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codeName="ThisWorkbook" defaultThemeVersion="124226"/>
  <xr:revisionPtr revIDLastSave="8" documentId="13_ncr:800001_{69DE01CD-FC2F-4FDD-866A-7FF0A1BD7F03}" xr6:coauthVersionLast="47" xr6:coauthVersionMax="47" xr10:uidLastSave="{F5C264AC-83DE-4956-8371-65ED04E0E2AC}"/>
  <bookViews>
    <workbookView xWindow="-120" yWindow="-120" windowWidth="29040" windowHeight="15720" tabRatio="840" xr2:uid="{00000000-000D-0000-FFFF-FFFF00000000}"/>
  </bookViews>
  <sheets>
    <sheet name="Cover" sheetId="27" r:id="rId1"/>
    <sheet name="TOC" sheetId="28" r:id="rId2"/>
    <sheet name="Inputs_Prices" sheetId="31" r:id="rId3"/>
    <sheet name="Inputs_Volumes" sheetId="32" r:id="rId4"/>
    <sheet name="Inputs_LRMC" sheetId="44" r:id="rId5"/>
    <sheet name="Inputs_FY23_FY24" sheetId="48" r:id="rId6"/>
    <sheet name="Inputs_Other" sheetId="33" r:id="rId7"/>
    <sheet name="Calc_Revenue" sheetId="34" r:id="rId8"/>
    <sheet name="Calc_A_SA_Cost" sheetId="37" r:id="rId9"/>
    <sheet name="Calc_LRMC" sheetId="45" r:id="rId10"/>
    <sheet name="Calc_LRMC_Tariff" sheetId="38" r:id="rId11"/>
    <sheet name="Calc_Residual_Tariff" sheetId="39" r:id="rId12"/>
    <sheet name="Output_Revenue" sheetId="35" r:id="rId13"/>
    <sheet name="Output_AER_Compliance" sheetId="40" r:id="rId14"/>
    <sheet name="Output_Charts" sheetId="41" r:id="rId15"/>
    <sheet name="Output_Pricing_Proposal" sheetId="43" r:id="rId16"/>
    <sheet name="Output_RIN" sheetId="47" r:id="rId17"/>
    <sheet name="Lookup" sheetId="4" r:id="rId18"/>
    <sheet name="Checks" sheetId="25" r:id="rId19"/>
  </sheets>
  <definedNames>
    <definedName name="_xlnm._FilterDatabase" localSheetId="15" hidden="1">Output_Pricing_Proposal!$D$671:$AE$671</definedName>
    <definedName name="anscount" hidden="1">1</definedName>
    <definedName name="Cents_to_Dollars">Lookup!$D$26</definedName>
    <definedName name="CRCP_span" localSheetId="9">CONCATENATE(CRCP_y1, " to ",CRCP_y5)</definedName>
    <definedName name="CRCP_span" localSheetId="5">CONCATENATE(CRCP_y1, " to ",CRCP_y5)</definedName>
    <definedName name="CRCP_span" localSheetId="4">CONCATENATE(CRCP_y1, " to ",CRCP_y5)</definedName>
    <definedName name="CRCP_span" localSheetId="16">CONCATENATE(CRCP_y1, " to ",CRCP_y5)</definedName>
    <definedName name="CRCP_span">CONCATENATE(CRCP_y1, " to ",CRCP_y5)</definedName>
    <definedName name="Dollars">Lookup!$D$42</definedName>
    <definedName name="Dollars_to_Thousands">Lookup!$D$27</definedName>
    <definedName name="Factor">Lookup!$D$45</definedName>
    <definedName name="FRCP_1to5">"2015-16 to 2019-20"</definedName>
    <definedName name="FRCP_span" localSheetId="9">CONCATENATE(FRCP_y1, " to ", FRCP_y5)</definedName>
    <definedName name="FRCP_span" localSheetId="5">CONCATENATE(FRCP_y1, " to ", FRCP_y5)</definedName>
    <definedName name="FRCP_span" localSheetId="4">CONCATENATE(FRCP_y1, " to ", FRCP_y5)</definedName>
    <definedName name="FRCP_span" localSheetId="16">CONCATENATE(FRCP_y1, " to ", FRCP_y5)</definedName>
    <definedName name="FRCP_span">CONCATENATE(FRCP_y1, " to ", FRCP_y5)</definedName>
    <definedName name="GWh_to_MWh">Lookup!$D$30</definedName>
    <definedName name="HTML_CodePage" hidden="1">1252</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Kilometres">Lookup!$D$64</definedName>
    <definedName name="LU_Basis">Lookup!$D$69:$D$74</definedName>
    <definedName name="LU_Revenue_Input">Lookup!$D$78:$D$80</definedName>
    <definedName name="LU_Tariff_Classes">Lookup!$D$84:$D$86</definedName>
    <definedName name="LU_Tariffs">Lookup!$D$90:$D$97</definedName>
    <definedName name="LU_Units">Lookup!$D$41:$D$65</definedName>
    <definedName name="LU_Voltage_Level">Lookup!$D$101:$D$103</definedName>
    <definedName name="Millions">Lookup!$D$43</definedName>
    <definedName name="Model_Name">Cover!$B$3</definedName>
    <definedName name="Model_Start_Date">Lookup!$E$10</definedName>
    <definedName name="Mths_In_Yr">Lookup!$D$25</definedName>
    <definedName name="MW_to_kW">Lookup!$D$31</definedName>
    <definedName name="MWh_to_kWh">Lookup!$D$29</definedName>
    <definedName name="NA">Lookup!$D$32</definedName>
    <definedName name="No">Lookup!$D$37</definedName>
    <definedName name="No_Input">Lookup!$D$80</definedName>
    <definedName name="Nominal">Lookup!$D$74</definedName>
    <definedName name="Number">Lookup!$D$46</definedName>
    <definedName name="Percent">Lookup!$D$41</definedName>
    <definedName name="Power_Factor">Inputs_Other!$O$101:$O$108</definedName>
    <definedName name="RCP_1to5">"2015-16 to 2019-20"</definedName>
    <definedName name="Real2022">Lookup!$D$69</definedName>
    <definedName name="Real2023">Lookup!$D$70</definedName>
    <definedName name="Real2024">Lookup!$D$71</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Thousands">Lookup!$D$44</definedName>
    <definedName name="Thousands_to_Millions">Lookup!$D$28</definedName>
    <definedName name="Title_Msg">Checks!$H$10</definedName>
    <definedName name="TiTree" hidden="1">{"'petroleum sales data'!$A$1:$L$49"}</definedName>
    <definedName name="Typical_Consumption_Residential">Output_Pricing_Proposal!$L$332</definedName>
    <definedName name="Typical_Consumption_Small_Business">Output_Pricing_Proposal!$L$333</definedName>
    <definedName name="Voltage_Level_Mapping">Inputs_Other!$M$101:$M$108</definedName>
    <definedName name="Yes">Lookup!$D$36</definedName>
    <definedName name="Yes_No">Lookup!$D$36:$D$37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4" i="43" l="1"/>
  <c r="R235" i="43"/>
  <c r="R236" i="43"/>
  <c r="R237" i="43"/>
  <c r="R238" i="43"/>
  <c r="R239" i="43"/>
  <c r="R240" i="43"/>
  <c r="R233" i="43"/>
  <c r="L251" i="43" a="1"/>
  <c r="L251" i="43" s="1"/>
  <c r="D183" i="33" l="1" a="1"/>
  <c r="D183" i="33" s="1"/>
  <c r="D169" i="33" a="1"/>
  <c r="D169" i="33" s="1"/>
  <c r="F644" i="43" l="1"/>
  <c r="E644" i="43"/>
  <c r="F643" i="43"/>
  <c r="E643" i="43"/>
  <c r="F642" i="43"/>
  <c r="E642" i="43"/>
  <c r="F641" i="43"/>
  <c r="E641" i="43"/>
  <c r="F640" i="43"/>
  <c r="E640" i="43"/>
  <c r="F639" i="43"/>
  <c r="E639" i="43"/>
  <c r="F638" i="43"/>
  <c r="E638" i="43"/>
  <c r="F637" i="43"/>
  <c r="E637" i="43"/>
  <c r="F636" i="43"/>
  <c r="E636" i="43"/>
  <c r="F635" i="43"/>
  <c r="E635" i="43"/>
  <c r="F634" i="43"/>
  <c r="E634" i="43"/>
  <c r="F633" i="43"/>
  <c r="E633" i="43"/>
  <c r="F632" i="43"/>
  <c r="E632" i="43"/>
  <c r="F631" i="43"/>
  <c r="E631" i="43"/>
  <c r="F630" i="43"/>
  <c r="E630" i="43"/>
  <c r="F629" i="43"/>
  <c r="E629" i="43"/>
  <c r="F628" i="43"/>
  <c r="E628" i="43"/>
  <c r="F627" i="43"/>
  <c r="E627" i="43"/>
  <c r="F626" i="43"/>
  <c r="E626" i="43"/>
  <c r="F625" i="43"/>
  <c r="E625" i="43"/>
  <c r="F624" i="43"/>
  <c r="E624" i="43"/>
  <c r="F623" i="43"/>
  <c r="E623" i="43"/>
  <c r="F622" i="43"/>
  <c r="E622" i="43"/>
  <c r="F621" i="43"/>
  <c r="E621" i="43"/>
  <c r="F620" i="43"/>
  <c r="E620" i="43"/>
  <c r="F619" i="43"/>
  <c r="E619" i="43"/>
  <c r="F618" i="43"/>
  <c r="E618" i="43"/>
  <c r="F617" i="43"/>
  <c r="E617" i="43"/>
  <c r="F616" i="43"/>
  <c r="E616" i="43"/>
  <c r="F615" i="43"/>
  <c r="E615" i="43"/>
  <c r="F614" i="43"/>
  <c r="E614" i="43"/>
  <c r="F613" i="43"/>
  <c r="E613" i="43"/>
  <c r="F612" i="43"/>
  <c r="E612" i="43"/>
  <c r="F611" i="43"/>
  <c r="E611" i="43"/>
  <c r="F610" i="43"/>
  <c r="E610" i="43"/>
  <c r="F609" i="43"/>
  <c r="E609" i="43"/>
  <c r="F608" i="43"/>
  <c r="E608" i="43"/>
  <c r="F607" i="43"/>
  <c r="E607" i="43"/>
  <c r="F606" i="43"/>
  <c r="E606" i="43"/>
  <c r="F605" i="43"/>
  <c r="E605" i="43"/>
  <c r="F604" i="43"/>
  <c r="E604" i="43"/>
  <c r="F603" i="43"/>
  <c r="E603" i="43"/>
  <c r="F602" i="43"/>
  <c r="E602" i="43"/>
  <c r="F601" i="43"/>
  <c r="E601" i="43"/>
  <c r="F600" i="43"/>
  <c r="E600" i="43"/>
  <c r="F599" i="43"/>
  <c r="E599" i="43"/>
  <c r="F598" i="43"/>
  <c r="E598" i="43"/>
  <c r="F597" i="43"/>
  <c r="E597" i="43"/>
  <c r="F596" i="43"/>
  <c r="E596" i="43"/>
  <c r="F595" i="43"/>
  <c r="E595" i="43"/>
  <c r="F594" i="43"/>
  <c r="E594" i="43"/>
  <c r="F593" i="43"/>
  <c r="E593" i="43"/>
  <c r="F592" i="43"/>
  <c r="E592" i="43"/>
  <c r="F591" i="43"/>
  <c r="E591" i="43"/>
  <c r="F590" i="43"/>
  <c r="E590" i="43"/>
  <c r="F589" i="43"/>
  <c r="E589" i="43"/>
  <c r="F588" i="43"/>
  <c r="E588" i="43"/>
  <c r="F587" i="43"/>
  <c r="E587" i="43"/>
  <c r="F586" i="43"/>
  <c r="E586" i="43"/>
  <c r="F585" i="43"/>
  <c r="E585" i="43"/>
  <c r="F584" i="43"/>
  <c r="E584" i="43"/>
  <c r="F583" i="43"/>
  <c r="E583" i="43"/>
  <c r="AC583" i="43"/>
  <c r="AC584" i="43" s="1"/>
  <c r="AC585" i="43" l="1"/>
  <c r="AC586" i="43" l="1"/>
  <c r="AE358" i="43"/>
  <c r="AE580" i="43" l="1"/>
  <c r="AE582" i="43" s="1"/>
  <c r="AE524" i="43"/>
  <c r="AE669" i="43"/>
  <c r="AE649" i="43"/>
  <c r="AC587" i="43"/>
  <c r="AE644" i="43" l="1"/>
  <c r="AE640" i="43"/>
  <c r="AE636" i="43"/>
  <c r="AE632" i="43"/>
  <c r="AE641" i="43"/>
  <c r="AE637" i="43"/>
  <c r="AE633" i="43"/>
  <c r="AE642" i="43"/>
  <c r="AE638" i="43"/>
  <c r="AE634" i="43"/>
  <c r="AE643" i="43"/>
  <c r="AE639" i="43"/>
  <c r="AE635" i="43"/>
  <c r="AC588" i="43"/>
  <c r="AE631" i="43"/>
  <c r="AE627" i="43"/>
  <c r="AE623" i="43"/>
  <c r="AE619" i="43"/>
  <c r="AE615" i="43"/>
  <c r="AE611" i="43"/>
  <c r="AE607" i="43"/>
  <c r="AE603" i="43"/>
  <c r="AE599" i="43"/>
  <c r="AE595" i="43"/>
  <c r="AE591" i="43"/>
  <c r="AE587" i="43"/>
  <c r="AE583" i="43"/>
  <c r="AE628" i="43"/>
  <c r="AE624" i="43"/>
  <c r="AE620" i="43"/>
  <c r="AE616" i="43"/>
  <c r="AE612" i="43"/>
  <c r="AE608" i="43"/>
  <c r="AE604" i="43"/>
  <c r="AE600" i="43"/>
  <c r="AE596" i="43"/>
  <c r="AE592" i="43"/>
  <c r="AE588" i="43"/>
  <c r="AE584" i="43"/>
  <c r="AE629" i="43"/>
  <c r="AE625" i="43"/>
  <c r="AE621" i="43"/>
  <c r="AE617" i="43"/>
  <c r="AE613" i="43"/>
  <c r="AE609" i="43"/>
  <c r="AE605" i="43"/>
  <c r="AE601" i="43"/>
  <c r="AE597" i="43"/>
  <c r="AE593" i="43"/>
  <c r="AE589" i="43"/>
  <c r="AE585" i="43"/>
  <c r="AE630" i="43"/>
  <c r="AE626" i="43"/>
  <c r="AE622" i="43"/>
  <c r="AE618" i="43"/>
  <c r="AE614" i="43"/>
  <c r="AE610" i="43"/>
  <c r="AE606" i="43"/>
  <c r="AE602" i="43"/>
  <c r="AE598" i="43"/>
  <c r="AE594" i="43"/>
  <c r="AE590" i="43"/>
  <c r="AE586" i="43"/>
  <c r="AC589" i="43" l="1"/>
  <c r="AC590" i="43" l="1"/>
  <c r="AC591" i="43" l="1"/>
  <c r="AC592" i="43" l="1"/>
  <c r="AC593" i="43" l="1"/>
  <c r="AC594" i="43" l="1"/>
  <c r="AC595" i="43" l="1"/>
  <c r="AC596" i="43" l="1"/>
  <c r="AC597" i="43" l="1"/>
  <c r="AC598" i="43" l="1"/>
  <c r="AC599" i="43" l="1"/>
  <c r="AC600" i="43" l="1"/>
  <c r="AC601" i="43" l="1"/>
  <c r="AC602" i="43" l="1"/>
  <c r="AC603" i="43" l="1"/>
  <c r="AC604" i="43" l="1"/>
  <c r="AC605" i="43" l="1"/>
  <c r="AC606" i="43" l="1"/>
  <c r="AC607" i="43" l="1"/>
  <c r="AC608" i="43" l="1"/>
  <c r="AC609" i="43" l="1"/>
  <c r="AC610" i="43" l="1"/>
  <c r="AC611" i="43" l="1"/>
  <c r="AC612" i="43" l="1"/>
  <c r="AC613" i="43" l="1"/>
  <c r="AC614" i="43" l="1"/>
  <c r="AC615" i="43" l="1"/>
  <c r="AC616" i="43" l="1"/>
  <c r="AC617" i="43" l="1"/>
  <c r="AC618" i="43" l="1"/>
  <c r="AC619" i="43" l="1"/>
  <c r="AC620" i="43" l="1"/>
  <c r="AC621" i="43" l="1"/>
  <c r="AC622" i="43" l="1"/>
  <c r="AC623" i="43" l="1"/>
  <c r="AC624" i="43" l="1"/>
  <c r="AC625" i="43" l="1"/>
  <c r="AC626" i="43" l="1"/>
  <c r="AC627" i="43" l="1"/>
  <c r="AC628" i="43" l="1"/>
  <c r="AC629" i="43" l="1"/>
  <c r="AC630" i="43" l="1"/>
  <c r="AC631" i="43" l="1"/>
  <c r="AC632" i="43" l="1"/>
  <c r="AC633" i="43" s="1"/>
  <c r="AC634" i="43" l="1"/>
  <c r="AC635" i="43" l="1"/>
  <c r="AC636" i="43" l="1"/>
  <c r="AC637" i="43" l="1"/>
  <c r="AC638" i="43" l="1"/>
  <c r="AC639" i="43" l="1"/>
  <c r="AC640" i="43" l="1"/>
  <c r="AC641" i="43" l="1"/>
  <c r="AC642" i="43" l="1"/>
  <c r="AC643" i="43" l="1"/>
  <c r="AC644" i="43" l="1"/>
  <c r="D644" i="43" l="1"/>
  <c r="D643" i="43"/>
  <c r="D642" i="43"/>
  <c r="D641" i="43"/>
  <c r="D640" i="43"/>
  <c r="D639" i="43"/>
  <c r="D638" i="43"/>
  <c r="D637" i="43"/>
  <c r="D636" i="43"/>
  <c r="D635" i="43"/>
  <c r="D634" i="43"/>
  <c r="D633" i="43"/>
  <c r="D632" i="43"/>
  <c r="D631" i="43"/>
  <c r="D630" i="43"/>
  <c r="D629" i="43"/>
  <c r="D628" i="43"/>
  <c r="D627" i="43"/>
  <c r="D626" i="43"/>
  <c r="D625" i="43"/>
  <c r="D624" i="43"/>
  <c r="D623" i="43"/>
  <c r="D622" i="43"/>
  <c r="D621" i="43"/>
  <c r="D620" i="43"/>
  <c r="D619" i="43"/>
  <c r="D618" i="43"/>
  <c r="D617" i="43"/>
  <c r="D616" i="43"/>
  <c r="D615" i="43"/>
  <c r="D614" i="43"/>
  <c r="D613" i="43"/>
  <c r="D612" i="43"/>
  <c r="D611" i="43"/>
  <c r="D610" i="43"/>
  <c r="D609" i="43"/>
  <c r="D608" i="43"/>
  <c r="D607" i="43"/>
  <c r="D606" i="43"/>
  <c r="D605" i="43"/>
  <c r="D604" i="43"/>
  <c r="D603" i="43"/>
  <c r="D602" i="43"/>
  <c r="D601" i="43"/>
  <c r="D600" i="43"/>
  <c r="D599" i="43"/>
  <c r="D598" i="43"/>
  <c r="D597" i="43"/>
  <c r="D596" i="43"/>
  <c r="D595" i="43"/>
  <c r="D594" i="43"/>
  <c r="D593" i="43"/>
  <c r="D592" i="43"/>
  <c r="D591" i="43"/>
  <c r="D590" i="43"/>
  <c r="D589" i="43"/>
  <c r="D588" i="43"/>
  <c r="D587" i="43"/>
  <c r="D586" i="43"/>
  <c r="D585" i="43"/>
  <c r="D584" i="43"/>
  <c r="D583" i="43"/>
  <c r="J347" i="43" l="1"/>
  <c r="I347" i="43"/>
  <c r="J346" i="43"/>
  <c r="I346" i="43"/>
  <c r="D84" i="39" l="1" a="1"/>
  <c r="D84" i="39" s="1"/>
  <c r="D34" i="35" a="1"/>
  <c r="D34" i="35" s="1"/>
  <c r="D26" i="39" a="1"/>
  <c r="D26" i="39" s="1"/>
  <c r="M44" i="38" a="1"/>
  <c r="M44" i="38" s="1"/>
  <c r="M30" i="38" a="1"/>
  <c r="M30" i="38" s="1"/>
  <c r="D58" i="38" a="1"/>
  <c r="D58" i="38" s="1"/>
  <c r="D44" i="38" a="1"/>
  <c r="D44" i="38" s="1"/>
  <c r="D98" i="37" a="1"/>
  <c r="D98" i="37" s="1"/>
  <c r="D82" i="37" a="1"/>
  <c r="D82" i="37" s="1"/>
  <c r="D65" i="37" a="1"/>
  <c r="D65" i="37" s="1"/>
  <c r="D115" i="33" a="1"/>
  <c r="D115" i="33" s="1"/>
  <c r="D101" i="33" a="1"/>
  <c r="D101" i="33" s="1"/>
  <c r="D30" i="38" a="1"/>
  <c r="D30" i="38" s="1"/>
  <c r="F877" i="43" l="1"/>
  <c r="E877" i="43"/>
  <c r="F876" i="43"/>
  <c r="E876" i="43"/>
  <c r="F875" i="43"/>
  <c r="E875" i="43"/>
  <c r="F874" i="43"/>
  <c r="E874" i="43"/>
  <c r="F873" i="43"/>
  <c r="E873" i="43"/>
  <c r="F872" i="43"/>
  <c r="E872" i="43"/>
  <c r="D877" i="43"/>
  <c r="D876" i="43"/>
  <c r="D875" i="43"/>
  <c r="D874" i="43"/>
  <c r="D873" i="43"/>
  <c r="D872" i="43"/>
  <c r="F891" i="43"/>
  <c r="E891" i="43"/>
  <c r="F890" i="43"/>
  <c r="E890" i="43"/>
  <c r="F889" i="43"/>
  <c r="E889" i="43"/>
  <c r="F888" i="43"/>
  <c r="E888" i="43"/>
  <c r="F887" i="43"/>
  <c r="E887" i="43"/>
  <c r="F886" i="43"/>
  <c r="E886" i="43"/>
  <c r="F885" i="43"/>
  <c r="E885" i="43"/>
  <c r="F884" i="43"/>
  <c r="E884" i="43"/>
  <c r="F883" i="43"/>
  <c r="E883" i="43"/>
  <c r="F882" i="43"/>
  <c r="E882" i="43"/>
  <c r="F881" i="43"/>
  <c r="E881" i="43"/>
  <c r="F880" i="43"/>
  <c r="E880" i="43"/>
  <c r="F879" i="43"/>
  <c r="E879" i="43"/>
  <c r="F878" i="43"/>
  <c r="E878" i="43"/>
  <c r="F871" i="43"/>
  <c r="E871" i="43"/>
  <c r="F870" i="43"/>
  <c r="E870" i="43"/>
  <c r="F869" i="43"/>
  <c r="E869" i="43"/>
  <c r="F868" i="43"/>
  <c r="E868" i="43"/>
  <c r="F867" i="43"/>
  <c r="E867" i="43"/>
  <c r="F866" i="43"/>
  <c r="E866" i="43"/>
  <c r="F865" i="43"/>
  <c r="E865" i="43"/>
  <c r="F864" i="43"/>
  <c r="E864" i="43"/>
  <c r="F863" i="43"/>
  <c r="E863" i="43"/>
  <c r="F862" i="43"/>
  <c r="E862" i="43"/>
  <c r="F861" i="43"/>
  <c r="E861" i="43"/>
  <c r="F860" i="43"/>
  <c r="E860" i="43"/>
  <c r="F859" i="43"/>
  <c r="E859" i="43"/>
  <c r="F858" i="43"/>
  <c r="E858" i="43"/>
  <c r="F857" i="43"/>
  <c r="E857" i="43"/>
  <c r="F856" i="43"/>
  <c r="E856" i="43"/>
  <c r="F855" i="43"/>
  <c r="E855" i="43"/>
  <c r="F854" i="43"/>
  <c r="E854" i="43"/>
  <c r="F853" i="43"/>
  <c r="E853" i="43"/>
  <c r="F852" i="43"/>
  <c r="E852" i="43"/>
  <c r="F851" i="43"/>
  <c r="E851" i="43"/>
  <c r="F850" i="43"/>
  <c r="E850" i="43"/>
  <c r="F849" i="43"/>
  <c r="E849" i="43"/>
  <c r="F848" i="43"/>
  <c r="E848" i="43"/>
  <c r="F847" i="43"/>
  <c r="E847" i="43"/>
  <c r="F846" i="43"/>
  <c r="E846" i="43"/>
  <c r="F845" i="43"/>
  <c r="E845" i="43"/>
  <c r="F844" i="43"/>
  <c r="E844" i="43"/>
  <c r="F843" i="43"/>
  <c r="E843" i="43"/>
  <c r="F842" i="43"/>
  <c r="E842" i="43"/>
  <c r="F841" i="43"/>
  <c r="E841" i="43"/>
  <c r="F840" i="43"/>
  <c r="E840" i="43"/>
  <c r="F839" i="43"/>
  <c r="E839" i="43"/>
  <c r="F838" i="43"/>
  <c r="E838" i="43"/>
  <c r="F837" i="43"/>
  <c r="E837" i="43"/>
  <c r="F836" i="43"/>
  <c r="E836" i="43"/>
  <c r="F835" i="43"/>
  <c r="E835" i="43"/>
  <c r="F834" i="43"/>
  <c r="E834" i="43"/>
  <c r="F833" i="43"/>
  <c r="E833" i="43"/>
  <c r="F832" i="43"/>
  <c r="E832" i="43"/>
  <c r="F831" i="43"/>
  <c r="E831" i="43"/>
  <c r="F830" i="43"/>
  <c r="E830" i="43"/>
  <c r="F829" i="43"/>
  <c r="E829" i="43"/>
  <c r="F828" i="43"/>
  <c r="E828" i="43"/>
  <c r="F827" i="43"/>
  <c r="E827" i="43"/>
  <c r="F826" i="43"/>
  <c r="E826" i="43"/>
  <c r="F825" i="43"/>
  <c r="E825" i="43"/>
  <c r="F824" i="43"/>
  <c r="E824" i="43"/>
  <c r="F823" i="43"/>
  <c r="E823" i="43"/>
  <c r="F822" i="43"/>
  <c r="E822" i="43"/>
  <c r="F821" i="43"/>
  <c r="E821" i="43"/>
  <c r="F820" i="43"/>
  <c r="E820" i="43"/>
  <c r="F819" i="43"/>
  <c r="E819" i="43"/>
  <c r="F818" i="43"/>
  <c r="E818" i="43"/>
  <c r="F817" i="43"/>
  <c r="E817" i="43"/>
  <c r="F816" i="43"/>
  <c r="E816" i="43"/>
  <c r="F815" i="43"/>
  <c r="E815" i="43"/>
  <c r="F814" i="43"/>
  <c r="E814" i="43"/>
  <c r="F813" i="43"/>
  <c r="E813" i="43"/>
  <c r="F812" i="43"/>
  <c r="E812" i="43"/>
  <c r="F811" i="43"/>
  <c r="E811" i="43"/>
  <c r="F810" i="43"/>
  <c r="E810" i="43"/>
  <c r="F809" i="43"/>
  <c r="E809" i="43"/>
  <c r="F808" i="43"/>
  <c r="E808" i="43"/>
  <c r="F807" i="43"/>
  <c r="E807" i="43"/>
  <c r="F806" i="43"/>
  <c r="E806" i="43"/>
  <c r="F805" i="43"/>
  <c r="E805" i="43"/>
  <c r="F804" i="43"/>
  <c r="E804" i="43"/>
  <c r="F803" i="43"/>
  <c r="E803" i="43"/>
  <c r="F802" i="43"/>
  <c r="E802" i="43"/>
  <c r="F801" i="43"/>
  <c r="E801" i="43"/>
  <c r="F800" i="43"/>
  <c r="E800" i="43"/>
  <c r="F799" i="43"/>
  <c r="E799" i="43"/>
  <c r="F798" i="43"/>
  <c r="E798" i="43"/>
  <c r="F797" i="43"/>
  <c r="E797" i="43"/>
  <c r="F796" i="43"/>
  <c r="E796" i="43"/>
  <c r="F795" i="43"/>
  <c r="E795" i="43"/>
  <c r="F794" i="43"/>
  <c r="E794" i="43"/>
  <c r="F793" i="43"/>
  <c r="E793" i="43"/>
  <c r="F792" i="43"/>
  <c r="E792" i="43"/>
  <c r="F791" i="43"/>
  <c r="E791" i="43"/>
  <c r="F790" i="43"/>
  <c r="E790" i="43"/>
  <c r="F789" i="43"/>
  <c r="E789" i="43"/>
  <c r="F788" i="43"/>
  <c r="E788" i="43"/>
  <c r="F787" i="43"/>
  <c r="E787" i="43"/>
  <c r="F786" i="43"/>
  <c r="E786" i="43"/>
  <c r="F785" i="43"/>
  <c r="E785" i="43"/>
  <c r="F784" i="43"/>
  <c r="E784" i="43"/>
  <c r="F783" i="43"/>
  <c r="E783" i="43"/>
  <c r="F782" i="43"/>
  <c r="E782" i="43"/>
  <c r="F781" i="43"/>
  <c r="E781" i="43"/>
  <c r="F780" i="43"/>
  <c r="E780" i="43"/>
  <c r="F779" i="43"/>
  <c r="E779" i="43"/>
  <c r="F778" i="43"/>
  <c r="E778" i="43"/>
  <c r="F777" i="43"/>
  <c r="E777" i="43"/>
  <c r="F776" i="43"/>
  <c r="E776" i="43"/>
  <c r="F775" i="43"/>
  <c r="E775" i="43"/>
  <c r="F774" i="43"/>
  <c r="E774" i="43"/>
  <c r="F773" i="43"/>
  <c r="E773" i="43"/>
  <c r="F772" i="43"/>
  <c r="E772" i="43"/>
  <c r="F771" i="43"/>
  <c r="E771" i="43"/>
  <c r="F770" i="43"/>
  <c r="E770" i="43"/>
  <c r="F769" i="43"/>
  <c r="E769" i="43"/>
  <c r="F768" i="43"/>
  <c r="E768" i="43"/>
  <c r="F767" i="43"/>
  <c r="E767" i="43"/>
  <c r="F766" i="43"/>
  <c r="E766" i="43"/>
  <c r="F765" i="43"/>
  <c r="E765" i="43"/>
  <c r="F764" i="43"/>
  <c r="E764" i="43"/>
  <c r="F763" i="43"/>
  <c r="E763" i="43"/>
  <c r="F762" i="43"/>
  <c r="E762" i="43"/>
  <c r="F761" i="43"/>
  <c r="E761" i="43"/>
  <c r="F760" i="43"/>
  <c r="E760" i="43"/>
  <c r="F759" i="43"/>
  <c r="E759" i="43"/>
  <c r="F758" i="43"/>
  <c r="E758" i="43"/>
  <c r="F757" i="43"/>
  <c r="E757" i="43"/>
  <c r="F756" i="43"/>
  <c r="E756" i="43"/>
  <c r="F755" i="43"/>
  <c r="E755" i="43"/>
  <c r="F754" i="43"/>
  <c r="E754" i="43"/>
  <c r="F753" i="43"/>
  <c r="E753" i="43"/>
  <c r="F752" i="43"/>
  <c r="E752" i="43"/>
  <c r="F751" i="43"/>
  <c r="E751" i="43"/>
  <c r="F750" i="43"/>
  <c r="E750" i="43"/>
  <c r="F749" i="43"/>
  <c r="E749" i="43"/>
  <c r="F748" i="43"/>
  <c r="E748" i="43"/>
  <c r="F747" i="43"/>
  <c r="E747" i="43"/>
  <c r="F746" i="43"/>
  <c r="E746" i="43"/>
  <c r="F745" i="43"/>
  <c r="E745" i="43"/>
  <c r="F744" i="43"/>
  <c r="E744" i="43"/>
  <c r="F743" i="43"/>
  <c r="E743" i="43"/>
  <c r="F742" i="43"/>
  <c r="E742" i="43"/>
  <c r="F741" i="43"/>
  <c r="E741" i="43"/>
  <c r="F740" i="43"/>
  <c r="E740" i="43"/>
  <c r="F739" i="43"/>
  <c r="E739" i="43"/>
  <c r="F738" i="43"/>
  <c r="E738" i="43"/>
  <c r="F737" i="43"/>
  <c r="E737" i="43"/>
  <c r="F736" i="43"/>
  <c r="E736" i="43"/>
  <c r="F735" i="43"/>
  <c r="E735" i="43"/>
  <c r="F734" i="43"/>
  <c r="E734" i="43"/>
  <c r="F733" i="43"/>
  <c r="E733" i="43"/>
  <c r="F732" i="43"/>
  <c r="E732" i="43"/>
  <c r="F731" i="43"/>
  <c r="E731" i="43"/>
  <c r="F730" i="43"/>
  <c r="E730" i="43"/>
  <c r="F729" i="43"/>
  <c r="E729" i="43"/>
  <c r="F728" i="43"/>
  <c r="E728" i="43"/>
  <c r="F727" i="43"/>
  <c r="E727" i="43"/>
  <c r="F726" i="43"/>
  <c r="E726" i="43"/>
  <c r="F725" i="43"/>
  <c r="E725" i="43"/>
  <c r="F724" i="43"/>
  <c r="E724" i="43"/>
  <c r="F723" i="43"/>
  <c r="E723" i="43"/>
  <c r="F722" i="43"/>
  <c r="E722" i="43"/>
  <c r="F721" i="43"/>
  <c r="E721" i="43"/>
  <c r="F720" i="43"/>
  <c r="E720" i="43"/>
  <c r="F719" i="43"/>
  <c r="E719" i="43"/>
  <c r="F718" i="43"/>
  <c r="E718" i="43"/>
  <c r="F717" i="43"/>
  <c r="E717" i="43"/>
  <c r="F716" i="43"/>
  <c r="E716" i="43"/>
  <c r="F715" i="43"/>
  <c r="E715" i="43"/>
  <c r="F714" i="43"/>
  <c r="E714" i="43"/>
  <c r="F713" i="43"/>
  <c r="E713" i="43"/>
  <c r="F712" i="43"/>
  <c r="E712" i="43"/>
  <c r="F711" i="43"/>
  <c r="E711" i="43"/>
  <c r="F710" i="43"/>
  <c r="E710" i="43"/>
  <c r="F709" i="43"/>
  <c r="E709" i="43"/>
  <c r="F708" i="43"/>
  <c r="E708" i="43"/>
  <c r="F707" i="43"/>
  <c r="E707" i="43"/>
  <c r="F706" i="43"/>
  <c r="E706" i="43"/>
  <c r="F705" i="43"/>
  <c r="E705" i="43"/>
  <c r="F704" i="43"/>
  <c r="E704" i="43"/>
  <c r="F703" i="43"/>
  <c r="E703" i="43"/>
  <c r="F702" i="43"/>
  <c r="E702" i="43"/>
  <c r="F701" i="43"/>
  <c r="E701" i="43"/>
  <c r="F700" i="43"/>
  <c r="E700" i="43"/>
  <c r="F699" i="43"/>
  <c r="E699" i="43"/>
  <c r="F698" i="43"/>
  <c r="E698" i="43"/>
  <c r="F697" i="43"/>
  <c r="E697" i="43"/>
  <c r="F696" i="43"/>
  <c r="E696" i="43"/>
  <c r="F695" i="43"/>
  <c r="E695" i="43"/>
  <c r="F694" i="43"/>
  <c r="E694" i="43"/>
  <c r="F693" i="43"/>
  <c r="E693" i="43"/>
  <c r="F692" i="43"/>
  <c r="E692" i="43"/>
  <c r="F691" i="43"/>
  <c r="E691" i="43"/>
  <c r="F690" i="43"/>
  <c r="E690" i="43"/>
  <c r="F689" i="43"/>
  <c r="E689" i="43"/>
  <c r="F688" i="43"/>
  <c r="E688" i="43"/>
  <c r="F687" i="43"/>
  <c r="E687" i="43"/>
  <c r="F686" i="43"/>
  <c r="E686" i="43"/>
  <c r="F685" i="43"/>
  <c r="E685" i="43"/>
  <c r="F684" i="43"/>
  <c r="E684" i="43"/>
  <c r="F683" i="43"/>
  <c r="E683" i="43"/>
  <c r="F682" i="43"/>
  <c r="E682" i="43"/>
  <c r="F681" i="43"/>
  <c r="E681" i="43"/>
  <c r="F680" i="43"/>
  <c r="E680" i="43"/>
  <c r="F679" i="43"/>
  <c r="E679" i="43"/>
  <c r="F678" i="43"/>
  <c r="E678" i="43"/>
  <c r="F677" i="43"/>
  <c r="E677" i="43"/>
  <c r="F676" i="43"/>
  <c r="E676" i="43"/>
  <c r="F675" i="43"/>
  <c r="E675" i="43"/>
  <c r="F674" i="43"/>
  <c r="E674" i="43"/>
  <c r="F673" i="43"/>
  <c r="E673" i="43"/>
  <c r="F672" i="43"/>
  <c r="E672" i="43"/>
  <c r="AC672" i="43"/>
  <c r="AC673" i="43" l="1"/>
  <c r="AC652" i="43"/>
  <c r="AC653" i="43" s="1"/>
  <c r="AC654" i="43" s="1"/>
  <c r="AC655" i="43" s="1"/>
  <c r="AC656" i="43" s="1"/>
  <c r="AC657" i="43" s="1"/>
  <c r="AC658" i="43" s="1"/>
  <c r="AC659" i="43" s="1"/>
  <c r="AC660" i="43" s="1"/>
  <c r="AC661" i="43" s="1"/>
  <c r="AC662" i="43" s="1"/>
  <c r="AC663" i="43" s="1"/>
  <c r="AC664" i="43" s="1"/>
  <c r="D831" i="43"/>
  <c r="D832" i="43"/>
  <c r="D833" i="43"/>
  <c r="D834" i="43"/>
  <c r="D835" i="43"/>
  <c r="D836" i="43"/>
  <c r="D837" i="43"/>
  <c r="D838" i="43"/>
  <c r="D839" i="43"/>
  <c r="D840" i="43"/>
  <c r="D841" i="43"/>
  <c r="D842" i="43"/>
  <c r="D843" i="43"/>
  <c r="D844" i="43"/>
  <c r="D845" i="43"/>
  <c r="D846" i="43"/>
  <c r="D847" i="43"/>
  <c r="D848" i="43"/>
  <c r="D849" i="43"/>
  <c r="D850" i="43"/>
  <c r="D851" i="43"/>
  <c r="D852" i="43"/>
  <c r="D853" i="43"/>
  <c r="D854" i="43"/>
  <c r="D855" i="43"/>
  <c r="D856" i="43"/>
  <c r="D857" i="43"/>
  <c r="D858" i="43"/>
  <c r="D859" i="43"/>
  <c r="D860" i="43"/>
  <c r="D861" i="43"/>
  <c r="D862" i="43"/>
  <c r="D863" i="43"/>
  <c r="D864" i="43"/>
  <c r="D865" i="43"/>
  <c r="D866" i="43"/>
  <c r="D867" i="43"/>
  <c r="D868" i="43"/>
  <c r="D869" i="43"/>
  <c r="D870" i="43"/>
  <c r="D871" i="43"/>
  <c r="D878" i="43"/>
  <c r="AC527" i="43"/>
  <c r="AC528" i="43" s="1"/>
  <c r="AC529" i="43" s="1"/>
  <c r="AC530" i="43" s="1"/>
  <c r="AC531" i="43" s="1"/>
  <c r="AC532" i="43" s="1"/>
  <c r="AC533" i="43" s="1"/>
  <c r="AC534" i="43" s="1"/>
  <c r="AC535" i="43" s="1"/>
  <c r="AC536" i="43" s="1"/>
  <c r="AC537" i="43" s="1"/>
  <c r="AC538" i="43" s="1"/>
  <c r="AC539" i="43" s="1"/>
  <c r="AC540" i="43" s="1"/>
  <c r="AC541" i="43" s="1"/>
  <c r="AC542" i="43" s="1"/>
  <c r="AC543" i="43" s="1"/>
  <c r="AC544" i="43" s="1"/>
  <c r="AC545" i="43" s="1"/>
  <c r="AC546" i="43" s="1"/>
  <c r="AC547" i="43" s="1"/>
  <c r="AC548" i="43" s="1"/>
  <c r="AC549" i="43" s="1"/>
  <c r="AC550" i="43" s="1"/>
  <c r="AC551" i="43" s="1"/>
  <c r="AC552" i="43" s="1"/>
  <c r="AC553" i="43" s="1"/>
  <c r="AC554" i="43" s="1"/>
  <c r="AC555" i="43" s="1"/>
  <c r="AC556" i="43" s="1"/>
  <c r="AC557" i="43" s="1"/>
  <c r="AC558" i="43" s="1"/>
  <c r="AC559" i="43" s="1"/>
  <c r="AC560" i="43" s="1"/>
  <c r="AC561" i="43" s="1"/>
  <c r="AC562" i="43" s="1"/>
  <c r="AC563" i="43" s="1"/>
  <c r="AC564" i="43" s="1"/>
  <c r="AC565" i="43" s="1"/>
  <c r="AC566" i="43" s="1"/>
  <c r="AC567" i="43" s="1"/>
  <c r="AC568" i="43" s="1"/>
  <c r="AC569" i="43" s="1"/>
  <c r="AC570" i="43" s="1"/>
  <c r="AC571" i="43" s="1"/>
  <c r="D673" i="43"/>
  <c r="D674" i="43"/>
  <c r="D675" i="43"/>
  <c r="D676" i="43"/>
  <c r="D677" i="43"/>
  <c r="D678" i="43"/>
  <c r="D679" i="43"/>
  <c r="D680" i="43"/>
  <c r="D681" i="43"/>
  <c r="D682" i="43"/>
  <c r="D683" i="43"/>
  <c r="D684" i="43"/>
  <c r="D685" i="43"/>
  <c r="D686" i="43"/>
  <c r="D687" i="43"/>
  <c r="D688" i="43"/>
  <c r="D689" i="43"/>
  <c r="D690" i="43"/>
  <c r="D691" i="43"/>
  <c r="D692" i="43"/>
  <c r="D693" i="43"/>
  <c r="D694" i="43"/>
  <c r="D695" i="43"/>
  <c r="D696" i="43"/>
  <c r="D697" i="43"/>
  <c r="D698" i="43"/>
  <c r="D699" i="43"/>
  <c r="D700" i="43"/>
  <c r="D701" i="43"/>
  <c r="D702" i="43"/>
  <c r="D703" i="43"/>
  <c r="D704" i="43"/>
  <c r="D705" i="43"/>
  <c r="D706" i="43"/>
  <c r="D707" i="43"/>
  <c r="D708" i="43"/>
  <c r="D709" i="43"/>
  <c r="D710" i="43"/>
  <c r="D711" i="43"/>
  <c r="D712" i="43"/>
  <c r="D713" i="43"/>
  <c r="D714" i="43"/>
  <c r="D715" i="43"/>
  <c r="D716" i="43"/>
  <c r="D717" i="43"/>
  <c r="D718" i="43"/>
  <c r="D719" i="43"/>
  <c r="D720" i="43"/>
  <c r="D721" i="43"/>
  <c r="D722" i="43"/>
  <c r="D723" i="43"/>
  <c r="D724" i="43"/>
  <c r="D725" i="43"/>
  <c r="D726" i="43"/>
  <c r="D727" i="43"/>
  <c r="D728" i="43"/>
  <c r="D729" i="43"/>
  <c r="D730" i="43"/>
  <c r="D731" i="43"/>
  <c r="D732" i="43"/>
  <c r="D733" i="43"/>
  <c r="D734" i="43"/>
  <c r="D735" i="43"/>
  <c r="D736" i="43"/>
  <c r="D737" i="43"/>
  <c r="D738" i="43"/>
  <c r="D739" i="43"/>
  <c r="D740" i="43"/>
  <c r="D741" i="43"/>
  <c r="D742" i="43"/>
  <c r="D743" i="43"/>
  <c r="D744" i="43"/>
  <c r="D745" i="43"/>
  <c r="D746" i="43"/>
  <c r="D747" i="43"/>
  <c r="D748" i="43"/>
  <c r="D749" i="43"/>
  <c r="D750" i="43"/>
  <c r="D751" i="43"/>
  <c r="D752" i="43"/>
  <c r="D753" i="43"/>
  <c r="D754" i="43"/>
  <c r="D755" i="43"/>
  <c r="D756" i="43"/>
  <c r="D757" i="43"/>
  <c r="D758" i="43"/>
  <c r="D759" i="43"/>
  <c r="D760" i="43"/>
  <c r="D761" i="43"/>
  <c r="D762" i="43"/>
  <c r="D763" i="43"/>
  <c r="D764" i="43"/>
  <c r="D765" i="43"/>
  <c r="D766" i="43"/>
  <c r="D767" i="43"/>
  <c r="D768" i="43"/>
  <c r="D769" i="43"/>
  <c r="D770" i="43"/>
  <c r="D771" i="43"/>
  <c r="D772" i="43"/>
  <c r="D773" i="43"/>
  <c r="D774" i="43"/>
  <c r="D775" i="43"/>
  <c r="D776" i="43"/>
  <c r="D777" i="43"/>
  <c r="D778" i="43"/>
  <c r="D779" i="43"/>
  <c r="D780" i="43"/>
  <c r="D781" i="43"/>
  <c r="D782" i="43"/>
  <c r="D783" i="43"/>
  <c r="D784" i="43"/>
  <c r="D785" i="43"/>
  <c r="D786" i="43"/>
  <c r="D787" i="43"/>
  <c r="D788" i="43"/>
  <c r="D789" i="43"/>
  <c r="D790" i="43"/>
  <c r="D791" i="43"/>
  <c r="D792" i="43"/>
  <c r="D793" i="43"/>
  <c r="D794" i="43"/>
  <c r="D795" i="43"/>
  <c r="D796" i="43"/>
  <c r="D797" i="43"/>
  <c r="D798" i="43"/>
  <c r="D799" i="43"/>
  <c r="D800" i="43"/>
  <c r="D801" i="43"/>
  <c r="D802" i="43"/>
  <c r="D803" i="43"/>
  <c r="D804" i="43"/>
  <c r="D805" i="43"/>
  <c r="D806" i="43"/>
  <c r="D807" i="43"/>
  <c r="D808" i="43"/>
  <c r="D809" i="43"/>
  <c r="D810" i="43"/>
  <c r="D811" i="43"/>
  <c r="D812" i="43"/>
  <c r="D813" i="43"/>
  <c r="D814" i="43"/>
  <c r="D815" i="43"/>
  <c r="D816" i="43"/>
  <c r="D817" i="43"/>
  <c r="D818" i="43"/>
  <c r="D819" i="43"/>
  <c r="D820" i="43"/>
  <c r="D821" i="43"/>
  <c r="D822" i="43"/>
  <c r="D823" i="43"/>
  <c r="D824" i="43"/>
  <c r="D825" i="43"/>
  <c r="D826" i="43"/>
  <c r="D827" i="43"/>
  <c r="D828" i="43"/>
  <c r="D829" i="43"/>
  <c r="AC361" i="43"/>
  <c r="AC362" i="43" s="1"/>
  <c r="AC363" i="43" s="1"/>
  <c r="AC364" i="43" s="1"/>
  <c r="AC365" i="43" s="1"/>
  <c r="AC366" i="43" s="1"/>
  <c r="AC367" i="43" s="1"/>
  <c r="AC368" i="43" s="1"/>
  <c r="AC369" i="43" s="1"/>
  <c r="AC370" i="43" s="1"/>
  <c r="AC371" i="43" s="1"/>
  <c r="AC372" i="43" s="1"/>
  <c r="AC373" i="43" s="1"/>
  <c r="AC374" i="43" s="1"/>
  <c r="AC375" i="43" s="1"/>
  <c r="AC376" i="43" s="1"/>
  <c r="AC377" i="43" s="1"/>
  <c r="AC378" i="43" s="1"/>
  <c r="AC379" i="43" s="1"/>
  <c r="AC380" i="43" s="1"/>
  <c r="AC381" i="43" s="1"/>
  <c r="AC382" i="43" s="1"/>
  <c r="AC383" i="43" s="1"/>
  <c r="AC384" i="43" s="1"/>
  <c r="AC385" i="43" s="1"/>
  <c r="AC386" i="43" s="1"/>
  <c r="AC387" i="43" s="1"/>
  <c r="AC388" i="43" s="1"/>
  <c r="AC389" i="43" s="1"/>
  <c r="AC390" i="43" s="1"/>
  <c r="AC391" i="43" s="1"/>
  <c r="AC392" i="43" s="1"/>
  <c r="AC393" i="43" s="1"/>
  <c r="AC394" i="43" s="1"/>
  <c r="AC395" i="43" s="1"/>
  <c r="AC396" i="43" s="1"/>
  <c r="AC397" i="43" s="1"/>
  <c r="AC398" i="43" s="1"/>
  <c r="AC399" i="43" s="1"/>
  <c r="AC400" i="43" s="1"/>
  <c r="AC401" i="43" s="1"/>
  <c r="AC402" i="43" s="1"/>
  <c r="AC403" i="43" s="1"/>
  <c r="AC404" i="43" s="1"/>
  <c r="AC405" i="43" s="1"/>
  <c r="AC406" i="43" s="1"/>
  <c r="AC407" i="43" s="1"/>
  <c r="AC408" i="43" s="1"/>
  <c r="AC409" i="43" s="1"/>
  <c r="AC410" i="43" s="1"/>
  <c r="AC411" i="43" s="1"/>
  <c r="AC412" i="43" s="1"/>
  <c r="AC413" i="43" s="1"/>
  <c r="AC414" i="43" s="1"/>
  <c r="AC415" i="43" s="1"/>
  <c r="AC416" i="43" s="1"/>
  <c r="AC417" i="43" s="1"/>
  <c r="AC418" i="43" s="1"/>
  <c r="AC419" i="43" s="1"/>
  <c r="AC420" i="43" s="1"/>
  <c r="AC421" i="43" s="1"/>
  <c r="AC422" i="43" s="1"/>
  <c r="AC423" i="43" s="1"/>
  <c r="AC424" i="43" s="1"/>
  <c r="AC425" i="43" s="1"/>
  <c r="AC426" i="43" s="1"/>
  <c r="AC427" i="43" s="1"/>
  <c r="AC428" i="43" s="1"/>
  <c r="AC429" i="43" s="1"/>
  <c r="AC430" i="43" s="1"/>
  <c r="AC431" i="43" s="1"/>
  <c r="AC432" i="43" s="1"/>
  <c r="AC433" i="43" s="1"/>
  <c r="AC434" i="43" s="1"/>
  <c r="AC435" i="43" s="1"/>
  <c r="AC436" i="43" s="1"/>
  <c r="AC437" i="43" s="1"/>
  <c r="AC438" i="43" s="1"/>
  <c r="AC439" i="43" s="1"/>
  <c r="AC440" i="43" s="1"/>
  <c r="AC441" i="43" s="1"/>
  <c r="AC442" i="43" s="1"/>
  <c r="AC443" i="43" s="1"/>
  <c r="AC444" i="43" s="1"/>
  <c r="AC445" i="43" s="1"/>
  <c r="AC446" i="43" s="1"/>
  <c r="AC447" i="43" s="1"/>
  <c r="AC448" i="43" s="1"/>
  <c r="AC449" i="43" s="1"/>
  <c r="AC450" i="43" s="1"/>
  <c r="AC451" i="43" s="1"/>
  <c r="AC452" i="43" s="1"/>
  <c r="AC453" i="43" s="1"/>
  <c r="AC454" i="43" s="1"/>
  <c r="AC455" i="43" s="1"/>
  <c r="AC456" i="43" s="1"/>
  <c r="AC457" i="43" s="1"/>
  <c r="AC458" i="43" s="1"/>
  <c r="AC459" i="43" s="1"/>
  <c r="AC460" i="43" s="1"/>
  <c r="AC461" i="43" s="1"/>
  <c r="AC462" i="43" s="1"/>
  <c r="AC463" i="43" s="1"/>
  <c r="AC464" i="43" s="1"/>
  <c r="AC465" i="43" s="1"/>
  <c r="AC466" i="43" s="1"/>
  <c r="AC467" i="43" s="1"/>
  <c r="AC468" i="43" s="1"/>
  <c r="AC469" i="43" s="1"/>
  <c r="AC470" i="43" s="1"/>
  <c r="AC471" i="43" s="1"/>
  <c r="AC472" i="43" s="1"/>
  <c r="AC473" i="43" s="1"/>
  <c r="AC474" i="43" s="1"/>
  <c r="AC475" i="43" s="1"/>
  <c r="AC476" i="43" s="1"/>
  <c r="AC477" i="43" s="1"/>
  <c r="AC478" i="43" s="1"/>
  <c r="AC479" i="43" s="1"/>
  <c r="AC480" i="43" s="1"/>
  <c r="AC481" i="43" s="1"/>
  <c r="AC482" i="43" s="1"/>
  <c r="AC483" i="43" s="1"/>
  <c r="AC484" i="43" s="1"/>
  <c r="AC485" i="43" s="1"/>
  <c r="AC486" i="43" s="1"/>
  <c r="AC487" i="43" s="1"/>
  <c r="AC488" i="43" s="1"/>
  <c r="AC489" i="43" s="1"/>
  <c r="AC490" i="43" s="1"/>
  <c r="AC491" i="43" s="1"/>
  <c r="AC492" i="43" s="1"/>
  <c r="AC493" i="43" s="1"/>
  <c r="AC494" i="43" s="1"/>
  <c r="AC495" i="43" s="1"/>
  <c r="AC496" i="43" s="1"/>
  <c r="AC497" i="43" s="1"/>
  <c r="AC498" i="43" s="1"/>
  <c r="AC499" i="43" s="1"/>
  <c r="AC500" i="43" s="1"/>
  <c r="AC501" i="43" s="1"/>
  <c r="AC502" i="43" s="1"/>
  <c r="AC503" i="43" s="1"/>
  <c r="AC504" i="43" s="1"/>
  <c r="AC505" i="43" s="1"/>
  <c r="AC506" i="43" s="1"/>
  <c r="AC507" i="43" s="1"/>
  <c r="AC508" i="43" s="1"/>
  <c r="AC509" i="43" s="1"/>
  <c r="AC510" i="43" s="1"/>
  <c r="AC511" i="43" s="1"/>
  <c r="AC512" i="43" s="1"/>
  <c r="AC513" i="43" s="1"/>
  <c r="AC514" i="43" s="1"/>
  <c r="AC515" i="43" s="1"/>
  <c r="AC516" i="43" s="1"/>
  <c r="AC517" i="43" s="1"/>
  <c r="AC518" i="43" s="1"/>
  <c r="AC674" i="43" l="1"/>
  <c r="AC572" i="43"/>
  <c r="AC675" i="43" l="1"/>
  <c r="AC573" i="43"/>
  <c r="N178" i="47"/>
  <c r="M178" i="47"/>
  <c r="N177" i="47"/>
  <c r="M177" i="47"/>
  <c r="J175" i="47"/>
  <c r="I175" i="47"/>
  <c r="H175" i="47"/>
  <c r="J168" i="47"/>
  <c r="I168" i="47"/>
  <c r="H168" i="47"/>
  <c r="J162" i="47"/>
  <c r="I162" i="47"/>
  <c r="H162" i="47"/>
  <c r="AC676" i="43" l="1"/>
  <c r="AC574" i="43"/>
  <c r="H77" i="40"/>
  <c r="H78" i="40" s="1"/>
  <c r="H79" i="40" s="1"/>
  <c r="H80" i="40" s="1"/>
  <c r="I77" i="40"/>
  <c r="I78" i="40" s="1"/>
  <c r="I79" i="40" s="1"/>
  <c r="I80" i="40" s="1"/>
  <c r="J77" i="40"/>
  <c r="J78" i="40" s="1"/>
  <c r="J79" i="40" s="1"/>
  <c r="J80" i="40" s="1"/>
  <c r="AC677" i="43" l="1"/>
  <c r="AC575" i="43"/>
  <c r="AC678" i="43" l="1"/>
  <c r="J179" i="45"/>
  <c r="I179" i="45"/>
  <c r="H179" i="45"/>
  <c r="J233" i="44"/>
  <c r="I233" i="44"/>
  <c r="H233" i="44"/>
  <c r="J193" i="45"/>
  <c r="I193" i="45"/>
  <c r="H193" i="45"/>
  <c r="D172" i="45"/>
  <c r="J172" i="45"/>
  <c r="I172" i="45"/>
  <c r="H172" i="45"/>
  <c r="AC679" i="43" l="1"/>
  <c r="L249" i="44"/>
  <c r="L174" i="45" s="1"/>
  <c r="O249" i="44"/>
  <c r="O174" i="45" s="1"/>
  <c r="N249" i="44"/>
  <c r="N174" i="45" s="1"/>
  <c r="J242" i="44"/>
  <c r="I242" i="44"/>
  <c r="H242" i="44"/>
  <c r="AC680" i="43" l="1"/>
  <c r="U249" i="44"/>
  <c r="U174" i="45" s="1"/>
  <c r="U182" i="45" s="1"/>
  <c r="N183" i="45"/>
  <c r="N187" i="45"/>
  <c r="N182" i="45"/>
  <c r="N150" i="47" s="1"/>
  <c r="N181" i="45"/>
  <c r="N149" i="47" s="1"/>
  <c r="O187" i="45"/>
  <c r="O181" i="45"/>
  <c r="O149" i="47" s="1"/>
  <c r="O183" i="45"/>
  <c r="O182" i="45"/>
  <c r="L182" i="45"/>
  <c r="L183" i="45"/>
  <c r="L181" i="45"/>
  <c r="L187" i="45"/>
  <c r="M249" i="44"/>
  <c r="M174" i="45" s="1"/>
  <c r="S249" i="44"/>
  <c r="S174" i="45" s="1"/>
  <c r="T249" i="44"/>
  <c r="T174" i="45" s="1"/>
  <c r="P249" i="44"/>
  <c r="P174" i="45" s="1"/>
  <c r="Q249" i="44"/>
  <c r="Q174" i="45" s="1"/>
  <c r="R249" i="44"/>
  <c r="R174" i="45" s="1"/>
  <c r="AC681" i="43" l="1"/>
  <c r="U181" i="45"/>
  <c r="U149" i="47" s="1"/>
  <c r="L185" i="45"/>
  <c r="L188" i="45" s="1"/>
  <c r="U183" i="45"/>
  <c r="U151" i="47" s="1"/>
  <c r="U187" i="45"/>
  <c r="U150" i="47"/>
  <c r="O151" i="47"/>
  <c r="O197" i="45"/>
  <c r="O196" i="45" s="1"/>
  <c r="O195" i="45" s="1"/>
  <c r="O150" i="47"/>
  <c r="N151" i="47"/>
  <c r="O185" i="45"/>
  <c r="M182" i="45"/>
  <c r="M183" i="45"/>
  <c r="M197" i="45" s="1"/>
  <c r="M187" i="45"/>
  <c r="M181" i="45"/>
  <c r="S181" i="45"/>
  <c r="S149" i="47" s="1"/>
  <c r="S182" i="45"/>
  <c r="S150" i="47" s="1"/>
  <c r="S183" i="45"/>
  <c r="S187" i="45"/>
  <c r="R182" i="45"/>
  <c r="R150" i="47" s="1"/>
  <c r="R183" i="45"/>
  <c r="R181" i="45"/>
  <c r="R149" i="47" s="1"/>
  <c r="R187" i="45"/>
  <c r="N185" i="45"/>
  <c r="Q187" i="45"/>
  <c r="Q181" i="45"/>
  <c r="Q149" i="47" s="1"/>
  <c r="Q182" i="45"/>
  <c r="Q150" i="47" s="1"/>
  <c r="Q183" i="45"/>
  <c r="P187" i="45"/>
  <c r="P181" i="45"/>
  <c r="P149" i="47" s="1"/>
  <c r="P182" i="45"/>
  <c r="P150" i="47" s="1"/>
  <c r="P183" i="45"/>
  <c r="P197" i="45" s="1"/>
  <c r="T181" i="45"/>
  <c r="T149" i="47" s="1"/>
  <c r="T182" i="45"/>
  <c r="T150" i="47" s="1"/>
  <c r="T183" i="45"/>
  <c r="T187" i="45"/>
  <c r="P196" i="45" l="1"/>
  <c r="P195" i="45" s="1"/>
  <c r="AC682" i="43"/>
  <c r="U185" i="45"/>
  <c r="U188" i="45" s="1"/>
  <c r="N188" i="45"/>
  <c r="N155" i="47"/>
  <c r="O188" i="45"/>
  <c r="O155" i="47"/>
  <c r="T197" i="45"/>
  <c r="T196" i="45" s="1"/>
  <c r="T195" i="45" s="1"/>
  <c r="Q197" i="45"/>
  <c r="Q196" i="45" s="1"/>
  <c r="Q195" i="45" s="1"/>
  <c r="M149" i="47"/>
  <c r="M150" i="47"/>
  <c r="M196" i="45"/>
  <c r="M195" i="45" s="1"/>
  <c r="R151" i="47"/>
  <c r="R197" i="45"/>
  <c r="R196" i="45" s="1"/>
  <c r="R195" i="45" s="1"/>
  <c r="S151" i="47"/>
  <c r="S197" i="45"/>
  <c r="S196" i="45" s="1"/>
  <c r="S195" i="45" s="1"/>
  <c r="N197" i="45"/>
  <c r="N196" i="45" s="1"/>
  <c r="N195" i="45" s="1"/>
  <c r="U197" i="45"/>
  <c r="U196" i="45" s="1"/>
  <c r="U195" i="45" s="1"/>
  <c r="Q151" i="47"/>
  <c r="M151" i="47"/>
  <c r="T151" i="47"/>
  <c r="P151" i="47"/>
  <c r="R185" i="45"/>
  <c r="T185" i="45"/>
  <c r="P185" i="45"/>
  <c r="S185" i="45"/>
  <c r="M185" i="45"/>
  <c r="Q185" i="45"/>
  <c r="AC683" i="43" l="1"/>
  <c r="U155" i="47"/>
  <c r="M188" i="45"/>
  <c r="M155" i="47"/>
  <c r="R188" i="45"/>
  <c r="R155" i="47"/>
  <c r="T188" i="45"/>
  <c r="T155" i="47"/>
  <c r="Q188" i="45"/>
  <c r="Q155" i="47"/>
  <c r="S188" i="45"/>
  <c r="S155" i="47"/>
  <c r="P188" i="45"/>
  <c r="P155" i="47"/>
  <c r="J147" i="47"/>
  <c r="I147" i="47"/>
  <c r="H147" i="47"/>
  <c r="J134" i="47"/>
  <c r="I134" i="47"/>
  <c r="H134" i="47"/>
  <c r="J100" i="47"/>
  <c r="I100" i="47"/>
  <c r="H100" i="47"/>
  <c r="AC684" i="43" l="1"/>
  <c r="D891" i="43"/>
  <c r="D890" i="43"/>
  <c r="D889" i="43"/>
  <c r="D888" i="43"/>
  <c r="D887" i="43"/>
  <c r="D886" i="43"/>
  <c r="D885" i="43"/>
  <c r="D884" i="43"/>
  <c r="D883" i="43"/>
  <c r="D882" i="43"/>
  <c r="D881" i="43"/>
  <c r="D880" i="43"/>
  <c r="D879" i="43"/>
  <c r="D830" i="43"/>
  <c r="D672" i="43"/>
  <c r="M180" i="43"/>
  <c r="M181" i="43"/>
  <c r="M182" i="43"/>
  <c r="M183" i="43"/>
  <c r="M184" i="43"/>
  <c r="M185" i="43"/>
  <c r="M186" i="43"/>
  <c r="H180" i="43"/>
  <c r="H181" i="43"/>
  <c r="H182" i="43"/>
  <c r="H183" i="43"/>
  <c r="G184" i="43"/>
  <c r="H184" i="43"/>
  <c r="G185" i="43"/>
  <c r="G186" i="43"/>
  <c r="H186" i="43"/>
  <c r="AC685" i="43" l="1"/>
  <c r="N165" i="47"/>
  <c r="M165" i="47"/>
  <c r="N164" i="47"/>
  <c r="M164" i="47"/>
  <c r="G181" i="43"/>
  <c r="G180" i="43"/>
  <c r="O336" i="43"/>
  <c r="O338" i="43"/>
  <c r="M337" i="43"/>
  <c r="O335" i="43"/>
  <c r="I342" i="43"/>
  <c r="H185" i="43"/>
  <c r="G183" i="43"/>
  <c r="G182" i="43"/>
  <c r="J343" i="43"/>
  <c r="J345" i="43"/>
  <c r="N334" i="43"/>
  <c r="J340" i="43"/>
  <c r="O339" i="43"/>
  <c r="N336" i="43"/>
  <c r="J342" i="43"/>
  <c r="J341" i="43"/>
  <c r="M335" i="43"/>
  <c r="I344" i="43"/>
  <c r="I340" i="43"/>
  <c r="O337" i="43"/>
  <c r="J344" i="43"/>
  <c r="M339" i="43"/>
  <c r="O334" i="43"/>
  <c r="N337" i="43"/>
  <c r="N335" i="43"/>
  <c r="M338" i="43"/>
  <c r="I343" i="43"/>
  <c r="N338" i="43"/>
  <c r="M336" i="43"/>
  <c r="M334" i="43"/>
  <c r="N339" i="43"/>
  <c r="I341" i="43"/>
  <c r="I345" i="43"/>
  <c r="A1" i="41"/>
  <c r="D18" i="37"/>
  <c r="D21" i="38"/>
  <c r="AC686" i="43" l="1"/>
  <c r="J27" i="43"/>
  <c r="I27" i="43"/>
  <c r="D18" i="47"/>
  <c r="D19" i="47"/>
  <c r="N18" i="47"/>
  <c r="N32" i="33"/>
  <c r="N35" i="33" s="1"/>
  <c r="M32" i="33"/>
  <c r="J98" i="48"/>
  <c r="I98" i="48"/>
  <c r="H98" i="48"/>
  <c r="N73" i="47"/>
  <c r="M73" i="47"/>
  <c r="N72" i="47"/>
  <c r="M72" i="47"/>
  <c r="N71" i="47"/>
  <c r="M71" i="47"/>
  <c r="N70" i="47"/>
  <c r="M70" i="47"/>
  <c r="Q88" i="48"/>
  <c r="Q90" i="48" s="1"/>
  <c r="Q93" i="48" s="1"/>
  <c r="P88" i="48"/>
  <c r="T87" i="48"/>
  <c r="T88" i="48" s="1"/>
  <c r="T90" i="48" s="1"/>
  <c r="T93" i="48" s="1"/>
  <c r="S87" i="48"/>
  <c r="S88" i="48" s="1"/>
  <c r="S90" i="48" s="1"/>
  <c r="S93" i="48" s="1"/>
  <c r="J85" i="48"/>
  <c r="I85" i="48"/>
  <c r="H85" i="48"/>
  <c r="J71" i="48"/>
  <c r="J64" i="48"/>
  <c r="I64" i="48"/>
  <c r="H64" i="48"/>
  <c r="F64" i="48"/>
  <c r="E64" i="48"/>
  <c r="D64" i="48"/>
  <c r="M89" i="47"/>
  <c r="N86" i="47"/>
  <c r="M86" i="47"/>
  <c r="J54" i="48"/>
  <c r="J44" i="48"/>
  <c r="I44" i="48"/>
  <c r="H44" i="48"/>
  <c r="F44" i="48"/>
  <c r="E44" i="48"/>
  <c r="D44" i="48"/>
  <c r="J35" i="48"/>
  <c r="AC687" i="43" l="1"/>
  <c r="M69" i="47"/>
  <c r="N69" i="47"/>
  <c r="N19" i="47"/>
  <c r="N37" i="47" s="1"/>
  <c r="M35" i="33"/>
  <c r="M87" i="47"/>
  <c r="N87" i="47"/>
  <c r="T48" i="48"/>
  <c r="M85" i="47"/>
  <c r="N85" i="47"/>
  <c r="T68" i="48"/>
  <c r="M74" i="47"/>
  <c r="N74" i="47"/>
  <c r="N89" i="47"/>
  <c r="M88" i="48"/>
  <c r="M90" i="48" s="1"/>
  <c r="M93" i="48" s="1"/>
  <c r="N88" i="48"/>
  <c r="N90" i="48" s="1"/>
  <c r="N93" i="48" s="1"/>
  <c r="P90" i="48"/>
  <c r="P93" i="48" s="1"/>
  <c r="S69" i="48"/>
  <c r="S48" i="48"/>
  <c r="T69" i="48"/>
  <c r="S68" i="48"/>
  <c r="S50" i="48"/>
  <c r="T50" i="48"/>
  <c r="S67" i="48"/>
  <c r="T67" i="48"/>
  <c r="S51" i="48"/>
  <c r="S52" i="48"/>
  <c r="T51" i="48"/>
  <c r="S49" i="48"/>
  <c r="T52" i="48"/>
  <c r="T49" i="48"/>
  <c r="S47" i="48"/>
  <c r="T47" i="48"/>
  <c r="Q54" i="48"/>
  <c r="P54" i="48"/>
  <c r="AC688" i="43" l="1"/>
  <c r="M19" i="47"/>
  <c r="M32" i="47" s="1"/>
  <c r="M88" i="47"/>
  <c r="M78" i="47"/>
  <c r="N78" i="47"/>
  <c r="N88" i="47"/>
  <c r="N56" i="47"/>
  <c r="N31" i="47"/>
  <c r="N30" i="47"/>
  <c r="M37" i="47"/>
  <c r="N33" i="47"/>
  <c r="N38" i="47"/>
  <c r="N40" i="47"/>
  <c r="N35" i="47"/>
  <c r="M40" i="47"/>
  <c r="N39" i="47"/>
  <c r="N32" i="47"/>
  <c r="M76" i="47"/>
  <c r="N76" i="47"/>
  <c r="A93" i="48"/>
  <c r="AC689" i="43" l="1"/>
  <c r="M38" i="47"/>
  <c r="M33" i="47"/>
  <c r="M35" i="47"/>
  <c r="M31" i="47"/>
  <c r="M56" i="47"/>
  <c r="M39" i="47"/>
  <c r="M30" i="47"/>
  <c r="M79" i="47"/>
  <c r="N79" i="47"/>
  <c r="F25" i="48"/>
  <c r="E25" i="48"/>
  <c r="D25" i="48"/>
  <c r="J25" i="48"/>
  <c r="I25" i="48"/>
  <c r="H25" i="48"/>
  <c r="D19" i="25"/>
  <c r="D13" i="28"/>
  <c r="J9" i="48"/>
  <c r="I9" i="48"/>
  <c r="H9" i="48"/>
  <c r="B9" i="48"/>
  <c r="B4" i="48"/>
  <c r="B3" i="48"/>
  <c r="D30" i="25"/>
  <c r="D30" i="28"/>
  <c r="M91" i="47"/>
  <c r="N91" i="47"/>
  <c r="M93" i="47"/>
  <c r="N93" i="47"/>
  <c r="J83" i="47"/>
  <c r="I83" i="47"/>
  <c r="H83" i="47"/>
  <c r="C21" i="32"/>
  <c r="C22" i="32"/>
  <c r="C23" i="32"/>
  <c r="C24" i="32"/>
  <c r="C25" i="32"/>
  <c r="C26" i="32"/>
  <c r="C27" i="32"/>
  <c r="S73" i="47"/>
  <c r="R73" i="47"/>
  <c r="Q73" i="47"/>
  <c r="P73" i="47"/>
  <c r="O73" i="47"/>
  <c r="E59" i="4"/>
  <c r="W75" i="34"/>
  <c r="W74" i="34"/>
  <c r="W73" i="34"/>
  <c r="W72" i="34"/>
  <c r="W62" i="34"/>
  <c r="W61" i="34"/>
  <c r="W60" i="34"/>
  <c r="W59" i="34"/>
  <c r="W58" i="34"/>
  <c r="W57" i="34"/>
  <c r="W56" i="34"/>
  <c r="W55" i="34"/>
  <c r="W54" i="34"/>
  <c r="W53" i="34"/>
  <c r="W52" i="34"/>
  <c r="W51" i="34"/>
  <c r="W50" i="34"/>
  <c r="W49" i="34"/>
  <c r="W39" i="34"/>
  <c r="W38" i="34"/>
  <c r="W37" i="34"/>
  <c r="W36" i="34"/>
  <c r="W35" i="34"/>
  <c r="W34" i="34"/>
  <c r="W33" i="34"/>
  <c r="W32" i="34"/>
  <c r="J58" i="47"/>
  <c r="I58" i="47"/>
  <c r="J49" i="47"/>
  <c r="I49" i="47"/>
  <c r="H49" i="47"/>
  <c r="U75" i="34"/>
  <c r="U74" i="34"/>
  <c r="U73" i="34"/>
  <c r="U72" i="34"/>
  <c r="U62" i="34"/>
  <c r="U61" i="34"/>
  <c r="U60" i="34"/>
  <c r="U59" i="34"/>
  <c r="U58" i="34"/>
  <c r="U57" i="34"/>
  <c r="U56" i="34"/>
  <c r="U55" i="34"/>
  <c r="U54" i="34"/>
  <c r="U53" i="34"/>
  <c r="U52" i="34"/>
  <c r="U51" i="34"/>
  <c r="U50" i="34"/>
  <c r="U49" i="34"/>
  <c r="U39" i="34"/>
  <c r="U38" i="34"/>
  <c r="U37" i="34"/>
  <c r="U36" i="34"/>
  <c r="U35" i="34"/>
  <c r="U34" i="34"/>
  <c r="U33" i="34"/>
  <c r="U32" i="34"/>
  <c r="J16" i="47"/>
  <c r="I16" i="47"/>
  <c r="H16" i="47"/>
  <c r="J67" i="47"/>
  <c r="I67" i="47"/>
  <c r="H67" i="47"/>
  <c r="J42" i="47"/>
  <c r="I42" i="47"/>
  <c r="J26" i="47"/>
  <c r="I26" i="47"/>
  <c r="H26" i="47"/>
  <c r="J9" i="47"/>
  <c r="I9" i="47"/>
  <c r="H9" i="47"/>
  <c r="B9" i="47"/>
  <c r="B4" i="47"/>
  <c r="B3" i="47"/>
  <c r="AC690" i="43" l="1"/>
  <c r="N94" i="47"/>
  <c r="M94" i="47"/>
  <c r="AC691" i="43" l="1"/>
  <c r="P71" i="48"/>
  <c r="S66" i="48"/>
  <c r="M36" i="47" s="1"/>
  <c r="S73" i="48"/>
  <c r="T66" i="48"/>
  <c r="N36" i="47" s="1"/>
  <c r="Q71" i="48"/>
  <c r="T73" i="48"/>
  <c r="T46" i="48"/>
  <c r="N29" i="47" s="1"/>
  <c r="T56" i="48"/>
  <c r="S56" i="48"/>
  <c r="S46" i="48"/>
  <c r="M29" i="47" s="1"/>
  <c r="AC692" i="43" l="1"/>
  <c r="T54" i="48"/>
  <c r="T57" i="48" s="1"/>
  <c r="T71" i="48"/>
  <c r="T74" i="48" s="1"/>
  <c r="S54" i="48"/>
  <c r="S71" i="48"/>
  <c r="S74" i="48" s="1"/>
  <c r="AC693" i="43" l="1"/>
  <c r="S57" i="48"/>
  <c r="A57" i="48" s="1"/>
  <c r="A74" i="48"/>
  <c r="AC694" i="43" l="1"/>
  <c r="E49" i="4"/>
  <c r="C41" i="35"/>
  <c r="C61" i="35" s="1"/>
  <c r="C40" i="35"/>
  <c r="C78" i="35" s="1"/>
  <c r="C39" i="35"/>
  <c r="C77" i="35" s="1"/>
  <c r="C38" i="35"/>
  <c r="C58" i="35" s="1"/>
  <c r="C37" i="35"/>
  <c r="C57" i="35" s="1"/>
  <c r="C36" i="35"/>
  <c r="C74" i="35" s="1"/>
  <c r="C35" i="35"/>
  <c r="C91" i="35" s="1"/>
  <c r="C34" i="35"/>
  <c r="C72" i="35" s="1"/>
  <c r="D75" i="35"/>
  <c r="C68" i="39"/>
  <c r="C126" i="39" s="1"/>
  <c r="C67" i="39"/>
  <c r="C125" i="39" s="1"/>
  <c r="C66" i="39"/>
  <c r="C124" i="39" s="1"/>
  <c r="C65" i="39"/>
  <c r="C123" i="39" s="1"/>
  <c r="C64" i="39"/>
  <c r="C122" i="39" s="1"/>
  <c r="C63" i="39"/>
  <c r="C121" i="39" s="1"/>
  <c r="C62" i="39"/>
  <c r="C120" i="39" s="1"/>
  <c r="C61" i="39"/>
  <c r="C119" i="39" s="1"/>
  <c r="C60" i="39"/>
  <c r="C118" i="39" s="1"/>
  <c r="C59" i="39"/>
  <c r="C117" i="39" s="1"/>
  <c r="C58" i="39"/>
  <c r="C116" i="39" s="1"/>
  <c r="C57" i="39"/>
  <c r="C115" i="39" s="1"/>
  <c r="C56" i="39"/>
  <c r="C114" i="39" s="1"/>
  <c r="C55" i="39"/>
  <c r="C113" i="39" s="1"/>
  <c r="C54" i="39"/>
  <c r="C112" i="39" s="1"/>
  <c r="C53" i="39"/>
  <c r="C111" i="39" s="1"/>
  <c r="C52" i="39"/>
  <c r="C110" i="39" s="1"/>
  <c r="C51" i="39"/>
  <c r="C109" i="39" s="1"/>
  <c r="C50" i="39"/>
  <c r="C108" i="39" s="1"/>
  <c r="C49" i="39"/>
  <c r="C107" i="39" s="1"/>
  <c r="C48" i="39"/>
  <c r="C106" i="39" s="1"/>
  <c r="C47" i="39"/>
  <c r="C105" i="39" s="1"/>
  <c r="C46" i="39"/>
  <c r="C104" i="39" s="1"/>
  <c r="C45" i="39"/>
  <c r="C103" i="39" s="1"/>
  <c r="C44" i="39"/>
  <c r="C102" i="39" s="1"/>
  <c r="C75" i="34"/>
  <c r="C74" i="34"/>
  <c r="C73" i="34"/>
  <c r="C72" i="34"/>
  <c r="C62" i="34"/>
  <c r="C61" i="34"/>
  <c r="C60" i="34"/>
  <c r="C59" i="34"/>
  <c r="C58" i="34"/>
  <c r="C57" i="34"/>
  <c r="C56" i="34"/>
  <c r="C55" i="34"/>
  <c r="C54" i="34"/>
  <c r="C53" i="34"/>
  <c r="C52" i="34"/>
  <c r="C51" i="34"/>
  <c r="C50" i="34"/>
  <c r="C49" i="34"/>
  <c r="C39" i="34"/>
  <c r="C38" i="34"/>
  <c r="C37" i="34"/>
  <c r="C36" i="34"/>
  <c r="C35" i="34"/>
  <c r="C34" i="34"/>
  <c r="C33" i="34"/>
  <c r="C32" i="34"/>
  <c r="C56" i="32"/>
  <c r="C57" i="32"/>
  <c r="C55" i="32"/>
  <c r="C54" i="32"/>
  <c r="C36" i="32"/>
  <c r="C37" i="32"/>
  <c r="C38" i="32"/>
  <c r="C39" i="32"/>
  <c r="C40" i="32"/>
  <c r="C41" i="32"/>
  <c r="C42" i="32"/>
  <c r="C43" i="32"/>
  <c r="C44" i="32"/>
  <c r="C45" i="32"/>
  <c r="C46" i="32"/>
  <c r="C47" i="32"/>
  <c r="C35" i="32"/>
  <c r="C34" i="32"/>
  <c r="C20" i="32"/>
  <c r="C55" i="35" l="1"/>
  <c r="C73" i="35"/>
  <c r="AC695" i="43"/>
  <c r="C79" i="35"/>
  <c r="C95" i="35"/>
  <c r="C92" i="35"/>
  <c r="C75" i="35"/>
  <c r="C93" i="35"/>
  <c r="C76" i="35"/>
  <c r="C94" i="35"/>
  <c r="C96" i="35"/>
  <c r="C97" i="35"/>
  <c r="C90" i="35"/>
  <c r="D57" i="35"/>
  <c r="D93" i="35"/>
  <c r="C56" i="35"/>
  <c r="C59" i="35"/>
  <c r="C60" i="35"/>
  <c r="C54" i="35"/>
  <c r="I146" i="45"/>
  <c r="J140" i="45"/>
  <c r="I140" i="45"/>
  <c r="H140" i="45"/>
  <c r="I158" i="45"/>
  <c r="J152" i="45"/>
  <c r="I152" i="45"/>
  <c r="H152" i="45"/>
  <c r="I107" i="45"/>
  <c r="J101" i="45"/>
  <c r="I101" i="45"/>
  <c r="H101" i="45"/>
  <c r="H89" i="33"/>
  <c r="H84" i="33"/>
  <c r="H85" i="33"/>
  <c r="H76" i="33"/>
  <c r="H75" i="33"/>
  <c r="H74" i="33"/>
  <c r="H73" i="33"/>
  <c r="AC696" i="43" l="1"/>
  <c r="P71" i="47"/>
  <c r="P49" i="34"/>
  <c r="P78" i="47"/>
  <c r="P93" i="47" s="1"/>
  <c r="P85" i="47"/>
  <c r="P69" i="47"/>
  <c r="S50" i="34"/>
  <c r="S86" i="47"/>
  <c r="Q71" i="47"/>
  <c r="O87" i="47"/>
  <c r="Q60" i="34"/>
  <c r="Q74" i="47"/>
  <c r="Q89" i="47"/>
  <c r="O88" i="47"/>
  <c r="Q49" i="34"/>
  <c r="Q69" i="47"/>
  <c r="Q85" i="47"/>
  <c r="Q78" i="47"/>
  <c r="Q93" i="47" s="1"/>
  <c r="O70" i="47"/>
  <c r="R71" i="47"/>
  <c r="P87" i="47"/>
  <c r="R60" i="34"/>
  <c r="R74" i="47"/>
  <c r="R89" i="47"/>
  <c r="P88" i="47"/>
  <c r="R49" i="34"/>
  <c r="R85" i="47"/>
  <c r="R69" i="47"/>
  <c r="R78" i="47"/>
  <c r="R93" i="47" s="1"/>
  <c r="P70" i="47"/>
  <c r="S71" i="47"/>
  <c r="Q87" i="47"/>
  <c r="S60" i="34"/>
  <c r="S89" i="47"/>
  <c r="S74" i="47"/>
  <c r="Q88" i="47"/>
  <c r="S49" i="34"/>
  <c r="S69" i="47"/>
  <c r="S85" i="47"/>
  <c r="S78" i="47"/>
  <c r="S93" i="47" s="1"/>
  <c r="Q70" i="47"/>
  <c r="O72" i="47"/>
  <c r="R87" i="47"/>
  <c r="R88" i="47"/>
  <c r="R50" i="34"/>
  <c r="R86" i="47"/>
  <c r="O50" i="34"/>
  <c r="O86" i="47"/>
  <c r="R70" i="47"/>
  <c r="P72" i="47"/>
  <c r="S87" i="47"/>
  <c r="S88" i="47"/>
  <c r="S72" i="47"/>
  <c r="P60" i="34"/>
  <c r="P74" i="47"/>
  <c r="P89" i="47"/>
  <c r="P50" i="34"/>
  <c r="P86" i="47"/>
  <c r="S70" i="47"/>
  <c r="Q72" i="47"/>
  <c r="O49" i="34"/>
  <c r="O78" i="47"/>
  <c r="O93" i="47" s="1"/>
  <c r="O85" i="47"/>
  <c r="O69" i="47"/>
  <c r="Q50" i="34"/>
  <c r="Q86" i="47"/>
  <c r="O71" i="47"/>
  <c r="R72" i="47"/>
  <c r="O60" i="34"/>
  <c r="O74" i="47"/>
  <c r="O89" i="47"/>
  <c r="D91" i="35"/>
  <c r="D55" i="35"/>
  <c r="D73" i="35"/>
  <c r="D92" i="35"/>
  <c r="D74" i="35"/>
  <c r="D56" i="35"/>
  <c r="D58" i="35"/>
  <c r="D76" i="35"/>
  <c r="D94" i="35"/>
  <c r="D59" i="35"/>
  <c r="D77" i="35"/>
  <c r="D95" i="35"/>
  <c r="D78" i="35"/>
  <c r="D96" i="35"/>
  <c r="D60" i="35"/>
  <c r="D61" i="35"/>
  <c r="D79" i="35"/>
  <c r="D97" i="35"/>
  <c r="D54" i="35"/>
  <c r="D72" i="35"/>
  <c r="D90" i="35"/>
  <c r="D23" i="25"/>
  <c r="D18" i="25"/>
  <c r="D20" i="28"/>
  <c r="D12" i="28"/>
  <c r="V25" i="45"/>
  <c r="V28" i="45"/>
  <c r="R21" i="45"/>
  <c r="R22" i="45"/>
  <c r="R23" i="45"/>
  <c r="I68" i="45"/>
  <c r="J62" i="45"/>
  <c r="I62" i="45"/>
  <c r="H62" i="45"/>
  <c r="I44" i="45"/>
  <c r="J38" i="45"/>
  <c r="I38" i="45"/>
  <c r="H38" i="45"/>
  <c r="J19" i="45"/>
  <c r="I19" i="45"/>
  <c r="H19" i="45"/>
  <c r="E47" i="4"/>
  <c r="J23" i="44"/>
  <c r="I23" i="44"/>
  <c r="H23" i="44"/>
  <c r="I56" i="45"/>
  <c r="J50" i="45"/>
  <c r="I50" i="45"/>
  <c r="H50" i="45"/>
  <c r="J38" i="44"/>
  <c r="I38" i="44"/>
  <c r="H38" i="44"/>
  <c r="AC697" i="43" l="1"/>
  <c r="P153" i="47"/>
  <c r="P156" i="47" s="1"/>
  <c r="N153" i="47"/>
  <c r="N156" i="47" s="1"/>
  <c r="M153" i="47"/>
  <c r="M156" i="47" s="1"/>
  <c r="S153" i="47"/>
  <c r="S156" i="47" s="1"/>
  <c r="Q153" i="47"/>
  <c r="Q156" i="47" s="1"/>
  <c r="T153" i="47"/>
  <c r="T156" i="47" s="1"/>
  <c r="R153" i="47"/>
  <c r="R156" i="47" s="1"/>
  <c r="O153" i="47"/>
  <c r="O156" i="47" s="1"/>
  <c r="U153" i="47"/>
  <c r="U156" i="47" s="1"/>
  <c r="R91" i="47"/>
  <c r="R94" i="47" s="1"/>
  <c r="O91" i="47"/>
  <c r="O94" i="47" s="1"/>
  <c r="P91" i="47"/>
  <c r="P94" i="47" s="1"/>
  <c r="Q91" i="47"/>
  <c r="Q94" i="47" s="1"/>
  <c r="S91" i="47"/>
  <c r="S94" i="47" s="1"/>
  <c r="I134" i="45"/>
  <c r="J128" i="45"/>
  <c r="I128" i="45"/>
  <c r="H128" i="45"/>
  <c r="I122" i="45"/>
  <c r="J115" i="45"/>
  <c r="I115" i="45"/>
  <c r="H115" i="45"/>
  <c r="AC698" i="43" l="1"/>
  <c r="A94" i="47"/>
  <c r="P120" i="45"/>
  <c r="N119" i="45"/>
  <c r="P118" i="45"/>
  <c r="Q117" i="45"/>
  <c r="R117" i="45"/>
  <c r="Q120" i="45"/>
  <c r="S117" i="45"/>
  <c r="R120" i="45"/>
  <c r="R118" i="45"/>
  <c r="S118" i="45"/>
  <c r="S120" i="45"/>
  <c r="Q223" i="44"/>
  <c r="Q124" i="45" s="1"/>
  <c r="Q118" i="45"/>
  <c r="P117" i="45"/>
  <c r="R119" i="45"/>
  <c r="M117" i="45"/>
  <c r="M118" i="45"/>
  <c r="M120" i="45"/>
  <c r="N118" i="45"/>
  <c r="O117" i="45"/>
  <c r="N120" i="45"/>
  <c r="N117" i="45"/>
  <c r="M119" i="45"/>
  <c r="O118" i="45"/>
  <c r="O120" i="45"/>
  <c r="Q119" i="45"/>
  <c r="S223" i="44"/>
  <c r="S124" i="45" s="1"/>
  <c r="S119" i="45"/>
  <c r="O223" i="44"/>
  <c r="O124" i="45" s="1"/>
  <c r="M223" i="44"/>
  <c r="M124" i="45" s="1"/>
  <c r="O119" i="45"/>
  <c r="R223" i="44"/>
  <c r="R124" i="45" s="1"/>
  <c r="N223" i="44"/>
  <c r="N124" i="45" s="1"/>
  <c r="P223" i="44"/>
  <c r="P124" i="45" s="1"/>
  <c r="P119" i="45"/>
  <c r="J78" i="44"/>
  <c r="I78" i="44"/>
  <c r="H78" i="44"/>
  <c r="J63" i="44"/>
  <c r="I63" i="44"/>
  <c r="H63" i="44"/>
  <c r="J16" i="37"/>
  <c r="I16" i="37"/>
  <c r="H16" i="37"/>
  <c r="I95" i="45"/>
  <c r="J89" i="45"/>
  <c r="I89" i="45"/>
  <c r="H89" i="45"/>
  <c r="I83" i="45"/>
  <c r="J76" i="45"/>
  <c r="I76" i="45"/>
  <c r="H76" i="45"/>
  <c r="J9" i="45"/>
  <c r="I9" i="45"/>
  <c r="H9" i="45"/>
  <c r="B9" i="45"/>
  <c r="B8" i="45"/>
  <c r="B4" i="45"/>
  <c r="B3" i="45"/>
  <c r="AC699" i="43" l="1"/>
  <c r="S122" i="45"/>
  <c r="S136" i="45" s="1"/>
  <c r="M122" i="45"/>
  <c r="M136" i="45" s="1"/>
  <c r="N122" i="45"/>
  <c r="N136" i="45" s="1"/>
  <c r="R122" i="45"/>
  <c r="R136" i="45" s="1"/>
  <c r="Q122" i="45"/>
  <c r="Q136" i="45" s="1"/>
  <c r="P122" i="45"/>
  <c r="P136" i="45" s="1"/>
  <c r="O122" i="45"/>
  <c r="O136" i="45" s="1"/>
  <c r="O73" i="44"/>
  <c r="S73" i="44"/>
  <c r="M73" i="44"/>
  <c r="N73" i="44"/>
  <c r="P73" i="44"/>
  <c r="Q73" i="44"/>
  <c r="R73" i="44"/>
  <c r="D29" i="25"/>
  <c r="H28" i="25"/>
  <c r="D28" i="25"/>
  <c r="D27" i="25"/>
  <c r="D26" i="25"/>
  <c r="D25" i="25"/>
  <c r="D24" i="25"/>
  <c r="D22" i="25"/>
  <c r="D21" i="25"/>
  <c r="D20" i="25"/>
  <c r="D17" i="25"/>
  <c r="D16" i="25"/>
  <c r="B4" i="25"/>
  <c r="B3" i="25"/>
  <c r="D73" i="4"/>
  <c r="D65" i="4"/>
  <c r="E63" i="4"/>
  <c r="E62" i="4"/>
  <c r="E61" i="4"/>
  <c r="E60" i="4"/>
  <c r="E58" i="4"/>
  <c r="E57" i="4"/>
  <c r="E56" i="4"/>
  <c r="E55" i="4"/>
  <c r="E54" i="4"/>
  <c r="E53" i="4"/>
  <c r="E52" i="4"/>
  <c r="E51" i="4"/>
  <c r="E50" i="4"/>
  <c r="E48" i="4"/>
  <c r="J16" i="4"/>
  <c r="K16" i="4" s="1"/>
  <c r="L16" i="4" s="1"/>
  <c r="M16" i="4" s="1"/>
  <c r="B4" i="4"/>
  <c r="B3" i="4"/>
  <c r="A1" i="4"/>
  <c r="C39" i="41"/>
  <c r="S20" i="41"/>
  <c r="S41" i="41" s="1"/>
  <c r="R41" i="41" s="1"/>
  <c r="C15" i="41"/>
  <c r="B4" i="41"/>
  <c r="B3" i="41"/>
  <c r="A1" i="43"/>
  <c r="H29" i="25" s="1"/>
  <c r="J189" i="40"/>
  <c r="I189" i="40"/>
  <c r="H189" i="40"/>
  <c r="J178" i="40"/>
  <c r="I178" i="40"/>
  <c r="H178" i="40"/>
  <c r="J167" i="40"/>
  <c r="I167" i="40"/>
  <c r="H167" i="40"/>
  <c r="S141" i="40"/>
  <c r="R141" i="40"/>
  <c r="Q141" i="40"/>
  <c r="P141" i="40"/>
  <c r="J136" i="40"/>
  <c r="I136" i="40"/>
  <c r="H136" i="40"/>
  <c r="J116" i="40"/>
  <c r="I116" i="40"/>
  <c r="H116" i="40"/>
  <c r="J99" i="40"/>
  <c r="I99" i="40"/>
  <c r="H99" i="40"/>
  <c r="M94" i="40"/>
  <c r="J92" i="40"/>
  <c r="I92" i="40"/>
  <c r="H92" i="40"/>
  <c r="J86" i="40"/>
  <c r="I86" i="40"/>
  <c r="H86" i="40"/>
  <c r="S84" i="40"/>
  <c r="R84" i="40"/>
  <c r="Q84" i="40"/>
  <c r="P84" i="40"/>
  <c r="O84" i="40"/>
  <c r="N84" i="40"/>
  <c r="M84" i="40"/>
  <c r="J82" i="40"/>
  <c r="I82" i="40"/>
  <c r="S80" i="40"/>
  <c r="R80" i="40"/>
  <c r="Q80" i="40"/>
  <c r="P80" i="40"/>
  <c r="O80" i="40"/>
  <c r="N80" i="40"/>
  <c r="M80" i="40"/>
  <c r="S78" i="40"/>
  <c r="R78" i="40"/>
  <c r="Q78" i="40"/>
  <c r="P78" i="40"/>
  <c r="O78" i="40"/>
  <c r="N78" i="40"/>
  <c r="M78" i="40"/>
  <c r="N77" i="40"/>
  <c r="M77" i="40"/>
  <c r="N75" i="40"/>
  <c r="M75" i="40"/>
  <c r="J73" i="40"/>
  <c r="I73" i="40"/>
  <c r="H73" i="40"/>
  <c r="J51" i="40"/>
  <c r="I51" i="40"/>
  <c r="S49" i="40"/>
  <c r="R49" i="40"/>
  <c r="Q49" i="40"/>
  <c r="P49" i="40"/>
  <c r="O49" i="40"/>
  <c r="S47" i="40"/>
  <c r="R47" i="40"/>
  <c r="Q47" i="40"/>
  <c r="P47" i="40"/>
  <c r="O47" i="40"/>
  <c r="J44" i="40"/>
  <c r="I44" i="40"/>
  <c r="H44" i="40"/>
  <c r="J33" i="40"/>
  <c r="I33" i="40"/>
  <c r="H33" i="40"/>
  <c r="I19" i="40"/>
  <c r="J9" i="40"/>
  <c r="I9" i="40"/>
  <c r="H9" i="40"/>
  <c r="B9" i="40"/>
  <c r="B4" i="40"/>
  <c r="B3" i="40"/>
  <c r="D102" i="35"/>
  <c r="J101" i="35"/>
  <c r="I101" i="35"/>
  <c r="H101" i="35"/>
  <c r="D101" i="35"/>
  <c r="J99" i="35"/>
  <c r="I99" i="35"/>
  <c r="J97" i="35"/>
  <c r="I97" i="35"/>
  <c r="H97" i="35"/>
  <c r="F97" i="35"/>
  <c r="J96" i="35"/>
  <c r="I96" i="35"/>
  <c r="H96" i="35"/>
  <c r="F96" i="35"/>
  <c r="J95" i="35"/>
  <c r="I95" i="35"/>
  <c r="H95" i="35"/>
  <c r="F95" i="35"/>
  <c r="J94" i="35"/>
  <c r="I94" i="35"/>
  <c r="H94" i="35"/>
  <c r="F94" i="35"/>
  <c r="J93" i="35"/>
  <c r="I93" i="35"/>
  <c r="H93" i="35"/>
  <c r="F93" i="35"/>
  <c r="J92" i="35"/>
  <c r="I92" i="35"/>
  <c r="H92" i="35"/>
  <c r="F92" i="35"/>
  <c r="J91" i="35"/>
  <c r="I91" i="35"/>
  <c r="H91" i="35"/>
  <c r="F91" i="35"/>
  <c r="J90" i="35"/>
  <c r="I90" i="35"/>
  <c r="H90" i="35"/>
  <c r="F90" i="35"/>
  <c r="J88" i="35"/>
  <c r="I88" i="35"/>
  <c r="H88" i="35"/>
  <c r="F88" i="35"/>
  <c r="D88" i="35"/>
  <c r="C86" i="35"/>
  <c r="D99" i="35" s="1"/>
  <c r="D84" i="35"/>
  <c r="D46" i="35" s="1"/>
  <c r="J83" i="35"/>
  <c r="J45" i="35" s="1"/>
  <c r="I83" i="35"/>
  <c r="I45" i="35" s="1"/>
  <c r="H83" i="35"/>
  <c r="H45" i="35" s="1"/>
  <c r="D83" i="35"/>
  <c r="D45" i="35" s="1"/>
  <c r="J81" i="35"/>
  <c r="I81" i="35"/>
  <c r="J79" i="35"/>
  <c r="J41" i="35" s="1"/>
  <c r="I79" i="35"/>
  <c r="I41" i="35" s="1"/>
  <c r="H79" i="35"/>
  <c r="H41" i="35" s="1"/>
  <c r="F79" i="35"/>
  <c r="F41" i="35" s="1"/>
  <c r="J78" i="35"/>
  <c r="J40" i="35" s="1"/>
  <c r="I78" i="35"/>
  <c r="I40" i="35" s="1"/>
  <c r="H78" i="35"/>
  <c r="H40" i="35" s="1"/>
  <c r="F78" i="35"/>
  <c r="F40" i="35" s="1"/>
  <c r="J77" i="35"/>
  <c r="J39" i="35" s="1"/>
  <c r="I77" i="35"/>
  <c r="I39" i="35" s="1"/>
  <c r="H77" i="35"/>
  <c r="H39" i="35" s="1"/>
  <c r="F77" i="35"/>
  <c r="F39" i="35" s="1"/>
  <c r="J76" i="35"/>
  <c r="J38" i="35" s="1"/>
  <c r="I76" i="35"/>
  <c r="I38" i="35" s="1"/>
  <c r="H76" i="35"/>
  <c r="H38" i="35" s="1"/>
  <c r="F76" i="35"/>
  <c r="F38" i="35" s="1"/>
  <c r="J75" i="35"/>
  <c r="J37" i="35" s="1"/>
  <c r="I75" i="35"/>
  <c r="I37" i="35" s="1"/>
  <c r="H75" i="35"/>
  <c r="F75" i="35"/>
  <c r="F37" i="35" s="1"/>
  <c r="J74" i="35"/>
  <c r="J36" i="35" s="1"/>
  <c r="I74" i="35"/>
  <c r="I36" i="35" s="1"/>
  <c r="H74" i="35"/>
  <c r="H36" i="35" s="1"/>
  <c r="F74" i="35"/>
  <c r="F36" i="35" s="1"/>
  <c r="J73" i="35"/>
  <c r="J35" i="35" s="1"/>
  <c r="I73" i="35"/>
  <c r="I35" i="35" s="1"/>
  <c r="H73" i="35"/>
  <c r="H35" i="35" s="1"/>
  <c r="F73" i="35"/>
  <c r="F35" i="35" s="1"/>
  <c r="J72" i="35"/>
  <c r="J34" i="35" s="1"/>
  <c r="I72" i="35"/>
  <c r="I34" i="35" s="1"/>
  <c r="H72" i="35"/>
  <c r="H34" i="35" s="1"/>
  <c r="F72" i="35"/>
  <c r="F34" i="35" s="1"/>
  <c r="J70" i="35"/>
  <c r="I70" i="35"/>
  <c r="H70" i="35"/>
  <c r="F70" i="35"/>
  <c r="D70" i="35"/>
  <c r="C68" i="35"/>
  <c r="D23" i="35" s="1"/>
  <c r="F65" i="35"/>
  <c r="F83" i="35" s="1"/>
  <c r="J63" i="35"/>
  <c r="I63" i="35"/>
  <c r="J52" i="35"/>
  <c r="I52" i="35"/>
  <c r="H52" i="35"/>
  <c r="F52" i="35"/>
  <c r="D52" i="35"/>
  <c r="C50" i="35"/>
  <c r="D63" i="35" s="1"/>
  <c r="J43" i="35"/>
  <c r="I43" i="35"/>
  <c r="D43" i="35"/>
  <c r="H37" i="35"/>
  <c r="J32" i="35"/>
  <c r="I32" i="35"/>
  <c r="H32" i="35"/>
  <c r="F32" i="35"/>
  <c r="D32" i="35"/>
  <c r="J26" i="35"/>
  <c r="I26" i="35"/>
  <c r="J23" i="35"/>
  <c r="J24" i="35" s="1"/>
  <c r="I23" i="35"/>
  <c r="I24" i="35" s="1"/>
  <c r="H23" i="35"/>
  <c r="H24" i="35" s="1"/>
  <c r="J20" i="35"/>
  <c r="I20" i="35"/>
  <c r="H20" i="35"/>
  <c r="J9" i="35"/>
  <c r="I9" i="35"/>
  <c r="H9" i="35"/>
  <c r="B9" i="35"/>
  <c r="B4" i="35"/>
  <c r="B3" i="35"/>
  <c r="I100" i="39"/>
  <c r="H100" i="39"/>
  <c r="I82" i="39"/>
  <c r="H82" i="39"/>
  <c r="J70" i="39"/>
  <c r="I70" i="39"/>
  <c r="E68" i="39"/>
  <c r="E126" i="39" s="1"/>
  <c r="Q66" i="41" s="1"/>
  <c r="J52" i="43" s="1"/>
  <c r="D68" i="39"/>
  <c r="D126" i="39" s="1"/>
  <c r="E67" i="39"/>
  <c r="E125" i="39" s="1"/>
  <c r="Q65" i="41" s="1"/>
  <c r="J51" i="43" s="1"/>
  <c r="D67" i="39"/>
  <c r="D125" i="39" s="1"/>
  <c r="E66" i="39"/>
  <c r="E124" i="39" s="1"/>
  <c r="Q64" i="41" s="1"/>
  <c r="J50" i="43" s="1"/>
  <c r="D66" i="39"/>
  <c r="D124" i="39" s="1"/>
  <c r="E65" i="39"/>
  <c r="E123" i="39" s="1"/>
  <c r="Q63" i="41" s="1"/>
  <c r="J49" i="43" s="1"/>
  <c r="D65" i="39"/>
  <c r="D123" i="39" s="1"/>
  <c r="E64" i="39"/>
  <c r="E122" i="39" s="1"/>
  <c r="Q62" i="41" s="1"/>
  <c r="J48" i="43" s="1"/>
  <c r="D64" i="39"/>
  <c r="D122" i="39" s="1"/>
  <c r="E63" i="39"/>
  <c r="E121" i="39" s="1"/>
  <c r="Q61" i="41" s="1"/>
  <c r="J47" i="43" s="1"/>
  <c r="D63" i="39"/>
  <c r="D121" i="39" s="1"/>
  <c r="E62" i="39"/>
  <c r="E120" i="39" s="1"/>
  <c r="Q60" i="41" s="1"/>
  <c r="J46" i="43" s="1"/>
  <c r="D62" i="39"/>
  <c r="D120" i="39" s="1"/>
  <c r="E61" i="39"/>
  <c r="E119" i="39" s="1"/>
  <c r="Q59" i="41" s="1"/>
  <c r="J45" i="43" s="1"/>
  <c r="D61" i="39"/>
  <c r="D119" i="39" s="1"/>
  <c r="E60" i="39"/>
  <c r="E118" i="39" s="1"/>
  <c r="Q58" i="41" s="1"/>
  <c r="J44" i="43" s="1"/>
  <c r="D60" i="39"/>
  <c r="D118" i="39" s="1"/>
  <c r="E59" i="39"/>
  <c r="E117" i="39" s="1"/>
  <c r="Q57" i="41" s="1"/>
  <c r="J43" i="43" s="1"/>
  <c r="D59" i="39"/>
  <c r="D117" i="39" s="1"/>
  <c r="E58" i="39"/>
  <c r="E116" i="39" s="1"/>
  <c r="Q56" i="41" s="1"/>
  <c r="J42" i="43" s="1"/>
  <c r="D58" i="39"/>
  <c r="D116" i="39" s="1"/>
  <c r="E57" i="39"/>
  <c r="E115" i="39" s="1"/>
  <c r="Q55" i="41" s="1"/>
  <c r="J41" i="43" s="1"/>
  <c r="D57" i="39"/>
  <c r="D115" i="39" s="1"/>
  <c r="E56" i="39"/>
  <c r="E114" i="39" s="1"/>
  <c r="Q54" i="41" s="1"/>
  <c r="J40" i="43" s="1"/>
  <c r="D56" i="39"/>
  <c r="D114" i="39" s="1"/>
  <c r="E55" i="39"/>
  <c r="E113" i="39" s="1"/>
  <c r="Q53" i="41" s="1"/>
  <c r="J39" i="43" s="1"/>
  <c r="D55" i="39"/>
  <c r="D113" i="39" s="1"/>
  <c r="E54" i="39"/>
  <c r="E112" i="39" s="1"/>
  <c r="Q52" i="41" s="1"/>
  <c r="J38" i="43" s="1"/>
  <c r="D54" i="39"/>
  <c r="D112" i="39" s="1"/>
  <c r="E53" i="39"/>
  <c r="E111" i="39" s="1"/>
  <c r="Q51" i="41" s="1"/>
  <c r="J37" i="43" s="1"/>
  <c r="D53" i="39"/>
  <c r="D111" i="39" s="1"/>
  <c r="E52" i="39"/>
  <c r="E110" i="39" s="1"/>
  <c r="Q50" i="41" s="1"/>
  <c r="J36" i="43" s="1"/>
  <c r="D52" i="39"/>
  <c r="D110" i="39" s="1"/>
  <c r="E51" i="39"/>
  <c r="E109" i="39" s="1"/>
  <c r="Q49" i="41" s="1"/>
  <c r="J35" i="43" s="1"/>
  <c r="D51" i="39"/>
  <c r="D109" i="39" s="1"/>
  <c r="E50" i="39"/>
  <c r="E108" i="39" s="1"/>
  <c r="Q48" i="41" s="1"/>
  <c r="J34" i="43" s="1"/>
  <c r="D50" i="39"/>
  <c r="D108" i="39" s="1"/>
  <c r="E49" i="39"/>
  <c r="E107" i="39" s="1"/>
  <c r="Q47" i="41" s="1"/>
  <c r="J33" i="43" s="1"/>
  <c r="D49" i="39"/>
  <c r="D107" i="39" s="1"/>
  <c r="E48" i="39"/>
  <c r="E106" i="39" s="1"/>
  <c r="Q46" i="41" s="1"/>
  <c r="J32" i="43" s="1"/>
  <c r="D48" i="39"/>
  <c r="D106" i="39" s="1"/>
  <c r="E47" i="39"/>
  <c r="E105" i="39" s="1"/>
  <c r="Q45" i="41" s="1"/>
  <c r="J31" i="43" s="1"/>
  <c r="D47" i="39"/>
  <c r="D105" i="39" s="1"/>
  <c r="E46" i="39"/>
  <c r="E104" i="39" s="1"/>
  <c r="Q44" i="41" s="1"/>
  <c r="J30" i="43" s="1"/>
  <c r="D46" i="39"/>
  <c r="D104" i="39" s="1"/>
  <c r="E45" i="39"/>
  <c r="E103" i="39" s="1"/>
  <c r="Q43" i="41" s="1"/>
  <c r="J29" i="43" s="1"/>
  <c r="D45" i="39"/>
  <c r="D103" i="39" s="1"/>
  <c r="E44" i="39"/>
  <c r="E102" i="39" s="1"/>
  <c r="Q42" i="41" s="1"/>
  <c r="J28" i="43" s="1"/>
  <c r="D44" i="39"/>
  <c r="D102" i="39" s="1"/>
  <c r="J42" i="39"/>
  <c r="I42" i="39"/>
  <c r="H42" i="39"/>
  <c r="J35" i="39"/>
  <c r="I35" i="39"/>
  <c r="J24" i="39"/>
  <c r="I24" i="39"/>
  <c r="H24" i="39"/>
  <c r="J9" i="39"/>
  <c r="I9" i="39"/>
  <c r="H9" i="39"/>
  <c r="B9" i="39"/>
  <c r="B4" i="39"/>
  <c r="B3" i="39"/>
  <c r="J67" i="38"/>
  <c r="I67" i="38"/>
  <c r="J56" i="38"/>
  <c r="I56" i="38"/>
  <c r="H56" i="38"/>
  <c r="J42" i="38"/>
  <c r="I42" i="38"/>
  <c r="H42" i="38"/>
  <c r="J28" i="38"/>
  <c r="I28" i="38"/>
  <c r="H28" i="38"/>
  <c r="J19" i="38"/>
  <c r="I19" i="38"/>
  <c r="H19" i="38"/>
  <c r="J9" i="38"/>
  <c r="I9" i="38"/>
  <c r="H9" i="38"/>
  <c r="B9" i="38"/>
  <c r="B4" i="38"/>
  <c r="B3" i="38"/>
  <c r="E105" i="37"/>
  <c r="E104" i="37"/>
  <c r="E103" i="37"/>
  <c r="E102" i="37"/>
  <c r="E101" i="37"/>
  <c r="E100" i="37"/>
  <c r="E99" i="37"/>
  <c r="E98" i="37"/>
  <c r="E89" i="37"/>
  <c r="E88" i="37"/>
  <c r="E87" i="37"/>
  <c r="E86" i="37"/>
  <c r="E85" i="37"/>
  <c r="E84" i="37"/>
  <c r="E83" i="37"/>
  <c r="E82" i="37"/>
  <c r="E72" i="37"/>
  <c r="E71" i="37"/>
  <c r="E70" i="37"/>
  <c r="M69" i="37"/>
  <c r="E69" i="37"/>
  <c r="M68" i="37"/>
  <c r="E68" i="37"/>
  <c r="M67" i="37"/>
  <c r="E67" i="37"/>
  <c r="M66" i="37"/>
  <c r="E66" i="37"/>
  <c r="M65" i="37"/>
  <c r="E65" i="37"/>
  <c r="D55" i="37"/>
  <c r="J37" i="37"/>
  <c r="I37" i="37"/>
  <c r="H37" i="37"/>
  <c r="J25" i="37"/>
  <c r="I25" i="37"/>
  <c r="H25" i="37"/>
  <c r="J9" i="37"/>
  <c r="J96" i="37" s="1"/>
  <c r="I9" i="37"/>
  <c r="I55" i="37" s="1"/>
  <c r="H9" i="37"/>
  <c r="H96" i="37" s="1"/>
  <c r="B9" i="37"/>
  <c r="B4" i="37"/>
  <c r="B3" i="37"/>
  <c r="J77" i="34"/>
  <c r="I77" i="34"/>
  <c r="F75" i="34"/>
  <c r="D75" i="34"/>
  <c r="F74" i="34"/>
  <c r="D74" i="34"/>
  <c r="F73" i="34"/>
  <c r="D73" i="34"/>
  <c r="F72" i="34"/>
  <c r="D72" i="34"/>
  <c r="J70" i="34"/>
  <c r="I70" i="34"/>
  <c r="H70" i="34"/>
  <c r="F70" i="34"/>
  <c r="E70" i="34"/>
  <c r="D70" i="34"/>
  <c r="C68" i="34"/>
  <c r="D22" i="34" s="1"/>
  <c r="J64" i="34"/>
  <c r="I64" i="34"/>
  <c r="F62" i="34"/>
  <c r="D62" i="34"/>
  <c r="F61" i="34"/>
  <c r="D61" i="34"/>
  <c r="F60" i="34"/>
  <c r="D60" i="34"/>
  <c r="F59" i="34"/>
  <c r="D59" i="34"/>
  <c r="F58" i="34"/>
  <c r="D58" i="34"/>
  <c r="F57" i="34"/>
  <c r="D57" i="34"/>
  <c r="F56" i="34"/>
  <c r="D56" i="34"/>
  <c r="F55" i="34"/>
  <c r="D55" i="34"/>
  <c r="F54" i="34"/>
  <c r="D54" i="34"/>
  <c r="F53" i="34"/>
  <c r="D53" i="34"/>
  <c r="F52" i="34"/>
  <c r="D52" i="34"/>
  <c r="F51" i="34"/>
  <c r="D51" i="34"/>
  <c r="F50" i="34"/>
  <c r="D50" i="34"/>
  <c r="F49" i="34"/>
  <c r="D49" i="34"/>
  <c r="J47" i="34"/>
  <c r="I47" i="34"/>
  <c r="H47" i="34"/>
  <c r="F47" i="34"/>
  <c r="E47" i="34"/>
  <c r="D47" i="34"/>
  <c r="C45" i="34"/>
  <c r="D21" i="34" s="1"/>
  <c r="J41" i="34"/>
  <c r="I41" i="34"/>
  <c r="F39" i="34"/>
  <c r="F38" i="34"/>
  <c r="F37" i="34"/>
  <c r="F36" i="34"/>
  <c r="F35" i="34"/>
  <c r="F34" i="34"/>
  <c r="F33" i="34"/>
  <c r="F32" i="34"/>
  <c r="J30" i="34"/>
  <c r="I30" i="34"/>
  <c r="H30" i="34"/>
  <c r="F30" i="34"/>
  <c r="E30" i="34"/>
  <c r="D30" i="34"/>
  <c r="C28" i="34"/>
  <c r="D20" i="34" s="1"/>
  <c r="J24" i="34"/>
  <c r="I24" i="34"/>
  <c r="J18" i="34"/>
  <c r="I18" i="34"/>
  <c r="H18" i="34"/>
  <c r="F18" i="34"/>
  <c r="J9" i="34"/>
  <c r="I9" i="34"/>
  <c r="H9" i="34"/>
  <c r="B9" i="34"/>
  <c r="B4" i="34"/>
  <c r="B3" i="34"/>
  <c r="J47" i="44"/>
  <c r="I47" i="44"/>
  <c r="H47" i="44"/>
  <c r="J9" i="44"/>
  <c r="I9" i="44"/>
  <c r="H9" i="44"/>
  <c r="B9" i="44"/>
  <c r="B4" i="44"/>
  <c r="B3" i="44"/>
  <c r="A1" i="44"/>
  <c r="H18" i="25" s="1"/>
  <c r="O190" i="33"/>
  <c r="M72" i="37" s="1"/>
  <c r="M105" i="37"/>
  <c r="J190" i="33"/>
  <c r="I190" i="33"/>
  <c r="O189" i="33"/>
  <c r="M71" i="37" s="1"/>
  <c r="M104" i="37"/>
  <c r="J189" i="33"/>
  <c r="I189" i="33"/>
  <c r="O188" i="33"/>
  <c r="M70" i="37" s="1"/>
  <c r="M103" i="37"/>
  <c r="J188" i="33"/>
  <c r="I188" i="33"/>
  <c r="M102" i="37"/>
  <c r="J187" i="33"/>
  <c r="I187" i="33"/>
  <c r="M101" i="37"/>
  <c r="J186" i="33"/>
  <c r="I186" i="33"/>
  <c r="M100" i="37"/>
  <c r="J185" i="33"/>
  <c r="I185" i="33"/>
  <c r="M99" i="37"/>
  <c r="J184" i="33"/>
  <c r="I184" i="33"/>
  <c r="M98" i="37"/>
  <c r="J183" i="33"/>
  <c r="I183" i="33"/>
  <c r="J181" i="33"/>
  <c r="I181" i="33"/>
  <c r="H181" i="33"/>
  <c r="D181" i="33"/>
  <c r="M89" i="37"/>
  <c r="M88" i="37"/>
  <c r="M87" i="37"/>
  <c r="M86" i="37"/>
  <c r="M85" i="37"/>
  <c r="M84" i="37"/>
  <c r="M83" i="37"/>
  <c r="M82" i="37"/>
  <c r="J167" i="33"/>
  <c r="I167" i="33"/>
  <c r="H167" i="33"/>
  <c r="D167" i="33"/>
  <c r="J132" i="33"/>
  <c r="I132" i="33"/>
  <c r="H132" i="33"/>
  <c r="E132" i="33"/>
  <c r="D132" i="33"/>
  <c r="N124" i="33"/>
  <c r="M124" i="33"/>
  <c r="I113" i="33"/>
  <c r="H113" i="33"/>
  <c r="D113" i="33"/>
  <c r="J99" i="33"/>
  <c r="I99" i="33"/>
  <c r="H99" i="33"/>
  <c r="D99" i="33"/>
  <c r="J85" i="33"/>
  <c r="J73" i="33" s="1"/>
  <c r="J74" i="33" s="1"/>
  <c r="J75" i="33" s="1"/>
  <c r="J76" i="33" s="1"/>
  <c r="J87" i="33" s="1"/>
  <c r="I85" i="33"/>
  <c r="I73" i="33" s="1"/>
  <c r="I74" i="33" s="1"/>
  <c r="I75" i="33" s="1"/>
  <c r="I76" i="33" s="1"/>
  <c r="I87" i="33" s="1"/>
  <c r="J82" i="33"/>
  <c r="I82" i="33"/>
  <c r="H82" i="33"/>
  <c r="H87" i="33"/>
  <c r="J71" i="33"/>
  <c r="I71" i="33"/>
  <c r="H71" i="33"/>
  <c r="O53" i="33"/>
  <c r="O36" i="40" s="1"/>
  <c r="J41" i="33"/>
  <c r="I41" i="33"/>
  <c r="H41" i="33"/>
  <c r="J25" i="33"/>
  <c r="I25" i="33"/>
  <c r="H25" i="33"/>
  <c r="J9" i="33"/>
  <c r="I9" i="33"/>
  <c r="H9" i="33"/>
  <c r="B9" i="33"/>
  <c r="B4" i="33"/>
  <c r="B3" i="33"/>
  <c r="F57" i="32"/>
  <c r="E57" i="32"/>
  <c r="D57" i="32"/>
  <c r="F56" i="32"/>
  <c r="E56" i="32"/>
  <c r="D56" i="32"/>
  <c r="F55" i="32"/>
  <c r="E55" i="32"/>
  <c r="D55" i="32"/>
  <c r="F54" i="32"/>
  <c r="E54" i="32"/>
  <c r="D54" i="32"/>
  <c r="I52" i="32"/>
  <c r="H52" i="32"/>
  <c r="F52" i="32"/>
  <c r="E52" i="32"/>
  <c r="D52" i="32"/>
  <c r="C50" i="32"/>
  <c r="F47" i="32"/>
  <c r="E47" i="32"/>
  <c r="D47" i="32"/>
  <c r="F46" i="32"/>
  <c r="E46" i="32"/>
  <c r="D46" i="32"/>
  <c r="F45" i="32"/>
  <c r="E45" i="32"/>
  <c r="D45" i="32"/>
  <c r="F44" i="32"/>
  <c r="E44" i="32"/>
  <c r="D44" i="32"/>
  <c r="F43" i="32"/>
  <c r="E43" i="32"/>
  <c r="D43" i="32"/>
  <c r="F42" i="32"/>
  <c r="E42" i="32"/>
  <c r="D42" i="32"/>
  <c r="F41" i="32"/>
  <c r="E41" i="32"/>
  <c r="D41" i="32"/>
  <c r="F40" i="32"/>
  <c r="E40" i="32"/>
  <c r="D40" i="32"/>
  <c r="F39" i="32"/>
  <c r="E39" i="32"/>
  <c r="D39" i="32"/>
  <c r="F38" i="32"/>
  <c r="E38" i="32"/>
  <c r="D38" i="32"/>
  <c r="F37" i="32"/>
  <c r="E37" i="32"/>
  <c r="D37" i="32"/>
  <c r="F36" i="32"/>
  <c r="E36" i="32"/>
  <c r="D36" i="32"/>
  <c r="F35" i="32"/>
  <c r="E35" i="32"/>
  <c r="D35" i="32"/>
  <c r="F34" i="32"/>
  <c r="E34" i="32"/>
  <c r="D34" i="32"/>
  <c r="I32" i="32"/>
  <c r="H32" i="32"/>
  <c r="F32" i="32"/>
  <c r="E32" i="32"/>
  <c r="D32" i="32"/>
  <c r="C30" i="32"/>
  <c r="F27" i="32"/>
  <c r="F26" i="32"/>
  <c r="F25" i="32"/>
  <c r="F24" i="32"/>
  <c r="F23" i="32"/>
  <c r="F22" i="32"/>
  <c r="F21" i="32"/>
  <c r="F20" i="32"/>
  <c r="I18" i="32"/>
  <c r="H18" i="32"/>
  <c r="F18" i="32"/>
  <c r="E18" i="32"/>
  <c r="D18" i="32"/>
  <c r="C16" i="32"/>
  <c r="I9" i="32"/>
  <c r="H9" i="32"/>
  <c r="B9" i="32"/>
  <c r="B4" i="32"/>
  <c r="B3" i="32"/>
  <c r="A1" i="32"/>
  <c r="H17" i="25" s="1"/>
  <c r="I52" i="31"/>
  <c r="H52" i="31"/>
  <c r="F52" i="31"/>
  <c r="E52" i="31"/>
  <c r="D52" i="31"/>
  <c r="I32" i="31"/>
  <c r="H32" i="31"/>
  <c r="F32" i="31"/>
  <c r="E32" i="31"/>
  <c r="D32" i="31"/>
  <c r="D27" i="31"/>
  <c r="D39" i="34" s="1"/>
  <c r="D26" i="31"/>
  <c r="D38" i="34" s="1"/>
  <c r="D25" i="31"/>
  <c r="D37" i="34" s="1"/>
  <c r="D24" i="31"/>
  <c r="D36" i="34" s="1"/>
  <c r="D23" i="31"/>
  <c r="D35" i="34" s="1"/>
  <c r="D22" i="31"/>
  <c r="D34" i="34" s="1"/>
  <c r="D21" i="31"/>
  <c r="D33" i="34" s="1"/>
  <c r="D20" i="31"/>
  <c r="D32" i="34" s="1"/>
  <c r="I18" i="31"/>
  <c r="H18" i="31"/>
  <c r="F18" i="31"/>
  <c r="E18" i="31"/>
  <c r="D18" i="31"/>
  <c r="I9" i="31"/>
  <c r="H9" i="31"/>
  <c r="B9" i="31"/>
  <c r="B4" i="31"/>
  <c r="B3" i="31"/>
  <c r="A1" i="31"/>
  <c r="H16" i="25" s="1"/>
  <c r="D35" i="28"/>
  <c r="D34" i="28"/>
  <c r="D29" i="28"/>
  <c r="D28" i="28"/>
  <c r="D27" i="28"/>
  <c r="D26" i="28"/>
  <c r="D22" i="28"/>
  <c r="D21" i="28"/>
  <c r="D19" i="28"/>
  <c r="D18" i="28"/>
  <c r="D14" i="28"/>
  <c r="D11" i="28"/>
  <c r="D10" i="28"/>
  <c r="B6" i="28"/>
  <c r="B4" i="28"/>
  <c r="AC700" i="43" l="1"/>
  <c r="R20" i="41"/>
  <c r="D22" i="35"/>
  <c r="D24" i="35"/>
  <c r="D81" i="35"/>
  <c r="D21" i="32"/>
  <c r="D25" i="32"/>
  <c r="D22" i="32"/>
  <c r="D24" i="32"/>
  <c r="D20" i="32"/>
  <c r="D27" i="32"/>
  <c r="N82" i="40"/>
  <c r="N86" i="40" s="1"/>
  <c r="N96" i="40" s="1"/>
  <c r="N97" i="40" s="1"/>
  <c r="M82" i="40"/>
  <c r="M86" i="40" s="1"/>
  <c r="M96" i="40" s="1"/>
  <c r="M97" i="40" s="1"/>
  <c r="M95" i="40"/>
  <c r="S95" i="35"/>
  <c r="R95" i="35"/>
  <c r="Q95" i="35"/>
  <c r="P95" i="35"/>
  <c r="O95" i="35"/>
  <c r="S92" i="35"/>
  <c r="R92" i="35"/>
  <c r="Q92" i="35"/>
  <c r="P92" i="35"/>
  <c r="O92" i="35"/>
  <c r="N16" i="4"/>
  <c r="J14" i="4"/>
  <c r="J15" i="4" s="1"/>
  <c r="J17" i="4" s="1"/>
  <c r="D26" i="32"/>
  <c r="D23" i="32"/>
  <c r="F101" i="35"/>
  <c r="F45" i="35" s="1"/>
  <c r="S125" i="45"/>
  <c r="M125" i="45"/>
  <c r="N125" i="45"/>
  <c r="R125" i="45"/>
  <c r="O125" i="45"/>
  <c r="U118" i="45" a="1"/>
  <c r="U118" i="45" s="1"/>
  <c r="P131" i="45" s="1"/>
  <c r="P143" i="45" s="1"/>
  <c r="P111" i="47" s="1"/>
  <c r="U117" i="45" a="1"/>
  <c r="U117" i="45" s="1"/>
  <c r="O130" i="45" s="1"/>
  <c r="U136" i="45"/>
  <c r="P125" i="45"/>
  <c r="Q125" i="45"/>
  <c r="U119" i="45" a="1"/>
  <c r="U119" i="45" s="1"/>
  <c r="S132" i="45" s="1"/>
  <c r="S144" i="45" s="1"/>
  <c r="S119" i="47" s="1"/>
  <c r="T136" i="45"/>
  <c r="M59" i="44"/>
  <c r="M85" i="45" s="1"/>
  <c r="N59" i="44"/>
  <c r="N85" i="45" s="1"/>
  <c r="P78" i="45"/>
  <c r="N78" i="45"/>
  <c r="H80" i="37"/>
  <c r="H55" i="37"/>
  <c r="J55" i="37"/>
  <c r="J63" i="37"/>
  <c r="H63" i="37"/>
  <c r="I63" i="37"/>
  <c r="I80" i="37"/>
  <c r="J80" i="37"/>
  <c r="I96" i="37"/>
  <c r="M78" i="45"/>
  <c r="M81" i="45"/>
  <c r="R59" i="44"/>
  <c r="R85" i="45" s="1"/>
  <c r="S78" i="45"/>
  <c r="N80" i="45"/>
  <c r="R81" i="45"/>
  <c r="O80" i="45"/>
  <c r="S81" i="45"/>
  <c r="S59" i="44"/>
  <c r="S85" i="45" s="1"/>
  <c r="N79" i="45"/>
  <c r="O78" i="45"/>
  <c r="P79" i="45"/>
  <c r="R80" i="45"/>
  <c r="N81" i="45"/>
  <c r="O59" i="44"/>
  <c r="O85" i="45" s="1"/>
  <c r="Q79" i="45"/>
  <c r="S80" i="45"/>
  <c r="O81" i="45"/>
  <c r="M79" i="45"/>
  <c r="Q80" i="45"/>
  <c r="P59" i="44"/>
  <c r="P85" i="45" s="1"/>
  <c r="Q78" i="45"/>
  <c r="R79" i="45"/>
  <c r="P81" i="45"/>
  <c r="P80" i="45"/>
  <c r="O79" i="45"/>
  <c r="Q59" i="44"/>
  <c r="Q85" i="45" s="1"/>
  <c r="R78" i="45"/>
  <c r="S79" i="45"/>
  <c r="M80" i="45"/>
  <c r="Q81" i="45"/>
  <c r="AC701" i="43" l="1"/>
  <c r="J18" i="4"/>
  <c r="J19" i="4" s="1"/>
  <c r="K14" i="4"/>
  <c r="K15" i="4" s="1"/>
  <c r="K17" i="4" s="1"/>
  <c r="O142" i="45"/>
  <c r="M99" i="40"/>
  <c r="N94" i="40" s="1"/>
  <c r="N95" i="40" s="1"/>
  <c r="N99" i="40" s="1"/>
  <c r="O94" i="40" s="1"/>
  <c r="Q93" i="35"/>
  <c r="P93" i="35"/>
  <c r="O93" i="35"/>
  <c r="S93" i="35"/>
  <c r="R93" i="35"/>
  <c r="O94" i="35"/>
  <c r="S94" i="35"/>
  <c r="R94" i="35"/>
  <c r="Q94" i="35"/>
  <c r="P94" i="35"/>
  <c r="O90" i="35"/>
  <c r="S90" i="35"/>
  <c r="R90" i="35"/>
  <c r="Q90" i="35"/>
  <c r="P90" i="35"/>
  <c r="O16" i="4"/>
  <c r="S91" i="35"/>
  <c r="R91" i="35"/>
  <c r="Q91" i="35"/>
  <c r="P91" i="35"/>
  <c r="O91" i="35"/>
  <c r="Q132" i="45"/>
  <c r="Q144" i="45" s="1"/>
  <c r="O132" i="45"/>
  <c r="O144" i="45" s="1"/>
  <c r="P132" i="45"/>
  <c r="P144" i="45" s="1"/>
  <c r="P130" i="45"/>
  <c r="S131" i="45"/>
  <c r="S143" i="45" s="1"/>
  <c r="S130" i="45"/>
  <c r="N132" i="45"/>
  <c r="N144" i="45" s="1"/>
  <c r="M131" i="45"/>
  <c r="M143" i="45" s="1"/>
  <c r="R131" i="45"/>
  <c r="R143" i="45" s="1"/>
  <c r="O131" i="45"/>
  <c r="O143" i="45" s="1"/>
  <c r="A125" i="45"/>
  <c r="N130" i="45"/>
  <c r="Q131" i="45"/>
  <c r="Q143" i="45" s="1"/>
  <c r="M132" i="45"/>
  <c r="M144" i="45" s="1"/>
  <c r="R130" i="45"/>
  <c r="N131" i="45"/>
  <c r="N143" i="45" s="1"/>
  <c r="R132" i="45"/>
  <c r="R144" i="45" s="1"/>
  <c r="Q130" i="45"/>
  <c r="M130" i="45"/>
  <c r="M83" i="45"/>
  <c r="R83" i="45"/>
  <c r="R97" i="45" s="1"/>
  <c r="P83" i="45"/>
  <c r="P97" i="45" s="1"/>
  <c r="S83" i="45"/>
  <c r="S86" i="45" s="1"/>
  <c r="O83" i="45"/>
  <c r="N83" i="45"/>
  <c r="Q83" i="45"/>
  <c r="Q97" i="45" s="1"/>
  <c r="AC702" i="43" l="1"/>
  <c r="O111" i="47"/>
  <c r="O119" i="47"/>
  <c r="R119" i="47"/>
  <c r="R111" i="47"/>
  <c r="Q119" i="47"/>
  <c r="O103" i="47"/>
  <c r="P119" i="47"/>
  <c r="N111" i="47"/>
  <c r="M111" i="47"/>
  <c r="N119" i="47"/>
  <c r="M119" i="47"/>
  <c r="Q111" i="47"/>
  <c r="S111" i="47"/>
  <c r="K18" i="4"/>
  <c r="K19" i="4" s="1"/>
  <c r="L14" i="4"/>
  <c r="L15" i="4" s="1"/>
  <c r="L18" i="4" s="1"/>
  <c r="R148" i="45"/>
  <c r="R142" i="45"/>
  <c r="S148" i="45"/>
  <c r="S142" i="45"/>
  <c r="N148" i="45"/>
  <c r="N142" i="45"/>
  <c r="P142" i="45"/>
  <c r="P148" i="45"/>
  <c r="M142" i="45"/>
  <c r="M148" i="45"/>
  <c r="Q142" i="45"/>
  <c r="Q148" i="45"/>
  <c r="O148" i="45"/>
  <c r="P16" i="4"/>
  <c r="U130" i="45"/>
  <c r="U132" i="45"/>
  <c r="U144" i="45" s="1"/>
  <c r="U131" i="45"/>
  <c r="U143" i="45" s="1"/>
  <c r="U80" i="45" a="1"/>
  <c r="U80" i="45" s="1"/>
  <c r="N93" i="45" s="1"/>
  <c r="U79" i="45" a="1"/>
  <c r="U79" i="45" s="1"/>
  <c r="M92" i="45" s="1"/>
  <c r="M86" i="45"/>
  <c r="U78" i="45" a="1"/>
  <c r="U78" i="45" s="1"/>
  <c r="N91" i="45" s="1"/>
  <c r="N105" i="47" s="1"/>
  <c r="R86" i="45"/>
  <c r="S97" i="45"/>
  <c r="M97" i="45"/>
  <c r="P86" i="45"/>
  <c r="N86" i="45"/>
  <c r="N97" i="45"/>
  <c r="O86" i="45"/>
  <c r="O97" i="45"/>
  <c r="Q86" i="45"/>
  <c r="AC703" i="43" l="1"/>
  <c r="M14" i="4"/>
  <c r="M15" i="4" s="1"/>
  <c r="L19" i="4"/>
  <c r="L8" i="45"/>
  <c r="L171" i="45" s="1"/>
  <c r="L17" i="4"/>
  <c r="M53" i="45"/>
  <c r="M137" i="47" s="1"/>
  <c r="M113" i="47"/>
  <c r="N54" i="45"/>
  <c r="N138" i="47" s="1"/>
  <c r="N121" i="47"/>
  <c r="P103" i="47"/>
  <c r="N103" i="47"/>
  <c r="S103" i="47"/>
  <c r="Q103" i="47"/>
  <c r="U119" i="47"/>
  <c r="R103" i="47"/>
  <c r="U111" i="47"/>
  <c r="M103" i="47"/>
  <c r="N52" i="45"/>
  <c r="N136" i="47" s="1"/>
  <c r="U142" i="45"/>
  <c r="U148" i="45"/>
  <c r="S146" i="45"/>
  <c r="O146" i="45"/>
  <c r="R146" i="45"/>
  <c r="N146" i="45"/>
  <c r="P146" i="45"/>
  <c r="Q146" i="45"/>
  <c r="Q16" i="4"/>
  <c r="U97" i="45"/>
  <c r="U122" i="45"/>
  <c r="T97" i="45"/>
  <c r="Q92" i="45"/>
  <c r="R92" i="45"/>
  <c r="Q91" i="45"/>
  <c r="Q105" i="47" s="1"/>
  <c r="P92" i="45"/>
  <c r="R91" i="45"/>
  <c r="R105" i="47" s="1"/>
  <c r="N92" i="45"/>
  <c r="M93" i="45"/>
  <c r="S92" i="45"/>
  <c r="P91" i="45"/>
  <c r="P105" i="47" s="1"/>
  <c r="R93" i="45"/>
  <c r="O91" i="45"/>
  <c r="O105" i="47" s="1"/>
  <c r="Q93" i="45"/>
  <c r="O92" i="45"/>
  <c r="S93" i="45"/>
  <c r="U83" i="45"/>
  <c r="O93" i="45"/>
  <c r="P93" i="45"/>
  <c r="A86" i="45"/>
  <c r="S91" i="45"/>
  <c r="S105" i="47" s="1"/>
  <c r="M91" i="45"/>
  <c r="M105" i="47" s="1"/>
  <c r="O70" i="37"/>
  <c r="AC704" i="43" l="1"/>
  <c r="L9" i="45"/>
  <c r="L9" i="44"/>
  <c r="L242" i="44" s="1"/>
  <c r="P54" i="45"/>
  <c r="P138" i="47" s="1"/>
  <c r="P121" i="47"/>
  <c r="O54" i="45"/>
  <c r="O138" i="47" s="1"/>
  <c r="O121" i="47"/>
  <c r="S53" i="45"/>
  <c r="S137" i="47" s="1"/>
  <c r="S113" i="47"/>
  <c r="N53" i="45"/>
  <c r="N137" i="47" s="1"/>
  <c r="N113" i="47"/>
  <c r="Q54" i="45"/>
  <c r="Q138" i="47" s="1"/>
  <c r="Q121" i="47"/>
  <c r="M54" i="45"/>
  <c r="M138" i="47" s="1"/>
  <c r="M121" i="47"/>
  <c r="S54" i="45"/>
  <c r="S138" i="47" s="1"/>
  <c r="S121" i="47"/>
  <c r="O53" i="45"/>
  <c r="O137" i="47" s="1"/>
  <c r="O113" i="47"/>
  <c r="R54" i="45"/>
  <c r="R138" i="47" s="1"/>
  <c r="R121" i="47"/>
  <c r="R53" i="45"/>
  <c r="R137" i="47" s="1"/>
  <c r="R113" i="47"/>
  <c r="P53" i="45"/>
  <c r="P137" i="47" s="1"/>
  <c r="P113" i="47"/>
  <c r="Q53" i="45"/>
  <c r="Q137" i="47" s="1"/>
  <c r="Q113" i="47"/>
  <c r="U103" i="47"/>
  <c r="R52" i="45"/>
  <c r="R136" i="47" s="1"/>
  <c r="R58" i="45" a="1"/>
  <c r="R58" i="45" s="1"/>
  <c r="M58" i="45" a="1"/>
  <c r="M58" i="45" s="1"/>
  <c r="M52" i="45"/>
  <c r="M136" i="47" s="1"/>
  <c r="S52" i="45"/>
  <c r="S136" i="47" s="1"/>
  <c r="S58" i="45" a="1"/>
  <c r="S58" i="45" s="1"/>
  <c r="O52" i="45"/>
  <c r="O136" i="47" s="1"/>
  <c r="O58" i="45" a="1"/>
  <c r="O58" i="45" s="1"/>
  <c r="Q52" i="45"/>
  <c r="Q136" i="47" s="1"/>
  <c r="Q58" i="45" a="1"/>
  <c r="Q58" i="45" s="1"/>
  <c r="P58" i="45" a="1"/>
  <c r="P58" i="45" s="1"/>
  <c r="P52" i="45"/>
  <c r="P136" i="47" s="1"/>
  <c r="N58" i="45" a="1"/>
  <c r="N58" i="45" s="1"/>
  <c r="M146" i="45"/>
  <c r="R16" i="4"/>
  <c r="N95" i="45"/>
  <c r="U92" i="45"/>
  <c r="U93" i="45"/>
  <c r="U91" i="45"/>
  <c r="U105" i="47" s="1"/>
  <c r="Q134" i="45"/>
  <c r="R134" i="45"/>
  <c r="M134" i="45"/>
  <c r="T130" i="45"/>
  <c r="T132" i="45"/>
  <c r="T144" i="45" s="1"/>
  <c r="S134" i="45"/>
  <c r="N134" i="45"/>
  <c r="T131" i="45"/>
  <c r="T143" i="45" s="1"/>
  <c r="O134" i="45"/>
  <c r="P134" i="45"/>
  <c r="R95" i="45"/>
  <c r="P95" i="45"/>
  <c r="Q95" i="45"/>
  <c r="O95" i="45"/>
  <c r="T93" i="45"/>
  <c r="T121" i="47" s="1"/>
  <c r="T92" i="45"/>
  <c r="T113" i="47" s="1"/>
  <c r="T91" i="45"/>
  <c r="T105" i="47" s="1"/>
  <c r="S95" i="45"/>
  <c r="M95" i="45"/>
  <c r="N14" i="4"/>
  <c r="M18" i="4"/>
  <c r="M17" i="4"/>
  <c r="O77" i="35"/>
  <c r="P70" i="37"/>
  <c r="P77" i="35"/>
  <c r="S33" i="48" l="1"/>
  <c r="S32" i="48"/>
  <c r="M53" i="47" s="1"/>
  <c r="S30" i="48"/>
  <c r="S28" i="48"/>
  <c r="AC705" i="43"/>
  <c r="S31" i="48"/>
  <c r="S29" i="48"/>
  <c r="L172" i="45"/>
  <c r="L179" i="45"/>
  <c r="M127" i="47"/>
  <c r="R127" i="47"/>
  <c r="N127" i="47"/>
  <c r="P127" i="47"/>
  <c r="N140" i="47"/>
  <c r="S127" i="47"/>
  <c r="U53" i="45"/>
  <c r="U137" i="47" s="1"/>
  <c r="U113" i="47"/>
  <c r="P129" i="47"/>
  <c r="Q129" i="47"/>
  <c r="S140" i="47"/>
  <c r="N129" i="47"/>
  <c r="M140" i="47"/>
  <c r="M129" i="47"/>
  <c r="Q127" i="47"/>
  <c r="R129" i="47"/>
  <c r="S129" i="47"/>
  <c r="O127" i="47"/>
  <c r="O140" i="47"/>
  <c r="P140" i="47"/>
  <c r="O129" i="47"/>
  <c r="U54" i="45"/>
  <c r="U138" i="47" s="1"/>
  <c r="U121" i="47"/>
  <c r="Q140" i="47"/>
  <c r="R140" i="47"/>
  <c r="T119" i="47"/>
  <c r="T111" i="47"/>
  <c r="M8" i="45"/>
  <c r="M171" i="45" s="1"/>
  <c r="T148" i="45"/>
  <c r="T142" i="45"/>
  <c r="T53" i="45"/>
  <c r="T137" i="47" s="1"/>
  <c r="T54" i="45"/>
  <c r="T138" i="47" s="1"/>
  <c r="U58" i="45" a="1"/>
  <c r="U58" i="45" s="1"/>
  <c r="U52" i="45"/>
  <c r="U136" i="47" s="1"/>
  <c r="U146" i="45"/>
  <c r="P149" i="45"/>
  <c r="R149" i="45"/>
  <c r="O149" i="45"/>
  <c r="Q149" i="45"/>
  <c r="N149" i="45"/>
  <c r="S149" i="45"/>
  <c r="O137" i="45"/>
  <c r="N137" i="45"/>
  <c r="S137" i="45"/>
  <c r="M137" i="45"/>
  <c r="Q137" i="45"/>
  <c r="P137" i="45"/>
  <c r="R137" i="45"/>
  <c r="S16" i="4"/>
  <c r="O98" i="45"/>
  <c r="Q98" i="45"/>
  <c r="P98" i="45"/>
  <c r="M98" i="45"/>
  <c r="R98" i="45"/>
  <c r="S98" i="45"/>
  <c r="N98" i="45"/>
  <c r="T134" i="45"/>
  <c r="U134" i="45"/>
  <c r="T95" i="45"/>
  <c r="U95" i="45"/>
  <c r="M19" i="4"/>
  <c r="N15" i="4"/>
  <c r="Q70" i="37"/>
  <c r="AC706" i="43" l="1"/>
  <c r="M54" i="47"/>
  <c r="R130" i="47"/>
  <c r="M52" i="47"/>
  <c r="N130" i="47"/>
  <c r="M130" i="47"/>
  <c r="S130" i="47"/>
  <c r="P130" i="47"/>
  <c r="U127" i="47"/>
  <c r="O130" i="47"/>
  <c r="Q130" i="47"/>
  <c r="U140" i="47"/>
  <c r="U129" i="47"/>
  <c r="T103" i="47"/>
  <c r="M55" i="47"/>
  <c r="M34" i="47"/>
  <c r="S27" i="48"/>
  <c r="P35" i="48"/>
  <c r="S37" i="48"/>
  <c r="M9" i="45"/>
  <c r="M62" i="45" s="1"/>
  <c r="M9" i="47"/>
  <c r="M147" i="47" s="1"/>
  <c r="T146" i="45"/>
  <c r="T52" i="45"/>
  <c r="T136" i="47" s="1"/>
  <c r="T58" i="45" a="1"/>
  <c r="T58" i="45" s="1"/>
  <c r="M149" i="45"/>
  <c r="U149" i="45"/>
  <c r="T137" i="45"/>
  <c r="U137" i="45"/>
  <c r="T16" i="4"/>
  <c r="U98" i="45"/>
  <c r="T98" i="45"/>
  <c r="Q77" i="35"/>
  <c r="O14" i="4"/>
  <c r="N18" i="4"/>
  <c r="N17" i="4"/>
  <c r="M9" i="40"/>
  <c r="M9" i="33"/>
  <c r="M25" i="33" s="1"/>
  <c r="M9" i="44"/>
  <c r="O71" i="37"/>
  <c r="S70" i="37"/>
  <c r="R70" i="37"/>
  <c r="O72" i="37"/>
  <c r="P71" i="37"/>
  <c r="T580" i="43" l="1"/>
  <c r="T28" i="48"/>
  <c r="T32" i="48"/>
  <c r="N53" i="47" s="1"/>
  <c r="T31" i="48"/>
  <c r="T30" i="48"/>
  <c r="T33" i="48"/>
  <c r="AC707" i="43"/>
  <c r="T358" i="43"/>
  <c r="T327" i="43"/>
  <c r="T649" i="43"/>
  <c r="T524" i="43"/>
  <c r="T669" i="43"/>
  <c r="U130" i="47"/>
  <c r="M172" i="45"/>
  <c r="M179" i="45"/>
  <c r="M242" i="44"/>
  <c r="M193" i="45"/>
  <c r="M50" i="45"/>
  <c r="M38" i="45"/>
  <c r="M140" i="45"/>
  <c r="A130" i="47"/>
  <c r="T140" i="47"/>
  <c r="T149" i="45"/>
  <c r="A149" i="45" s="1"/>
  <c r="T129" i="47"/>
  <c r="T127" i="47"/>
  <c r="M100" i="47"/>
  <c r="M134" i="47"/>
  <c r="T29" i="48"/>
  <c r="M115" i="45"/>
  <c r="M101" i="45"/>
  <c r="M76" i="45"/>
  <c r="M152" i="45"/>
  <c r="M89" i="45"/>
  <c r="M28" i="47"/>
  <c r="M42" i="47" s="1"/>
  <c r="M60" i="47" s="1"/>
  <c r="M51" i="47"/>
  <c r="M58" i="47" s="1"/>
  <c r="S35" i="48"/>
  <c r="M44" i="47" s="1"/>
  <c r="M128" i="45"/>
  <c r="M67" i="47"/>
  <c r="M16" i="47"/>
  <c r="M49" i="47"/>
  <c r="M26" i="47"/>
  <c r="M83" i="47"/>
  <c r="N8" i="45"/>
  <c r="N171" i="45" s="1"/>
  <c r="A137" i="45"/>
  <c r="U16" i="4"/>
  <c r="A98" i="45"/>
  <c r="M63" i="44"/>
  <c r="M78" i="44"/>
  <c r="M47" i="44"/>
  <c r="N19" i="4"/>
  <c r="T582" i="43" s="1"/>
  <c r="S77" i="35"/>
  <c r="M71" i="33"/>
  <c r="M113" i="33"/>
  <c r="M82" i="33"/>
  <c r="R77" i="35"/>
  <c r="O15" i="4"/>
  <c r="M92" i="40"/>
  <c r="M73" i="40"/>
  <c r="P72" i="37"/>
  <c r="Q71" i="37"/>
  <c r="AC708" i="43" l="1"/>
  <c r="N52" i="47"/>
  <c r="T651" i="43"/>
  <c r="T526" i="43"/>
  <c r="M283" i="43"/>
  <c r="T330" i="43"/>
  <c r="T360" i="43"/>
  <c r="M58" i="43"/>
  <c r="T671" i="43"/>
  <c r="T339" i="43"/>
  <c r="T333" i="43"/>
  <c r="T340" i="43"/>
  <c r="T335" i="43"/>
  <c r="T347" i="43"/>
  <c r="T336" i="43"/>
  <c r="T334" i="43"/>
  <c r="T346" i="43"/>
  <c r="T343" i="43"/>
  <c r="T338" i="43"/>
  <c r="T332" i="43"/>
  <c r="T344" i="43"/>
  <c r="T342" i="43"/>
  <c r="T345" i="43"/>
  <c r="T341" i="43"/>
  <c r="T337" i="43"/>
  <c r="T130" i="47"/>
  <c r="N54" i="47"/>
  <c r="M45" i="47"/>
  <c r="M61" i="47"/>
  <c r="N55" i="47"/>
  <c r="N34" i="47"/>
  <c r="T27" i="48"/>
  <c r="T37" i="48"/>
  <c r="Q35" i="48"/>
  <c r="N9" i="45"/>
  <c r="N179" i="45" s="1"/>
  <c r="N9" i="47"/>
  <c r="N147" i="47" s="1"/>
  <c r="V16" i="4"/>
  <c r="P14" i="4"/>
  <c r="O18" i="4"/>
  <c r="O17" i="4"/>
  <c r="N9" i="40"/>
  <c r="N9" i="33"/>
  <c r="N9" i="44"/>
  <c r="S71" i="37"/>
  <c r="O65" i="37"/>
  <c r="R71" i="37"/>
  <c r="Q72" i="37"/>
  <c r="O66" i="37"/>
  <c r="P66" i="37"/>
  <c r="U580" i="43" l="1"/>
  <c r="AC709" i="43"/>
  <c r="I184" i="43"/>
  <c r="I183" i="43"/>
  <c r="U358" i="43"/>
  <c r="U327" i="43"/>
  <c r="U524" i="43"/>
  <c r="U649" i="43"/>
  <c r="U669" i="43"/>
  <c r="M285" i="43"/>
  <c r="I185" i="43"/>
  <c r="N50" i="45"/>
  <c r="I186" i="43"/>
  <c r="M60" i="43"/>
  <c r="I182" i="43"/>
  <c r="M59" i="43"/>
  <c r="I180" i="43"/>
  <c r="M284" i="43"/>
  <c r="I181" i="43"/>
  <c r="N242" i="44"/>
  <c r="N193" i="45"/>
  <c r="N38" i="45"/>
  <c r="N172" i="45"/>
  <c r="N140" i="45"/>
  <c r="N100" i="47"/>
  <c r="N134" i="47"/>
  <c r="N76" i="45"/>
  <c r="N62" i="45"/>
  <c r="N128" i="45"/>
  <c r="N152" i="45"/>
  <c r="N89" i="45"/>
  <c r="N101" i="45"/>
  <c r="N28" i="47"/>
  <c r="N42" i="47" s="1"/>
  <c r="N60" i="47" s="1"/>
  <c r="N51" i="47"/>
  <c r="N58" i="47" s="1"/>
  <c r="T35" i="48"/>
  <c r="N44" i="47" s="1"/>
  <c r="N115" i="45"/>
  <c r="N83" i="47"/>
  <c r="N16" i="47"/>
  <c r="N67" i="47"/>
  <c r="N49" i="47"/>
  <c r="N26" i="47"/>
  <c r="O37" i="34"/>
  <c r="W16" i="4"/>
  <c r="N63" i="44"/>
  <c r="N78" i="44"/>
  <c r="N47" i="44"/>
  <c r="N71" i="33"/>
  <c r="N113" i="33"/>
  <c r="N82" i="33"/>
  <c r="N25" i="33"/>
  <c r="P15" i="4"/>
  <c r="N73" i="40"/>
  <c r="N92" i="40"/>
  <c r="O8" i="45"/>
  <c r="O171" i="45" s="1"/>
  <c r="O19" i="4"/>
  <c r="P73" i="35"/>
  <c r="P65" i="37"/>
  <c r="R72" i="37"/>
  <c r="O69" i="37"/>
  <c r="Q66" i="37"/>
  <c r="O73" i="35"/>
  <c r="S72" i="37"/>
  <c r="U582" i="43" l="1"/>
  <c r="M232" i="43"/>
  <c r="M250" i="43"/>
  <c r="AC710" i="43"/>
  <c r="M170" i="47"/>
  <c r="N170" i="47"/>
  <c r="M171" i="47"/>
  <c r="N171" i="47"/>
  <c r="U346" i="43"/>
  <c r="U333" i="43"/>
  <c r="U332" i="43"/>
  <c r="U347" i="43"/>
  <c r="N283" i="43"/>
  <c r="U360" i="43"/>
  <c r="AG330" i="43"/>
  <c r="U671" i="43"/>
  <c r="N58" i="43"/>
  <c r="U330" i="43"/>
  <c r="U651" i="43"/>
  <c r="U526" i="43"/>
  <c r="M76" i="43"/>
  <c r="AA330" i="43"/>
  <c r="T38" i="48"/>
  <c r="E186" i="43"/>
  <c r="N61" i="47"/>
  <c r="E183" i="43"/>
  <c r="O32" i="34"/>
  <c r="O54" i="35" s="1"/>
  <c r="E180" i="43"/>
  <c r="E185" i="43"/>
  <c r="E182" i="43"/>
  <c r="E184" i="43"/>
  <c r="O33" i="34"/>
  <c r="O55" i="35" s="1"/>
  <c r="E181" i="43"/>
  <c r="N45" i="47"/>
  <c r="O9" i="47"/>
  <c r="X16" i="4"/>
  <c r="Q14" i="4"/>
  <c r="P18" i="4"/>
  <c r="P17" i="4"/>
  <c r="O59" i="35"/>
  <c r="O9" i="45"/>
  <c r="O9" i="40"/>
  <c r="O9" i="35"/>
  <c r="O9" i="37"/>
  <c r="O16" i="37" s="1"/>
  <c r="O9" i="39"/>
  <c r="O9" i="38"/>
  <c r="O9" i="34"/>
  <c r="O9" i="44"/>
  <c r="O9" i="33"/>
  <c r="O9" i="32"/>
  <c r="O9" i="31"/>
  <c r="Q73" i="35"/>
  <c r="R66" i="37"/>
  <c r="Q65" i="37"/>
  <c r="S66" i="37"/>
  <c r="O72" i="35"/>
  <c r="P67" i="37"/>
  <c r="O67" i="37"/>
  <c r="O74" i="37"/>
  <c r="O68" i="37"/>
  <c r="P33" i="34" l="1"/>
  <c r="AC711" i="43"/>
  <c r="V327" i="43"/>
  <c r="V332" i="43" s="1"/>
  <c r="AA347" i="43"/>
  <c r="AG347" i="43" s="1"/>
  <c r="AA332" i="43"/>
  <c r="N59" i="43"/>
  <c r="J180" i="43"/>
  <c r="J181" i="43"/>
  <c r="AA333" i="43"/>
  <c r="AG333" i="43" s="1"/>
  <c r="N284" i="43"/>
  <c r="AA346" i="43"/>
  <c r="AG346" i="43" s="1"/>
  <c r="O172" i="45"/>
  <c r="O179" i="45"/>
  <c r="O242" i="44"/>
  <c r="O193" i="45"/>
  <c r="O140" i="45"/>
  <c r="O134" i="47"/>
  <c r="O147" i="47"/>
  <c r="O83" i="47"/>
  <c r="O100" i="47"/>
  <c r="O26" i="47"/>
  <c r="O67" i="47"/>
  <c r="O16" i="47"/>
  <c r="O49" i="47"/>
  <c r="P37" i="34"/>
  <c r="O101" i="45"/>
  <c r="O152" i="45"/>
  <c r="O62" i="45"/>
  <c r="O38" i="45"/>
  <c r="Y16" i="4"/>
  <c r="O50" i="45"/>
  <c r="O115" i="45"/>
  <c r="O128" i="45"/>
  <c r="O63" i="44"/>
  <c r="O78" i="44"/>
  <c r="O47" i="44"/>
  <c r="O76" i="45"/>
  <c r="O89" i="45"/>
  <c r="O37" i="37"/>
  <c r="O25" i="37"/>
  <c r="O80" i="37"/>
  <c r="O96" i="37"/>
  <c r="O55" i="37"/>
  <c r="O63" i="37"/>
  <c r="O39" i="35"/>
  <c r="Q74" i="37"/>
  <c r="O52" i="31"/>
  <c r="O18" i="31"/>
  <c r="O32" i="31"/>
  <c r="O88" i="35"/>
  <c r="O70" i="35"/>
  <c r="O52" i="35"/>
  <c r="O32" i="35"/>
  <c r="O20" i="35"/>
  <c r="O52" i="32"/>
  <c r="O32" i="32"/>
  <c r="O18" i="32"/>
  <c r="O44" i="40"/>
  <c r="O33" i="40"/>
  <c r="O136" i="40"/>
  <c r="O116" i="40"/>
  <c r="O104" i="40"/>
  <c r="O189" i="40"/>
  <c r="O178" i="40"/>
  <c r="O92" i="40"/>
  <c r="O73" i="40"/>
  <c r="O167" i="40"/>
  <c r="O60" i="40"/>
  <c r="O151" i="40"/>
  <c r="O200" i="40"/>
  <c r="O71" i="33"/>
  <c r="O25" i="33"/>
  <c r="O113" i="33"/>
  <c r="O82" i="33"/>
  <c r="O132" i="33"/>
  <c r="O41" i="33"/>
  <c r="O100" i="39"/>
  <c r="O42" i="39"/>
  <c r="O82" i="39"/>
  <c r="O24" i="39"/>
  <c r="P8" i="45"/>
  <c r="P171" i="45" s="1"/>
  <c r="P19" i="4"/>
  <c r="O47" i="34"/>
  <c r="O30" i="34"/>
  <c r="O18" i="34"/>
  <c r="O70" i="34"/>
  <c r="Q15" i="4"/>
  <c r="O42" i="38"/>
  <c r="O56" i="38"/>
  <c r="O19" i="38"/>
  <c r="O28" i="38"/>
  <c r="O35" i="35"/>
  <c r="P68" i="37"/>
  <c r="S73" i="35"/>
  <c r="Q68" i="37"/>
  <c r="Q67" i="37"/>
  <c r="Q69" i="37"/>
  <c r="P69" i="37"/>
  <c r="O34" i="35"/>
  <c r="P72" i="35"/>
  <c r="O75" i="37"/>
  <c r="R65" i="37"/>
  <c r="R73" i="35"/>
  <c r="P74" i="37"/>
  <c r="V347" i="43" l="1"/>
  <c r="AB347" i="43" s="1"/>
  <c r="AH347" i="43" s="1"/>
  <c r="V333" i="43"/>
  <c r="AB333" i="43" s="1"/>
  <c r="AH333" i="43" s="1"/>
  <c r="N250" i="43"/>
  <c r="N232" i="43"/>
  <c r="AC712" i="43"/>
  <c r="V346" i="43"/>
  <c r="AB346" i="43" s="1"/>
  <c r="AH346" i="43" s="1"/>
  <c r="K180" i="43"/>
  <c r="K181" i="43"/>
  <c r="O59" i="43"/>
  <c r="AB332" i="43"/>
  <c r="O283" i="43"/>
  <c r="V330" i="43"/>
  <c r="AH330" i="43"/>
  <c r="O58" i="43"/>
  <c r="AB330" i="43"/>
  <c r="N76" i="43"/>
  <c r="AG332" i="43"/>
  <c r="M77" i="43" s="1"/>
  <c r="P9" i="47"/>
  <c r="P32" i="34"/>
  <c r="Z16" i="4"/>
  <c r="P59" i="35"/>
  <c r="P39" i="35" s="1"/>
  <c r="Q18" i="4"/>
  <c r="Q17" i="4"/>
  <c r="R14" i="4"/>
  <c r="P9" i="45"/>
  <c r="P9" i="40"/>
  <c r="P9" i="35"/>
  <c r="P9" i="33"/>
  <c r="P9" i="37"/>
  <c r="P16" i="37" s="1"/>
  <c r="P9" i="39"/>
  <c r="P9" i="44"/>
  <c r="P9" i="38"/>
  <c r="P9" i="34"/>
  <c r="P9" i="32"/>
  <c r="P9" i="31"/>
  <c r="P55" i="35"/>
  <c r="R74" i="37"/>
  <c r="R69" i="37"/>
  <c r="S65" i="37"/>
  <c r="S67" i="37"/>
  <c r="Q72" i="35"/>
  <c r="P75" i="37"/>
  <c r="R68" i="37"/>
  <c r="R67" i="37"/>
  <c r="Q75" i="37"/>
  <c r="O284" i="43" l="1"/>
  <c r="O50" i="38"/>
  <c r="O47" i="38"/>
  <c r="AC713" i="43"/>
  <c r="W327" i="43"/>
  <c r="W346" i="43" s="1"/>
  <c r="L181" i="43"/>
  <c r="L180" i="43"/>
  <c r="AH332" i="43"/>
  <c r="N77" i="43" s="1"/>
  <c r="P172" i="45"/>
  <c r="P179" i="45"/>
  <c r="P242" i="44"/>
  <c r="P193" i="45"/>
  <c r="P140" i="45"/>
  <c r="P134" i="47"/>
  <c r="P147" i="47"/>
  <c r="P83" i="47"/>
  <c r="P100" i="47"/>
  <c r="P67" i="47"/>
  <c r="P26" i="47"/>
  <c r="P16" i="47"/>
  <c r="P49" i="47"/>
  <c r="P54" i="35"/>
  <c r="P34" i="35" s="1"/>
  <c r="Q37" i="34"/>
  <c r="P101" i="45"/>
  <c r="P152" i="45"/>
  <c r="P62" i="45"/>
  <c r="P38" i="45"/>
  <c r="AA16" i="4"/>
  <c r="P50" i="45"/>
  <c r="P115" i="45"/>
  <c r="P128" i="45"/>
  <c r="P63" i="44"/>
  <c r="P78" i="44"/>
  <c r="P47" i="44"/>
  <c r="P76" i="45"/>
  <c r="P89" i="45"/>
  <c r="S74" i="37"/>
  <c r="P18" i="32"/>
  <c r="P32" i="32"/>
  <c r="P52" i="32"/>
  <c r="P136" i="40"/>
  <c r="P116" i="40"/>
  <c r="P104" i="40"/>
  <c r="P189" i="40"/>
  <c r="P178" i="40"/>
  <c r="P92" i="40"/>
  <c r="P73" i="40"/>
  <c r="P200" i="40"/>
  <c r="P167" i="40"/>
  <c r="P33" i="40"/>
  <c r="P151" i="40"/>
  <c r="P44" i="40"/>
  <c r="P60" i="40"/>
  <c r="P47" i="34"/>
  <c r="P30" i="34"/>
  <c r="P18" i="34"/>
  <c r="P70" i="34"/>
  <c r="P42" i="38"/>
  <c r="P56" i="38"/>
  <c r="P28" i="38"/>
  <c r="P19" i="38"/>
  <c r="P100" i="39"/>
  <c r="P42" i="39"/>
  <c r="P82" i="39"/>
  <c r="P24" i="39"/>
  <c r="Q8" i="45"/>
  <c r="Q171" i="45" s="1"/>
  <c r="Q19" i="4"/>
  <c r="P35" i="35"/>
  <c r="P37" i="37"/>
  <c r="P25" i="37"/>
  <c r="P80" i="37"/>
  <c r="P96" i="37"/>
  <c r="P55" i="37"/>
  <c r="P63" i="37"/>
  <c r="P113" i="33"/>
  <c r="P41" i="33"/>
  <c r="P71" i="33"/>
  <c r="P82" i="33"/>
  <c r="P25" i="33"/>
  <c r="P132" i="33"/>
  <c r="R15" i="4"/>
  <c r="P18" i="31"/>
  <c r="P32" i="31"/>
  <c r="P52" i="31"/>
  <c r="P70" i="35"/>
  <c r="P52" i="35"/>
  <c r="P32" i="35"/>
  <c r="P88" i="35"/>
  <c r="P20" i="35"/>
  <c r="R72" i="35"/>
  <c r="S68" i="37"/>
  <c r="R75" i="37"/>
  <c r="S69" i="37"/>
  <c r="S72" i="35"/>
  <c r="O46" i="38" l="1"/>
  <c r="O45" i="38"/>
  <c r="O48" i="38"/>
  <c r="O51" i="38"/>
  <c r="O49" i="38"/>
  <c r="O44" i="38"/>
  <c r="O124" i="33"/>
  <c r="Q33" i="34"/>
  <c r="Q55" i="35" s="1"/>
  <c r="O232" i="43"/>
  <c r="O250" i="43"/>
  <c r="AC714" i="43"/>
  <c r="W333" i="43"/>
  <c r="P284" i="43" s="1"/>
  <c r="W347" i="43"/>
  <c r="AC347" i="43" s="1"/>
  <c r="AI347" i="43" s="1"/>
  <c r="W332" i="43"/>
  <c r="P59" i="43" s="1"/>
  <c r="AC346" i="43"/>
  <c r="AI346" i="43" s="1"/>
  <c r="AI330" i="43"/>
  <c r="W330" i="43"/>
  <c r="P58" i="43"/>
  <c r="O76" i="43"/>
  <c r="P283" i="43"/>
  <c r="AC330" i="43"/>
  <c r="Q9" i="47"/>
  <c r="Q26" i="47" s="1"/>
  <c r="Q32" i="34"/>
  <c r="AB16" i="4"/>
  <c r="Q9" i="45"/>
  <c r="Q9" i="40"/>
  <c r="Q9" i="35"/>
  <c r="Q9" i="37"/>
  <c r="Q16" i="37" s="1"/>
  <c r="Q9" i="39"/>
  <c r="Q9" i="44"/>
  <c r="Q9" i="32"/>
  <c r="Q9" i="38"/>
  <c r="Q9" i="34"/>
  <c r="Q9" i="31"/>
  <c r="Q9" i="33"/>
  <c r="R17" i="4"/>
  <c r="S14" i="4"/>
  <c r="R18" i="4"/>
  <c r="Q59" i="35"/>
  <c r="Q39" i="35" s="1"/>
  <c r="S75" i="37"/>
  <c r="A75" i="37" s="1"/>
  <c r="AC715" i="43" l="1"/>
  <c r="AC333" i="43"/>
  <c r="AI333" i="43" s="1"/>
  <c r="AC332" i="43"/>
  <c r="AI332" i="43" s="1"/>
  <c r="O77" i="43" s="1"/>
  <c r="X327" i="43"/>
  <c r="X332" i="43" s="1"/>
  <c r="Q67" i="47"/>
  <c r="Q172" i="45"/>
  <c r="Q179" i="45"/>
  <c r="Q242" i="44"/>
  <c r="Q193" i="45"/>
  <c r="Q140" i="45"/>
  <c r="Q134" i="47"/>
  <c r="Q147" i="47"/>
  <c r="Q16" i="47"/>
  <c r="Q83" i="47"/>
  <c r="Q100" i="47"/>
  <c r="Q49" i="47"/>
  <c r="Q54" i="35"/>
  <c r="Q34" i="35" s="1"/>
  <c r="R37" i="34"/>
  <c r="Q101" i="45"/>
  <c r="Q152" i="45"/>
  <c r="Q62" i="45"/>
  <c r="Q38" i="45"/>
  <c r="AC16" i="4"/>
  <c r="Q50" i="45"/>
  <c r="Q115" i="45"/>
  <c r="Q128" i="45"/>
  <c r="Q63" i="44"/>
  <c r="Q78" i="44"/>
  <c r="Q47" i="44"/>
  <c r="Q76" i="45"/>
  <c r="Q89" i="45"/>
  <c r="Q56" i="38"/>
  <c r="Q28" i="38"/>
  <c r="Q19" i="38"/>
  <c r="Q42" i="38"/>
  <c r="Q52" i="32"/>
  <c r="Q32" i="32"/>
  <c r="Q18" i="32"/>
  <c r="Q25" i="37"/>
  <c r="Q80" i="37"/>
  <c r="Q96" i="37"/>
  <c r="Q55" i="37"/>
  <c r="Q63" i="37"/>
  <c r="Q37" i="37"/>
  <c r="S15" i="4"/>
  <c r="Q113" i="33"/>
  <c r="Q82" i="33"/>
  <c r="Q41" i="33"/>
  <c r="Q25" i="33"/>
  <c r="Q71" i="33"/>
  <c r="Q132" i="33"/>
  <c r="Q32" i="35"/>
  <c r="Q20" i="35"/>
  <c r="Q70" i="35"/>
  <c r="Q88" i="35"/>
  <c r="Q52" i="35"/>
  <c r="Q35" i="35"/>
  <c r="Q82" i="39"/>
  <c r="Q42" i="39"/>
  <c r="Q100" i="39"/>
  <c r="Q24" i="39"/>
  <c r="R8" i="45"/>
  <c r="R171" i="45" s="1"/>
  <c r="R19" i="4"/>
  <c r="Q32" i="31"/>
  <c r="Q52" i="31"/>
  <c r="Q18" i="31"/>
  <c r="Q104" i="40"/>
  <c r="Q189" i="40"/>
  <c r="Q178" i="40"/>
  <c r="Q92" i="40"/>
  <c r="Q73" i="40"/>
  <c r="Q200" i="40"/>
  <c r="Q167" i="40"/>
  <c r="Q151" i="40"/>
  <c r="Q60" i="40"/>
  <c r="Q116" i="40"/>
  <c r="Q33" i="40"/>
  <c r="Q136" i="40"/>
  <c r="Q44" i="40"/>
  <c r="Q47" i="34"/>
  <c r="Q30" i="34"/>
  <c r="Q18" i="34"/>
  <c r="Q70" i="34"/>
  <c r="X347" i="43" l="1"/>
  <c r="AD347" i="43" s="1"/>
  <c r="AJ347" i="43" s="1"/>
  <c r="P46" i="38"/>
  <c r="P49" i="38"/>
  <c r="P51" i="38"/>
  <c r="P48" i="38"/>
  <c r="P50" i="38"/>
  <c r="P45" i="38"/>
  <c r="P47" i="38"/>
  <c r="P44" i="38"/>
  <c r="P124" i="33"/>
  <c r="P232" i="43"/>
  <c r="P250" i="43"/>
  <c r="R33" i="34"/>
  <c r="R55" i="35" s="1"/>
  <c r="AC716" i="43"/>
  <c r="X333" i="43"/>
  <c r="AD333" i="43" s="1"/>
  <c r="AJ333" i="43" s="1"/>
  <c r="X346" i="43"/>
  <c r="AD346" i="43" s="1"/>
  <c r="AJ346" i="43" s="1"/>
  <c r="Q58" i="43"/>
  <c r="X330" i="43"/>
  <c r="AD330" i="43"/>
  <c r="P76" i="43"/>
  <c r="Q283" i="43"/>
  <c r="AJ330" i="43"/>
  <c r="Q59" i="43"/>
  <c r="AD332" i="43"/>
  <c r="R9" i="47"/>
  <c r="R32" i="34"/>
  <c r="R54" i="35" s="1"/>
  <c r="AD16" i="4"/>
  <c r="R9" i="45"/>
  <c r="R9" i="35"/>
  <c r="R9" i="39"/>
  <c r="R9" i="40"/>
  <c r="R9" i="44"/>
  <c r="R9" i="38"/>
  <c r="R9" i="31"/>
  <c r="R9" i="33"/>
  <c r="R9" i="32"/>
  <c r="R9" i="37"/>
  <c r="R16" i="37" s="1"/>
  <c r="R9" i="34"/>
  <c r="G10" i="41"/>
  <c r="S17" i="4"/>
  <c r="T14" i="4"/>
  <c r="S18" i="4"/>
  <c r="R59" i="35"/>
  <c r="R39" i="35" s="1"/>
  <c r="Q47" i="38" l="1"/>
  <c r="Q51" i="38"/>
  <c r="Q50" i="38"/>
  <c r="Q45" i="38"/>
  <c r="Q48" i="38"/>
  <c r="AC717" i="43"/>
  <c r="Q284" i="43"/>
  <c r="Y327" i="43"/>
  <c r="Y347" i="43" s="1"/>
  <c r="AE347" i="43" s="1"/>
  <c r="AK347" i="43" s="1"/>
  <c r="F180" i="43"/>
  <c r="AJ332" i="43"/>
  <c r="P77" i="43" s="1"/>
  <c r="R172" i="45"/>
  <c r="R179" i="45"/>
  <c r="R242" i="44"/>
  <c r="R193" i="45"/>
  <c r="R140" i="45"/>
  <c r="R134" i="47"/>
  <c r="R147" i="47"/>
  <c r="R83" i="47"/>
  <c r="R100" i="47"/>
  <c r="R67" i="47"/>
  <c r="R26" i="47"/>
  <c r="R16" i="47"/>
  <c r="R49" i="47"/>
  <c r="S37" i="34"/>
  <c r="R101" i="45"/>
  <c r="R152" i="45"/>
  <c r="R38" i="45"/>
  <c r="R62" i="45"/>
  <c r="T15" i="4"/>
  <c r="AE16" i="4"/>
  <c r="R50" i="45"/>
  <c r="R128" i="45"/>
  <c r="R115" i="45"/>
  <c r="R63" i="44"/>
  <c r="R78" i="44"/>
  <c r="R47" i="44"/>
  <c r="R76" i="45"/>
  <c r="R89" i="45"/>
  <c r="R189" i="40"/>
  <c r="R178" i="40"/>
  <c r="R92" i="40"/>
  <c r="R73" i="40"/>
  <c r="R200" i="40"/>
  <c r="R167" i="40"/>
  <c r="R151" i="40"/>
  <c r="R60" i="40"/>
  <c r="R44" i="40"/>
  <c r="R33" i="40"/>
  <c r="R104" i="40"/>
  <c r="R116" i="40"/>
  <c r="R136" i="40"/>
  <c r="R47" i="34"/>
  <c r="R30" i="34"/>
  <c r="R18" i="34"/>
  <c r="R70" i="34"/>
  <c r="R100" i="39"/>
  <c r="R42" i="39"/>
  <c r="R24" i="39"/>
  <c r="R82" i="39"/>
  <c r="R35" i="35"/>
  <c r="R34" i="35"/>
  <c r="R18" i="32"/>
  <c r="R52" i="32"/>
  <c r="R32" i="32"/>
  <c r="R80" i="37"/>
  <c r="R96" i="37"/>
  <c r="R55" i="37"/>
  <c r="R63" i="37"/>
  <c r="R25" i="37"/>
  <c r="R37" i="37"/>
  <c r="R41" i="33"/>
  <c r="R113" i="33"/>
  <c r="R82" i="33"/>
  <c r="R25" i="33"/>
  <c r="R132" i="33"/>
  <c r="R71" i="33"/>
  <c r="R20" i="35"/>
  <c r="R88" i="35"/>
  <c r="R32" i="35"/>
  <c r="R52" i="35"/>
  <c r="R70" i="35"/>
  <c r="S8" i="45"/>
  <c r="S171" i="45" s="1"/>
  <c r="S19" i="4"/>
  <c r="R18" i="31"/>
  <c r="R32" i="31"/>
  <c r="R52" i="31"/>
  <c r="R56" i="38"/>
  <c r="R28" i="38"/>
  <c r="R19" i="38"/>
  <c r="R42" i="38"/>
  <c r="Q46" i="38" l="1"/>
  <c r="Q49" i="38"/>
  <c r="Q44" i="38"/>
  <c r="Q124" i="33"/>
  <c r="Q232" i="43"/>
  <c r="Q250" i="43"/>
  <c r="AC718" i="43"/>
  <c r="Y333" i="43"/>
  <c r="AE333" i="43" s="1"/>
  <c r="AK333" i="43" s="1"/>
  <c r="Y346" i="43"/>
  <c r="AE346" i="43" s="1"/>
  <c r="AK346" i="43" s="1"/>
  <c r="Y332" i="43"/>
  <c r="AE332" i="43" s="1"/>
  <c r="R58" i="43"/>
  <c r="Q76" i="43"/>
  <c r="Y330" i="43"/>
  <c r="R283" i="43"/>
  <c r="AK330" i="43"/>
  <c r="AE330" i="43"/>
  <c r="F182" i="43"/>
  <c r="F183" i="43"/>
  <c r="F186" i="43"/>
  <c r="F184" i="43"/>
  <c r="F185" i="43"/>
  <c r="S33" i="34"/>
  <c r="S55" i="35" s="1"/>
  <c r="F181" i="43"/>
  <c r="S9" i="47"/>
  <c r="T17" i="4"/>
  <c r="S32" i="34"/>
  <c r="T18" i="4"/>
  <c r="AF16" i="4"/>
  <c r="U14" i="4"/>
  <c r="S59" i="35"/>
  <c r="S39" i="35" s="1"/>
  <c r="S9" i="45"/>
  <c r="S9" i="35"/>
  <c r="S9" i="39"/>
  <c r="S9" i="40"/>
  <c r="S9" i="44"/>
  <c r="S9" i="32"/>
  <c r="S9" i="38"/>
  <c r="S9" i="34"/>
  <c r="S9" i="33"/>
  <c r="S9" i="31"/>
  <c r="S9" i="37"/>
  <c r="S16" i="37" s="1"/>
  <c r="AC719" i="43" l="1"/>
  <c r="R284" i="43"/>
  <c r="R59" i="43"/>
  <c r="AK332" i="43"/>
  <c r="Q77" i="43" s="1"/>
  <c r="S172" i="45"/>
  <c r="S179" i="45"/>
  <c r="S242" i="44"/>
  <c r="S193" i="45"/>
  <c r="S140" i="45"/>
  <c r="S134" i="47"/>
  <c r="S147" i="47"/>
  <c r="S83" i="47"/>
  <c r="S100" i="47"/>
  <c r="S67" i="47"/>
  <c r="S26" i="47"/>
  <c r="S49" i="47"/>
  <c r="S16" i="47"/>
  <c r="S54" i="35"/>
  <c r="S34" i="35" s="1"/>
  <c r="S101" i="45"/>
  <c r="S152" i="45"/>
  <c r="S38" i="45"/>
  <c r="S62" i="45"/>
  <c r="U15" i="4"/>
  <c r="AG16" i="4"/>
  <c r="T19" i="4"/>
  <c r="T9" i="47" s="1"/>
  <c r="T8" i="45"/>
  <c r="T171" i="45" s="1"/>
  <c r="S50" i="45"/>
  <c r="S128" i="45"/>
  <c r="S115" i="45"/>
  <c r="S63" i="44"/>
  <c r="S78" i="44"/>
  <c r="S47" i="44"/>
  <c r="S76" i="45"/>
  <c r="S89" i="45"/>
  <c r="S32" i="31"/>
  <c r="S52" i="31"/>
  <c r="S18" i="31"/>
  <c r="S20" i="35"/>
  <c r="S88" i="35"/>
  <c r="S70" i="35"/>
  <c r="S52" i="35"/>
  <c r="S32" i="35"/>
  <c r="S96" i="37"/>
  <c r="S63" i="37"/>
  <c r="S55" i="37"/>
  <c r="S25" i="37"/>
  <c r="S37" i="37"/>
  <c r="S80" i="37"/>
  <c r="S132" i="33"/>
  <c r="S82" i="33"/>
  <c r="S25" i="33"/>
  <c r="S113" i="33"/>
  <c r="S41" i="33"/>
  <c r="S71" i="33"/>
  <c r="S189" i="40"/>
  <c r="S178" i="40"/>
  <c r="S92" i="40"/>
  <c r="S73" i="40"/>
  <c r="S200" i="40"/>
  <c r="S167" i="40"/>
  <c r="S151" i="40"/>
  <c r="S60" i="40"/>
  <c r="S44" i="40"/>
  <c r="S33" i="40"/>
  <c r="S136" i="40"/>
  <c r="S116" i="40"/>
  <c r="S104" i="40"/>
  <c r="S82" i="39"/>
  <c r="S24" i="39"/>
  <c r="S100" i="39"/>
  <c r="S42" i="39"/>
  <c r="S30" i="34"/>
  <c r="S18" i="34"/>
  <c r="S70" i="34"/>
  <c r="S47" i="34"/>
  <c r="S56" i="38"/>
  <c r="S28" i="38"/>
  <c r="S19" i="38"/>
  <c r="S42" i="38"/>
  <c r="S52" i="32"/>
  <c r="S32" i="32"/>
  <c r="S18" i="32"/>
  <c r="S35" i="35"/>
  <c r="R47" i="38" l="1"/>
  <c r="R45" i="38"/>
  <c r="R50" i="38"/>
  <c r="R48" i="38"/>
  <c r="R49" i="38"/>
  <c r="R51" i="38"/>
  <c r="R46" i="38"/>
  <c r="R44" i="38"/>
  <c r="R124" i="33"/>
  <c r="AC720" i="43"/>
  <c r="T100" i="47"/>
  <c r="T134" i="47"/>
  <c r="T147" i="47"/>
  <c r="A136" i="33" a="1"/>
  <c r="A136" i="33" s="1"/>
  <c r="A146" i="33" a="1"/>
  <c r="A146" i="33" s="1"/>
  <c r="A142" i="33" a="1"/>
  <c r="A142" i="33" s="1"/>
  <c r="A151" i="33" a="1"/>
  <c r="A151" i="33" s="1"/>
  <c r="A138" i="33" a="1"/>
  <c r="A138" i="33" s="1"/>
  <c r="A150" i="33" a="1"/>
  <c r="A150" i="33" s="1"/>
  <c r="A134" i="33" a="1"/>
  <c r="A134" i="33" s="1"/>
  <c r="A155" i="33" a="1"/>
  <c r="A155" i="33" s="1"/>
  <c r="T9" i="45"/>
  <c r="T9" i="44"/>
  <c r="T193" i="45" s="1"/>
  <c r="AH16" i="4"/>
  <c r="V14" i="4"/>
  <c r="U18" i="4"/>
  <c r="U17" i="4"/>
  <c r="S45" i="38" l="1"/>
  <c r="S48" i="38"/>
  <c r="S47" i="38"/>
  <c r="AC721" i="43"/>
  <c r="A1" i="33"/>
  <c r="H20" i="25" s="1"/>
  <c r="T172" i="45"/>
  <c r="T179" i="45"/>
  <c r="T242" i="44"/>
  <c r="T140" i="45"/>
  <c r="T101" i="45"/>
  <c r="T152" i="45"/>
  <c r="T38" i="45"/>
  <c r="T62" i="45"/>
  <c r="U19" i="4"/>
  <c r="U9" i="47" s="1"/>
  <c r="U8" i="45"/>
  <c r="U171" i="45" s="1"/>
  <c r="V15" i="4"/>
  <c r="AI16" i="4"/>
  <c r="T128" i="45"/>
  <c r="T50" i="45"/>
  <c r="T89" i="45"/>
  <c r="S51" i="38" l="1"/>
  <c r="S46" i="38"/>
  <c r="S50" i="38"/>
  <c r="S49" i="38"/>
  <c r="S44" i="38"/>
  <c r="S124" i="33"/>
  <c r="AC722" i="43"/>
  <c r="U100" i="47"/>
  <c r="U147" i="47"/>
  <c r="U134" i="47"/>
  <c r="W14" i="4"/>
  <c r="V18" i="4"/>
  <c r="V17" i="4"/>
  <c r="U9" i="44"/>
  <c r="U193" i="45" s="1"/>
  <c r="U9" i="45"/>
  <c r="AC723" i="43" l="1"/>
  <c r="U172" i="45"/>
  <c r="U179" i="45"/>
  <c r="U242" i="44"/>
  <c r="U140" i="45"/>
  <c r="U101" i="45"/>
  <c r="U152" i="45"/>
  <c r="U38" i="45"/>
  <c r="U62" i="45"/>
  <c r="U128" i="45"/>
  <c r="U50" i="45"/>
  <c r="U89" i="45"/>
  <c r="V19" i="4"/>
  <c r="V9" i="47" s="1"/>
  <c r="V8" i="45"/>
  <c r="V171" i="45" s="1"/>
  <c r="W15" i="4"/>
  <c r="AC724" i="43" l="1"/>
  <c r="V100" i="47"/>
  <c r="V147" i="47"/>
  <c r="V134" i="47"/>
  <c r="X14" i="4"/>
  <c r="W18" i="4"/>
  <c r="W17" i="4"/>
  <c r="V9" i="44"/>
  <c r="V193" i="45" s="1"/>
  <c r="V9" i="45"/>
  <c r="AC725" i="43" l="1"/>
  <c r="V172" i="45"/>
  <c r="V179" i="45"/>
  <c r="V140" i="45"/>
  <c r="V101" i="45"/>
  <c r="V152" i="45"/>
  <c r="V38" i="45"/>
  <c r="V62" i="45"/>
  <c r="V128" i="45"/>
  <c r="V50" i="45"/>
  <c r="V89" i="45"/>
  <c r="W19" i="4"/>
  <c r="W9" i="47" s="1"/>
  <c r="W8" i="45"/>
  <c r="W171" i="45" s="1"/>
  <c r="X15" i="4"/>
  <c r="AC726" i="43" l="1"/>
  <c r="W100" i="47"/>
  <c r="W134" i="47"/>
  <c r="W147" i="47"/>
  <c r="W9" i="45"/>
  <c r="W9" i="44"/>
  <c r="W193" i="45" s="1"/>
  <c r="Y14" i="4"/>
  <c r="X18" i="4"/>
  <c r="X17" i="4"/>
  <c r="AC727" i="43" l="1"/>
  <c r="W172" i="45"/>
  <c r="W179" i="45"/>
  <c r="W140" i="45"/>
  <c r="W101" i="45"/>
  <c r="W152" i="45"/>
  <c r="W62" i="45"/>
  <c r="W38" i="45"/>
  <c r="X19" i="4"/>
  <c r="X9" i="47" s="1"/>
  <c r="X8" i="45"/>
  <c r="X171" i="45" s="1"/>
  <c r="Y15" i="4"/>
  <c r="W89" i="45"/>
  <c r="W128" i="45"/>
  <c r="W50" i="45"/>
  <c r="AC728" i="43" l="1"/>
  <c r="X100" i="47"/>
  <c r="X147" i="47"/>
  <c r="X134" i="47"/>
  <c r="Y18" i="4"/>
  <c r="Y17" i="4"/>
  <c r="Z14" i="4"/>
  <c r="X9" i="44"/>
  <c r="X193" i="45" s="1"/>
  <c r="X9" i="45"/>
  <c r="AC729" i="43" l="1"/>
  <c r="X172" i="45"/>
  <c r="X179" i="45"/>
  <c r="X140" i="45"/>
  <c r="X101" i="45"/>
  <c r="X152" i="45"/>
  <c r="X38" i="45"/>
  <c r="X62" i="45"/>
  <c r="X50" i="45"/>
  <c r="X89" i="45"/>
  <c r="X128" i="45"/>
  <c r="Z15" i="4"/>
  <c r="Y19" i="4"/>
  <c r="Y9" i="47" s="1"/>
  <c r="Y8" i="45"/>
  <c r="Y171" i="45" s="1"/>
  <c r="AC730" i="43" l="1"/>
  <c r="Y100" i="47"/>
  <c r="Y147" i="47"/>
  <c r="Y134" i="47"/>
  <c r="Y9" i="44"/>
  <c r="Y193" i="45" s="1"/>
  <c r="Y9" i="45"/>
  <c r="Z17" i="4"/>
  <c r="AA14" i="4"/>
  <c r="Z18" i="4"/>
  <c r="AC731" i="43" l="1"/>
  <c r="Y172" i="45"/>
  <c r="Y179" i="45"/>
  <c r="Y140" i="45"/>
  <c r="Y101" i="45"/>
  <c r="Y152" i="45"/>
  <c r="Y62" i="45"/>
  <c r="Y38" i="45"/>
  <c r="AA15" i="4"/>
  <c r="Z19" i="4"/>
  <c r="Z9" i="47" s="1"/>
  <c r="Z8" i="45"/>
  <c r="Z171" i="45" s="1"/>
  <c r="Y89" i="45"/>
  <c r="Y128" i="45"/>
  <c r="Y50" i="45"/>
  <c r="AC732" i="43" l="1"/>
  <c r="Z100" i="47"/>
  <c r="Z147" i="47"/>
  <c r="Z134" i="47"/>
  <c r="Z9" i="44"/>
  <c r="Z193" i="45" s="1"/>
  <c r="Z9" i="45"/>
  <c r="AB14" i="4"/>
  <c r="AA18" i="4"/>
  <c r="AA17" i="4"/>
  <c r="AC733" i="43" l="1"/>
  <c r="Z172" i="45"/>
  <c r="Z179" i="45"/>
  <c r="Z140" i="45"/>
  <c r="Z101" i="45"/>
  <c r="Z152" i="45"/>
  <c r="Z38" i="45"/>
  <c r="Z62" i="45"/>
  <c r="AA19" i="4"/>
  <c r="AA9" i="47" s="1"/>
  <c r="AA8" i="45"/>
  <c r="AA171" i="45" s="1"/>
  <c r="AB15" i="4"/>
  <c r="Z128" i="45"/>
  <c r="Z50" i="45"/>
  <c r="Z89" i="45"/>
  <c r="AC734" i="43" l="1"/>
  <c r="AA100" i="47"/>
  <c r="AA147" i="47"/>
  <c r="AA134" i="47"/>
  <c r="AC14" i="4"/>
  <c r="AB18" i="4"/>
  <c r="AB17" i="4"/>
  <c r="AA9" i="44"/>
  <c r="AA193" i="45" s="1"/>
  <c r="AA9" i="45"/>
  <c r="AC735" i="43" l="1"/>
  <c r="AA172" i="45"/>
  <c r="AA179" i="45"/>
  <c r="AA140" i="45"/>
  <c r="AA101" i="45"/>
  <c r="AA152" i="45"/>
  <c r="AA38" i="45"/>
  <c r="AA62" i="45"/>
  <c r="AA128" i="45"/>
  <c r="AA89" i="45"/>
  <c r="AA50" i="45"/>
  <c r="AB19" i="4"/>
  <c r="AB9" i="47" s="1"/>
  <c r="AB8" i="45"/>
  <c r="AB171" i="45" s="1"/>
  <c r="AC15" i="4"/>
  <c r="AC736" i="43" l="1"/>
  <c r="AB100" i="47"/>
  <c r="AB147" i="47"/>
  <c r="AB134" i="47"/>
  <c r="AC17" i="4"/>
  <c r="AD14" i="4"/>
  <c r="AC18" i="4"/>
  <c r="AB9" i="44"/>
  <c r="AB193" i="45" s="1"/>
  <c r="AB9" i="45"/>
  <c r="AC737" i="43" l="1"/>
  <c r="AB172" i="45"/>
  <c r="AB179" i="45"/>
  <c r="AB140" i="45"/>
  <c r="AB101" i="45"/>
  <c r="AB152" i="45"/>
  <c r="AB38" i="45"/>
  <c r="AB62" i="45"/>
  <c r="AD15" i="4"/>
  <c r="AB128" i="45"/>
  <c r="AB50" i="45"/>
  <c r="AB89" i="45"/>
  <c r="AC19" i="4"/>
  <c r="AC9" i="47" s="1"/>
  <c r="AC8" i="45"/>
  <c r="AC171" i="45" s="1"/>
  <c r="AC738" i="43" l="1"/>
  <c r="AC100" i="47"/>
  <c r="AC147" i="47"/>
  <c r="AC134" i="47"/>
  <c r="AC9" i="44"/>
  <c r="AC193" i="45" s="1"/>
  <c r="AC9" i="45"/>
  <c r="AE14" i="4"/>
  <c r="AD18" i="4"/>
  <c r="AD17" i="4"/>
  <c r="AC739" i="43" l="1"/>
  <c r="AC172" i="45"/>
  <c r="AC179" i="45"/>
  <c r="AC140" i="45"/>
  <c r="AC101" i="45"/>
  <c r="AC152" i="45"/>
  <c r="AC38" i="45"/>
  <c r="AC62" i="45"/>
  <c r="AD19" i="4"/>
  <c r="AD9" i="47" s="1"/>
  <c r="AD8" i="45"/>
  <c r="AD171" i="45" s="1"/>
  <c r="AC50" i="45"/>
  <c r="AC89" i="45"/>
  <c r="AC128" i="45"/>
  <c r="AE15" i="4"/>
  <c r="AC740" i="43" l="1"/>
  <c r="AD100" i="47"/>
  <c r="AD147" i="47"/>
  <c r="AD134" i="47"/>
  <c r="AE17" i="4"/>
  <c r="AF14" i="4"/>
  <c r="AE18" i="4"/>
  <c r="AD9" i="44"/>
  <c r="AD193" i="45" s="1"/>
  <c r="AD9" i="45"/>
  <c r="AC741" i="43" l="1"/>
  <c r="AD172" i="45"/>
  <c r="AD179" i="45"/>
  <c r="AD140" i="45"/>
  <c r="AD101" i="45"/>
  <c r="AD152" i="45"/>
  <c r="AD38" i="45"/>
  <c r="AD62" i="45"/>
  <c r="AE19" i="4"/>
  <c r="AE9" i="47" s="1"/>
  <c r="AE8" i="45"/>
  <c r="AE171" i="45" s="1"/>
  <c r="AD128" i="45"/>
  <c r="AD50" i="45"/>
  <c r="AD89" i="45"/>
  <c r="AF15" i="4"/>
  <c r="AC742" i="43" l="1"/>
  <c r="AE100" i="47"/>
  <c r="AE147" i="47"/>
  <c r="AE134" i="47"/>
  <c r="AE9" i="45"/>
  <c r="AE9" i="44"/>
  <c r="AE193" i="45" s="1"/>
  <c r="AG14" i="4"/>
  <c r="AF17" i="4"/>
  <c r="AF18" i="4"/>
  <c r="AC743" i="43" l="1"/>
  <c r="AE172" i="45"/>
  <c r="AE179" i="45"/>
  <c r="AE140" i="45"/>
  <c r="AE101" i="45"/>
  <c r="AE152" i="45"/>
  <c r="AE62" i="45"/>
  <c r="AE38" i="45"/>
  <c r="AG15" i="4"/>
  <c r="AF19" i="4"/>
  <c r="AF9" i="47" s="1"/>
  <c r="AF8" i="45"/>
  <c r="AF171" i="45" s="1"/>
  <c r="AE128" i="45"/>
  <c r="AE50" i="45"/>
  <c r="AE89" i="45"/>
  <c r="AC744" i="43" l="1"/>
  <c r="AF100" i="47"/>
  <c r="AF147" i="47"/>
  <c r="AF134" i="47"/>
  <c r="AF9" i="44"/>
  <c r="AF193" i="45" s="1"/>
  <c r="AF9" i="45"/>
  <c r="AH14" i="4"/>
  <c r="AG18" i="4"/>
  <c r="AG17" i="4"/>
  <c r="AC745" i="43" l="1"/>
  <c r="AF172" i="45"/>
  <c r="AF179" i="45"/>
  <c r="AF140" i="45"/>
  <c r="AF101" i="45"/>
  <c r="AF152" i="45"/>
  <c r="AF38" i="45"/>
  <c r="AF62" i="45"/>
  <c r="AG19" i="4"/>
  <c r="AG9" i="47" s="1"/>
  <c r="AG8" i="45"/>
  <c r="AG171" i="45" s="1"/>
  <c r="AH15" i="4"/>
  <c r="AF128" i="45"/>
  <c r="AF50" i="45"/>
  <c r="AF89" i="45"/>
  <c r="AC746" i="43" l="1"/>
  <c r="AG134" i="47"/>
  <c r="AG147" i="47"/>
  <c r="AG100" i="47"/>
  <c r="AH17" i="4"/>
  <c r="AH18" i="4"/>
  <c r="AI14" i="4"/>
  <c r="AG9" i="45"/>
  <c r="AG9" i="44"/>
  <c r="AG193" i="45" s="1"/>
  <c r="AC747" i="43" l="1"/>
  <c r="AG172" i="45"/>
  <c r="AG179" i="45"/>
  <c r="AG140" i="45"/>
  <c r="AG101" i="45"/>
  <c r="AG152" i="45"/>
  <c r="AG62" i="45"/>
  <c r="AG38" i="45"/>
  <c r="AI15" i="4"/>
  <c r="AG128" i="45"/>
  <c r="AG50" i="45"/>
  <c r="AG89" i="45"/>
  <c r="AH19" i="4"/>
  <c r="AH9" i="47" s="1"/>
  <c r="AH8" i="45"/>
  <c r="AH171" i="45" s="1"/>
  <c r="AC748" i="43" l="1"/>
  <c r="AH134" i="47"/>
  <c r="AH100" i="47"/>
  <c r="AH147" i="47"/>
  <c r="AH9" i="44"/>
  <c r="AH193" i="45" s="1"/>
  <c r="AH9" i="45"/>
  <c r="AI17" i="4"/>
  <c r="AI18" i="4"/>
  <c r="AC749" i="43" l="1"/>
  <c r="AH172" i="45"/>
  <c r="AH179" i="45"/>
  <c r="AH140" i="45"/>
  <c r="AH101" i="45"/>
  <c r="AH152" i="45"/>
  <c r="AH38" i="45"/>
  <c r="AH62" i="45"/>
  <c r="AH89" i="45"/>
  <c r="AH128" i="45"/>
  <c r="AH50" i="45"/>
  <c r="AI19" i="4"/>
  <c r="AI9" i="47" s="1"/>
  <c r="AI8" i="45"/>
  <c r="AI171" i="45" s="1"/>
  <c r="V174" i="45" s="1" a="1"/>
  <c r="AC750" i="43" l="1"/>
  <c r="AI134" i="47"/>
  <c r="AI147" i="47"/>
  <c r="AI100" i="47"/>
  <c r="Y174" i="45"/>
  <c r="AB174" i="45"/>
  <c r="AI174" i="45"/>
  <c r="AF174" i="45"/>
  <c r="AA174" i="45"/>
  <c r="V174" i="45"/>
  <c r="X174" i="45"/>
  <c r="AH174" i="45"/>
  <c r="AG174" i="45"/>
  <c r="AD174" i="45"/>
  <c r="AC174" i="45"/>
  <c r="AE174" i="45"/>
  <c r="Z174" i="45"/>
  <c r="W174" i="45"/>
  <c r="AI9" i="44"/>
  <c r="AI193" i="45" s="1"/>
  <c r="AI9" i="45"/>
  <c r="AC751" i="43" l="1"/>
  <c r="AI172" i="45"/>
  <c r="AI179" i="45"/>
  <c r="AH182" i="45"/>
  <c r="AH150" i="47" s="1"/>
  <c r="AH181" i="45"/>
  <c r="AH149" i="47" s="1"/>
  <c r="AH183" i="45"/>
  <c r="AH187" i="45"/>
  <c r="X187" i="45"/>
  <c r="X182" i="45"/>
  <c r="X150" i="47" s="1"/>
  <c r="X183" i="45"/>
  <c r="X181" i="45"/>
  <c r="X149" i="47" s="1"/>
  <c r="W187" i="45"/>
  <c r="W181" i="45"/>
  <c r="W149" i="47" s="1"/>
  <c r="W182" i="45"/>
  <c r="W183" i="45"/>
  <c r="V183" i="45"/>
  <c r="V197" i="45" s="1"/>
  <c r="V187" i="45"/>
  <c r="V181" i="45"/>
  <c r="V149" i="47" s="1"/>
  <c r="V182" i="45"/>
  <c r="Z182" i="45"/>
  <c r="Z150" i="47" s="1"/>
  <c r="Z183" i="45"/>
  <c r="Z181" i="45"/>
  <c r="Z149" i="47" s="1"/>
  <c r="Z187" i="45"/>
  <c r="AA181" i="45"/>
  <c r="AA149" i="47" s="1"/>
  <c r="AA183" i="45"/>
  <c r="AA182" i="45"/>
  <c r="AA187" i="45"/>
  <c r="AE187" i="45"/>
  <c r="AE181" i="45"/>
  <c r="AE149" i="47" s="1"/>
  <c r="AE182" i="45"/>
  <c r="AE183" i="45"/>
  <c r="AF181" i="45"/>
  <c r="AF149" i="47" s="1"/>
  <c r="AF187" i="45"/>
  <c r="AF182" i="45"/>
  <c r="AF150" i="47" s="1"/>
  <c r="AF183" i="45"/>
  <c r="AC182" i="45"/>
  <c r="AC183" i="45"/>
  <c r="AC187" i="45"/>
  <c r="AC181" i="45"/>
  <c r="AC149" i="47" s="1"/>
  <c r="AI181" i="45"/>
  <c r="AI149" i="47" s="1"/>
  <c r="AI183" i="45"/>
  <c r="AI182" i="45"/>
  <c r="AI187" i="45"/>
  <c r="AD183" i="45"/>
  <c r="AD187" i="45"/>
  <c r="AD181" i="45"/>
  <c r="AD149" i="47" s="1"/>
  <c r="AD182" i="45"/>
  <c r="AB181" i="45"/>
  <c r="AB149" i="47" s="1"/>
  <c r="AB182" i="45"/>
  <c r="AB150" i="47" s="1"/>
  <c r="AB183" i="45"/>
  <c r="AB187" i="45"/>
  <c r="AG187" i="45"/>
  <c r="AG181" i="45"/>
  <c r="AG149" i="47" s="1"/>
  <c r="AG183" i="45"/>
  <c r="AG182" i="45"/>
  <c r="AG150" i="47" s="1"/>
  <c r="Y187" i="45"/>
  <c r="Y181" i="45"/>
  <c r="Y149" i="47" s="1"/>
  <c r="Y182" i="45"/>
  <c r="Y150" i="47" s="1"/>
  <c r="Y183" i="45"/>
  <c r="AI140" i="45"/>
  <c r="AI101" i="45"/>
  <c r="AI152" i="45"/>
  <c r="AI38" i="45"/>
  <c r="AI62" i="45"/>
  <c r="AI50" i="45"/>
  <c r="AI89" i="45"/>
  <c r="AI128" i="45"/>
  <c r="AC752" i="43" l="1"/>
  <c r="AI197" i="45"/>
  <c r="AI93" i="45" s="1"/>
  <c r="AA197" i="45"/>
  <c r="AA93" i="45" s="1"/>
  <c r="V196" i="45"/>
  <c r="V195" i="45" s="1"/>
  <c r="AG197" i="45"/>
  <c r="AG93" i="45" s="1"/>
  <c r="AF197" i="45"/>
  <c r="AF196" i="45" s="1"/>
  <c r="AF195" i="45" s="1"/>
  <c r="AC197" i="45"/>
  <c r="AC132" i="45" s="1"/>
  <c r="AC144" i="45" s="1"/>
  <c r="AD197" i="45"/>
  <c r="AD196" i="45" s="1"/>
  <c r="AD195" i="45" s="1"/>
  <c r="Y197" i="45"/>
  <c r="Y93" i="45" s="1"/>
  <c r="AE197" i="45"/>
  <c r="AE196" i="45" s="1"/>
  <c r="AE195" i="45" s="1"/>
  <c r="W197" i="45"/>
  <c r="W196" i="45" s="1"/>
  <c r="W195" i="45" s="1"/>
  <c r="AH197" i="45"/>
  <c r="AH196" i="45" s="1"/>
  <c r="AH195" i="45" s="1"/>
  <c r="Z197" i="45"/>
  <c r="Z196" i="45" s="1"/>
  <c r="Z195" i="45" s="1"/>
  <c r="AC150" i="47"/>
  <c r="AB197" i="45"/>
  <c r="AB196" i="45" s="1"/>
  <c r="AB195" i="45" s="1"/>
  <c r="X197" i="45"/>
  <c r="X196" i="45" s="1"/>
  <c r="X195" i="45" s="1"/>
  <c r="W151" i="47"/>
  <c r="W150" i="47"/>
  <c r="AH151" i="47"/>
  <c r="AC151" i="47"/>
  <c r="Z151" i="47"/>
  <c r="AD150" i="47"/>
  <c r="AE150" i="47"/>
  <c r="AD151" i="47"/>
  <c r="Y151" i="47"/>
  <c r="AF151" i="47"/>
  <c r="V150" i="47"/>
  <c r="AB151" i="47"/>
  <c r="AI150" i="47"/>
  <c r="AA150" i="47"/>
  <c r="X151" i="47"/>
  <c r="AI151" i="47"/>
  <c r="AA151" i="47"/>
  <c r="V151" i="47"/>
  <c r="AE151" i="47"/>
  <c r="AG151" i="47"/>
  <c r="X185" i="45"/>
  <c r="V93" i="45"/>
  <c r="V132" i="45"/>
  <c r="V144" i="45" s="1"/>
  <c r="AC185" i="45"/>
  <c r="Y185" i="45"/>
  <c r="AH185" i="45"/>
  <c r="AB185" i="45"/>
  <c r="AD185" i="45"/>
  <c r="Z185" i="45"/>
  <c r="AG185" i="45"/>
  <c r="AE185" i="45"/>
  <c r="W185" i="45"/>
  <c r="AA185" i="45"/>
  <c r="AI185" i="45"/>
  <c r="AF185" i="45"/>
  <c r="V185" i="45"/>
  <c r="AC753" i="43" l="1"/>
  <c r="AG196" i="45"/>
  <c r="AG195" i="45" s="1"/>
  <c r="AG130" i="45" s="1"/>
  <c r="AG132" i="45"/>
  <c r="AG144" i="45" s="1"/>
  <c r="AG119" i="47" s="1"/>
  <c r="AI196" i="45"/>
  <c r="AI195" i="45" s="1"/>
  <c r="AI91" i="45" s="1"/>
  <c r="AI132" i="45"/>
  <c r="AI144" i="45" s="1"/>
  <c r="AI119" i="47" s="1"/>
  <c r="AA132" i="45"/>
  <c r="AA144" i="45" s="1"/>
  <c r="AA54" i="45" s="1"/>
  <c r="AA138" i="47" s="1"/>
  <c r="AC196" i="45"/>
  <c r="AC195" i="45" s="1"/>
  <c r="AA196" i="45"/>
  <c r="AA195" i="45" s="1"/>
  <c r="AA130" i="45" s="1"/>
  <c r="W188" i="45"/>
  <c r="W155" i="47"/>
  <c r="AC188" i="45"/>
  <c r="AC155" i="47"/>
  <c r="AE188" i="45"/>
  <c r="AE155" i="47"/>
  <c r="AG188" i="45"/>
  <c r="AG155" i="47"/>
  <c r="AD188" i="45"/>
  <c r="AD155" i="47"/>
  <c r="AF188" i="45"/>
  <c r="AF155" i="47"/>
  <c r="AB188" i="45"/>
  <c r="AB155" i="47"/>
  <c r="Y188" i="45"/>
  <c r="Y155" i="47"/>
  <c r="V188" i="45"/>
  <c r="V155" i="47"/>
  <c r="AI188" i="45"/>
  <c r="AI155" i="47"/>
  <c r="AH188" i="45"/>
  <c r="AH155" i="47"/>
  <c r="X188" i="45"/>
  <c r="X155" i="47"/>
  <c r="Z188" i="45"/>
  <c r="Z155" i="47"/>
  <c r="AA188" i="45"/>
  <c r="AA155" i="47"/>
  <c r="Y196" i="45"/>
  <c r="Y195" i="45" s="1"/>
  <c r="Y91" i="45" s="1"/>
  <c r="AE132" i="45"/>
  <c r="AE144" i="45" s="1"/>
  <c r="AE119" i="47" s="1"/>
  <c r="AE93" i="45"/>
  <c r="AC93" i="45"/>
  <c r="AC54" i="45" s="1"/>
  <c r="AC138" i="47" s="1"/>
  <c r="Y132" i="45"/>
  <c r="Y144" i="45" s="1"/>
  <c r="Y54" i="45" s="1"/>
  <c r="Y138" i="47" s="1"/>
  <c r="W91" i="45"/>
  <c r="W130" i="45"/>
  <c r="AD92" i="45"/>
  <c r="AD131" i="45"/>
  <c r="AD143" i="45" s="1"/>
  <c r="AH131" i="45"/>
  <c r="AH143" i="45" s="1"/>
  <c r="AH92" i="45"/>
  <c r="AH132" i="45"/>
  <c r="AH144" i="45" s="1"/>
  <c r="AH93" i="45"/>
  <c r="AF130" i="45"/>
  <c r="AF91" i="45"/>
  <c r="V131" i="45"/>
  <c r="V143" i="45" s="1"/>
  <c r="V92" i="45"/>
  <c r="Z92" i="45"/>
  <c r="Z131" i="45"/>
  <c r="Z143" i="45" s="1"/>
  <c r="Z93" i="45"/>
  <c r="Z132" i="45"/>
  <c r="Z144" i="45" s="1"/>
  <c r="W92" i="45"/>
  <c r="W131" i="45"/>
  <c r="W143" i="45" s="1"/>
  <c r="V119" i="47"/>
  <c r="AA121" i="47"/>
  <c r="X132" i="45"/>
  <c r="X144" i="45" s="1"/>
  <c r="X93" i="45"/>
  <c r="AF93" i="45"/>
  <c r="AF132" i="45"/>
  <c r="AF144" i="45" s="1"/>
  <c r="AE130" i="45"/>
  <c r="AE91" i="45"/>
  <c r="W93" i="45"/>
  <c r="W132" i="45"/>
  <c r="W144" i="45" s="1"/>
  <c r="V121" i="47"/>
  <c r="V54" i="45"/>
  <c r="V138" i="47" s="1"/>
  <c r="AD132" i="45"/>
  <c r="AD144" i="45" s="1"/>
  <c r="AD93" i="45"/>
  <c r="AC119" i="47"/>
  <c r="AE131" i="45"/>
  <c r="AE143" i="45" s="1"/>
  <c r="AE92" i="45"/>
  <c r="AI121" i="47"/>
  <c r="AF131" i="45"/>
  <c r="AF143" i="45" s="1"/>
  <c r="AF92" i="45"/>
  <c r="Y121" i="47"/>
  <c r="AB132" i="45"/>
  <c r="AB144" i="45" s="1"/>
  <c r="AB93" i="45"/>
  <c r="AG121" i="47"/>
  <c r="AG54" i="45"/>
  <c r="AG138" i="47" s="1"/>
  <c r="AI130" i="45"/>
  <c r="AG131" i="45"/>
  <c r="AG143" i="45" s="1"/>
  <c r="AC754" i="43" l="1"/>
  <c r="AA91" i="45"/>
  <c r="AA105" i="47" s="1"/>
  <c r="AC131" i="45"/>
  <c r="AC143" i="45" s="1"/>
  <c r="AA131" i="45"/>
  <c r="AA143" i="45" s="1"/>
  <c r="AA111" i="47" s="1"/>
  <c r="AG92" i="45"/>
  <c r="AG91" i="45"/>
  <c r="AG105" i="47" s="1"/>
  <c r="AI54" i="45"/>
  <c r="AI138" i="47" s="1"/>
  <c r="AI131" i="45"/>
  <c r="AI143" i="45" s="1"/>
  <c r="AI111" i="47" s="1"/>
  <c r="AI92" i="45"/>
  <c r="AI113" i="47" s="1"/>
  <c r="AC92" i="45"/>
  <c r="AC113" i="47" s="1"/>
  <c r="AA119" i="47"/>
  <c r="A188" i="45"/>
  <c r="AA92" i="45"/>
  <c r="AA113" i="47" s="1"/>
  <c r="AE54" i="45"/>
  <c r="AE138" i="47" s="1"/>
  <c r="AE121" i="47"/>
  <c r="Y92" i="45"/>
  <c r="Y113" i="47" s="1"/>
  <c r="Y131" i="45"/>
  <c r="Y143" i="45" s="1"/>
  <c r="Y119" i="47"/>
  <c r="AC121" i="47"/>
  <c r="Y130" i="45"/>
  <c r="AH91" i="45"/>
  <c r="AH130" i="45"/>
  <c r="AG153" i="47"/>
  <c r="AG156" i="47" s="1"/>
  <c r="Z121" i="47"/>
  <c r="Z54" i="45"/>
  <c r="Z138" i="47" s="1"/>
  <c r="AF105" i="47"/>
  <c r="AF95" i="45"/>
  <c r="AD91" i="45"/>
  <c r="AD130" i="45"/>
  <c r="AA153" i="47"/>
  <c r="AA156" i="47" s="1"/>
  <c r="Z91" i="45"/>
  <c r="Z130" i="45"/>
  <c r="AF142" i="45"/>
  <c r="AF148" i="45"/>
  <c r="AF134" i="45"/>
  <c r="AH113" i="47"/>
  <c r="AH53" i="45"/>
  <c r="AH137" i="47" s="1"/>
  <c r="AD111" i="47"/>
  <c r="AD121" i="47"/>
  <c r="AD54" i="45"/>
  <c r="AD138" i="47" s="1"/>
  <c r="AE105" i="47"/>
  <c r="AE95" i="45"/>
  <c r="AF121" i="47"/>
  <c r="AF54" i="45"/>
  <c r="AF138" i="47" s="1"/>
  <c r="Z111" i="47"/>
  <c r="AF153" i="47"/>
  <c r="AF156" i="47" s="1"/>
  <c r="AH111" i="47"/>
  <c r="AD113" i="47"/>
  <c r="AD53" i="45"/>
  <c r="AD137" i="47" s="1"/>
  <c r="AB121" i="47"/>
  <c r="AB54" i="45"/>
  <c r="AB138" i="47" s="1"/>
  <c r="AD119" i="47"/>
  <c r="AE148" i="45"/>
  <c r="AE134" i="45"/>
  <c r="AE142" i="45"/>
  <c r="Z113" i="47"/>
  <c r="Z53" i="45"/>
  <c r="Z137" i="47" s="1"/>
  <c r="AC130" i="45"/>
  <c r="AC91" i="45"/>
  <c r="AI105" i="47"/>
  <c r="AB119" i="47"/>
  <c r="AF113" i="47"/>
  <c r="AF53" i="45"/>
  <c r="AF137" i="47" s="1"/>
  <c r="X121" i="47"/>
  <c r="X54" i="45"/>
  <c r="X138" i="47" s="1"/>
  <c r="W111" i="47"/>
  <c r="W148" i="45"/>
  <c r="W142" i="45"/>
  <c r="W52" i="45" s="1"/>
  <c r="W136" i="47" s="1"/>
  <c r="W134" i="45"/>
  <c r="AG111" i="47"/>
  <c r="AI142" i="45"/>
  <c r="AF111" i="47"/>
  <c r="AE113" i="47"/>
  <c r="AE53" i="45"/>
  <c r="AE137" i="47" s="1"/>
  <c r="AE153" i="47"/>
  <c r="AE156" i="47" s="1"/>
  <c r="X119" i="47"/>
  <c r="W113" i="47"/>
  <c r="W53" i="45"/>
  <c r="W137" i="47" s="1"/>
  <c r="V53" i="45"/>
  <c r="V137" i="47" s="1"/>
  <c r="V113" i="47"/>
  <c r="Y105" i="47"/>
  <c r="W105" i="47"/>
  <c r="W95" i="45"/>
  <c r="AF119" i="47"/>
  <c r="AG53" i="45"/>
  <c r="AG137" i="47" s="1"/>
  <c r="AI153" i="47"/>
  <c r="AI156" i="47" s="1"/>
  <c r="AB131" i="45"/>
  <c r="AB143" i="45" s="1"/>
  <c r="AB92" i="45"/>
  <c r="AE111" i="47"/>
  <c r="W119" i="47"/>
  <c r="V111" i="47"/>
  <c r="AH121" i="47"/>
  <c r="AH54" i="45"/>
  <c r="AH138" i="47" s="1"/>
  <c r="Y153" i="47"/>
  <c r="Y156" i="47" s="1"/>
  <c r="W153" i="47"/>
  <c r="W156" i="47" s="1"/>
  <c r="X92" i="45"/>
  <c r="X131" i="45"/>
  <c r="X143" i="45" s="1"/>
  <c r="AA134" i="45"/>
  <c r="AA142" i="45"/>
  <c r="AG134" i="45"/>
  <c r="AG142" i="45"/>
  <c r="AG148" i="45"/>
  <c r="V130" i="45"/>
  <c r="V91" i="45"/>
  <c r="W121" i="47"/>
  <c r="W54" i="45"/>
  <c r="W138" i="47" s="1"/>
  <c r="AC111" i="47"/>
  <c r="Z119" i="47"/>
  <c r="AH119" i="47"/>
  <c r="R124" i="40" a="1"/>
  <c r="Q126" i="40" a="1"/>
  <c r="Q124" i="40" a="1"/>
  <c r="Q125" i="40" a="1"/>
  <c r="R125" i="40" a="1"/>
  <c r="R126" i="40" a="1"/>
  <c r="P125" i="40" a="1"/>
  <c r="P126" i="40" a="1"/>
  <c r="P124" i="40" a="1"/>
  <c r="S126" i="40" a="1"/>
  <c r="S124" i="40" a="1"/>
  <c r="S125" i="40" a="1"/>
  <c r="AG95" i="45" l="1"/>
  <c r="AA148" i="45"/>
  <c r="AG113" i="47"/>
  <c r="AC755" i="43"/>
  <c r="AG52" i="45"/>
  <c r="AG136" i="47" s="1"/>
  <c r="AG140" i="47" s="1"/>
  <c r="AC53" i="45"/>
  <c r="AC137" i="47" s="1"/>
  <c r="AI134" i="45"/>
  <c r="AI148" i="45"/>
  <c r="AI53" i="45"/>
  <c r="AI137" i="47" s="1"/>
  <c r="AI95" i="45"/>
  <c r="AA95" i="45"/>
  <c r="AA58" i="45" a="1"/>
  <c r="AA58" i="45" s="1"/>
  <c r="AA53" i="45"/>
  <c r="AA137" i="47" s="1"/>
  <c r="Y95" i="45"/>
  <c r="Y111" i="47"/>
  <c r="Y134" i="45"/>
  <c r="Y53" i="45"/>
  <c r="Y137" i="47" s="1"/>
  <c r="Y142" i="45"/>
  <c r="Y52" i="45" s="1"/>
  <c r="Y136" i="47" s="1"/>
  <c r="Y148" i="45"/>
  <c r="AG58" i="45" a="1"/>
  <c r="AG58" i="45" s="1"/>
  <c r="AB111" i="47"/>
  <c r="AF146" i="45"/>
  <c r="AF149" i="45" s="1"/>
  <c r="AF103" i="47"/>
  <c r="V105" i="47"/>
  <c r="V95" i="45"/>
  <c r="W140" i="47"/>
  <c r="W146" i="45"/>
  <c r="W149" i="45" s="1"/>
  <c r="W103" i="47"/>
  <c r="AC105" i="47"/>
  <c r="AC95" i="45"/>
  <c r="AE146" i="45"/>
  <c r="AE149" i="45" s="1"/>
  <c r="AE103" i="47"/>
  <c r="AE58" i="45" a="1"/>
  <c r="AE58" i="45" s="1"/>
  <c r="Z134" i="45"/>
  <c r="Z148" i="45"/>
  <c r="Z142" i="45"/>
  <c r="Z52" i="45" s="1"/>
  <c r="AD153" i="47"/>
  <c r="AD156" i="47" s="1"/>
  <c r="V148" i="45"/>
  <c r="V142" i="45"/>
  <c r="V52" i="45" s="1"/>
  <c r="V134" i="45"/>
  <c r="AA103" i="47"/>
  <c r="AA146" i="45"/>
  <c r="AA149" i="45" s="1"/>
  <c r="W58" i="45" a="1"/>
  <c r="W58" i="45" s="1"/>
  <c r="AC134" i="45"/>
  <c r="AC148" i="45"/>
  <c r="AC142" i="45"/>
  <c r="AE52" i="45"/>
  <c r="AE136" i="47" s="1"/>
  <c r="Z105" i="47"/>
  <c r="Z95" i="45"/>
  <c r="AF52" i="45"/>
  <c r="AF136" i="47" s="1"/>
  <c r="AF58" i="45" a="1"/>
  <c r="AF58" i="45" s="1"/>
  <c r="X130" i="45"/>
  <c r="X91" i="45"/>
  <c r="AI146" i="45"/>
  <c r="AI103" i="47"/>
  <c r="AI58" i="45" a="1"/>
  <c r="AI58" i="45" s="1"/>
  <c r="AC153" i="47"/>
  <c r="AC156" i="47" s="1"/>
  <c r="Z153" i="47"/>
  <c r="Z156" i="47" s="1"/>
  <c r="V153" i="47"/>
  <c r="V156" i="47" s="1"/>
  <c r="X111" i="47"/>
  <c r="AI52" i="45"/>
  <c r="AI136" i="47" s="1"/>
  <c r="AH142" i="45"/>
  <c r="AH134" i="45"/>
  <c r="AH148" i="45"/>
  <c r="X113" i="47"/>
  <c r="X53" i="45"/>
  <c r="X137" i="47" s="1"/>
  <c r="AB130" i="45"/>
  <c r="AB91" i="45"/>
  <c r="AD148" i="45"/>
  <c r="AD142" i="45"/>
  <c r="AD52" i="45" s="1"/>
  <c r="AD136" i="47" s="1"/>
  <c r="AD134" i="45"/>
  <c r="AH105" i="47"/>
  <c r="AH95" i="45"/>
  <c r="AG103" i="47"/>
  <c r="AG146" i="45"/>
  <c r="AG149" i="45" s="1"/>
  <c r="AB113" i="47"/>
  <c r="AB53" i="45"/>
  <c r="AB137" i="47" s="1"/>
  <c r="AD105" i="47"/>
  <c r="AD95" i="45"/>
  <c r="AA52" i="45"/>
  <c r="AA136" i="47" s="1"/>
  <c r="AH153" i="47"/>
  <c r="AH156" i="47" s="1"/>
  <c r="O56" i="45"/>
  <c r="P56" i="45"/>
  <c r="W56" i="45"/>
  <c r="M56" i="45"/>
  <c r="R56" i="45"/>
  <c r="AG56" i="45"/>
  <c r="U56" i="45"/>
  <c r="S56" i="45"/>
  <c r="T56" i="45"/>
  <c r="Q56" i="45"/>
  <c r="N56" i="45"/>
  <c r="AI149" i="45" l="1"/>
  <c r="AC756" i="43"/>
  <c r="Y140" i="47"/>
  <c r="Y146" i="45"/>
  <c r="Y129" i="47" s="1"/>
  <c r="Y103" i="47"/>
  <c r="Y127" i="47" s="1"/>
  <c r="Y56" i="45"/>
  <c r="Y58" i="45" a="1"/>
  <c r="Y58" i="45" s="1"/>
  <c r="W129" i="47"/>
  <c r="AF56" i="45"/>
  <c r="AF142" i="47" s="1"/>
  <c r="AA129" i="47"/>
  <c r="AE129" i="47"/>
  <c r="AF129" i="47"/>
  <c r="AA56" i="45"/>
  <c r="AA142" i="47" s="1"/>
  <c r="Z58" i="45" a="1"/>
  <c r="Z58" i="45" s="1"/>
  <c r="V58" i="45" a="1"/>
  <c r="V58" i="45" s="1"/>
  <c r="AG129" i="47"/>
  <c r="V136" i="47"/>
  <c r="V56" i="45"/>
  <c r="AE127" i="47"/>
  <c r="AF127" i="47"/>
  <c r="AE56" i="45"/>
  <c r="AE59" i="45" s="1"/>
  <c r="AI56" i="45"/>
  <c r="AI142" i="47" s="1"/>
  <c r="AA140" i="47"/>
  <c r="AB148" i="45"/>
  <c r="AB142" i="45"/>
  <c r="AB134" i="45"/>
  <c r="AF140" i="47"/>
  <c r="W127" i="47"/>
  <c r="AC146" i="45"/>
  <c r="AC149" i="45" s="1"/>
  <c r="AC103" i="47"/>
  <c r="AD56" i="45"/>
  <c r="AD142" i="47" s="1"/>
  <c r="Z136" i="47"/>
  <c r="Z56" i="45"/>
  <c r="AC52" i="45"/>
  <c r="AD103" i="47"/>
  <c r="AD146" i="45"/>
  <c r="AD149" i="45" s="1"/>
  <c r="AB153" i="47"/>
  <c r="AB156" i="47" s="1"/>
  <c r="AH103" i="47"/>
  <c r="AH146" i="45"/>
  <c r="AH149" i="45" s="1"/>
  <c r="AA127" i="47"/>
  <c r="AD58" i="45" a="1"/>
  <c r="AD58" i="45" s="1"/>
  <c r="AG127" i="47"/>
  <c r="X105" i="47"/>
  <c r="X95" i="45"/>
  <c r="Z103" i="47"/>
  <c r="Z146" i="45"/>
  <c r="Z149" i="45" s="1"/>
  <c r="AC58" i="45" a="1"/>
  <c r="AC58" i="45" s="1"/>
  <c r="AI140" i="47"/>
  <c r="AD140" i="47"/>
  <c r="AI129" i="47"/>
  <c r="AH58" i="45" a="1"/>
  <c r="AH58" i="45" s="1"/>
  <c r="AI127" i="47"/>
  <c r="X148" i="45"/>
  <c r="X134" i="45"/>
  <c r="X142" i="45"/>
  <c r="X58" i="45" s="1" a="1"/>
  <c r="X58" i="45" s="1"/>
  <c r="V103" i="47"/>
  <c r="V146" i="45"/>
  <c r="V149" i="45" s="1"/>
  <c r="AB105" i="47"/>
  <c r="AB95" i="45"/>
  <c r="AH52" i="45"/>
  <c r="X153" i="47"/>
  <c r="X156" i="47" s="1"/>
  <c r="AE140" i="47"/>
  <c r="AG59" i="45"/>
  <c r="AG142" i="47"/>
  <c r="AG143" i="47" s="1"/>
  <c r="P59" i="45"/>
  <c r="P142" i="47"/>
  <c r="P143" i="47" s="1"/>
  <c r="T59" i="45"/>
  <c r="T142" i="47"/>
  <c r="T143" i="47" s="1"/>
  <c r="S59" i="45"/>
  <c r="S142" i="47"/>
  <c r="S143" i="47" s="1"/>
  <c r="O59" i="45"/>
  <c r="O142" i="47"/>
  <c r="O143" i="47" s="1"/>
  <c r="Q59" i="45"/>
  <c r="Q142" i="47"/>
  <c r="Q143" i="47" s="1"/>
  <c r="U59" i="45"/>
  <c r="U142" i="47"/>
  <c r="U143" i="47" s="1"/>
  <c r="M59" i="45"/>
  <c r="M142" i="47"/>
  <c r="M143" i="47" s="1"/>
  <c r="R59" i="45"/>
  <c r="R142" i="47"/>
  <c r="R143" i="47" s="1"/>
  <c r="N59" i="45"/>
  <c r="N142" i="47"/>
  <c r="N143" i="47" s="1"/>
  <c r="W59" i="45"/>
  <c r="W142" i="47"/>
  <c r="W143" i="47" s="1"/>
  <c r="AC757" i="43" l="1"/>
  <c r="A156" i="47"/>
  <c r="Y149" i="45"/>
  <c r="Y59" i="45"/>
  <c r="AF59" i="45"/>
  <c r="Y142" i="47"/>
  <c r="Y143" i="47" s="1"/>
  <c r="W130" i="47"/>
  <c r="AD59" i="45"/>
  <c r="AA59" i="45"/>
  <c r="AA130" i="47"/>
  <c r="AI143" i="47"/>
  <c r="AD143" i="47"/>
  <c r="AG130" i="47"/>
  <c r="Y130" i="47"/>
  <c r="AE142" i="47"/>
  <c r="AE143" i="47" s="1"/>
  <c r="AI59" i="45"/>
  <c r="AD129" i="47"/>
  <c r="AE130" i="47"/>
  <c r="AA143" i="47"/>
  <c r="AF130" i="47"/>
  <c r="AC129" i="47"/>
  <c r="AF143" i="47"/>
  <c r="AB103" i="47"/>
  <c r="AB146" i="45"/>
  <c r="AB149" i="45" s="1"/>
  <c r="AD127" i="47"/>
  <c r="V127" i="47"/>
  <c r="AI130" i="47"/>
  <c r="AC136" i="47"/>
  <c r="AC56" i="45"/>
  <c r="X52" i="45"/>
  <c r="AH127" i="47"/>
  <c r="AC127" i="47"/>
  <c r="AB58" i="45" a="1"/>
  <c r="AB58" i="45" s="1"/>
  <c r="Z142" i="47"/>
  <c r="Z59" i="45"/>
  <c r="V142" i="47"/>
  <c r="V59" i="45"/>
  <c r="AB52" i="45"/>
  <c r="X103" i="47"/>
  <c r="X146" i="45"/>
  <c r="X149" i="45" s="1"/>
  <c r="Z127" i="47"/>
  <c r="Z140" i="47"/>
  <c r="AH136" i="47"/>
  <c r="AH56" i="45"/>
  <c r="V129" i="47"/>
  <c r="Z129" i="47"/>
  <c r="AH129" i="47"/>
  <c r="V140" i="47"/>
  <c r="AC758" i="43" l="1"/>
  <c r="AC130" i="47"/>
  <c r="AD130" i="47"/>
  <c r="Z130" i="47"/>
  <c r="AH130" i="47"/>
  <c r="V130" i="47"/>
  <c r="X136" i="47"/>
  <c r="X56" i="45"/>
  <c r="V143" i="47"/>
  <c r="AB129" i="47"/>
  <c r="X127" i="47"/>
  <c r="Z143" i="47"/>
  <c r="AC59" i="45"/>
  <c r="AC142" i="47"/>
  <c r="AC140" i="47"/>
  <c r="AB127" i="47"/>
  <c r="X129" i="47"/>
  <c r="AH142" i="47"/>
  <c r="AH59" i="45"/>
  <c r="AB136" i="47"/>
  <c r="AB56" i="45"/>
  <c r="AB142" i="47" s="1"/>
  <c r="AH140" i="47"/>
  <c r="AC759" i="43" l="1"/>
  <c r="AB59" i="45"/>
  <c r="AC143" i="47"/>
  <c r="X130" i="47"/>
  <c r="AH143" i="47"/>
  <c r="AB140" i="47"/>
  <c r="AB143" i="47" s="1"/>
  <c r="X142" i="47"/>
  <c r="X59" i="45"/>
  <c r="AB130" i="47"/>
  <c r="X140" i="47"/>
  <c r="AC760" i="43" l="1"/>
  <c r="A59" i="45"/>
  <c r="X143" i="47"/>
  <c r="A143" i="47" s="1"/>
  <c r="AC761" i="43" l="1"/>
  <c r="AC762" i="43" l="1"/>
  <c r="AC763" i="43" l="1"/>
  <c r="AC764" i="43" l="1"/>
  <c r="AC765" i="43" l="1"/>
  <c r="AC766" i="43" l="1"/>
  <c r="AC767" i="43" l="1"/>
  <c r="Q76" i="47"/>
  <c r="P76" i="47"/>
  <c r="R76" i="47"/>
  <c r="S76" i="47"/>
  <c r="AC768" i="43" l="1"/>
  <c r="O76" i="47"/>
  <c r="AC769" i="43" l="1"/>
  <c r="P79" i="47"/>
  <c r="Q79" i="47"/>
  <c r="R79" i="47"/>
  <c r="S79" i="47"/>
  <c r="AC770" i="43" l="1"/>
  <c r="O79" i="47"/>
  <c r="A79" i="47" s="1"/>
  <c r="AC771" i="43" l="1"/>
  <c r="AC772" i="43" l="1"/>
  <c r="AC773" i="43" l="1"/>
  <c r="AC774" i="43" l="1"/>
  <c r="AC775" i="43" l="1"/>
  <c r="AC776" i="43" l="1"/>
  <c r="AC777" i="43" l="1"/>
  <c r="AC778" i="43" l="1"/>
  <c r="AC779" i="43" l="1"/>
  <c r="R35" i="34"/>
  <c r="S74" i="34"/>
  <c r="P73" i="34"/>
  <c r="P36" i="34"/>
  <c r="P58" i="35" s="1"/>
  <c r="S75" i="34"/>
  <c r="Q73" i="34"/>
  <c r="Q72" i="34"/>
  <c r="R36" i="34"/>
  <c r="R58" i="35" s="1"/>
  <c r="S72" i="34"/>
  <c r="P72" i="34"/>
  <c r="P74" i="34"/>
  <c r="AC780" i="43" l="1"/>
  <c r="S34" i="34"/>
  <c r="Q34" i="34"/>
  <c r="P38" i="34"/>
  <c r="V340" i="43"/>
  <c r="V341" i="43"/>
  <c r="V342" i="43"/>
  <c r="O73" i="34"/>
  <c r="R34" i="34"/>
  <c r="P96" i="35"/>
  <c r="S38" i="34"/>
  <c r="Y341" i="43"/>
  <c r="Y340" i="43"/>
  <c r="Y342" i="43"/>
  <c r="Q75" i="34"/>
  <c r="Q74" i="34"/>
  <c r="S73" i="34"/>
  <c r="S77" i="34" s="1"/>
  <c r="Q39" i="34"/>
  <c r="W345" i="43"/>
  <c r="W344" i="43"/>
  <c r="W343" i="43"/>
  <c r="S97" i="35"/>
  <c r="S62" i="34"/>
  <c r="S79" i="35" s="1"/>
  <c r="S35" i="34"/>
  <c r="O36" i="34"/>
  <c r="O58" i="35" s="1"/>
  <c r="Q36" i="34"/>
  <c r="Q58" i="35" s="1"/>
  <c r="O74" i="34"/>
  <c r="Q62" i="34"/>
  <c r="Q79" i="35" s="1"/>
  <c r="Q96" i="35"/>
  <c r="P61" i="34"/>
  <c r="Q38" i="34"/>
  <c r="W341" i="43"/>
  <c r="W340" i="43"/>
  <c r="W342" i="43"/>
  <c r="O75" i="34"/>
  <c r="R74" i="34"/>
  <c r="R57" i="35"/>
  <c r="O72" i="34"/>
  <c r="P35" i="34"/>
  <c r="R75" i="34"/>
  <c r="S61" i="34"/>
  <c r="Q35" i="34"/>
  <c r="O34" i="34"/>
  <c r="S39" i="34"/>
  <c r="Y345" i="43"/>
  <c r="Y344" i="43"/>
  <c r="Y343" i="43"/>
  <c r="S36" i="34"/>
  <c r="S58" i="35" s="1"/>
  <c r="P34" i="34"/>
  <c r="O35" i="34"/>
  <c r="P75" i="34"/>
  <c r="P97" i="35" s="1"/>
  <c r="R72" i="34"/>
  <c r="R73" i="34"/>
  <c r="Q61" i="34"/>
  <c r="AC781" i="43" l="1"/>
  <c r="S96" i="35"/>
  <c r="S99" i="35" s="1"/>
  <c r="S24" i="35" s="1"/>
  <c r="Q77" i="34"/>
  <c r="Q22" i="34" s="1"/>
  <c r="AC340" i="43"/>
  <c r="AI340" i="43" s="1"/>
  <c r="AC341" i="43"/>
  <c r="AI341" i="43" s="1"/>
  <c r="O57" i="35"/>
  <c r="O56" i="35"/>
  <c r="P62" i="34"/>
  <c r="P79" i="35" s="1"/>
  <c r="O61" i="34"/>
  <c r="Q78" i="35"/>
  <c r="R38" i="34"/>
  <c r="X341" i="43"/>
  <c r="AD341" i="43" s="1"/>
  <c r="AJ341" i="43" s="1"/>
  <c r="X342" i="43"/>
  <c r="AD342" i="43" s="1"/>
  <c r="AJ342" i="43" s="1"/>
  <c r="X340" i="43"/>
  <c r="AD340" i="43" s="1"/>
  <c r="AJ340" i="43" s="1"/>
  <c r="S78" i="35"/>
  <c r="Q97" i="35"/>
  <c r="Q99" i="35" s="1"/>
  <c r="Q24" i="35" s="1"/>
  <c r="P39" i="34"/>
  <c r="P41" i="34" s="1"/>
  <c r="V344" i="43"/>
  <c r="V343" i="43"/>
  <c r="V345" i="43"/>
  <c r="AC345" i="43" s="1"/>
  <c r="AI345" i="43" s="1"/>
  <c r="R39" i="34"/>
  <c r="X344" i="43"/>
  <c r="AD344" i="43" s="1"/>
  <c r="AJ344" i="43" s="1"/>
  <c r="X345" i="43"/>
  <c r="AD345" i="43" s="1"/>
  <c r="AJ345" i="43" s="1"/>
  <c r="X343" i="43"/>
  <c r="AD343" i="43" s="1"/>
  <c r="AJ343" i="43" s="1"/>
  <c r="S57" i="35"/>
  <c r="P57" i="35"/>
  <c r="AC342" i="43"/>
  <c r="AI342" i="43" s="1"/>
  <c r="P77" i="34"/>
  <c r="S56" i="35"/>
  <c r="S41" i="34"/>
  <c r="R77" i="34"/>
  <c r="R96" i="35"/>
  <c r="P78" i="35"/>
  <c r="P99" i="35"/>
  <c r="P24" i="35" s="1"/>
  <c r="R62" i="34"/>
  <c r="R79" i="35" s="1"/>
  <c r="Q61" i="35"/>
  <c r="R56" i="35"/>
  <c r="O38" i="34"/>
  <c r="U341" i="43"/>
  <c r="AA341" i="43" s="1"/>
  <c r="AG341" i="43" s="1"/>
  <c r="U342" i="43"/>
  <c r="U340" i="43"/>
  <c r="AA340" i="43" s="1"/>
  <c r="AG340" i="43" s="1"/>
  <c r="P60" i="35"/>
  <c r="P56" i="35"/>
  <c r="Q60" i="35"/>
  <c r="S79" i="34"/>
  <c r="S101" i="35"/>
  <c r="S22" i="34"/>
  <c r="R61" i="34"/>
  <c r="S61" i="35"/>
  <c r="S41" i="35" s="1"/>
  <c r="Q57" i="35"/>
  <c r="O96" i="35"/>
  <c r="O77" i="34"/>
  <c r="R97" i="35"/>
  <c r="O97" i="35"/>
  <c r="S60" i="35"/>
  <c r="Q56" i="35"/>
  <c r="Q41" i="34"/>
  <c r="AC782" i="43" l="1"/>
  <c r="Q40" i="35"/>
  <c r="Q192" i="40" s="1"/>
  <c r="AE340" i="43"/>
  <c r="AK340" i="43" s="1"/>
  <c r="AE342" i="43"/>
  <c r="AK342" i="43" s="1"/>
  <c r="AE345" i="43"/>
  <c r="AK345" i="43" s="1"/>
  <c r="Q41" i="35"/>
  <c r="Q193" i="40" s="1"/>
  <c r="AE343" i="43"/>
  <c r="AK343" i="43" s="1"/>
  <c r="S102" i="35"/>
  <c r="Q79" i="34"/>
  <c r="Q101" i="35"/>
  <c r="Q102" i="35" s="1"/>
  <c r="S40" i="35"/>
  <c r="S192" i="40" s="1"/>
  <c r="P40" i="35"/>
  <c r="P192" i="40" s="1"/>
  <c r="R41" i="34"/>
  <c r="R65" i="35" s="1"/>
  <c r="R99" i="35"/>
  <c r="R24" i="35" s="1"/>
  <c r="O60" i="35"/>
  <c r="AB341" i="43"/>
  <c r="AH341" i="43" s="1"/>
  <c r="O78" i="35"/>
  <c r="AE341" i="43"/>
  <c r="AK341" i="43" s="1"/>
  <c r="J185" i="43"/>
  <c r="AA342" i="43"/>
  <c r="AG342" i="43" s="1"/>
  <c r="P61" i="35"/>
  <c r="P41" i="35" s="1"/>
  <c r="R60" i="35"/>
  <c r="AB342" i="43"/>
  <c r="AH342" i="43" s="1"/>
  <c r="R22" i="34"/>
  <c r="R79" i="34"/>
  <c r="R101" i="35"/>
  <c r="Q20" i="34"/>
  <c r="Q43" i="34"/>
  <c r="Q65" i="35"/>
  <c r="AB340" i="43"/>
  <c r="AH340" i="43" s="1"/>
  <c r="S20" i="34"/>
  <c r="S65" i="35"/>
  <c r="S43" i="34"/>
  <c r="R61" i="35"/>
  <c r="R41" i="35" s="1"/>
  <c r="AC343" i="43"/>
  <c r="AI343" i="43" s="1"/>
  <c r="Q63" i="35"/>
  <c r="Q22" i="35" s="1"/>
  <c r="O79" i="34"/>
  <c r="O101" i="35"/>
  <c r="O22" i="34"/>
  <c r="R78" i="35"/>
  <c r="AC344" i="43"/>
  <c r="AI344" i="43" s="1"/>
  <c r="S63" i="35"/>
  <c r="S22" i="35" s="1"/>
  <c r="P22" i="34"/>
  <c r="P79" i="34"/>
  <c r="P101" i="35"/>
  <c r="P102" i="35" s="1"/>
  <c r="O99" i="35"/>
  <c r="O24" i="35" s="1"/>
  <c r="AE344" i="43"/>
  <c r="AK344" i="43" s="1"/>
  <c r="S193" i="40"/>
  <c r="P20" i="34"/>
  <c r="P43" i="34"/>
  <c r="P65" i="35"/>
  <c r="AC783" i="43" l="1"/>
  <c r="R43" i="34"/>
  <c r="R20" i="34"/>
  <c r="K185" i="43"/>
  <c r="R102" i="35"/>
  <c r="R63" i="35"/>
  <c r="R22" i="35" s="1"/>
  <c r="P63" i="35"/>
  <c r="P22" i="35" s="1"/>
  <c r="P193" i="40"/>
  <c r="S66" i="35"/>
  <c r="Q66" i="35"/>
  <c r="Q120" i="40"/>
  <c r="Q121" i="40"/>
  <c r="S120" i="40"/>
  <c r="S121" i="40"/>
  <c r="O102" i="35"/>
  <c r="R193" i="40"/>
  <c r="A79" i="34"/>
  <c r="R40" i="35"/>
  <c r="P120" i="40"/>
  <c r="O40" i="35"/>
  <c r="AC784" i="43" l="1"/>
  <c r="A102" i="35"/>
  <c r="L185" i="43"/>
  <c r="R66" i="35"/>
  <c r="P66" i="35"/>
  <c r="R192" i="40"/>
  <c r="R121" i="40"/>
  <c r="O192" i="40"/>
  <c r="P121" i="40"/>
  <c r="AC785" i="43" l="1"/>
  <c r="N185" i="43"/>
  <c r="R120" i="40"/>
  <c r="AC786" i="43" l="1"/>
  <c r="AC787" i="43" l="1"/>
  <c r="O62" i="34"/>
  <c r="O39" i="34"/>
  <c r="U344" i="43"/>
  <c r="U343" i="43"/>
  <c r="U345" i="43"/>
  <c r="AC788" i="43" l="1"/>
  <c r="AA343" i="43"/>
  <c r="AG343" i="43" s="1"/>
  <c r="AB343" i="43"/>
  <c r="AH343" i="43" s="1"/>
  <c r="AA345" i="43"/>
  <c r="AG345" i="43" s="1"/>
  <c r="AB345" i="43"/>
  <c r="AH345" i="43" s="1"/>
  <c r="O61" i="35"/>
  <c r="O41" i="34"/>
  <c r="AA344" i="43"/>
  <c r="AG344" i="43" s="1"/>
  <c r="J186" i="43"/>
  <c r="AB344" i="43"/>
  <c r="AH344" i="43" s="1"/>
  <c r="O79" i="35"/>
  <c r="AC789" i="43" l="1"/>
  <c r="K186" i="43"/>
  <c r="O65" i="35"/>
  <c r="O20" i="34"/>
  <c r="O43" i="34"/>
  <c r="A43" i="34" s="1"/>
  <c r="O41" i="35"/>
  <c r="O63" i="35"/>
  <c r="O22" i="35" s="1"/>
  <c r="AC790" i="43" l="1"/>
  <c r="L186" i="43"/>
  <c r="O193" i="40"/>
  <c r="O66" i="35"/>
  <c r="A66" i="35" s="1"/>
  <c r="AC791" i="43" l="1"/>
  <c r="N186" i="43"/>
  <c r="AC792" i="43" l="1"/>
  <c r="AC793" i="43" l="1"/>
  <c r="Q52" i="34"/>
  <c r="Q53" i="34"/>
  <c r="O55" i="34"/>
  <c r="Q56" i="34"/>
  <c r="Q54" i="34"/>
  <c r="W336" i="43"/>
  <c r="W337" i="43"/>
  <c r="O57" i="34"/>
  <c r="O59" i="34"/>
  <c r="S54" i="34"/>
  <c r="S52" i="34"/>
  <c r="O52" i="34"/>
  <c r="S59" i="34"/>
  <c r="R57" i="34"/>
  <c r="O51" i="34"/>
  <c r="U334" i="43"/>
  <c r="AA334" i="43" s="1"/>
  <c r="AG334" i="43" s="1"/>
  <c r="U335" i="43"/>
  <c r="Q59" i="34"/>
  <c r="O53" i="34"/>
  <c r="R52" i="34"/>
  <c r="S57" i="34"/>
  <c r="R54" i="34"/>
  <c r="X336" i="43"/>
  <c r="X337" i="43"/>
  <c r="R55" i="34"/>
  <c r="S56" i="34"/>
  <c r="Q58" i="34"/>
  <c r="R58" i="34"/>
  <c r="O54" i="34"/>
  <c r="U336" i="43"/>
  <c r="U337" i="43"/>
  <c r="Q55" i="34"/>
  <c r="O56" i="34"/>
  <c r="R56" i="34"/>
  <c r="R53" i="34"/>
  <c r="Q51" i="34"/>
  <c r="R125" i="40"/>
  <c r="R130" i="40" s="1"/>
  <c r="W335" i="43"/>
  <c r="R124" i="40"/>
  <c r="R126" i="40"/>
  <c r="R131" i="40" s="1"/>
  <c r="W334" i="43"/>
  <c r="Q57" i="34"/>
  <c r="W339" i="43"/>
  <c r="W338" i="43"/>
  <c r="R51" i="34"/>
  <c r="X335" i="43"/>
  <c r="X334" i="43"/>
  <c r="Y338" i="43"/>
  <c r="Y337" i="43"/>
  <c r="X338" i="43"/>
  <c r="P124" i="40"/>
  <c r="AC794" i="43" l="1"/>
  <c r="AE337" i="43"/>
  <c r="AK337" i="43" s="1"/>
  <c r="AD334" i="43"/>
  <c r="AJ334" i="43" s="1"/>
  <c r="AD337" i="43"/>
  <c r="AJ337" i="43" s="1"/>
  <c r="Q76" i="35"/>
  <c r="Q38" i="35" s="1"/>
  <c r="S125" i="40"/>
  <c r="S130" i="40" s="1"/>
  <c r="S126" i="40"/>
  <c r="S131" i="40" s="1"/>
  <c r="AE338" i="43"/>
  <c r="AK338" i="43" s="1"/>
  <c r="N285" i="43"/>
  <c r="AA336" i="43"/>
  <c r="AG336" i="43" s="1"/>
  <c r="AD338" i="43"/>
  <c r="AJ338" i="43" s="1"/>
  <c r="U339" i="43"/>
  <c r="AD335" i="43"/>
  <c r="AJ335" i="43" s="1"/>
  <c r="P78" i="43" s="1"/>
  <c r="Q60" i="43"/>
  <c r="P125" i="40"/>
  <c r="P130" i="40" s="1"/>
  <c r="Y336" i="43"/>
  <c r="U338" i="43"/>
  <c r="AA338" i="43" s="1"/>
  <c r="AG338" i="43" s="1"/>
  <c r="P53" i="34"/>
  <c r="S53" i="34"/>
  <c r="P55" i="34"/>
  <c r="P57" i="34"/>
  <c r="V339" i="43"/>
  <c r="V338" i="43"/>
  <c r="P59" i="34"/>
  <c r="Q126" i="40"/>
  <c r="Q131" i="40" s="1"/>
  <c r="Q124" i="40"/>
  <c r="P54" i="34"/>
  <c r="V336" i="43"/>
  <c r="AC336" i="43" s="1"/>
  <c r="AI336" i="43" s="1"/>
  <c r="V337" i="43"/>
  <c r="AB337" i="43" s="1"/>
  <c r="AH337" i="43" s="1"/>
  <c r="R142" i="40"/>
  <c r="R144" i="40"/>
  <c r="O75" i="35"/>
  <c r="O37" i="35" s="1"/>
  <c r="P56" i="34"/>
  <c r="S51" i="34"/>
  <c r="Y334" i="43"/>
  <c r="AE334" i="43" s="1"/>
  <c r="AK334" i="43" s="1"/>
  <c r="Y335" i="43"/>
  <c r="P51" i="34"/>
  <c r="V334" i="43"/>
  <c r="AB334" i="43" s="1"/>
  <c r="AH334" i="43" s="1"/>
  <c r="V335" i="43"/>
  <c r="AC335" i="43" s="1"/>
  <c r="Q125" i="40"/>
  <c r="Q130" i="40" s="1"/>
  <c r="R74" i="35"/>
  <c r="P60" i="43"/>
  <c r="N60" i="43"/>
  <c r="AA335" i="43"/>
  <c r="AG335" i="43" s="1"/>
  <c r="M78" i="43" s="1"/>
  <c r="J182" i="43"/>
  <c r="Q285" i="43"/>
  <c r="AD336" i="43"/>
  <c r="AJ336" i="43" s="1"/>
  <c r="P52" i="34"/>
  <c r="O58" i="34"/>
  <c r="P126" i="40"/>
  <c r="P131" i="40" s="1"/>
  <c r="P285" i="43"/>
  <c r="P58" i="34"/>
  <c r="R59" i="34"/>
  <c r="S124" i="40"/>
  <c r="Q64" i="34"/>
  <c r="Q74" i="35"/>
  <c r="R75" i="35"/>
  <c r="R37" i="35" s="1"/>
  <c r="O74" i="35"/>
  <c r="S58" i="34"/>
  <c r="S76" i="35" s="1"/>
  <c r="S38" i="35" s="1"/>
  <c r="S55" i="34"/>
  <c r="S75" i="35" s="1"/>
  <c r="S37" i="35" s="1"/>
  <c r="AA337" i="43"/>
  <c r="AG337" i="43" s="1"/>
  <c r="J183" i="43"/>
  <c r="Y339" i="43"/>
  <c r="X339" i="43"/>
  <c r="AD339" i="43" s="1"/>
  <c r="AJ339" i="43" s="1"/>
  <c r="Q75" i="35"/>
  <c r="Q37" i="35" s="1"/>
  <c r="AC795" i="43" l="1"/>
  <c r="K183" i="43"/>
  <c r="K182" i="43"/>
  <c r="AB338" i="43"/>
  <c r="AH338" i="43" s="1"/>
  <c r="O64" i="34"/>
  <c r="O83" i="35" s="1"/>
  <c r="AC338" i="43"/>
  <c r="AI338" i="43" s="1"/>
  <c r="R76" i="35"/>
  <c r="R38" i="35" s="1"/>
  <c r="AC337" i="43"/>
  <c r="AI337" i="43" s="1"/>
  <c r="R64" i="34"/>
  <c r="R21" i="34" s="1"/>
  <c r="R24" i="34" s="1"/>
  <c r="Q81" i="35"/>
  <c r="Q23" i="35" s="1"/>
  <c r="Q26" i="35" s="1"/>
  <c r="Q36" i="35"/>
  <c r="O76" i="35"/>
  <c r="O38" i="35" s="1"/>
  <c r="AB336" i="43"/>
  <c r="AH336" i="43" s="1"/>
  <c r="O285" i="43"/>
  <c r="AB339" i="43"/>
  <c r="AH339" i="43" s="1"/>
  <c r="AC334" i="43"/>
  <c r="AI334" i="43" s="1"/>
  <c r="AE339" i="43"/>
  <c r="AK339" i="43" s="1"/>
  <c r="R60" i="43"/>
  <c r="AE335" i="43"/>
  <c r="AK335" i="43" s="1"/>
  <c r="Q78" i="43" s="1"/>
  <c r="P75" i="35"/>
  <c r="P37" i="35" s="1"/>
  <c r="P76" i="35"/>
  <c r="P38" i="35" s="1"/>
  <c r="O36" i="35"/>
  <c r="Q144" i="40"/>
  <c r="Q142" i="40"/>
  <c r="R285" i="43"/>
  <c r="AE336" i="43"/>
  <c r="AK336" i="43" s="1"/>
  <c r="Q66" i="34"/>
  <c r="Q83" i="35"/>
  <c r="Q21" i="34"/>
  <c r="Q24" i="34" s="1"/>
  <c r="P64" i="34"/>
  <c r="P74" i="35"/>
  <c r="S144" i="40"/>
  <c r="S142" i="40"/>
  <c r="R36" i="35"/>
  <c r="AC339" i="43"/>
  <c r="AI339" i="43" s="1"/>
  <c r="S74" i="35"/>
  <c r="S64" i="34"/>
  <c r="J184" i="43"/>
  <c r="AA339" i="43"/>
  <c r="AG339" i="43" s="1"/>
  <c r="AB335" i="43"/>
  <c r="AH335" i="43" s="1"/>
  <c r="N78" i="43" s="1"/>
  <c r="O60" i="43"/>
  <c r="AI335" i="43"/>
  <c r="O78" i="43" s="1"/>
  <c r="P142" i="40"/>
  <c r="P144" i="40"/>
  <c r="AC796" i="43" l="1"/>
  <c r="K184" i="43"/>
  <c r="L182" i="43"/>
  <c r="L183" i="43"/>
  <c r="O66" i="34"/>
  <c r="O21" i="34"/>
  <c r="O24" i="34" s="1"/>
  <c r="O57" i="37" s="1"/>
  <c r="O81" i="35"/>
  <c r="O23" i="35" s="1"/>
  <c r="O26" i="35" s="1"/>
  <c r="Q84" i="35"/>
  <c r="R83" i="35"/>
  <c r="R66" i="34"/>
  <c r="R81" i="35"/>
  <c r="R23" i="35" s="1"/>
  <c r="R26" i="35" s="1"/>
  <c r="O191" i="40"/>
  <c r="O43" i="35"/>
  <c r="Q43" i="35"/>
  <c r="Q191" i="40"/>
  <c r="S83" i="35"/>
  <c r="S66" i="34"/>
  <c r="S21" i="34"/>
  <c r="S24" i="34" s="1"/>
  <c r="R57" i="37"/>
  <c r="R26" i="34"/>
  <c r="R45" i="35"/>
  <c r="Q54" i="40"/>
  <c r="Q75" i="40"/>
  <c r="Q28" i="35"/>
  <c r="Q195" i="40"/>
  <c r="S81" i="35"/>
  <c r="S23" i="35" s="1"/>
  <c r="S26" i="35" s="1"/>
  <c r="S36" i="35"/>
  <c r="P81" i="35"/>
  <c r="P23" i="35" s="1"/>
  <c r="P26" i="35" s="1"/>
  <c r="P36" i="35"/>
  <c r="P83" i="35"/>
  <c r="P21" i="34"/>
  <c r="P24" i="34" s="1"/>
  <c r="P66" i="34"/>
  <c r="R43" i="35"/>
  <c r="R191" i="40"/>
  <c r="Q26" i="34"/>
  <c r="Q57" i="37"/>
  <c r="Q45" i="35"/>
  <c r="AC797" i="43" l="1"/>
  <c r="R54" i="40"/>
  <c r="L184" i="43"/>
  <c r="R75" i="40"/>
  <c r="O26" i="34"/>
  <c r="O45" i="35"/>
  <c r="O46" i="35" s="1"/>
  <c r="O75" i="40"/>
  <c r="O84" i="35"/>
  <c r="Q46" i="35"/>
  <c r="O28" i="35"/>
  <c r="R84" i="35"/>
  <c r="R195" i="40"/>
  <c r="R196" i="40" s="1"/>
  <c r="R28" i="35"/>
  <c r="O195" i="40"/>
  <c r="O196" i="40" s="1"/>
  <c r="O54" i="40"/>
  <c r="A66" i="34"/>
  <c r="P57" i="37"/>
  <c r="P26" i="34"/>
  <c r="P45" i="35"/>
  <c r="R46" i="35"/>
  <c r="P84" i="35"/>
  <c r="S75" i="40"/>
  <c r="S28" i="35"/>
  <c r="S195" i="40"/>
  <c r="S54" i="40"/>
  <c r="S84" i="35"/>
  <c r="Q119" i="40"/>
  <c r="Q129" i="40" s="1"/>
  <c r="Q196" i="40"/>
  <c r="R119" i="40"/>
  <c r="R129" i="40" s="1"/>
  <c r="P43" i="35"/>
  <c r="P191" i="40"/>
  <c r="P54" i="40"/>
  <c r="P195" i="40"/>
  <c r="P75" i="40"/>
  <c r="P28" i="35"/>
  <c r="S38" i="48"/>
  <c r="A38" i="48" s="1"/>
  <c r="A1" i="48" s="1"/>
  <c r="H19" i="25" s="1"/>
  <c r="S26" i="34"/>
  <c r="S45" i="35"/>
  <c r="S57" i="37"/>
  <c r="S43" i="35"/>
  <c r="S191" i="40"/>
  <c r="AC798" i="43" l="1"/>
  <c r="A26" i="34"/>
  <c r="A1" i="34" s="1"/>
  <c r="H21" i="25" s="1"/>
  <c r="A84" i="35"/>
  <c r="A28" i="35"/>
  <c r="P196" i="40"/>
  <c r="S119" i="40"/>
  <c r="S129" i="40" s="1"/>
  <c r="P119" i="40"/>
  <c r="P129" i="40" s="1"/>
  <c r="P46" i="35"/>
  <c r="S46" i="35"/>
  <c r="S196" i="40"/>
  <c r="AC799" i="43" l="1"/>
  <c r="A196" i="40"/>
  <c r="A46" i="35"/>
  <c r="A1" i="35" s="1"/>
  <c r="H26" i="25" s="1"/>
  <c r="AC800" i="43" l="1"/>
  <c r="AC801" i="43" l="1"/>
  <c r="AC802" i="43" l="1"/>
  <c r="AC803" i="43" l="1"/>
  <c r="AC804" i="43" l="1"/>
  <c r="AC805" i="43" l="1"/>
  <c r="AC806" i="43" l="1"/>
  <c r="AC807" i="43" l="1"/>
  <c r="AC808" i="43" l="1"/>
  <c r="AC809" i="43" l="1"/>
  <c r="AC810" i="43" l="1"/>
  <c r="AC811" i="43" l="1"/>
  <c r="AC812" i="43" l="1"/>
  <c r="AC813" i="43" l="1"/>
  <c r="AC814" i="43" l="1"/>
  <c r="AC815" i="43" l="1"/>
  <c r="AC816" i="43" l="1"/>
  <c r="AC817" i="43" l="1"/>
  <c r="AC818" i="43" l="1"/>
  <c r="AC819" i="43" l="1"/>
  <c r="AC820" i="43" l="1"/>
  <c r="AC821" i="43" l="1"/>
  <c r="AC822" i="43" l="1"/>
  <c r="AC823" i="43" l="1"/>
  <c r="AC824" i="43" l="1"/>
  <c r="AC825" i="43" l="1"/>
  <c r="AC826" i="43" l="1"/>
  <c r="AC827" i="43" l="1"/>
  <c r="AC828" i="43" l="1"/>
  <c r="AC829" i="43" l="1"/>
  <c r="AC830" i="43" l="1"/>
  <c r="AC831" i="43" l="1"/>
  <c r="AC832" i="43" l="1"/>
  <c r="AC833" i="43" l="1"/>
  <c r="AC834" i="43" l="1"/>
  <c r="AC835" i="43" l="1"/>
  <c r="AC836" i="43" l="1"/>
  <c r="AC837" i="43" l="1"/>
  <c r="AC838" i="43" l="1"/>
  <c r="AC839" i="43" l="1"/>
  <c r="AC840" i="43" l="1"/>
  <c r="AC841" i="43" l="1"/>
  <c r="AC842" i="43" l="1"/>
  <c r="AC843" i="43" l="1"/>
  <c r="AC844" i="43" l="1"/>
  <c r="AC845" i="43" l="1"/>
  <c r="AC846" i="43" l="1"/>
  <c r="AC847" i="43" l="1"/>
  <c r="AC848" i="43" l="1"/>
  <c r="AC849" i="43" l="1"/>
  <c r="AC850" i="43" l="1"/>
  <c r="AC851" i="43" l="1"/>
  <c r="AC852" i="43" l="1"/>
  <c r="AC853" i="43" l="1"/>
  <c r="AC854" i="43" l="1"/>
  <c r="AC855" i="43" l="1"/>
  <c r="AC856" i="43" l="1"/>
  <c r="AC857" i="43" l="1"/>
  <c r="AC858" i="43" l="1"/>
  <c r="AC859" i="43" l="1"/>
  <c r="AC860" i="43" l="1"/>
  <c r="AC861" i="43" l="1"/>
  <c r="AC862" i="43" l="1"/>
  <c r="AC863" i="43" l="1"/>
  <c r="AC864" i="43" l="1"/>
  <c r="AC865" i="43" l="1"/>
  <c r="AC866" i="43" l="1"/>
  <c r="AC867" i="43" l="1"/>
  <c r="AC868" i="43" l="1"/>
  <c r="AC869" i="43" l="1"/>
  <c r="AC870" i="43" l="1"/>
  <c r="AC871" i="43" l="1"/>
  <c r="AC872" i="43" l="1"/>
  <c r="AC873" i="43" l="1"/>
  <c r="AC874" i="43" l="1"/>
  <c r="AC875" i="43" l="1"/>
  <c r="AC876" i="43" l="1"/>
  <c r="AC877" i="43" l="1"/>
  <c r="AC878" i="43" l="1"/>
  <c r="AC879" i="43" l="1"/>
  <c r="AC880" i="43" l="1"/>
  <c r="AC881" i="43" l="1"/>
  <c r="AC882" i="43" l="1"/>
  <c r="AC883" i="43" l="1"/>
  <c r="AC884" i="43" l="1"/>
  <c r="AC885" i="43" l="1"/>
  <c r="AC886" i="43" l="1"/>
  <c r="AC887" i="43" l="1"/>
  <c r="AC888" i="43" l="1"/>
  <c r="P53" i="33"/>
  <c r="AC889" i="43" l="1"/>
  <c r="P140" i="40"/>
  <c r="P36" i="40"/>
  <c r="R53" i="33"/>
  <c r="Q53" i="33"/>
  <c r="AC890" i="43" l="1"/>
  <c r="R140" i="40"/>
  <c r="R36" i="40"/>
  <c r="Q140" i="40"/>
  <c r="Q36" i="40"/>
  <c r="AC891" i="43" l="1"/>
  <c r="AE651" i="43"/>
  <c r="AI671" i="43" l="1"/>
  <c r="AE447" i="43"/>
  <c r="AE515" i="43"/>
  <c r="AE494" i="43"/>
  <c r="AE484" i="43"/>
  <c r="AE366" i="43"/>
  <c r="AE442" i="43"/>
  <c r="AE456" i="43"/>
  <c r="AE462" i="43"/>
  <c r="AE422" i="43"/>
  <c r="AE500" i="43"/>
  <c r="AE379" i="43"/>
  <c r="AE504" i="43"/>
  <c r="AE395" i="43"/>
  <c r="AE380" i="43"/>
  <c r="AE391" i="43"/>
  <c r="AE403" i="43"/>
  <c r="AE473" i="43"/>
  <c r="AE440" i="43"/>
  <c r="AE408" i="43"/>
  <c r="AE427" i="43"/>
  <c r="AE516" i="43"/>
  <c r="AE509" i="43"/>
  <c r="AE441" i="43"/>
  <c r="AE434" i="43"/>
  <c r="AE392" i="43"/>
  <c r="AE475" i="43"/>
  <c r="AE510" i="43"/>
  <c r="AE451" i="43"/>
  <c r="AE431" i="43"/>
  <c r="AE507" i="43"/>
  <c r="AE405" i="43"/>
  <c r="AE387" i="43"/>
  <c r="AE489" i="43"/>
  <c r="AE373" i="43"/>
  <c r="AE477" i="43"/>
  <c r="AE438" i="43"/>
  <c r="AE470" i="43"/>
  <c r="AE514" i="43"/>
  <c r="AE465" i="43"/>
  <c r="AE365" i="43"/>
  <c r="AE454" i="43"/>
  <c r="AE368" i="43"/>
  <c r="AE374" i="43"/>
  <c r="AE382" i="43"/>
  <c r="AE383" i="43"/>
  <c r="AE458" i="43"/>
  <c r="AE483" i="43"/>
  <c r="AE445" i="43"/>
  <c r="AE481" i="43"/>
  <c r="AE432" i="43"/>
  <c r="AE388" i="43"/>
  <c r="AE446" i="43"/>
  <c r="AE511" i="43"/>
  <c r="AE469" i="43"/>
  <c r="AE362" i="43"/>
  <c r="AE467" i="43"/>
  <c r="AE360" i="43"/>
  <c r="AE375" i="43"/>
  <c r="AE496" i="43"/>
  <c r="AE390" i="43"/>
  <c r="AE482" i="43"/>
  <c r="AE398" i="43"/>
  <c r="AE443" i="43"/>
  <c r="AE423" i="43"/>
  <c r="AE505" i="43"/>
  <c r="AE486" i="43"/>
  <c r="AE479" i="43"/>
  <c r="AE480" i="43"/>
  <c r="AE420" i="43"/>
  <c r="AE491" i="43"/>
  <c r="AE485" i="43"/>
  <c r="AE453" i="43"/>
  <c r="AE369" i="43"/>
  <c r="AE450" i="43"/>
  <c r="AE444" i="43"/>
  <c r="AE478" i="43"/>
  <c r="AE492" i="43"/>
  <c r="AE372" i="43"/>
  <c r="AE363" i="43"/>
  <c r="AE503" i="43"/>
  <c r="AE389" i="43"/>
  <c r="AE364" i="43"/>
  <c r="AE459" i="43"/>
  <c r="AE463" i="43"/>
  <c r="AE417" i="43"/>
  <c r="AE407" i="43"/>
  <c r="AE498" i="43"/>
  <c r="AE385" i="43"/>
  <c r="AE413" i="43"/>
  <c r="AE404" i="43"/>
  <c r="AE384" i="43"/>
  <c r="AE429" i="43"/>
  <c r="AE426" i="43"/>
  <c r="AE435" i="43"/>
  <c r="AE409" i="43"/>
  <c r="AE406" i="43"/>
  <c r="AE411" i="43"/>
  <c r="AE377" i="43"/>
  <c r="AE394" i="43"/>
  <c r="AE399" i="43"/>
  <c r="AE472" i="43"/>
  <c r="AE425" i="43"/>
  <c r="AE501" i="43"/>
  <c r="AE381" i="43"/>
  <c r="AE506" i="43"/>
  <c r="AE457" i="43"/>
  <c r="AE437" i="43"/>
  <c r="AE497" i="43"/>
  <c r="AE378" i="43"/>
  <c r="AE418" i="43"/>
  <c r="AE508" i="43"/>
  <c r="AE490" i="43"/>
  <c r="AE370" i="43"/>
  <c r="AE461" i="43"/>
  <c r="AE410" i="43"/>
  <c r="AE476" i="43"/>
  <c r="AE452" i="43"/>
  <c r="AE419" i="43"/>
  <c r="AE397" i="43"/>
  <c r="AE517" i="43"/>
  <c r="AE400" i="43"/>
  <c r="AE460" i="43"/>
  <c r="AE393" i="43"/>
  <c r="AE518" i="43"/>
  <c r="AE416" i="43"/>
  <c r="AE512" i="43"/>
  <c r="AE488" i="43"/>
  <c r="AE421" i="43"/>
  <c r="AE474" i="43"/>
  <c r="AE412" i="43"/>
  <c r="AE464" i="43"/>
  <c r="AE495" i="43"/>
  <c r="AE466" i="43"/>
  <c r="AE401" i="43"/>
  <c r="AE371" i="43"/>
  <c r="AE424" i="43"/>
  <c r="AE513" i="43"/>
  <c r="AE402" i="43"/>
  <c r="AE493" i="43"/>
  <c r="AE502" i="43"/>
  <c r="AE361" i="43"/>
  <c r="AE428" i="43"/>
  <c r="AE430" i="43"/>
  <c r="AE439" i="43"/>
  <c r="AE376" i="43"/>
  <c r="AE414" i="43"/>
  <c r="AE386" i="43"/>
  <c r="AE468" i="43"/>
  <c r="AE396" i="43"/>
  <c r="AE471" i="43"/>
  <c r="AE448" i="43"/>
  <c r="AE367" i="43"/>
  <c r="AE499" i="43"/>
  <c r="AE436" i="43"/>
  <c r="AE455" i="43"/>
  <c r="AE487" i="43"/>
  <c r="AE433" i="43"/>
  <c r="AE449" i="43"/>
  <c r="AE415" i="43"/>
  <c r="AE530" i="43"/>
  <c r="AE548" i="43"/>
  <c r="AE653" i="43"/>
  <c r="AE652" i="43"/>
  <c r="AE562" i="43"/>
  <c r="AE662" i="43"/>
  <c r="AE552" i="43"/>
  <c r="AE544" i="43"/>
  <c r="AE574" i="43"/>
  <c r="AE563" i="43"/>
  <c r="AE555" i="43"/>
  <c r="AE546" i="43"/>
  <c r="AE540" i="43"/>
  <c r="AE655" i="43"/>
  <c r="AE558" i="43"/>
  <c r="AE569" i="43"/>
  <c r="AE656" i="43"/>
  <c r="AE534" i="43"/>
  <c r="AE529" i="43"/>
  <c r="AE568" i="43"/>
  <c r="AE554" i="43"/>
  <c r="AE545" i="43"/>
  <c r="AE560" i="43"/>
  <c r="AE564" i="43"/>
  <c r="AE532" i="43"/>
  <c r="AE539" i="43"/>
  <c r="AE526" i="43"/>
  <c r="AE553" i="43"/>
  <c r="AE572" i="43"/>
  <c r="AE531" i="43"/>
  <c r="AE571" i="43"/>
  <c r="AE575" i="43"/>
  <c r="AE528" i="43"/>
  <c r="AE565" i="43"/>
  <c r="AE654" i="43"/>
  <c r="AE573" i="43"/>
  <c r="AE658" i="43"/>
  <c r="AE536" i="43"/>
  <c r="AE570" i="43"/>
  <c r="AE561" i="43"/>
  <c r="AE556" i="43"/>
  <c r="AE547" i="43"/>
  <c r="AE538" i="43"/>
  <c r="AE559" i="43"/>
  <c r="AE533" i="43"/>
  <c r="AE535" i="43"/>
  <c r="AE543" i="43"/>
  <c r="AE549" i="43"/>
  <c r="AE567" i="43"/>
  <c r="AE541" i="43"/>
  <c r="AE566" i="43"/>
  <c r="AE661" i="43"/>
  <c r="AE542" i="43"/>
  <c r="AE657" i="43"/>
  <c r="AE660" i="43"/>
  <c r="AE537" i="43"/>
  <c r="AE550" i="43"/>
  <c r="AE551" i="43"/>
  <c r="AE557" i="43"/>
  <c r="AE664" i="43"/>
  <c r="AE527" i="43"/>
  <c r="AE663" i="43"/>
  <c r="AE659" i="43"/>
  <c r="AE737" i="43"/>
  <c r="AE818" i="43"/>
  <c r="AE867" i="43"/>
  <c r="AE816" i="43"/>
  <c r="AE863" i="43"/>
  <c r="AE849" i="43"/>
  <c r="AE734" i="43"/>
  <c r="AE721" i="43"/>
  <c r="AE789" i="43"/>
  <c r="AE883" i="43"/>
  <c r="AE835" i="43"/>
  <c r="AE681" i="43"/>
  <c r="AE831" i="43"/>
  <c r="AE701" i="43"/>
  <c r="AE674" i="43"/>
  <c r="AE887" i="43"/>
  <c r="AE762" i="43"/>
  <c r="AE795" i="43"/>
  <c r="AE708" i="43"/>
  <c r="AE821" i="43"/>
  <c r="AE884" i="43"/>
  <c r="AE839" i="43"/>
  <c r="AE769" i="43"/>
  <c r="AE722" i="43"/>
  <c r="AE689" i="43"/>
  <c r="AE827" i="43"/>
  <c r="AE770" i="43"/>
  <c r="AE704" i="43"/>
  <c r="AE791" i="43"/>
  <c r="AE767" i="43"/>
  <c r="AE677" i="43"/>
  <c r="AE890" i="43"/>
  <c r="AE891" i="43"/>
  <c r="AE696" i="43"/>
  <c r="AE886" i="43"/>
  <c r="AE874" i="43"/>
  <c r="AE699" i="43"/>
  <c r="AE786" i="43"/>
  <c r="AE790" i="43"/>
  <c r="AE698" i="43"/>
  <c r="AE851" i="43"/>
  <c r="AE858" i="43"/>
  <c r="AE780" i="43"/>
  <c r="AE814" i="43"/>
  <c r="AE747" i="43"/>
  <c r="AE836" i="43"/>
  <c r="AE885" i="43"/>
  <c r="AE856" i="43"/>
  <c r="AE752" i="43"/>
  <c r="AE873" i="43"/>
  <c r="AE830" i="43"/>
  <c r="AE806" i="43"/>
  <c r="AE745" i="43"/>
  <c r="AE763" i="43"/>
  <c r="AE776" i="43"/>
  <c r="AE736" i="43"/>
  <c r="AE788" i="43"/>
  <c r="AE695" i="43"/>
  <c r="AE756" i="43"/>
  <c r="AE755" i="43"/>
  <c r="AE878" i="43"/>
  <c r="AE882" i="43"/>
  <c r="AE683" i="43"/>
  <c r="AE688" i="43"/>
  <c r="AE738" i="43"/>
  <c r="AE861" i="43"/>
  <c r="AE865" i="43"/>
  <c r="AE843" i="43"/>
  <c r="AE838" i="43"/>
  <c r="AE860" i="43"/>
  <c r="AE673" i="43"/>
  <c r="AE772" i="43"/>
  <c r="AE825" i="43"/>
  <c r="AE778" i="43"/>
  <c r="AE813" i="43"/>
  <c r="AE808" i="43"/>
  <c r="AE719" i="43"/>
  <c r="AE809" i="43"/>
  <c r="AE804" i="43"/>
  <c r="AE700" i="43"/>
  <c r="AE872" i="43"/>
  <c r="AE834" i="43"/>
  <c r="AE857" i="43"/>
  <c r="AE774" i="43"/>
  <c r="AE728" i="43"/>
  <c r="AE775" i="43"/>
  <c r="AE794" i="43"/>
  <c r="AE749" i="43"/>
  <c r="AE826" i="43"/>
  <c r="AE732" i="43"/>
  <c r="AE680" i="43"/>
  <c r="AE715" i="43"/>
  <c r="AE672" i="43"/>
  <c r="AE822" i="43"/>
  <c r="AE864" i="43"/>
  <c r="AE742" i="43"/>
  <c r="AE797" i="43"/>
  <c r="AE716" i="43"/>
  <c r="AE741" i="43"/>
  <c r="AE781" i="43"/>
  <c r="AE754" i="43"/>
  <c r="AE757" i="43"/>
  <c r="AE799" i="43"/>
  <c r="AE853" i="43"/>
  <c r="AE800" i="43"/>
  <c r="AE771" i="43"/>
  <c r="AE714" i="43"/>
  <c r="AE832" i="43"/>
  <c r="AE880" i="43"/>
  <c r="AE819" i="43"/>
  <c r="AE693" i="43"/>
  <c r="AE748" i="43"/>
  <c r="AE702" i="43"/>
  <c r="AE824" i="43"/>
  <c r="AE810" i="43"/>
  <c r="AE802" i="43"/>
  <c r="AE713" i="43"/>
  <c r="AE750" i="43"/>
  <c r="AE841" i="43"/>
  <c r="AE685" i="43"/>
  <c r="AE785" i="43"/>
  <c r="AE877" i="43"/>
  <c r="AE803" i="43"/>
  <c r="AE691" i="43"/>
  <c r="AE854" i="43"/>
  <c r="AE842" i="43"/>
  <c r="AE733" i="43"/>
  <c r="AE764" i="43"/>
  <c r="AE682" i="43"/>
  <c r="AE671" i="43"/>
  <c r="AE793" i="43"/>
  <c r="AE711" i="43"/>
  <c r="AE730" i="43"/>
  <c r="AE777" i="43"/>
  <c r="AE844" i="43"/>
  <c r="AE687" i="43"/>
  <c r="AE766" i="43"/>
  <c r="AE862" i="43"/>
  <c r="AE773" i="43"/>
  <c r="AE812" i="43"/>
  <c r="AE823" i="43"/>
  <c r="AE751" i="43"/>
  <c r="AE692" i="43"/>
  <c r="AE731" i="43"/>
  <c r="AE675" i="43"/>
  <c r="AE768" i="43"/>
  <c r="AE807" i="43"/>
  <c r="AE796" i="43"/>
  <c r="AE710" i="43"/>
  <c r="AE697" i="43"/>
  <c r="AE678" i="43"/>
  <c r="AE707" i="43"/>
  <c r="AE859" i="43"/>
  <c r="AE889" i="43"/>
  <c r="AE743" i="43"/>
  <c r="AE690" i="43"/>
  <c r="AE720" i="43"/>
  <c r="AE694" i="43"/>
  <c r="AE866" i="43"/>
  <c r="AE729" i="43"/>
  <c r="AE817" i="43"/>
  <c r="AE783" i="43"/>
  <c r="AE679" i="43"/>
  <c r="AE869" i="43"/>
  <c r="AE712" i="43"/>
  <c r="AE686" i="43"/>
  <c r="AE848" i="43"/>
  <c r="AE782" i="43"/>
  <c r="AE845" i="43"/>
  <c r="AE840" i="43"/>
  <c r="AE828" i="43"/>
  <c r="AE718" i="43"/>
  <c r="AE792" i="43"/>
  <c r="AE820" i="43"/>
  <c r="AE847" i="43"/>
  <c r="AE784" i="43"/>
  <c r="AE709" i="43"/>
  <c r="AE855" i="43"/>
  <c r="AE761" i="43"/>
  <c r="AE760" i="43"/>
  <c r="AE805" i="43"/>
  <c r="AE829" i="43"/>
  <c r="AE746" i="43"/>
  <c r="AE881" i="43"/>
  <c r="AE846" i="43"/>
  <c r="AE876" i="43"/>
  <c r="AE779" i="43"/>
  <c r="AE723" i="43"/>
  <c r="AE815" i="43"/>
  <c r="AE837" i="43"/>
  <c r="AE850" i="43"/>
  <c r="AE787" i="43"/>
  <c r="AE725" i="43"/>
  <c r="AE801" i="43"/>
  <c r="AE739" i="43"/>
  <c r="AE765" i="43"/>
  <c r="AE753" i="43"/>
  <c r="AE852" i="43"/>
  <c r="AE870" i="43"/>
  <c r="AE758" i="43"/>
  <c r="AE798" i="43"/>
  <c r="AE726" i="43"/>
  <c r="AE744" i="43"/>
  <c r="AE888" i="43"/>
  <c r="AE833" i="43"/>
  <c r="AE676" i="43"/>
  <c r="AE706" i="43"/>
  <c r="AE871" i="43"/>
  <c r="AE717" i="43"/>
  <c r="AE724" i="43"/>
  <c r="AE868" i="43"/>
  <c r="AE735" i="43"/>
  <c r="AE759" i="43"/>
  <c r="AE703" i="43"/>
  <c r="AE705" i="43"/>
  <c r="AE740" i="43"/>
  <c r="AE727" i="43"/>
  <c r="AE811" i="43"/>
  <c r="AE684" i="43"/>
  <c r="AE875" i="43"/>
  <c r="AE879" i="43"/>
  <c r="R32" i="33" l="1"/>
  <c r="P32" i="33"/>
  <c r="Q32" i="33"/>
  <c r="O32" i="33"/>
  <c r="S32" i="33"/>
  <c r="S35" i="40" l="1"/>
  <c r="S139" i="40"/>
  <c r="O34" i="33"/>
  <c r="O35" i="40"/>
  <c r="Q35" i="40"/>
  <c r="Q139" i="40"/>
  <c r="P35" i="40"/>
  <c r="P139" i="40"/>
  <c r="R139" i="40"/>
  <c r="R35" i="40"/>
  <c r="E12" i="43" l="1" a="1"/>
  <c r="E224" i="43"/>
  <c r="E215" i="43"/>
  <c r="H276" i="43"/>
  <c r="E210" i="43"/>
  <c r="G275" i="43"/>
  <c r="M274" i="43"/>
  <c r="E219" i="43"/>
  <c r="E203" i="43"/>
  <c r="O18" i="47"/>
  <c r="O18" i="37"/>
  <c r="P34" i="33"/>
  <c r="E207" i="43"/>
  <c r="H275" i="43"/>
  <c r="F272" i="43"/>
  <c r="M276" i="43"/>
  <c r="E222" i="43"/>
  <c r="E213" i="43"/>
  <c r="M271" i="43"/>
  <c r="E218" i="43"/>
  <c r="M270" i="43"/>
  <c r="E220" i="43"/>
  <c r="E197" i="43"/>
  <c r="E225" i="43"/>
  <c r="E206" i="43"/>
  <c r="E211" i="43"/>
  <c r="E201" i="43"/>
  <c r="E194" i="43"/>
  <c r="M269" i="43"/>
  <c r="I274" i="43"/>
  <c r="E205" i="43"/>
  <c r="E202" i="43"/>
  <c r="E195" i="43"/>
  <c r="E200" i="43"/>
  <c r="E208" i="43"/>
  <c r="M273" i="43"/>
  <c r="M275" i="43"/>
  <c r="G276" i="43"/>
  <c r="E212" i="43"/>
  <c r="E223" i="43"/>
  <c r="I269" i="43"/>
  <c r="F271" i="43"/>
  <c r="O21" i="38"/>
  <c r="F273" i="43"/>
  <c r="M272" i="43"/>
  <c r="I270" i="43"/>
  <c r="E198" i="43"/>
  <c r="E217" i="43"/>
  <c r="O46" i="40"/>
  <c r="R62" i="33" l="1"/>
  <c r="R38" i="40" s="1"/>
  <c r="R39" i="40" s="1"/>
  <c r="F220" i="43"/>
  <c r="F197" i="43"/>
  <c r="F225" i="43"/>
  <c r="F222" i="43"/>
  <c r="Q34" i="33"/>
  <c r="F198" i="43"/>
  <c r="F224" i="43"/>
  <c r="F218" i="43"/>
  <c r="F212" i="43"/>
  <c r="P18" i="37"/>
  <c r="F211" i="43"/>
  <c r="F194" i="43"/>
  <c r="F223" i="43"/>
  <c r="F202" i="43"/>
  <c r="F213" i="43"/>
  <c r="F208" i="43"/>
  <c r="F200" i="43"/>
  <c r="F215" i="43"/>
  <c r="P18" i="47"/>
  <c r="F217" i="43"/>
  <c r="P21" i="38"/>
  <c r="F219" i="43"/>
  <c r="F210" i="43"/>
  <c r="F203" i="43"/>
  <c r="F195" i="43"/>
  <c r="F205" i="43"/>
  <c r="F201" i="43"/>
  <c r="F207" i="43"/>
  <c r="F206" i="43"/>
  <c r="O88" i="37"/>
  <c r="O28" i="37" s="1"/>
  <c r="O170" i="40" s="1"/>
  <c r="O89" i="37"/>
  <c r="O29" i="37" s="1"/>
  <c r="O171" i="40" s="1"/>
  <c r="O87" i="37"/>
  <c r="O83" i="37"/>
  <c r="O82" i="37"/>
  <c r="O84" i="37"/>
  <c r="O85" i="37"/>
  <c r="O86" i="37"/>
  <c r="P46" i="40"/>
  <c r="O77" i="40"/>
  <c r="O82" i="40" s="1"/>
  <c r="O86" i="40" s="1"/>
  <c r="O96" i="40" s="1"/>
  <c r="S62" i="33"/>
  <c r="S38" i="40" s="1"/>
  <c r="S39" i="40" s="1"/>
  <c r="O35" i="47"/>
  <c r="O28" i="47"/>
  <c r="O39" i="47"/>
  <c r="O34" i="47"/>
  <c r="O40" i="47"/>
  <c r="O51" i="47"/>
  <c r="O56" i="47"/>
  <c r="O33" i="47"/>
  <c r="O29" i="47"/>
  <c r="O31" i="47"/>
  <c r="O55" i="47"/>
  <c r="O38" i="47"/>
  <c r="O53" i="47"/>
  <c r="O54" i="47"/>
  <c r="O32" i="47"/>
  <c r="O44" i="47"/>
  <c r="O52" i="47"/>
  <c r="O30" i="47"/>
  <c r="O37" i="47"/>
  <c r="O36" i="47"/>
  <c r="P62" i="33"/>
  <c r="P38" i="40" s="1"/>
  <c r="P39" i="40" s="1"/>
  <c r="Q62" i="33"/>
  <c r="Q38" i="40" s="1"/>
  <c r="Q39" i="40" s="1"/>
  <c r="F12" i="43"/>
  <c r="E12" i="43"/>
  <c r="G12" i="43"/>
  <c r="G207" i="43" l="1"/>
  <c r="G203" i="43"/>
  <c r="Q18" i="47"/>
  <c r="G195" i="43"/>
  <c r="G225" i="43"/>
  <c r="G194" i="43"/>
  <c r="G218" i="43"/>
  <c r="Q18" i="37"/>
  <c r="G206" i="43"/>
  <c r="G217" i="43"/>
  <c r="G215" i="43"/>
  <c r="G219" i="43"/>
  <c r="G212" i="43"/>
  <c r="G224" i="43"/>
  <c r="R34" i="33"/>
  <c r="Q21" i="38"/>
  <c r="G211" i="43"/>
  <c r="G201" i="43"/>
  <c r="G208" i="43"/>
  <c r="G220" i="43"/>
  <c r="G202" i="43"/>
  <c r="G197" i="43"/>
  <c r="G198" i="43"/>
  <c r="G213" i="43"/>
  <c r="G223" i="43"/>
  <c r="G200" i="43"/>
  <c r="G222" i="43"/>
  <c r="G210" i="43"/>
  <c r="G205" i="43"/>
  <c r="O42" i="47"/>
  <c r="O60" i="47" s="1"/>
  <c r="O173" i="40"/>
  <c r="O27" i="37"/>
  <c r="O169" i="40" s="1"/>
  <c r="E11" i="43" s="1" a="1"/>
  <c r="O31" i="37"/>
  <c r="O91" i="37"/>
  <c r="P40" i="47"/>
  <c r="P52" i="47"/>
  <c r="P31" i="47"/>
  <c r="P32" i="47"/>
  <c r="P37" i="47"/>
  <c r="P53" i="47"/>
  <c r="P34" i="47"/>
  <c r="P39" i="47"/>
  <c r="P55" i="47"/>
  <c r="P54" i="47"/>
  <c r="P38" i="47"/>
  <c r="P28" i="47"/>
  <c r="P29" i="47"/>
  <c r="P51" i="47"/>
  <c r="P36" i="47"/>
  <c r="P44" i="47"/>
  <c r="P56" i="47"/>
  <c r="P30" i="47"/>
  <c r="P35" i="47"/>
  <c r="P33" i="47"/>
  <c r="P85" i="37"/>
  <c r="P83" i="37"/>
  <c r="P89" i="37"/>
  <c r="P29" i="37" s="1"/>
  <c r="P171" i="40" s="1"/>
  <c r="P82" i="37"/>
  <c r="P88" i="37"/>
  <c r="P28" i="37" s="1"/>
  <c r="P170" i="40" s="1"/>
  <c r="P87" i="37"/>
  <c r="P86" i="37"/>
  <c r="P84" i="37"/>
  <c r="O62" i="33"/>
  <c r="O38" i="40" s="1"/>
  <c r="O39" i="40" s="1"/>
  <c r="M27" i="44"/>
  <c r="O58" i="47"/>
  <c r="P77" i="40"/>
  <c r="P82" i="40" s="1"/>
  <c r="P86" i="40" s="1"/>
  <c r="P96" i="40" s="1"/>
  <c r="P97" i="40" s="1"/>
  <c r="Q46" i="40"/>
  <c r="O45" i="47" l="1"/>
  <c r="O48" i="40"/>
  <c r="O51" i="40" s="1"/>
  <c r="O95" i="40"/>
  <c r="P58" i="47"/>
  <c r="E11" i="43"/>
  <c r="G11" i="43"/>
  <c r="F11" i="43"/>
  <c r="Q83" i="37"/>
  <c r="Q88" i="37"/>
  <c r="Q28" i="37" s="1"/>
  <c r="Q170" i="40" s="1"/>
  <c r="Q85" i="37"/>
  <c r="Q82" i="37"/>
  <c r="Q86" i="37"/>
  <c r="Q87" i="37"/>
  <c r="Q89" i="37"/>
  <c r="Q29" i="37" s="1"/>
  <c r="Q171" i="40" s="1"/>
  <c r="Q84" i="37"/>
  <c r="O174" i="40"/>
  <c r="H201" i="43"/>
  <c r="R18" i="47"/>
  <c r="H210" i="43"/>
  <c r="H211" i="43"/>
  <c r="R21" i="38"/>
  <c r="H195" i="43"/>
  <c r="H223" i="43"/>
  <c r="H203" i="43"/>
  <c r="H200" i="43"/>
  <c r="H225" i="43"/>
  <c r="H194" i="43"/>
  <c r="H202" i="43"/>
  <c r="H218" i="43"/>
  <c r="H212" i="43"/>
  <c r="R18" i="37"/>
  <c r="H215" i="43"/>
  <c r="S34" i="33"/>
  <c r="H222" i="43"/>
  <c r="H217" i="43"/>
  <c r="H205" i="43"/>
  <c r="H198" i="43"/>
  <c r="H224" i="43"/>
  <c r="H213" i="43"/>
  <c r="H219" i="43"/>
  <c r="H207" i="43"/>
  <c r="H208" i="43"/>
  <c r="H206" i="43"/>
  <c r="H220" i="43"/>
  <c r="H197" i="43"/>
  <c r="P42" i="47"/>
  <c r="P60" i="47" s="1"/>
  <c r="O61" i="47"/>
  <c r="R46" i="40"/>
  <c r="Q77" i="40"/>
  <c r="Q82" i="40" s="1"/>
  <c r="Q86" i="40" s="1"/>
  <c r="Q96" i="40" s="1"/>
  <c r="Q97" i="40" s="1"/>
  <c r="O97" i="40"/>
  <c r="P27" i="37"/>
  <c r="P169" i="40" s="1"/>
  <c r="P91" i="37"/>
  <c r="P173" i="40"/>
  <c r="P31" i="37"/>
  <c r="Q33" i="47"/>
  <c r="Q38" i="47"/>
  <c r="Q51" i="47"/>
  <c r="Q54" i="47"/>
  <c r="Q53" i="47"/>
  <c r="Q39" i="47"/>
  <c r="Q35" i="47"/>
  <c r="Q36" i="47"/>
  <c r="Q56" i="47"/>
  <c r="Q37" i="47"/>
  <c r="Q30" i="47"/>
  <c r="Q55" i="47"/>
  <c r="Q34" i="47"/>
  <c r="Q28" i="47"/>
  <c r="Q40" i="47"/>
  <c r="Q29" i="47"/>
  <c r="Q44" i="47"/>
  <c r="Q31" i="47"/>
  <c r="Q52" i="47"/>
  <c r="Q32" i="47"/>
  <c r="W109" i="45"/>
  <c r="AI104" i="45"/>
  <c r="U109" i="45"/>
  <c r="AG160" i="45"/>
  <c r="Q105" i="45"/>
  <c r="T154" i="45"/>
  <c r="T155" i="45"/>
  <c r="O109" i="45"/>
  <c r="T105" i="45"/>
  <c r="AG104" i="45"/>
  <c r="R104" i="45"/>
  <c r="W160" i="45"/>
  <c r="V105" i="45"/>
  <c r="M104" i="45"/>
  <c r="AB109" i="45"/>
  <c r="AD109" i="45"/>
  <c r="AE160" i="45"/>
  <c r="M103" i="45"/>
  <c r="S160" i="45"/>
  <c r="Z103" i="45"/>
  <c r="V154" i="45"/>
  <c r="W103" i="45"/>
  <c r="P155" i="45"/>
  <c r="AC156" i="45"/>
  <c r="AH155" i="45"/>
  <c r="AF156" i="45"/>
  <c r="W104" i="45"/>
  <c r="R109" i="45"/>
  <c r="AB105" i="45"/>
  <c r="Y156" i="45"/>
  <c r="AD103" i="45"/>
  <c r="X103" i="45"/>
  <c r="S156" i="45"/>
  <c r="AC105" i="45"/>
  <c r="AB104" i="45"/>
  <c r="AA154" i="45"/>
  <c r="AB103" i="45"/>
  <c r="AG105" i="45"/>
  <c r="M160" i="45"/>
  <c r="T103" i="45"/>
  <c r="V109" i="45"/>
  <c r="N160" i="45"/>
  <c r="AE103" i="45"/>
  <c r="N155" i="45"/>
  <c r="AG155" i="45"/>
  <c r="AA160" i="45"/>
  <c r="O105" i="45"/>
  <c r="W154" i="45"/>
  <c r="U154" i="45"/>
  <c r="M105" i="45"/>
  <c r="N109" i="45"/>
  <c r="AI156" i="45"/>
  <c r="P154" i="45"/>
  <c r="P109" i="45"/>
  <c r="S154" i="45"/>
  <c r="AB155" i="45"/>
  <c r="AC155" i="45"/>
  <c r="AC109" i="45"/>
  <c r="AG109" i="45"/>
  <c r="S155" i="45"/>
  <c r="R105" i="45"/>
  <c r="W156" i="45"/>
  <c r="AF109" i="45"/>
  <c r="P104" i="45"/>
  <c r="AI160" i="45"/>
  <c r="AI105" i="45"/>
  <c r="Q156" i="45"/>
  <c r="AH103" i="45"/>
  <c r="Q155" i="45"/>
  <c r="Z154" i="45"/>
  <c r="AA104" i="45"/>
  <c r="AD104" i="45"/>
  <c r="AH105" i="45"/>
  <c r="AA155" i="45"/>
  <c r="O155" i="45"/>
  <c r="AA105" i="45"/>
  <c r="X160" i="45"/>
  <c r="P156" i="45"/>
  <c r="M23" i="45"/>
  <c r="X156" i="45"/>
  <c r="S105" i="45"/>
  <c r="S42" i="45" s="1"/>
  <c r="S66" i="45" s="1"/>
  <c r="AE154" i="45"/>
  <c r="AH156" i="45"/>
  <c r="AC103" i="45"/>
  <c r="T104" i="45"/>
  <c r="AI154" i="45"/>
  <c r="AD156" i="45"/>
  <c r="N104" i="45"/>
  <c r="N156" i="45"/>
  <c r="O156" i="45"/>
  <c r="AB154" i="45"/>
  <c r="T160" i="45"/>
  <c r="AI109" i="45"/>
  <c r="AH154" i="45"/>
  <c r="X104" i="45"/>
  <c r="Y155" i="45"/>
  <c r="V104" i="45"/>
  <c r="S104" i="45"/>
  <c r="Q160" i="45"/>
  <c r="Y103" i="45"/>
  <c r="Z104" i="45"/>
  <c r="AE156" i="45"/>
  <c r="Z156" i="45"/>
  <c r="M156" i="45"/>
  <c r="N105" i="45"/>
  <c r="N42" i="45" s="1"/>
  <c r="N66" i="45" s="1"/>
  <c r="AG154" i="45"/>
  <c r="M109" i="45"/>
  <c r="T156" i="45"/>
  <c r="O103" i="45"/>
  <c r="Z160" i="45"/>
  <c r="AE105" i="45"/>
  <c r="Q103" i="45"/>
  <c r="O154" i="45"/>
  <c r="U156" i="45"/>
  <c r="R154" i="45"/>
  <c r="Z105" i="45"/>
  <c r="V156" i="45"/>
  <c r="AD155" i="45"/>
  <c r="AD160" i="45"/>
  <c r="P22" i="45"/>
  <c r="Y105" i="45"/>
  <c r="Q104" i="45"/>
  <c r="X105" i="45"/>
  <c r="N154" i="45"/>
  <c r="AB156" i="45"/>
  <c r="AF160" i="45"/>
  <c r="AC104" i="45"/>
  <c r="W155" i="45"/>
  <c r="AD154" i="45"/>
  <c r="R156" i="45"/>
  <c r="AB160" i="45"/>
  <c r="X154" i="45"/>
  <c r="R160" i="45"/>
  <c r="P23" i="45"/>
  <c r="X155" i="45"/>
  <c r="AC154" i="45"/>
  <c r="AH104" i="45"/>
  <c r="AH41" i="45" s="1"/>
  <c r="AH65" i="45" s="1"/>
  <c r="AG103" i="45"/>
  <c r="U105" i="45"/>
  <c r="S109" i="45"/>
  <c r="Y109" i="45"/>
  <c r="T109" i="45"/>
  <c r="AF104" i="45"/>
  <c r="Q154" i="45"/>
  <c r="U103" i="45"/>
  <c r="U40" i="45" s="1"/>
  <c r="AI103" i="45"/>
  <c r="AH160" i="45"/>
  <c r="S103" i="45"/>
  <c r="AE155" i="45"/>
  <c r="N103" i="45"/>
  <c r="O104" i="45"/>
  <c r="V155" i="45"/>
  <c r="U104" i="45"/>
  <c r="AC160" i="45"/>
  <c r="AC46" i="45" s="1"/>
  <c r="Y154" i="45"/>
  <c r="AF154" i="45"/>
  <c r="P21" i="45"/>
  <c r="W105" i="45"/>
  <c r="Y160" i="45"/>
  <c r="Q109" i="45"/>
  <c r="AA103" i="45"/>
  <c r="AF155" i="45"/>
  <c r="M154" i="45"/>
  <c r="AA109" i="45"/>
  <c r="P103" i="45"/>
  <c r="AA156" i="45"/>
  <c r="AE109" i="45"/>
  <c r="AF103" i="45"/>
  <c r="P105" i="45"/>
  <c r="U155" i="45"/>
  <c r="M155" i="45"/>
  <c r="AG156" i="45"/>
  <c r="AD105" i="45"/>
  <c r="AI155" i="45"/>
  <c r="Z155" i="45"/>
  <c r="V160" i="45"/>
  <c r="U160" i="45"/>
  <c r="AH109" i="45"/>
  <c r="V103" i="45"/>
  <c r="X109" i="45"/>
  <c r="O160" i="45"/>
  <c r="Z109" i="45"/>
  <c r="AF105" i="45"/>
  <c r="R103" i="45"/>
  <c r="P160" i="45"/>
  <c r="AE104" i="45"/>
  <c r="R155" i="45"/>
  <c r="Y104" i="45"/>
  <c r="O32" i="37"/>
  <c r="P61" i="47" l="1"/>
  <c r="U46" i="45"/>
  <c r="P45" i="47"/>
  <c r="R46" i="45"/>
  <c r="AA42" i="45"/>
  <c r="AA66" i="45" s="1"/>
  <c r="AI46" i="45"/>
  <c r="AC41" i="45"/>
  <c r="AC65" i="45" s="1"/>
  <c r="U42" i="45"/>
  <c r="U66" i="45" s="1"/>
  <c r="AF42" i="45"/>
  <c r="AF66" i="45" s="1"/>
  <c r="AG46" i="45"/>
  <c r="S41" i="45"/>
  <c r="S65" i="45" s="1"/>
  <c r="N41" i="45"/>
  <c r="N65" i="45" s="1"/>
  <c r="N158" i="45"/>
  <c r="N161" i="45" s="1"/>
  <c r="AF40" i="45"/>
  <c r="AF64" i="45" s="1"/>
  <c r="Q41" i="45"/>
  <c r="Q65" i="45" s="1"/>
  <c r="V158" i="45"/>
  <c r="V161" i="45" s="1"/>
  <c r="Q158" i="45"/>
  <c r="Q161" i="45" s="1"/>
  <c r="O41" i="45"/>
  <c r="O65" i="45" s="1"/>
  <c r="AH158" i="45"/>
  <c r="AH161" i="45" s="1"/>
  <c r="O158" i="45"/>
  <c r="O161" i="45" s="1"/>
  <c r="N23" i="45"/>
  <c r="O22" i="45"/>
  <c r="O23" i="45"/>
  <c r="N22" i="45"/>
  <c r="O21" i="45"/>
  <c r="AD42" i="45"/>
  <c r="AD66" i="45" s="1"/>
  <c r="T41" i="45"/>
  <c r="T65" i="45" s="1"/>
  <c r="X158" i="45"/>
  <c r="X161" i="45" s="1"/>
  <c r="Z42" i="45"/>
  <c r="Z66" i="45" s="1"/>
  <c r="X42" i="45"/>
  <c r="X66" i="45" s="1"/>
  <c r="M46" i="45"/>
  <c r="AH46" i="45"/>
  <c r="P41" i="45"/>
  <c r="P65" i="45" s="1"/>
  <c r="P25" i="45"/>
  <c r="M41" i="45"/>
  <c r="M65" i="45" s="1"/>
  <c r="Y158" i="45"/>
  <c r="Y161" i="45" s="1"/>
  <c r="AI42" i="45"/>
  <c r="AI66" i="45" s="1"/>
  <c r="AC42" i="45"/>
  <c r="AC66" i="45" s="1"/>
  <c r="P42" i="45"/>
  <c r="P66" i="45" s="1"/>
  <c r="AD158" i="45"/>
  <c r="AD161" i="45" s="1"/>
  <c r="Y42" i="45"/>
  <c r="Y66" i="45" s="1"/>
  <c r="AH42" i="45"/>
  <c r="AH66" i="45" s="1"/>
  <c r="AE42" i="45"/>
  <c r="AE66" i="45" s="1"/>
  <c r="Y107" i="45"/>
  <c r="Y110" i="45" s="1"/>
  <c r="Y41" i="45"/>
  <c r="Y65" i="45" s="1"/>
  <c r="X46" i="45"/>
  <c r="AA46" i="45"/>
  <c r="AF158" i="45"/>
  <c r="AF161" i="45" s="1"/>
  <c r="Y46" i="45"/>
  <c r="O40" i="45"/>
  <c r="O107" i="45"/>
  <c r="O110" i="45" s="1"/>
  <c r="Z41" i="45"/>
  <c r="Z65" i="45" s="1"/>
  <c r="R42" i="45"/>
  <c r="R66" i="45" s="1"/>
  <c r="P158" i="45"/>
  <c r="P161" i="45" s="1"/>
  <c r="AB40" i="45"/>
  <c r="AB107" i="45"/>
  <c r="AB110" i="45" s="1"/>
  <c r="AB42" i="45"/>
  <c r="AB66" i="45" s="1"/>
  <c r="V42" i="45"/>
  <c r="V66" i="45" s="1"/>
  <c r="Q42" i="45"/>
  <c r="Q66" i="45" s="1"/>
  <c r="I197" i="43"/>
  <c r="I220" i="43"/>
  <c r="I195" i="43"/>
  <c r="I212" i="43"/>
  <c r="I205" i="43"/>
  <c r="I218" i="43"/>
  <c r="I223" i="43"/>
  <c r="I213" i="43"/>
  <c r="I202" i="43"/>
  <c r="I206" i="43"/>
  <c r="I208" i="43"/>
  <c r="I217" i="43"/>
  <c r="S18" i="47"/>
  <c r="I211" i="43"/>
  <c r="I207" i="43"/>
  <c r="I201" i="43"/>
  <c r="I210" i="43"/>
  <c r="I194" i="43"/>
  <c r="I198" i="43"/>
  <c r="I222" i="43"/>
  <c r="I215" i="43"/>
  <c r="S18" i="37"/>
  <c r="I224" i="43"/>
  <c r="I219" i="43"/>
  <c r="I200" i="43"/>
  <c r="I203" i="43"/>
  <c r="I225" i="43"/>
  <c r="S21" i="38"/>
  <c r="V40" i="45"/>
  <c r="V107" i="45"/>
  <c r="V110" i="45" s="1"/>
  <c r="M158" i="45"/>
  <c r="M161" i="45" s="1"/>
  <c r="S107" i="45"/>
  <c r="S110" i="45" s="1"/>
  <c r="S40" i="45"/>
  <c r="S46" i="45"/>
  <c r="Y40" i="45"/>
  <c r="AC107" i="45"/>
  <c r="AC110" i="45" s="1"/>
  <c r="AH40" i="45"/>
  <c r="AH107" i="45"/>
  <c r="AH110" i="45" s="1"/>
  <c r="AA158" i="45"/>
  <c r="AA161" i="45" s="1"/>
  <c r="Z40" i="45"/>
  <c r="Z107" i="45"/>
  <c r="Z110" i="45" s="1"/>
  <c r="R77" i="40"/>
  <c r="R82" i="40" s="1"/>
  <c r="R86" i="40" s="1"/>
  <c r="R96" i="40" s="1"/>
  <c r="R97" i="40" s="1"/>
  <c r="AE107" i="45"/>
  <c r="AE110" i="45" s="1"/>
  <c r="AE41" i="45"/>
  <c r="AE65" i="45" s="1"/>
  <c r="AB46" i="45"/>
  <c r="R158" i="45"/>
  <c r="R161" i="45" s="1"/>
  <c r="AB158" i="45"/>
  <c r="AB161" i="45" s="1"/>
  <c r="N46" i="45"/>
  <c r="AE40" i="45"/>
  <c r="AB41" i="45"/>
  <c r="AB65" i="45" s="1"/>
  <c r="W41" i="45"/>
  <c r="W65" i="45" s="1"/>
  <c r="R41" i="45"/>
  <c r="R65" i="45" s="1"/>
  <c r="P32" i="37"/>
  <c r="R85" i="37"/>
  <c r="R84" i="37"/>
  <c r="R89" i="37"/>
  <c r="R29" i="37" s="1"/>
  <c r="R171" i="40" s="1"/>
  <c r="R88" i="37"/>
  <c r="R28" i="37" s="1"/>
  <c r="R170" i="40" s="1"/>
  <c r="R83" i="37"/>
  <c r="R87" i="37"/>
  <c r="R86" i="37"/>
  <c r="R82" i="37"/>
  <c r="P46" i="45"/>
  <c r="AA107" i="45"/>
  <c r="AA110" i="45" s="1"/>
  <c r="AA40" i="45"/>
  <c r="U41" i="45"/>
  <c r="U65" i="45" s="1"/>
  <c r="AI40" i="45"/>
  <c r="AI107" i="45"/>
  <c r="AI110" i="45" s="1"/>
  <c r="AG107" i="45"/>
  <c r="AG110" i="45" s="1"/>
  <c r="AG40" i="45"/>
  <c r="AG158" i="45"/>
  <c r="AG161" i="45" s="1"/>
  <c r="AE158" i="45"/>
  <c r="AE161" i="45" s="1"/>
  <c r="M42" i="45"/>
  <c r="M66" i="45" s="1"/>
  <c r="M40" i="45"/>
  <c r="M107" i="45"/>
  <c r="M110" i="45" s="1"/>
  <c r="AG41" i="45"/>
  <c r="AG65" i="45" s="1"/>
  <c r="AI41" i="45"/>
  <c r="AI65" i="45" s="1"/>
  <c r="P174" i="40"/>
  <c r="R40" i="45"/>
  <c r="R107" i="45"/>
  <c r="R110" i="45" s="1"/>
  <c r="Q46" i="45"/>
  <c r="U64" i="45"/>
  <c r="V41" i="45"/>
  <c r="V65" i="45" s="1"/>
  <c r="U158" i="45"/>
  <c r="U161" i="45" s="1"/>
  <c r="V46" i="45"/>
  <c r="T42" i="45"/>
  <c r="T66" i="45" s="1"/>
  <c r="W46" i="45"/>
  <c r="Q42" i="47"/>
  <c r="Q60" i="47" s="1"/>
  <c r="AE46" i="45"/>
  <c r="AC40" i="45"/>
  <c r="AC158" i="45"/>
  <c r="AC161" i="45" s="1"/>
  <c r="Q107" i="45"/>
  <c r="Q110" i="45" s="1"/>
  <c r="Q40" i="45"/>
  <c r="AD41" i="45"/>
  <c r="AD65" i="45" s="1"/>
  <c r="W158" i="45"/>
  <c r="W161" i="45" s="1"/>
  <c r="T107" i="45"/>
  <c r="T110" i="45" s="1"/>
  <c r="T40" i="45"/>
  <c r="X40" i="45"/>
  <c r="X107" i="45"/>
  <c r="X110" i="45" s="1"/>
  <c r="AD46" i="45"/>
  <c r="Z46" i="45"/>
  <c r="W107" i="45"/>
  <c r="W110" i="45" s="1"/>
  <c r="W42" i="45"/>
  <c r="W66" i="45" s="1"/>
  <c r="AF107" i="45"/>
  <c r="AF110" i="45" s="1"/>
  <c r="AF41" i="45"/>
  <c r="AF65" i="45" s="1"/>
  <c r="X41" i="45"/>
  <c r="X65" i="45" s="1"/>
  <c r="M22" i="45"/>
  <c r="U23" i="45" s="1"/>
  <c r="AA41" i="45"/>
  <c r="AA65" i="45" s="1"/>
  <c r="AF46" i="45"/>
  <c r="S158" i="45"/>
  <c r="S161" i="45" s="1"/>
  <c r="O42" i="45"/>
  <c r="O66" i="45" s="1"/>
  <c r="AD107" i="45"/>
  <c r="AD110" i="45" s="1"/>
  <c r="AD40" i="45"/>
  <c r="Q27" i="37"/>
  <c r="Q169" i="40" s="1"/>
  <c r="Q31" i="37"/>
  <c r="Q91" i="37"/>
  <c r="Q173" i="40"/>
  <c r="O99" i="40"/>
  <c r="N21" i="45"/>
  <c r="O46" i="45"/>
  <c r="P40" i="45"/>
  <c r="P107" i="45"/>
  <c r="P110" i="45" s="1"/>
  <c r="N40" i="45"/>
  <c r="N107" i="45"/>
  <c r="N110" i="45" s="1"/>
  <c r="T46" i="45"/>
  <c r="AI158" i="45"/>
  <c r="AI161" i="45" s="1"/>
  <c r="Z158" i="45"/>
  <c r="Z161" i="45" s="1"/>
  <c r="AG42" i="45"/>
  <c r="AG66" i="45" s="1"/>
  <c r="W40" i="45"/>
  <c r="T158" i="45"/>
  <c r="T161" i="45" s="1"/>
  <c r="Q58" i="47"/>
  <c r="R36" i="47"/>
  <c r="R56" i="47"/>
  <c r="R39" i="47"/>
  <c r="R30" i="47"/>
  <c r="R33" i="47"/>
  <c r="R28" i="47"/>
  <c r="R51" i="47"/>
  <c r="R32" i="47"/>
  <c r="R38" i="47"/>
  <c r="R31" i="47"/>
  <c r="R34" i="47"/>
  <c r="R54" i="47"/>
  <c r="R55" i="47"/>
  <c r="R29" i="47"/>
  <c r="R44" i="47"/>
  <c r="R37" i="47"/>
  <c r="R52" i="47"/>
  <c r="R53" i="47"/>
  <c r="R40" i="47"/>
  <c r="R35" i="47"/>
  <c r="O56" i="40"/>
  <c r="O62" i="40"/>
  <c r="O25" i="45" l="1"/>
  <c r="N25" i="45"/>
  <c r="U44" i="45"/>
  <c r="U70" i="45" s="1"/>
  <c r="Q174" i="40"/>
  <c r="Q22" i="45"/>
  <c r="O106" i="40"/>
  <c r="P94" i="40"/>
  <c r="T64" i="45"/>
  <c r="T68" i="45" s="1"/>
  <c r="T44" i="45"/>
  <c r="T70" i="45" s="1"/>
  <c r="R64" i="45"/>
  <c r="R68" i="45" s="1"/>
  <c r="R44" i="45"/>
  <c r="AE64" i="45"/>
  <c r="AE68" i="45" s="1"/>
  <c r="AE44" i="45"/>
  <c r="AE70" i="45" s="1"/>
  <c r="AG44" i="45"/>
  <c r="AG64" i="45"/>
  <c r="AG68" i="45" s="1"/>
  <c r="Z64" i="45"/>
  <c r="Z68" i="45" s="1"/>
  <c r="Z44" i="45"/>
  <c r="Z70" i="45" s="1"/>
  <c r="S44" i="45"/>
  <c r="S70" i="45" s="1"/>
  <c r="S64" i="45"/>
  <c r="S68" i="45" s="1"/>
  <c r="R58" i="47"/>
  <c r="N64" i="45"/>
  <c r="N68" i="45" s="1"/>
  <c r="N44" i="45"/>
  <c r="N70" i="45" s="1"/>
  <c r="Q61" i="47"/>
  <c r="R42" i="47"/>
  <c r="R60" i="47" s="1"/>
  <c r="W64" i="45"/>
  <c r="W68" i="45" s="1"/>
  <c r="W44" i="45"/>
  <c r="W70" i="45" s="1"/>
  <c r="Q32" i="37"/>
  <c r="A161" i="45"/>
  <c r="P64" i="45"/>
  <c r="P68" i="45" s="1"/>
  <c r="P44" i="45"/>
  <c r="Q64" i="45"/>
  <c r="Q68" i="45" s="1"/>
  <c r="Q44" i="45"/>
  <c r="Q70" i="45" s="1"/>
  <c r="AI64" i="45"/>
  <c r="AI68" i="45" s="1"/>
  <c r="AI44" i="45"/>
  <c r="R27" i="37"/>
  <c r="R169" i="40" s="1"/>
  <c r="R91" i="37"/>
  <c r="R31" i="37"/>
  <c r="R173" i="40"/>
  <c r="AH44" i="45"/>
  <c r="AH64" i="45"/>
  <c r="AH68" i="45" s="1"/>
  <c r="S86" i="37"/>
  <c r="S88" i="37"/>
  <c r="S28" i="37" s="1"/>
  <c r="S170" i="40" s="1"/>
  <c r="S85" i="37"/>
  <c r="S82" i="37"/>
  <c r="S83" i="37"/>
  <c r="S87" i="37"/>
  <c r="S89" i="37"/>
  <c r="S29" i="37" s="1"/>
  <c r="S171" i="40" s="1"/>
  <c r="S84" i="37"/>
  <c r="O64" i="45"/>
  <c r="O68" i="45" s="1"/>
  <c r="O44" i="45"/>
  <c r="O70" i="45" s="1"/>
  <c r="AD44" i="45"/>
  <c r="AD70" i="45" s="1"/>
  <c r="AD64" i="45"/>
  <c r="AD68" i="45" s="1"/>
  <c r="U22" i="45"/>
  <c r="M21" i="45"/>
  <c r="M25" i="45" s="1"/>
  <c r="T22" i="45" s="1"/>
  <c r="AF44" i="45"/>
  <c r="AF70" i="45" s="1"/>
  <c r="M64" i="45"/>
  <c r="M44" i="45"/>
  <c r="U68" i="45"/>
  <c r="V64" i="45"/>
  <c r="V68" i="45" s="1"/>
  <c r="V44" i="45"/>
  <c r="V70" i="45" s="1"/>
  <c r="S29" i="47"/>
  <c r="S36" i="47"/>
  <c r="S44" i="47"/>
  <c r="S52" i="47"/>
  <c r="S51" i="47"/>
  <c r="S31" i="47"/>
  <c r="S33" i="47"/>
  <c r="S37" i="47"/>
  <c r="S32" i="47"/>
  <c r="S30" i="47"/>
  <c r="S28" i="47"/>
  <c r="S56" i="47"/>
  <c r="S39" i="47"/>
  <c r="S38" i="47"/>
  <c r="S54" i="47"/>
  <c r="S35" i="47"/>
  <c r="S40" i="47"/>
  <c r="S34" i="47"/>
  <c r="S53" i="47"/>
  <c r="S55" i="47"/>
  <c r="AF68" i="45"/>
  <c r="Q23" i="45"/>
  <c r="AA64" i="45"/>
  <c r="AA68" i="45" s="1"/>
  <c r="AA44" i="45"/>
  <c r="AA70" i="45" s="1"/>
  <c r="Y64" i="45"/>
  <c r="Y68" i="45" s="1"/>
  <c r="Y44" i="45"/>
  <c r="Y70" i="45" s="1"/>
  <c r="AB44" i="45"/>
  <c r="AB70" i="45" s="1"/>
  <c r="AB64" i="45"/>
  <c r="AB68" i="45" s="1"/>
  <c r="X44" i="45"/>
  <c r="X70" i="45" s="1"/>
  <c r="X64" i="45"/>
  <c r="X68" i="45" s="1"/>
  <c r="AC64" i="45"/>
  <c r="AC68" i="45" s="1"/>
  <c r="AC44" i="45"/>
  <c r="Q45" i="47"/>
  <c r="U47" i="45" l="1"/>
  <c r="AA71" i="45"/>
  <c r="U71" i="45"/>
  <c r="O47" i="45"/>
  <c r="AB47" i="45"/>
  <c r="V47" i="45"/>
  <c r="R61" i="47"/>
  <c r="AD71" i="45"/>
  <c r="Z47" i="45"/>
  <c r="W71" i="45"/>
  <c r="S71" i="45"/>
  <c r="X71" i="45"/>
  <c r="AB71" i="45"/>
  <c r="O71" i="45"/>
  <c r="AE71" i="45"/>
  <c r="AH70" i="45"/>
  <c r="AH71" i="45" s="1"/>
  <c r="AH47" i="45"/>
  <c r="Q71" i="45"/>
  <c r="R70" i="45"/>
  <c r="R71" i="45" s="1"/>
  <c r="R47" i="45"/>
  <c r="Y47" i="45"/>
  <c r="U28" i="45"/>
  <c r="U25" i="45"/>
  <c r="R174" i="40"/>
  <c r="S58" i="47"/>
  <c r="M70" i="45"/>
  <c r="M47" i="45"/>
  <c r="R32" i="37"/>
  <c r="R45" i="47"/>
  <c r="AG70" i="45"/>
  <c r="AG71" i="45" s="1"/>
  <c r="AG47" i="45"/>
  <c r="M68" i="45"/>
  <c r="Q27" i="45" s="1"/>
  <c r="Q21" i="45"/>
  <c r="S31" i="37"/>
  <c r="S91" i="37"/>
  <c r="A91" i="37" s="1"/>
  <c r="S27" i="37"/>
  <c r="S169" i="40" s="1"/>
  <c r="S173" i="40"/>
  <c r="P47" i="45"/>
  <c r="P70" i="45"/>
  <c r="P71" i="45" s="1"/>
  <c r="AE47" i="45"/>
  <c r="T71" i="45"/>
  <c r="S42" i="47"/>
  <c r="S60" i="47" s="1"/>
  <c r="AF71" i="45"/>
  <c r="X47" i="45"/>
  <c r="AF47" i="45"/>
  <c r="AC70" i="45"/>
  <c r="AC71" i="45" s="1"/>
  <c r="AC47" i="45"/>
  <c r="Y71" i="45"/>
  <c r="AI70" i="45"/>
  <c r="AI71" i="45" s="1"/>
  <c r="AI47" i="45"/>
  <c r="AA47" i="45"/>
  <c r="Z71" i="45"/>
  <c r="S47" i="45"/>
  <c r="P95" i="40"/>
  <c r="P99" i="40" s="1"/>
  <c r="P48" i="40"/>
  <c r="AD47" i="45"/>
  <c r="W47" i="45"/>
  <c r="V71" i="45"/>
  <c r="T21" i="45"/>
  <c r="T23" i="45"/>
  <c r="Q47" i="45"/>
  <c r="N71" i="45"/>
  <c r="N47" i="45"/>
  <c r="T47" i="45"/>
  <c r="S61" i="47" l="1"/>
  <c r="A61" i="47" s="1"/>
  <c r="Q94" i="40"/>
  <c r="P106" i="40"/>
  <c r="T25" i="45"/>
  <c r="T28" i="45"/>
  <c r="S174" i="40"/>
  <c r="A174" i="40" s="1"/>
  <c r="S45" i="47"/>
  <c r="A45" i="47" s="1"/>
  <c r="A47" i="45"/>
  <c r="S32" i="37"/>
  <c r="A32" i="37" s="1"/>
  <c r="M71" i="45"/>
  <c r="A71" i="45" s="1"/>
  <c r="X22" i="45" a="1"/>
  <c r="X22" i="45" s="1"/>
  <c r="AC22" i="45" s="1"/>
  <c r="Q25" i="45"/>
  <c r="X27" i="45" s="1"/>
  <c r="X21" i="45" a="1"/>
  <c r="X21" i="45" s="1"/>
  <c r="X23" i="45" a="1"/>
  <c r="X23" i="45" s="1"/>
  <c r="AC23" i="45" s="1"/>
  <c r="P51" i="40"/>
  <c r="P143" i="40"/>
  <c r="P146" i="40" s="1"/>
  <c r="A1" i="47" l="1"/>
  <c r="H30" i="25" s="1"/>
  <c r="Q28" i="45"/>
  <c r="A28" i="45" s="1"/>
  <c r="P155" i="40"/>
  <c r="P154" i="40"/>
  <c r="P153" i="40"/>
  <c r="P56" i="40"/>
  <c r="P62" i="40"/>
  <c r="AH23" i="45"/>
  <c r="AB23" i="45"/>
  <c r="AG23" i="45" s="1"/>
  <c r="H20" i="43" s="1"/>
  <c r="AA23" i="45"/>
  <c r="AF23" i="45" s="1"/>
  <c r="G20" i="43" s="1"/>
  <c r="Z23" i="45"/>
  <c r="AE23" i="45" s="1"/>
  <c r="F20" i="43" s="1"/>
  <c r="AC21" i="45"/>
  <c r="X25" i="45"/>
  <c r="X28" i="45" s="1"/>
  <c r="U107" i="45" s="1"/>
  <c r="U110" i="45" s="1"/>
  <c r="A110" i="45" s="1"/>
  <c r="Z22" i="45"/>
  <c r="AE22" i="45" s="1"/>
  <c r="F21" i="43" s="1"/>
  <c r="AB22" i="45"/>
  <c r="AG22" i="45" s="1"/>
  <c r="H21" i="43" s="1"/>
  <c r="AA22" i="45"/>
  <c r="AF22" i="45" s="1"/>
  <c r="G21" i="43" s="1"/>
  <c r="AH22" i="45"/>
  <c r="Q95" i="40"/>
  <c r="Q99" i="40" s="1"/>
  <c r="Q48" i="40"/>
  <c r="A1" i="45" l="1"/>
  <c r="H23" i="25" s="1"/>
  <c r="I21" i="43"/>
  <c r="O37" i="38"/>
  <c r="O65" i="38" s="1"/>
  <c r="P37" i="38"/>
  <c r="P65" i="38" s="1"/>
  <c r="P33" i="39" s="1"/>
  <c r="Q37" i="38"/>
  <c r="Q65" i="38" s="1"/>
  <c r="Q33" i="39" s="1"/>
  <c r="R37" i="38"/>
  <c r="R65" i="38" s="1"/>
  <c r="R33" i="39" s="1"/>
  <c r="S37" i="38"/>
  <c r="S65" i="38" s="1"/>
  <c r="S33" i="39" s="1"/>
  <c r="I20" i="43"/>
  <c r="O30" i="38"/>
  <c r="O32" i="38"/>
  <c r="O60" i="38" s="1"/>
  <c r="O34" i="38"/>
  <c r="O62" i="38" s="1"/>
  <c r="O33" i="38"/>
  <c r="O61" i="38" s="1"/>
  <c r="O31" i="38"/>
  <c r="O59" i="38" s="1"/>
  <c r="O35" i="38"/>
  <c r="O63" i="38" s="1"/>
  <c r="O36" i="38"/>
  <c r="O64" i="38" s="1"/>
  <c r="P36" i="38"/>
  <c r="P64" i="38" s="1"/>
  <c r="P32" i="39" s="1"/>
  <c r="P35" i="38"/>
  <c r="P63" i="38" s="1"/>
  <c r="P31" i="39" s="1"/>
  <c r="P30" i="38"/>
  <c r="P34" i="38"/>
  <c r="P62" i="38" s="1"/>
  <c r="P30" i="39" s="1"/>
  <c r="P31" i="38"/>
  <c r="P59" i="38" s="1"/>
  <c r="P27" i="39" s="1"/>
  <c r="P32" i="38"/>
  <c r="P60" i="38" s="1"/>
  <c r="P28" i="39" s="1"/>
  <c r="P33" i="38"/>
  <c r="P61" i="38" s="1"/>
  <c r="P29" i="39" s="1"/>
  <c r="Q31" i="38"/>
  <c r="Q59" i="38" s="1"/>
  <c r="Q27" i="39" s="1"/>
  <c r="Q35" i="38"/>
  <c r="Q63" i="38" s="1"/>
  <c r="Q31" i="39" s="1"/>
  <c r="Q32" i="38"/>
  <c r="Q60" i="38" s="1"/>
  <c r="Q28" i="39" s="1"/>
  <c r="Q33" i="38"/>
  <c r="Q61" i="38" s="1"/>
  <c r="Q29" i="39" s="1"/>
  <c r="Q36" i="38"/>
  <c r="Q64" i="38" s="1"/>
  <c r="Q32" i="39" s="1"/>
  <c r="Q34" i="38"/>
  <c r="Q62" i="38" s="1"/>
  <c r="Q30" i="39" s="1"/>
  <c r="Q30" i="38"/>
  <c r="R35" i="38"/>
  <c r="R63" i="38" s="1"/>
  <c r="R31" i="39" s="1"/>
  <c r="R32" i="38"/>
  <c r="R60" i="38" s="1"/>
  <c r="R28" i="39" s="1"/>
  <c r="R31" i="38"/>
  <c r="R59" i="38" s="1"/>
  <c r="R27" i="39" s="1"/>
  <c r="R36" i="38"/>
  <c r="R64" i="38" s="1"/>
  <c r="R32" i="39" s="1"/>
  <c r="R30" i="38"/>
  <c r="R34" i="38"/>
  <c r="R62" i="38" s="1"/>
  <c r="R30" i="39" s="1"/>
  <c r="R33" i="38"/>
  <c r="R61" i="38" s="1"/>
  <c r="R29" i="39" s="1"/>
  <c r="S33" i="38"/>
  <c r="S61" i="38" s="1"/>
  <c r="S29" i="39" s="1"/>
  <c r="S32" i="38"/>
  <c r="S60" i="38" s="1"/>
  <c r="S28" i="39" s="1"/>
  <c r="S30" i="38"/>
  <c r="S36" i="38"/>
  <c r="S64" i="38" s="1"/>
  <c r="S32" i="39" s="1"/>
  <c r="S35" i="38"/>
  <c r="S63" i="38" s="1"/>
  <c r="S31" i="39" s="1"/>
  <c r="S31" i="38"/>
  <c r="S59" i="38" s="1"/>
  <c r="S27" i="39" s="1"/>
  <c r="S34" i="38"/>
  <c r="S62" i="38" s="1"/>
  <c r="S30" i="39" s="1"/>
  <c r="Q143" i="40"/>
  <c r="Q146" i="40" s="1"/>
  <c r="Q51" i="40"/>
  <c r="AB21" i="45"/>
  <c r="AG21" i="45" s="1"/>
  <c r="AA21" i="45"/>
  <c r="AF21" i="45" s="1"/>
  <c r="Z21" i="45"/>
  <c r="AE21" i="45" s="1"/>
  <c r="AH21" i="45"/>
  <c r="Q106" i="40"/>
  <c r="H23" i="40" s="1"/>
  <c r="R94" i="40"/>
  <c r="Q62" i="40" l="1"/>
  <c r="H22" i="40" s="1"/>
  <c r="Q56" i="40"/>
  <c r="S60" i="39"/>
  <c r="R62" i="39"/>
  <c r="R64" i="39"/>
  <c r="R61" i="39"/>
  <c r="R63" i="39"/>
  <c r="Q51" i="39"/>
  <c r="Q48" i="39"/>
  <c r="Q49" i="39"/>
  <c r="Q50" i="39"/>
  <c r="P60" i="39"/>
  <c r="O58" i="38"/>
  <c r="O69" i="38"/>
  <c r="R95" i="40"/>
  <c r="R99" i="40" s="1"/>
  <c r="R48" i="40"/>
  <c r="Q155" i="40"/>
  <c r="Q153" i="40"/>
  <c r="Q154" i="40"/>
  <c r="S61" i="39"/>
  <c r="S63" i="39"/>
  <c r="S64" i="39"/>
  <c r="S62" i="39"/>
  <c r="R47" i="39"/>
  <c r="R46" i="39"/>
  <c r="Q60" i="39"/>
  <c r="P63" i="39"/>
  <c r="P62" i="39"/>
  <c r="P61" i="39"/>
  <c r="P64" i="39"/>
  <c r="S69" i="38"/>
  <c r="S58" i="38"/>
  <c r="R49" i="39"/>
  <c r="R51" i="39"/>
  <c r="R48" i="39"/>
  <c r="R50" i="39"/>
  <c r="Q46" i="39"/>
  <c r="Q47" i="39"/>
  <c r="O32" i="39"/>
  <c r="E275" i="43"/>
  <c r="S68" i="39"/>
  <c r="S65" i="39"/>
  <c r="S67" i="39"/>
  <c r="S66" i="39"/>
  <c r="S50" i="39"/>
  <c r="S51" i="39"/>
  <c r="S49" i="39"/>
  <c r="S48" i="39"/>
  <c r="R60" i="39"/>
  <c r="P54" i="39"/>
  <c r="P55" i="39"/>
  <c r="P52" i="39"/>
  <c r="P53" i="39"/>
  <c r="O31" i="39"/>
  <c r="E274" i="43"/>
  <c r="R68" i="39"/>
  <c r="R65" i="39"/>
  <c r="R67" i="39"/>
  <c r="R66" i="39"/>
  <c r="S55" i="39"/>
  <c r="S54" i="39"/>
  <c r="S52" i="39"/>
  <c r="S53" i="39"/>
  <c r="Q69" i="38"/>
  <c r="Q58" i="38"/>
  <c r="P50" i="39"/>
  <c r="P49" i="39"/>
  <c r="P48" i="39"/>
  <c r="P51" i="39"/>
  <c r="O27" i="39"/>
  <c r="E270" i="43"/>
  <c r="Q67" i="39"/>
  <c r="Q65" i="39"/>
  <c r="Q66" i="39"/>
  <c r="Q68" i="39"/>
  <c r="R52" i="39"/>
  <c r="R54" i="39"/>
  <c r="R55" i="39"/>
  <c r="R53" i="39"/>
  <c r="Q59" i="39"/>
  <c r="Q56" i="39"/>
  <c r="Q57" i="39"/>
  <c r="Q58" i="39"/>
  <c r="P47" i="39"/>
  <c r="P46" i="39"/>
  <c r="O29" i="39"/>
  <c r="E272" i="43"/>
  <c r="P65" i="39"/>
  <c r="P68" i="39"/>
  <c r="P66" i="39"/>
  <c r="P67" i="39"/>
  <c r="S56" i="39"/>
  <c r="S58" i="39"/>
  <c r="S57" i="39"/>
  <c r="S59" i="39"/>
  <c r="R57" i="39"/>
  <c r="R58" i="39"/>
  <c r="R59" i="39"/>
  <c r="R56" i="39"/>
  <c r="Q63" i="39"/>
  <c r="Q62" i="39"/>
  <c r="Q61" i="39"/>
  <c r="Q64" i="39"/>
  <c r="P58" i="39"/>
  <c r="P56" i="39"/>
  <c r="P59" i="39"/>
  <c r="P57" i="39"/>
  <c r="O30" i="39"/>
  <c r="E273" i="43"/>
  <c r="O33" i="39"/>
  <c r="E276" i="43"/>
  <c r="S47" i="39"/>
  <c r="S46" i="39"/>
  <c r="R58" i="38"/>
  <c r="R69" i="38"/>
  <c r="Q52" i="39"/>
  <c r="Q53" i="39"/>
  <c r="Q54" i="39"/>
  <c r="Q55" i="39"/>
  <c r="P58" i="38"/>
  <c r="P69" i="38"/>
  <c r="O28" i="39"/>
  <c r="E271" i="43"/>
  <c r="J271" i="43" l="1"/>
  <c r="K271" i="43"/>
  <c r="J273" i="43"/>
  <c r="K273" i="43"/>
  <c r="O46" i="39"/>
  <c r="O47" i="39"/>
  <c r="O50" i="39"/>
  <c r="O48" i="39"/>
  <c r="O51" i="39"/>
  <c r="O49" i="39"/>
  <c r="O58" i="39"/>
  <c r="O56" i="39"/>
  <c r="O57" i="39"/>
  <c r="O59" i="39"/>
  <c r="R26" i="39"/>
  <c r="R67" i="38"/>
  <c r="J274" i="43"/>
  <c r="K274" i="43"/>
  <c r="P26" i="39"/>
  <c r="P67" i="38"/>
  <c r="J272" i="43"/>
  <c r="K272" i="43"/>
  <c r="O60" i="39"/>
  <c r="O53" i="39"/>
  <c r="O54" i="39"/>
  <c r="O52" i="39"/>
  <c r="O55" i="39"/>
  <c r="R143" i="40"/>
  <c r="R146" i="40" s="1"/>
  <c r="R51" i="40"/>
  <c r="J275" i="43"/>
  <c r="K275" i="43"/>
  <c r="R106" i="40"/>
  <c r="S94" i="40"/>
  <c r="J276" i="43"/>
  <c r="K276" i="43"/>
  <c r="Q26" i="39"/>
  <c r="Q67" i="38"/>
  <c r="O63" i="39"/>
  <c r="O62" i="39"/>
  <c r="O64" i="39"/>
  <c r="O61" i="39"/>
  <c r="O68" i="39"/>
  <c r="O65" i="39"/>
  <c r="O66" i="39"/>
  <c r="O67" i="39"/>
  <c r="J270" i="43"/>
  <c r="K270" i="43"/>
  <c r="S26" i="39"/>
  <c r="S67" i="38"/>
  <c r="O26" i="39"/>
  <c r="O67" i="38"/>
  <c r="O70" i="38" s="1"/>
  <c r="E269" i="43"/>
  <c r="P58" i="37" l="1"/>
  <c r="P37" i="39"/>
  <c r="J269" i="43"/>
  <c r="K269" i="43"/>
  <c r="S48" i="40"/>
  <c r="S143" i="40" s="1"/>
  <c r="S95" i="40"/>
  <c r="P44" i="39"/>
  <c r="P45" i="39"/>
  <c r="P35" i="39"/>
  <c r="P84" i="39" s="1"/>
  <c r="O58" i="37"/>
  <c r="O37" i="39"/>
  <c r="O44" i="39"/>
  <c r="O45" i="39"/>
  <c r="O35" i="39"/>
  <c r="R62" i="40"/>
  <c r="R56" i="40"/>
  <c r="R70" i="38"/>
  <c r="R37" i="39"/>
  <c r="R58" i="37"/>
  <c r="Q70" i="38"/>
  <c r="Q58" i="37"/>
  <c r="Q37" i="39"/>
  <c r="R154" i="40"/>
  <c r="R155" i="40"/>
  <c r="R153" i="40"/>
  <c r="R44" i="39"/>
  <c r="R45" i="39"/>
  <c r="R35" i="39"/>
  <c r="R84" i="39" s="1"/>
  <c r="R21" i="41" s="1"/>
  <c r="S37" i="39"/>
  <c r="S58" i="37"/>
  <c r="Q44" i="39"/>
  <c r="Q45" i="39"/>
  <c r="Q35" i="39"/>
  <c r="Q84" i="39" s="1"/>
  <c r="P70" i="38"/>
  <c r="S44" i="39"/>
  <c r="S35" i="39"/>
  <c r="S45" i="39"/>
  <c r="S70" i="38"/>
  <c r="P70" i="39" l="1"/>
  <c r="P118" i="39" s="1"/>
  <c r="A70" i="38"/>
  <c r="A1" i="38" s="1"/>
  <c r="H24" i="25" s="1"/>
  <c r="S38" i="39"/>
  <c r="R38" i="39"/>
  <c r="S100" i="37"/>
  <c r="Q235" i="43" s="1"/>
  <c r="S99" i="37"/>
  <c r="Q234" i="43" s="1"/>
  <c r="S105" i="37"/>
  <c r="S101" i="37"/>
  <c r="Q236" i="43" s="1"/>
  <c r="S98" i="37"/>
  <c r="S102" i="37"/>
  <c r="Q237" i="43" s="1"/>
  <c r="S103" i="37"/>
  <c r="Q238" i="43" s="1"/>
  <c r="S104" i="37"/>
  <c r="O72" i="39"/>
  <c r="O86" i="39"/>
  <c r="O87" i="39"/>
  <c r="O89" i="39"/>
  <c r="O90" i="39"/>
  <c r="O85" i="39"/>
  <c r="O88" i="39"/>
  <c r="O91" i="39"/>
  <c r="R100" i="37"/>
  <c r="P235" i="43" s="1"/>
  <c r="R99" i="37"/>
  <c r="P234" i="43" s="1"/>
  <c r="R98" i="37"/>
  <c r="R101" i="37"/>
  <c r="P236" i="43" s="1"/>
  <c r="R104" i="37"/>
  <c r="R102" i="37"/>
  <c r="P237" i="43" s="1"/>
  <c r="R105" i="37"/>
  <c r="R103" i="37"/>
  <c r="P238" i="43" s="1"/>
  <c r="O70" i="39"/>
  <c r="O102" i="39" s="1"/>
  <c r="P72" i="39"/>
  <c r="P91" i="39"/>
  <c r="R28" i="41" s="1"/>
  <c r="P85" i="39"/>
  <c r="P87" i="39"/>
  <c r="P90" i="39"/>
  <c r="P88" i="39"/>
  <c r="P86" i="39"/>
  <c r="P89" i="39"/>
  <c r="Q72" i="39"/>
  <c r="Q89" i="39"/>
  <c r="Q85" i="39"/>
  <c r="Q90" i="39"/>
  <c r="Q87" i="39"/>
  <c r="Q86" i="39"/>
  <c r="Q91" i="39"/>
  <c r="Q88" i="39"/>
  <c r="Q38" i="39"/>
  <c r="P38" i="39"/>
  <c r="Q101" i="37"/>
  <c r="O236" i="43" s="1"/>
  <c r="Q99" i="37"/>
  <c r="O234" i="43" s="1"/>
  <c r="Q105" i="37"/>
  <c r="Q102" i="37"/>
  <c r="O237" i="43" s="1"/>
  <c r="Q98" i="37"/>
  <c r="Q103" i="37"/>
  <c r="O238" i="43" s="1"/>
  <c r="Q100" i="37"/>
  <c r="O235" i="43" s="1"/>
  <c r="Q104" i="37"/>
  <c r="P100" i="37"/>
  <c r="N235" i="43" s="1"/>
  <c r="P98" i="37"/>
  <c r="P99" i="37"/>
  <c r="N234" i="43" s="1"/>
  <c r="P101" i="37"/>
  <c r="N236" i="43" s="1"/>
  <c r="P103" i="37"/>
  <c r="N238" i="43" s="1"/>
  <c r="P104" i="37"/>
  <c r="P105" i="37"/>
  <c r="P102" i="37"/>
  <c r="N237" i="43" s="1"/>
  <c r="S84" i="39"/>
  <c r="S72" i="39"/>
  <c r="S89" i="39"/>
  <c r="S90" i="39"/>
  <c r="S86" i="39"/>
  <c r="S85" i="39"/>
  <c r="S88" i="39"/>
  <c r="S91" i="39"/>
  <c r="S87" i="39"/>
  <c r="Q70" i="39"/>
  <c r="Q102" i="39" s="1"/>
  <c r="R72" i="39"/>
  <c r="R90" i="39"/>
  <c r="R91" i="39"/>
  <c r="R87" i="39"/>
  <c r="R88" i="39"/>
  <c r="R86" i="39"/>
  <c r="R85" i="39"/>
  <c r="R89" i="39"/>
  <c r="S70" i="39"/>
  <c r="S102" i="39" s="1"/>
  <c r="L28" i="43" s="1"/>
  <c r="O38" i="39"/>
  <c r="R70" i="39"/>
  <c r="O84" i="39"/>
  <c r="O104" i="37"/>
  <c r="O98" i="37"/>
  <c r="O99" i="37"/>
  <c r="M234" i="43" s="1"/>
  <c r="O102" i="37"/>
  <c r="M237" i="43" s="1"/>
  <c r="O101" i="37"/>
  <c r="M236" i="43" s="1"/>
  <c r="O103" i="37"/>
  <c r="M238" i="43" s="1"/>
  <c r="O105" i="37"/>
  <c r="O100" i="37"/>
  <c r="M235" i="43" s="1"/>
  <c r="R22" i="41" l="1"/>
  <c r="S26" i="41"/>
  <c r="S23" i="41"/>
  <c r="S24" i="41"/>
  <c r="R26" i="41"/>
  <c r="R23" i="41"/>
  <c r="S28" i="41"/>
  <c r="R25" i="41"/>
  <c r="S25" i="41"/>
  <c r="R27" i="41"/>
  <c r="S22" i="41"/>
  <c r="R24" i="41"/>
  <c r="S27" i="41"/>
  <c r="R58" i="41"/>
  <c r="P105" i="39"/>
  <c r="P109" i="39"/>
  <c r="P126" i="39"/>
  <c r="P110" i="39"/>
  <c r="P107" i="39"/>
  <c r="P116" i="39"/>
  <c r="P102" i="39"/>
  <c r="P113" i="39"/>
  <c r="P111" i="39"/>
  <c r="P124" i="39"/>
  <c r="P103" i="39"/>
  <c r="P123" i="39"/>
  <c r="P108" i="39"/>
  <c r="P114" i="39"/>
  <c r="P73" i="39"/>
  <c r="P112" i="39"/>
  <c r="P117" i="39"/>
  <c r="P106" i="39"/>
  <c r="P104" i="39"/>
  <c r="P122" i="39"/>
  <c r="P120" i="39"/>
  <c r="P115" i="39"/>
  <c r="P125" i="39"/>
  <c r="P121" i="39"/>
  <c r="P119" i="39"/>
  <c r="A38" i="39"/>
  <c r="R93" i="39"/>
  <c r="R96" i="39" s="1"/>
  <c r="Q93" i="39"/>
  <c r="Q96" i="39" s="1"/>
  <c r="R73" i="39"/>
  <c r="S42" i="41"/>
  <c r="K28" i="43"/>
  <c r="R103" i="39"/>
  <c r="R115" i="39"/>
  <c r="R104" i="39"/>
  <c r="R111" i="39"/>
  <c r="R119" i="39"/>
  <c r="R106" i="39"/>
  <c r="R114" i="39"/>
  <c r="R112" i="39"/>
  <c r="R110" i="39"/>
  <c r="R120" i="39"/>
  <c r="R109" i="39"/>
  <c r="R113" i="39"/>
  <c r="R121" i="39"/>
  <c r="R126" i="39"/>
  <c r="R124" i="39"/>
  <c r="R107" i="39"/>
  <c r="R122" i="39"/>
  <c r="R108" i="39"/>
  <c r="R123" i="39"/>
  <c r="R118" i="39"/>
  <c r="R117" i="39"/>
  <c r="R125" i="39"/>
  <c r="R105" i="39"/>
  <c r="R116" i="39"/>
  <c r="N240" i="43"/>
  <c r="P41" i="37"/>
  <c r="P182" i="40" s="1"/>
  <c r="P204" i="40" s="1"/>
  <c r="S103" i="39"/>
  <c r="L29" i="43" s="1"/>
  <c r="O103" i="39"/>
  <c r="P40" i="37"/>
  <c r="P181" i="40" s="1"/>
  <c r="P203" i="40" s="1"/>
  <c r="N239" i="43"/>
  <c r="O73" i="39"/>
  <c r="O233" i="43"/>
  <c r="Q39" i="37"/>
  <c r="Q180" i="40" s="1"/>
  <c r="Q202" i="40" s="1"/>
  <c r="Q107" i="37"/>
  <c r="Q184" i="40"/>
  <c r="Q43" i="37"/>
  <c r="P240" i="43"/>
  <c r="R41" i="37"/>
  <c r="R182" i="40" s="1"/>
  <c r="R204" i="40" s="1"/>
  <c r="Q233" i="43"/>
  <c r="S43" i="37"/>
  <c r="S107" i="37"/>
  <c r="S184" i="40"/>
  <c r="S39" i="37"/>
  <c r="S180" i="40" s="1"/>
  <c r="S202" i="40" s="1"/>
  <c r="S126" i="39"/>
  <c r="L52" i="43" s="1"/>
  <c r="S118" i="39"/>
  <c r="L44" i="43" s="1"/>
  <c r="S108" i="39"/>
  <c r="L34" i="43" s="1"/>
  <c r="S112" i="39"/>
  <c r="L38" i="43" s="1"/>
  <c r="S110" i="39"/>
  <c r="L36" i="43" s="1"/>
  <c r="S115" i="39"/>
  <c r="L41" i="43" s="1"/>
  <c r="S114" i="39"/>
  <c r="L40" i="43" s="1"/>
  <c r="S119" i="39"/>
  <c r="L45" i="43" s="1"/>
  <c r="S111" i="39"/>
  <c r="L37" i="43" s="1"/>
  <c r="S104" i="39"/>
  <c r="L30" i="43" s="1"/>
  <c r="S121" i="39"/>
  <c r="L47" i="43" s="1"/>
  <c r="S123" i="39"/>
  <c r="L49" i="43" s="1"/>
  <c r="S120" i="39"/>
  <c r="L46" i="43" s="1"/>
  <c r="S124" i="39"/>
  <c r="L50" i="43" s="1"/>
  <c r="S116" i="39"/>
  <c r="L42" i="43" s="1"/>
  <c r="S117" i="39"/>
  <c r="L43" i="43" s="1"/>
  <c r="S113" i="39"/>
  <c r="L39" i="43" s="1"/>
  <c r="S107" i="39"/>
  <c r="L33" i="43" s="1"/>
  <c r="S109" i="39"/>
  <c r="L35" i="43" s="1"/>
  <c r="S122" i="39"/>
  <c r="L48" i="43" s="1"/>
  <c r="S125" i="39"/>
  <c r="L51" i="43" s="1"/>
  <c r="S106" i="39"/>
  <c r="L32" i="43" s="1"/>
  <c r="S105" i="39"/>
  <c r="L31" i="43" s="1"/>
  <c r="Q73" i="39"/>
  <c r="O39" i="37"/>
  <c r="O180" i="40" s="1"/>
  <c r="O107" i="37"/>
  <c r="O184" i="40"/>
  <c r="M233" i="43"/>
  <c r="O43" i="37"/>
  <c r="Q41" i="37"/>
  <c r="Q182" i="40" s="1"/>
  <c r="Q204" i="40" s="1"/>
  <c r="O240" i="43"/>
  <c r="R40" i="37"/>
  <c r="R181" i="40" s="1"/>
  <c r="R203" i="40" s="1"/>
  <c r="P239" i="43"/>
  <c r="Q240" i="43"/>
  <c r="S41" i="37"/>
  <c r="S182" i="40" s="1"/>
  <c r="S204" i="40" s="1"/>
  <c r="O40" i="37"/>
  <c r="O181" i="40" s="1"/>
  <c r="O203" i="40" s="1"/>
  <c r="M239" i="43"/>
  <c r="Q103" i="39"/>
  <c r="Q105" i="39"/>
  <c r="Q115" i="39"/>
  <c r="Q109" i="39"/>
  <c r="Q116" i="39"/>
  <c r="Q121" i="39"/>
  <c r="Q108" i="39"/>
  <c r="Q112" i="39"/>
  <c r="Q125" i="39"/>
  <c r="Q111" i="39"/>
  <c r="Q118" i="39"/>
  <c r="Q110" i="39"/>
  <c r="Q117" i="39"/>
  <c r="Q123" i="39"/>
  <c r="Q124" i="39"/>
  <c r="Q120" i="39"/>
  <c r="Q107" i="39"/>
  <c r="Q104" i="39"/>
  <c r="Q114" i="39"/>
  <c r="Q113" i="39"/>
  <c r="Q122" i="39"/>
  <c r="Q119" i="39"/>
  <c r="Q126" i="39"/>
  <c r="Q106" i="39"/>
  <c r="S73" i="39"/>
  <c r="P39" i="37"/>
  <c r="P180" i="40" s="1"/>
  <c r="P202" i="40" s="1"/>
  <c r="P107" i="37"/>
  <c r="P184" i="40"/>
  <c r="P43" i="37"/>
  <c r="N233" i="43"/>
  <c r="O109" i="39"/>
  <c r="O105" i="39"/>
  <c r="O126" i="39"/>
  <c r="O116" i="39"/>
  <c r="O110" i="39"/>
  <c r="O121" i="39"/>
  <c r="O124" i="39"/>
  <c r="O123" i="39"/>
  <c r="O119" i="39"/>
  <c r="O107" i="39"/>
  <c r="O112" i="39"/>
  <c r="O111" i="39"/>
  <c r="O125" i="39"/>
  <c r="O117" i="39"/>
  <c r="O108" i="39"/>
  <c r="O114" i="39"/>
  <c r="O122" i="39"/>
  <c r="O104" i="39"/>
  <c r="O113" i="39"/>
  <c r="O118" i="39"/>
  <c r="O106" i="39"/>
  <c r="O115" i="39"/>
  <c r="O120" i="39"/>
  <c r="O93" i="39"/>
  <c r="O96" i="39" s="1"/>
  <c r="S21" i="41"/>
  <c r="S93" i="39"/>
  <c r="S96" i="39" s="1"/>
  <c r="R184" i="40"/>
  <c r="R107" i="37"/>
  <c r="R43" i="37"/>
  <c r="R39" i="37"/>
  <c r="R180" i="40" s="1"/>
  <c r="R202" i="40" s="1"/>
  <c r="P233" i="43"/>
  <c r="O41" i="37"/>
  <c r="O182" i="40" s="1"/>
  <c r="O204" i="40" s="1"/>
  <c r="M240" i="43"/>
  <c r="R102" i="39"/>
  <c r="R42" i="41" s="1"/>
  <c r="O239" i="43"/>
  <c r="Q40" i="37"/>
  <c r="Q181" i="40" s="1"/>
  <c r="Q203" i="40" s="1"/>
  <c r="Q239" i="43"/>
  <c r="S40" i="37"/>
  <c r="S181" i="40" s="1"/>
  <c r="S203" i="40" s="1"/>
  <c r="P93" i="39"/>
  <c r="P96" i="39" s="1"/>
  <c r="S29" i="41" l="1"/>
  <c r="R29" i="41"/>
  <c r="L53" i="43"/>
  <c r="R44" i="41"/>
  <c r="R66" i="41"/>
  <c r="R62" i="41"/>
  <c r="R63" i="41"/>
  <c r="R50" i="41"/>
  <c r="R59" i="41"/>
  <c r="R57" i="41"/>
  <c r="R51" i="41"/>
  <c r="R45" i="41"/>
  <c r="R46" i="41"/>
  <c r="R61" i="41"/>
  <c r="R52" i="41"/>
  <c r="R53" i="41"/>
  <c r="R43" i="41"/>
  <c r="R65" i="41"/>
  <c r="R64" i="41"/>
  <c r="R55" i="41"/>
  <c r="R54" i="41"/>
  <c r="R56" i="41"/>
  <c r="R49" i="41"/>
  <c r="R60" i="41"/>
  <c r="R48" i="41"/>
  <c r="R47" i="41"/>
  <c r="Q252" i="43"/>
  <c r="O252" i="43"/>
  <c r="N253" i="43"/>
  <c r="M252" i="43"/>
  <c r="O251" i="43"/>
  <c r="M253" i="43"/>
  <c r="Q251" i="43"/>
  <c r="N251" i="43"/>
  <c r="N252" i="43"/>
  <c r="P251" i="43"/>
  <c r="Q253" i="43"/>
  <c r="P253" i="43"/>
  <c r="P252" i="43"/>
  <c r="O253" i="43"/>
  <c r="M251" i="43"/>
  <c r="P128" i="39"/>
  <c r="P131" i="39" s="1"/>
  <c r="P206" i="40"/>
  <c r="R185" i="40"/>
  <c r="R128" i="39"/>
  <c r="R131" i="39" s="1"/>
  <c r="A204" i="40"/>
  <c r="R206" i="40"/>
  <c r="S128" i="39"/>
  <c r="S131" i="39" s="1"/>
  <c r="Q128" i="39"/>
  <c r="Q131" i="39" s="1"/>
  <c r="K32" i="43"/>
  <c r="S46" i="41"/>
  <c r="S65" i="41"/>
  <c r="K51" i="43"/>
  <c r="K36" i="43"/>
  <c r="S50" i="41"/>
  <c r="S206" i="40"/>
  <c r="Q185" i="40"/>
  <c r="S58" i="41"/>
  <c r="K44" i="43"/>
  <c r="K37" i="43"/>
  <c r="S51" i="41"/>
  <c r="K42" i="43"/>
  <c r="S56" i="41"/>
  <c r="S185" i="40"/>
  <c r="K39" i="43"/>
  <c r="S53" i="41"/>
  <c r="K38" i="43"/>
  <c r="S52" i="41"/>
  <c r="S66" i="41"/>
  <c r="K52" i="43"/>
  <c r="Q206" i="40"/>
  <c r="S44" i="41"/>
  <c r="K30" i="43"/>
  <c r="K33" i="43"/>
  <c r="S47" i="41"/>
  <c r="K31" i="43"/>
  <c r="S45" i="41"/>
  <c r="O44" i="37"/>
  <c r="S44" i="37"/>
  <c r="O128" i="39"/>
  <c r="O131" i="39" s="1"/>
  <c r="K48" i="43"/>
  <c r="S62" i="41"/>
  <c r="S59" i="41"/>
  <c r="K45" i="43"/>
  <c r="S49" i="41"/>
  <c r="K35" i="43"/>
  <c r="A203" i="40"/>
  <c r="A73" i="39"/>
  <c r="A96" i="39"/>
  <c r="K40" i="43"/>
  <c r="S54" i="41"/>
  <c r="S63" i="41"/>
  <c r="K49" i="43"/>
  <c r="O185" i="40"/>
  <c r="K46" i="43"/>
  <c r="S60" i="41"/>
  <c r="S48" i="41"/>
  <c r="K34" i="43"/>
  <c r="K50" i="43"/>
  <c r="S64" i="41"/>
  <c r="P44" i="37"/>
  <c r="A107" i="37"/>
  <c r="R44" i="37"/>
  <c r="S55" i="41"/>
  <c r="K41" i="43"/>
  <c r="S57" i="41"/>
  <c r="K43" i="43"/>
  <c r="K47" i="43"/>
  <c r="S61" i="41"/>
  <c r="P185" i="40"/>
  <c r="O202" i="40"/>
  <c r="E13" i="43" a="1"/>
  <c r="Q44" i="37"/>
  <c r="K29" i="43"/>
  <c r="S43" i="41"/>
  <c r="R67" i="41" l="1"/>
  <c r="A131" i="39"/>
  <c r="A1" i="39" s="1"/>
  <c r="H25" i="25" s="1"/>
  <c r="A185" i="40"/>
  <c r="S67" i="41"/>
  <c r="K53" i="43"/>
  <c r="A44" i="37"/>
  <c r="A1" i="37" s="1"/>
  <c r="H22" i="25" s="1"/>
  <c r="F13" i="43"/>
  <c r="G13" i="43"/>
  <c r="E13" i="43"/>
  <c r="O206" i="40"/>
  <c r="A202" i="40"/>
  <c r="H25" i="40" l="1"/>
  <c r="A206" i="40"/>
  <c r="E14" i="43"/>
  <c r="G14" i="43"/>
  <c r="F14" i="43"/>
  <c r="S53" i="33" l="1"/>
  <c r="S36" i="40" l="1"/>
  <c r="S46" i="40" s="1"/>
  <c r="S140" i="40"/>
  <c r="S146" i="40" s="1"/>
  <c r="S153" i="40" l="1"/>
  <c r="S154" i="40"/>
  <c r="A154" i="40" s="1"/>
  <c r="S155" i="40"/>
  <c r="A155" i="40" s="1"/>
  <c r="S51" i="40"/>
  <c r="S77" i="40"/>
  <c r="S82" i="40" s="1"/>
  <c r="S86" i="40" s="1"/>
  <c r="S96" i="40" s="1"/>
  <c r="S97" i="40" s="1"/>
  <c r="S99" i="40" s="1"/>
  <c r="S106" i="40" s="1"/>
  <c r="A106" i="40" s="1"/>
  <c r="S62" i="40" l="1"/>
  <c r="A62" i="40" s="1"/>
  <c r="S56" i="40"/>
  <c r="A56" i="40" s="1"/>
  <c r="S157" i="40"/>
  <c r="R157" i="40"/>
  <c r="Q157" i="40"/>
  <c r="O157" i="40"/>
  <c r="A153" i="40"/>
  <c r="P157" i="40"/>
  <c r="H24" i="40" l="1"/>
  <c r="A157" i="40"/>
  <c r="A1" i="40" s="1"/>
  <c r="H27" i="25" s="1"/>
  <c r="H32" i="25" s="1"/>
  <c r="H8" i="25" s="1"/>
  <c r="H10" i="25" s="1"/>
  <c r="B2" i="34" l="1"/>
  <c r="B2" i="25"/>
  <c r="B2" i="38"/>
  <c r="B2" i="41"/>
  <c r="B2" i="33"/>
  <c r="B2" i="28"/>
  <c r="B2" i="48"/>
  <c r="B2" i="32"/>
  <c r="B2" i="40"/>
  <c r="B2" i="35"/>
  <c r="B2" i="31"/>
  <c r="B2" i="44"/>
  <c r="B2" i="45"/>
  <c r="B2" i="37"/>
  <c r="B2" i="4"/>
  <c r="B2" i="47"/>
  <c r="B2"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<sst xmlns="http://schemas.openxmlformats.org/spreadsheetml/2006/main" count="7748" uniqueCount="829">
  <si>
    <t>General Model Constant</t>
  </si>
  <si>
    <t>Name</t>
  </si>
  <si>
    <t>Mths_In_Yr</t>
  </si>
  <si>
    <t>Heading 1</t>
  </si>
  <si>
    <t>Yes</t>
  </si>
  <si>
    <t>No</t>
  </si>
  <si>
    <t>Yes_No</t>
  </si>
  <si>
    <t>Calculations</t>
  </si>
  <si>
    <t>Assumptions</t>
  </si>
  <si>
    <t>Checks</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</si>
  <si>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</si>
  <si>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</si>
  <si>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</si>
  <si>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</si>
  <si>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</si>
  <si>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</si>
  <si>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</si>
  <si>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</si>
  <si>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</si>
  <si>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</si>
  <si>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End</t>
  </si>
  <si>
    <t>N/A</t>
  </si>
  <si>
    <t>NA</t>
  </si>
  <si>
    <t>Model Legend:</t>
  </si>
  <si>
    <t>Cells where inputs or outputs are not applicable</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</si>
  <si>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</si>
  <si>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</si>
  <si>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</si>
  <si>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</si>
  <si>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Hyperlink</t>
  </si>
  <si>
    <t>Inputs</t>
  </si>
  <si>
    <t>Outputs</t>
  </si>
  <si>
    <t>Appendix</t>
  </si>
  <si>
    <t>Go to Cover Sheet</t>
  </si>
  <si>
    <t>Year</t>
  </si>
  <si>
    <t>Actual</t>
  </si>
  <si>
    <t>Source</t>
  </si>
  <si>
    <t>Unit</t>
  </si>
  <si>
    <t>Basis</t>
  </si>
  <si>
    <t>Timing</t>
  </si>
  <si>
    <t>Nominal</t>
  </si>
  <si>
    <t>LU_Basis</t>
  </si>
  <si>
    <t>Units</t>
  </si>
  <si>
    <t>Percent</t>
  </si>
  <si>
    <t>Dollars</t>
  </si>
  <si>
    <t>Factor</t>
  </si>
  <si>
    <t>$Millions</t>
  </si>
  <si>
    <t>$000's</t>
  </si>
  <si>
    <t>Millions</t>
  </si>
  <si>
    <t>Thousands</t>
  </si>
  <si>
    <t>LU_Units</t>
  </si>
  <si>
    <t>Total</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</si>
  <si>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</si>
  <si>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</si>
  <si>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</si>
  <si>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</si>
  <si>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</si>
  <si>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</si>
  <si>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</si>
  <si>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</si>
  <si>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Inputs - Prices</t>
  </si>
  <si>
    <t>Tariff Components</t>
  </si>
  <si>
    <t>Tariff Class</t>
  </si>
  <si>
    <t>LV Residential Accumulation</t>
  </si>
  <si>
    <t>LV &lt;750MWh</t>
  </si>
  <si>
    <t>LV Non-Residential Accumulation</t>
  </si>
  <si>
    <t>LV Unmetered</t>
  </si>
  <si>
    <t>LV Smart Meter</t>
  </si>
  <si>
    <t>HV Smart meter &lt;750MWh</t>
  </si>
  <si>
    <t>HV</t>
  </si>
  <si>
    <t>LV &gt;750MWh</t>
  </si>
  <si>
    <t>HV &gt;750MWh</t>
  </si>
  <si>
    <t>$/month/meter</t>
  </si>
  <si>
    <t>$/day/per NMI</t>
  </si>
  <si>
    <t>Consumption</t>
  </si>
  <si>
    <t>¢/kWh</t>
  </si>
  <si>
    <t>Demand</t>
  </si>
  <si>
    <t>$/kVA</t>
  </si>
  <si>
    <t>LV Smart meter &gt;40MWh</t>
  </si>
  <si>
    <t>PWC</t>
  </si>
  <si>
    <t>NMI-days</t>
  </si>
  <si>
    <t>Meter-month</t>
  </si>
  <si>
    <t>kWh</t>
  </si>
  <si>
    <t>kVA</t>
  </si>
  <si>
    <t>NMI</t>
  </si>
  <si>
    <t>LU_Tariff_Classes</t>
  </si>
  <si>
    <t>LV Unmetered 12hr</t>
  </si>
  <si>
    <t>LV Unmetered 12hr - 24hr</t>
  </si>
  <si>
    <t>LV Smart meter &lt;40MWh</t>
  </si>
  <si>
    <t>LU_Tariff_Assignments</t>
  </si>
  <si>
    <t>Check - Target Value</t>
  </si>
  <si>
    <t>Inputs - Volumes</t>
  </si>
  <si>
    <t>Inputs - Other</t>
  </si>
  <si>
    <t>Dollars_to_Thousands</t>
  </si>
  <si>
    <t>Cents_to_Dollars</t>
  </si>
  <si>
    <t>Item</t>
  </si>
  <si>
    <t>Inflation rate</t>
  </si>
  <si>
    <t>Nominal Vanilla WACC</t>
  </si>
  <si>
    <t xml:space="preserve">Real vanilla WACC </t>
  </si>
  <si>
    <t>Distribution Substations</t>
  </si>
  <si>
    <t>LU_Tariff_Type</t>
  </si>
  <si>
    <t>LV Smart meter</t>
  </si>
  <si>
    <t>Total Revenue</t>
  </si>
  <si>
    <t>Revenue</t>
  </si>
  <si>
    <t>Stand-alone network cost</t>
  </si>
  <si>
    <t>SAC</t>
  </si>
  <si>
    <t>Peak Demand</t>
  </si>
  <si>
    <t>Revenue from DUoS</t>
  </si>
  <si>
    <t>Adjusted annual smoothed revenue (AARt)</t>
  </si>
  <si>
    <t>DMIS adjustments (It)</t>
  </si>
  <si>
    <t>Annual adjustments (Bt)</t>
  </si>
  <si>
    <t>Cost pass through amounts (Ct)</t>
  </si>
  <si>
    <t>Opening balance</t>
  </si>
  <si>
    <t>Interest on opening balance</t>
  </si>
  <si>
    <t>Under/over recovery of revenue for regulatory year</t>
  </si>
  <si>
    <t>Interest on under/over recovery for regulatory year</t>
  </si>
  <si>
    <t>Pass or Fail</t>
  </si>
  <si>
    <t>Output - Charts</t>
  </si>
  <si>
    <t>Tariff</t>
  </si>
  <si>
    <t>Component</t>
  </si>
  <si>
    <t>Power and Water Corporation</t>
  </si>
  <si>
    <t>Pricing Model - Power and Water Corporation</t>
  </si>
  <si>
    <t>This section projects the unders and overs account balance that forms part of the price control mechanism.  Tariffs should be set in a way that seeks to reduce the balance to zero by the end of the relevant tariff compliance year.</t>
  </si>
  <si>
    <t>Account</t>
  </si>
  <si>
    <t>This section compares the revenue forecast for each tariff class and year of the regulatory period against the estimated stand alone and avoidable costs.  If revenue is below stand alone cost or above avoidable cost then the check is failed.</t>
  </si>
  <si>
    <t>If the balance is forecast to be non-zero, then the check is failed.</t>
  </si>
  <si>
    <t>FY</t>
  </si>
  <si>
    <t>Check for errors</t>
  </si>
  <si>
    <t>Summary</t>
  </si>
  <si>
    <t>Tariff Type</t>
  </si>
  <si>
    <t>Below</t>
  </si>
  <si>
    <t>This sheet forecasts stand alone and avoidable costs for each network element and tariff class.</t>
  </si>
  <si>
    <t>Detail</t>
  </si>
  <si>
    <t>Forecast revenue</t>
  </si>
  <si>
    <t>Total revenue</t>
  </si>
  <si>
    <t>This section calculates the stand alone and avoidable network costs by multiplying forecast revenue by two factors.  The first allocates that revenue over the network cost element.  The second identifies the share of costs that could be considered either stand alone or avoidable.</t>
  </si>
  <si>
    <t>Stand alone costs are those that would be incurred if a service provider were only providing services to a given tariff class.  Avoidable costs are those that could be avoided if those services were no longer provided.</t>
  </si>
  <si>
    <t>Forecast Revenue</t>
  </si>
  <si>
    <t>Simplified</t>
  </si>
  <si>
    <t>This section calculates residual costs as the difference between forecast revenue (from the 'Output_Revenue' sheet) and forecast LRMC revenue (from the 'Calc_LRMC_Tariff' sheet).</t>
  </si>
  <si>
    <t>This sheet forecasts residual costs for each tariff and tariff type.  It also calculates the percentage allocation of residual costs across tariffs and tariff types.</t>
  </si>
  <si>
    <t>This section calculates the allocation of residual costs across tariffs and tariff types for each year.</t>
  </si>
  <si>
    <t>LRMC</t>
  </si>
  <si>
    <t>This sheet forecasts long-run marginal costs for each tariff and tariff type.  This is done by multiplying forecast volumes for each tariff and tariff type by the corresponding LRMC tariff.</t>
  </si>
  <si>
    <t>The resulting revenue forecast is referred to as 'LRMC Revenue'.</t>
  </si>
  <si>
    <t>LRMC tariffs are input to the 'Inputs_Other' sheet and calculated in PWC's separate LRMC model.  As those tariffs are in $2019 they are indexed to the to $nominal for each year.</t>
  </si>
  <si>
    <t>= LRMC Revenue</t>
  </si>
  <si>
    <t>Comparison Year:</t>
  </si>
  <si>
    <t>This sheet lets the model user assess both the residual cost and forecast revenue allocation across tariffs for a nominated comparison year.</t>
  </si>
  <si>
    <t>This section inputs assumptions used to estimate stand alone and avoidable cost for each tariff class.</t>
  </si>
  <si>
    <t>Inflation</t>
  </si>
  <si>
    <t>Consumer Price Index</t>
  </si>
  <si>
    <t>Quarter</t>
  </si>
  <si>
    <t>X-Factor</t>
  </si>
  <si>
    <t>X-Factors</t>
  </si>
  <si>
    <t>Rate of return</t>
  </si>
  <si>
    <t>Real vanilla WACC</t>
  </si>
  <si>
    <t>Nominal vanilla WACC</t>
  </si>
  <si>
    <t>Most recent</t>
  </si>
  <si>
    <t>Note: uses the latest X factors available, including from any return on debt updates</t>
  </si>
  <si>
    <t>Note: uses the latest real vanilla WACC available, including from any return on debt updates</t>
  </si>
  <si>
    <t>Note: nominal rate of return updated to reflect actual inflation</t>
  </si>
  <si>
    <t>This section inputs values from relevant network price determinations, including for annual return on debt updates.  The first sub-section inputs inflation inputs.  The second sub-section inputs revenue, X-factor and rate of return values.</t>
  </si>
  <si>
    <t>Annual smoothed revenue requirement</t>
  </si>
  <si>
    <t>Note: set to zero as per Appendix B of Attachment 13 of the Distribution Determination.</t>
  </si>
  <si>
    <t>Revenue deliberately under-recovered in year</t>
  </si>
  <si>
    <t>(A) Revenue from DUoS</t>
  </si>
  <si>
    <t xml:space="preserve">(A minus B plus C) Under/over recovery </t>
  </si>
  <si>
    <r>
      <rPr>
        <i/>
        <sz val="10"/>
        <color theme="1"/>
        <rFont val="Helvetica"/>
      </rPr>
      <t>plus</t>
    </r>
    <r>
      <rPr>
        <sz val="10"/>
        <color theme="1"/>
        <rFont val="Helvetica"/>
        <family val="2"/>
      </rPr>
      <t xml:space="preserve"> (C) Revenue deliberately under-recovered in year</t>
    </r>
  </si>
  <si>
    <t>Constraint</t>
  </si>
  <si>
    <t>Price change</t>
  </si>
  <si>
    <t>Constraint Factor</t>
  </si>
  <si>
    <t>Components</t>
  </si>
  <si>
    <t>Expected revenues for regulatory year t-1</t>
  </si>
  <si>
    <t>Expected revenues for regulatory year t</t>
  </si>
  <si>
    <t>Incentive Scheme Adjustments (I't)</t>
  </si>
  <si>
    <t>Annual Adjustment Factors (B't)</t>
  </si>
  <si>
    <t>Approved Pass Through Amounts (C't)</t>
  </si>
  <si>
    <t>Pricing side constraint factor</t>
  </si>
  <si>
    <t>Note: expected revenues for year t for a given tariff class calculated by multiplying quantities for year t against prices for year t-1 for each component and tariff of that class</t>
  </si>
  <si>
    <t>This section compares the proposed price change for each tariff class and regulatory year against the side constraint.  If the price change is greater than the side constraint, then the check is failed. The side constraint only applies from year 2 of the regulatory period.</t>
  </si>
  <si>
    <t>Check 2: Unders and Overs Account Balance</t>
  </si>
  <si>
    <t>Check 3: Side Constraint</t>
  </si>
  <si>
    <t>Check 4: Stand Alone and Avoidable Costs</t>
  </si>
  <si>
    <r>
      <t xml:space="preserve">The </t>
    </r>
    <r>
      <rPr>
        <b/>
        <sz val="8"/>
        <color theme="4"/>
        <rFont val="Helvetica"/>
      </rPr>
      <t>second</t>
    </r>
    <r>
      <rPr>
        <sz val="8"/>
        <color theme="4"/>
        <rFont val="Helvetica"/>
        <family val="2"/>
      </rPr>
      <t xml:space="preserve"> check is that the projected balance of the unders and overs account is zero for the relevant tariff compliance year.</t>
    </r>
  </si>
  <si>
    <r>
      <t xml:space="preserve">The </t>
    </r>
    <r>
      <rPr>
        <b/>
        <sz val="8"/>
        <color theme="4"/>
        <rFont val="Helvetica"/>
      </rPr>
      <t>third</t>
    </r>
    <r>
      <rPr>
        <sz val="8"/>
        <color theme="4"/>
        <rFont val="Helvetica"/>
        <family val="2"/>
      </rPr>
      <t xml:space="preserve"> check is that the project revenue for each tariff class does not increase by more than the side constraint.</t>
    </r>
  </si>
  <si>
    <r>
      <t xml:space="preserve">The </t>
    </r>
    <r>
      <rPr>
        <b/>
        <sz val="8"/>
        <color theme="4"/>
        <rFont val="Helvetica"/>
      </rPr>
      <t>fourth</t>
    </r>
    <r>
      <rPr>
        <sz val="8"/>
        <color theme="4"/>
        <rFont val="Helvetica"/>
        <family val="2"/>
      </rPr>
      <t xml:space="preserve"> check is that projected revenue for each of the three tariff classes falls between stand alone and avoidable costs.</t>
    </r>
  </si>
  <si>
    <t>This sheet tests whether the projected revenue satisfies four checks.</t>
  </si>
  <si>
    <t>Overall</t>
  </si>
  <si>
    <t>Total MAR</t>
  </si>
  <si>
    <t>Check 1: Maximum Allowable Revenue</t>
  </si>
  <si>
    <r>
      <t xml:space="preserve">The </t>
    </r>
    <r>
      <rPr>
        <b/>
        <sz val="8"/>
        <color theme="4"/>
        <rFont val="Helvetica"/>
      </rPr>
      <t>first</t>
    </r>
    <r>
      <rPr>
        <sz val="8"/>
        <color theme="4"/>
        <rFont val="Helvetica"/>
        <family val="2"/>
      </rPr>
      <t xml:space="preserve"> check is that the forecast revenue does not exceed the maximum allowable revenue for the relevant tariff compliance year.</t>
    </r>
  </si>
  <si>
    <t/>
  </si>
  <si>
    <t>$/kWh</t>
  </si>
  <si>
    <t>Price</t>
  </si>
  <si>
    <t>Non-Residential Accumulation Meter (30,000 kWh pa)</t>
  </si>
  <si>
    <t>Small Residential - average energy - Smart Meter (8500 kWh pa)</t>
  </si>
  <si>
    <t>Small Residential - average energy - Accumulation Meter (8500 kWh pa)</t>
  </si>
  <si>
    <t>%</t>
  </si>
  <si>
    <t>$</t>
  </si>
  <si>
    <t>Avoidable cost</t>
  </si>
  <si>
    <t>Revenue and cost measures</t>
  </si>
  <si>
    <t>Value</t>
  </si>
  <si>
    <t>¢/day/NMI</t>
  </si>
  <si>
    <t xml:space="preserve">Real </t>
  </si>
  <si>
    <t>T1: Residential Tariff</t>
  </si>
  <si>
    <t>T2: Non-Residential Tariff</t>
  </si>
  <si>
    <t>T3: LV Smart meter Tariff</t>
  </si>
  <si>
    <t>T6: HV Minors Tariff</t>
  </si>
  <si>
    <t>T5: LV Majors Tariff</t>
  </si>
  <si>
    <t>T7: HV Majors Tariff</t>
  </si>
  <si>
    <t>T4: Unmetered Tariff</t>
  </si>
  <si>
    <t>Power and Water Corporation (PWC) - Network Pricing Model</t>
  </si>
  <si>
    <t>No Errors Found</t>
  </si>
  <si>
    <t xml:space="preserve">This sheet inputs volumes by tariff type.  The units vary across the types. </t>
  </si>
  <si>
    <t>Index (Weighted Average for the eight capital cities)</t>
  </si>
  <si>
    <t>This sheet forecasts revenue by tariff type, calculated by multiplying forecast prices by forecast volumes from the 'Inputs_Prices' and 'Inputs_Volumes' sheets.</t>
  </si>
  <si>
    <t>This sheet outputs forecast revenue by tariff type and tariff assignment.  This is useful to understand how revenue has and is projected to change over time.</t>
  </si>
  <si>
    <t>Note: uses actual inflation where available and forecast inflation from the Distribution Determination where not.</t>
  </si>
  <si>
    <t>Estimate</t>
  </si>
  <si>
    <t>LU_Revenue_Input</t>
  </si>
  <si>
    <t>No Input</t>
  </si>
  <si>
    <t>No_Input</t>
  </si>
  <si>
    <t>Note: actual or estimated revenue is used where input in the 'Inputs_Other' sheet, otherwise calculated revenues from the 'Output_Revenue' sheet are used.</t>
  </si>
  <si>
    <t>Opening unders and overs account balance from prior period</t>
  </si>
  <si>
    <t>Adjusted annual smoothed revenue (AARt) from prior period</t>
  </si>
  <si>
    <t>Parameter</t>
  </si>
  <si>
    <t>NMIs</t>
  </si>
  <si>
    <t xml:space="preserve"> </t>
  </si>
  <si>
    <t>Proposed</t>
  </si>
  <si>
    <t>Note: Unable to project a zero balance in outer two years due to maintaining compliance with side constraints</t>
  </si>
  <si>
    <t>Note: the I't, B't, and C't have been calculated by dividing the incremental change in It, Bt and Ct revenues from year t-1 to t by expected revenues for regulatory year t-1 (based on year t quantities).</t>
  </si>
  <si>
    <t>Note: alternative approaches may be consistent with how these terms are described in the side constraint formula included with the AER's draft decision.</t>
  </si>
  <si>
    <t>.</t>
  </si>
  <si>
    <t>Note: Approved Bt factors are from prior approved pricing proposals</t>
  </si>
  <si>
    <t>Note: previously approved Bt terms are used for years prior to the current tariff compliance year</t>
  </si>
  <si>
    <t>Real $2022</t>
  </si>
  <si>
    <t>Real $2023</t>
  </si>
  <si>
    <t>Real $2024</t>
  </si>
  <si>
    <t>Real2022</t>
  </si>
  <si>
    <t>Real2023</t>
  </si>
  <si>
    <t>Real2024</t>
  </si>
  <si>
    <t>Residential Accumulation</t>
  </si>
  <si>
    <t>Non-Residential Accumulation</t>
  </si>
  <si>
    <t>LV Smart Meter - Res</t>
  </si>
  <si>
    <t>LV Smart Meter - Small Comm</t>
  </si>
  <si>
    <t>LV Smart Meter - Med Comm</t>
  </si>
  <si>
    <t>Unmetered</t>
  </si>
  <si>
    <t>LV Majors</t>
  </si>
  <si>
    <t>HV Smart Meters</t>
  </si>
  <si>
    <t>Days</t>
  </si>
  <si>
    <t>MWh_to_kWh</t>
  </si>
  <si>
    <t>kW</t>
  </si>
  <si>
    <t>$/kW</t>
  </si>
  <si>
    <t>Voltage Level</t>
  </si>
  <si>
    <t>LV</t>
  </si>
  <si>
    <t>ST</t>
  </si>
  <si>
    <t>LU_Voltage_Level</t>
  </si>
  <si>
    <t>Power Factor</t>
  </si>
  <si>
    <t>Note: The Power Factor assumptions are the same as those adopted for the 2019-24 period.</t>
  </si>
  <si>
    <t>Note: Forecast coincident demand in kW is converted to kVA by dividing by the assumed power factor.</t>
  </si>
  <si>
    <t>MW_to_kW</t>
  </si>
  <si>
    <t>MW</t>
  </si>
  <si>
    <t>Forecast Inflation (proposed)</t>
  </si>
  <si>
    <t>2025-26 update</t>
  </si>
  <si>
    <t>2026-27 update</t>
  </si>
  <si>
    <t>2027-28 update</t>
  </si>
  <si>
    <t>2028-29 update</t>
  </si>
  <si>
    <t>The fourth sub-section inputs annual adjustments (if any).  And the fifth sub-section inputs revenue and other inputs used to set up the unders and overs account (where needed).</t>
  </si>
  <si>
    <t>LU_Tariffs</t>
  </si>
  <si>
    <t>This section inputs assumptions used to allocate residual revenue (i.e., the difference between smoothed revenue and LRMC revenue) to charging parameters.</t>
  </si>
  <si>
    <t>Anytime Energy Price</t>
  </si>
  <si>
    <t>Peak Energy</t>
  </si>
  <si>
    <t>Off-peak Energy</t>
  </si>
  <si>
    <t>Super Off-peak Energy</t>
  </si>
  <si>
    <t>Anytime Energy</t>
  </si>
  <si>
    <t>On-Season Demand</t>
  </si>
  <si>
    <t>Off-Season Demand</t>
  </si>
  <si>
    <t>Complex</t>
  </si>
  <si>
    <t>FY25</t>
  </si>
  <si>
    <t>T1: Residential Accumulation</t>
  </si>
  <si>
    <t>T2: Non-Residential Accumulation</t>
  </si>
  <si>
    <t>T3a: LV Smart Meter - Res</t>
  </si>
  <si>
    <t>T3b: LV Smart Meter - Small Comm</t>
  </si>
  <si>
    <t>T3c: LV Smart Meter - Med Comm</t>
  </si>
  <si>
    <t>T4: Unmetered</t>
  </si>
  <si>
    <t>T5: LV Majors</t>
  </si>
  <si>
    <t>T6: HV Smart Meters</t>
  </si>
  <si>
    <t>T7: Super Users</t>
  </si>
  <si>
    <t>Revenue Share</t>
  </si>
  <si>
    <t>Residential</t>
  </si>
  <si>
    <t>Commercial</t>
  </si>
  <si>
    <t>Revenue Allocation</t>
  </si>
  <si>
    <t>Allocator</t>
  </si>
  <si>
    <t>LRMC revenue</t>
  </si>
  <si>
    <t>Cost ($/kWh)</t>
  </si>
  <si>
    <t>T1</t>
  </si>
  <si>
    <t>T3a</t>
  </si>
  <si>
    <t>T2</t>
  </si>
  <si>
    <t>T3b</t>
  </si>
  <si>
    <t>T3c</t>
  </si>
  <si>
    <t>T4</t>
  </si>
  <si>
    <t>T5</t>
  </si>
  <si>
    <t>T6</t>
  </si>
  <si>
    <t>Inputs - LRMC</t>
  </si>
  <si>
    <t>This sheet inputs various values used in the model to calculate the LRMC by voltage level.</t>
  </si>
  <si>
    <t>Expenditure</t>
  </si>
  <si>
    <t>This section inputs the capital and operating expenditure forecasts used to calculate LRMC.</t>
  </si>
  <si>
    <t>Subtransmission Substations, Switching Stations, Zone Substations</t>
  </si>
  <si>
    <t>Subtransmission Lines</t>
  </si>
  <si>
    <t>HV Feeders</t>
  </si>
  <si>
    <t>HV Feeders - Land Purchases and Easements</t>
  </si>
  <si>
    <t>Distribution Substations - Land Purchases and Easements</t>
  </si>
  <si>
    <t>LV Feeders</t>
  </si>
  <si>
    <t>LV Feeders - Land Purchases and Easements</t>
  </si>
  <si>
    <t>Other Assets</t>
  </si>
  <si>
    <t>Voltage</t>
  </si>
  <si>
    <t>Other</t>
  </si>
  <si>
    <t>Darwin - Hudson Creek Spare 132kV Transformer</t>
  </si>
  <si>
    <t>Install ZSS Reactors</t>
  </si>
  <si>
    <t>Design and planning projects</t>
  </si>
  <si>
    <t>Catch all for actual expenditure</t>
  </si>
  <si>
    <t>Locks and security</t>
  </si>
  <si>
    <t>PRK31430</t>
  </si>
  <si>
    <t>PRD33230</t>
  </si>
  <si>
    <t>PRJ009</t>
  </si>
  <si>
    <t>NDP</t>
  </si>
  <si>
    <t>Catch-all</t>
  </si>
  <si>
    <t>CGT07</t>
  </si>
  <si>
    <t>Katherine Voltage Rectification</t>
  </si>
  <si>
    <t>PRJ015</t>
  </si>
  <si>
    <t>Tindal Zone Substation and feeder reinforcement</t>
  </si>
  <si>
    <t>Project Code</t>
  </si>
  <si>
    <t>Note: This expenditure data is unescalated (i.e., no labour escalation) in Real$2022.</t>
  </si>
  <si>
    <t>Various</t>
  </si>
  <si>
    <t>This section inputs the demand forecasts used to calculate LRMC.</t>
  </si>
  <si>
    <t>By Category</t>
  </si>
  <si>
    <t>Breakdown of substation category by project</t>
  </si>
  <si>
    <t>Note: Broken down below in Real$2022.</t>
  </si>
  <si>
    <t>Asset Class</t>
  </si>
  <si>
    <t>Asset Category</t>
  </si>
  <si>
    <t>Poles</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</si>
  <si>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</si>
  <si>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</si>
  <si>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</si>
  <si>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</si>
  <si>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</si>
  <si>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</si>
  <si>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</si>
  <si>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</si>
  <si>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</si>
  <si>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</si>
  <si>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</si>
  <si>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</si>
  <si>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</si>
  <si>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</si>
  <si>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</si>
  <si>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</si>
  <si>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</si>
  <si>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</si>
  <si>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PoleTop</t>
  </si>
  <si>
    <t>˂ = 1 kV</t>
  </si>
  <si>
    <t>&gt; 1 kV &amp; &lt; = 11 kV</t>
  </si>
  <si>
    <t>˃ 11 kV &amp; &lt; = 22 kV</t>
  </si>
  <si>
    <t>&gt; 22 kV &amp; &lt; = 66 kV</t>
  </si>
  <si>
    <t>&gt; 66 kV &amp; &lt; = 132 kV</t>
  </si>
  <si>
    <t>&gt; 132 kV</t>
  </si>
  <si>
    <t>Staking Wooden Poles</t>
  </si>
  <si>
    <t>˂ = 1 Kv</t>
  </si>
  <si>
    <t>Overhead Conductors</t>
  </si>
  <si>
    <t>˃ 11 kV &amp; &lt; = 22 kV  ; SWER</t>
  </si>
  <si>
    <t>˃ 11 kV &amp; &lt; = 22 kV ; Single-Phase</t>
  </si>
  <si>
    <t>˃ 11 kV &amp; &lt; = 22 kV ; Multiple-Phase</t>
  </si>
  <si>
    <t>Underground Cables</t>
  </si>
  <si>
    <t>&gt; 11 kV &amp; &lt; = 22 kV</t>
  </si>
  <si>
    <t>&gt; 22 kV &amp; &lt; = 33 kV</t>
  </si>
  <si>
    <t>&gt; 33 kV &amp; &lt; = 66 kV</t>
  </si>
  <si>
    <t>&gt;  132 kV</t>
  </si>
  <si>
    <t>Service Lines</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</si>
  <si>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</si>
  <si>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</si>
  <si>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</si>
  <si>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</si>
  <si>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</si>
  <si>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</si>
  <si>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</si>
  <si>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</si>
  <si>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</si>
  <si>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</si>
  <si>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</si>
  <si>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</si>
  <si>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</si>
  <si>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</si>
  <si>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</si>
  <si>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</si>
  <si>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</si>
  <si>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</si>
  <si>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</si>
  <si>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</si>
  <si>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</si>
  <si>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</si>
  <si>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</si>
  <si>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</si>
  <si>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</si>
  <si>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</si>
  <si>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</si>
  <si>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</si>
  <si>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</si>
  <si>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</si>
  <si>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</si>
  <si>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</si>
  <si>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</si>
  <si>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</si>
  <si>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</si>
  <si>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</si>
  <si>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</si>
  <si>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</si>
  <si>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</si>
  <si>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</si>
  <si>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</si>
  <si>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</si>
  <si>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</si>
  <si>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</si>
  <si>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</si>
  <si>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</si>
  <si>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</si>
  <si>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</si>
  <si>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</si>
  <si>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</si>
  <si>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</si>
  <si>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</si>
  <si>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</si>
  <si>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</si>
  <si>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</si>
  <si>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</si>
  <si>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</si>
  <si>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</si>
  <si>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</si>
  <si>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</si>
  <si>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</si>
  <si>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</si>
  <si>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</si>
  <si>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</si>
  <si>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</si>
  <si>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</si>
  <si>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</si>
  <si>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t>
  </si>
  <si>
    <t>Field Devices</t>
  </si>
  <si>
    <t>Local Network Wiring Assets</t>
  </si>
  <si>
    <t>Communications Network Assets</t>
  </si>
  <si>
    <t>Master Station Assets</t>
  </si>
  <si>
    <t>Communications Site Infrastructure</t>
  </si>
  <si>
    <t>Communications Linear Assets</t>
  </si>
  <si>
    <t>AFLC</t>
  </si>
  <si>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</si>
  <si>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</si>
  <si>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</si>
  <si>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</si>
  <si>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</si>
  <si>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</si>
  <si>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</si>
  <si>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</si>
  <si>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</si>
  <si>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</si>
  <si>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</si>
  <si>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</si>
  <si>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</si>
  <si>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</si>
  <si>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</si>
  <si>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</si>
  <si>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Opex as Proportion of Capex</t>
  </si>
  <si>
    <t>Growth-Related  Repex</t>
  </si>
  <si>
    <t>Valuation</t>
  </si>
  <si>
    <t>This section inputs the valuation assumptions used to estimate long run marginal cost.</t>
  </si>
  <si>
    <t>Time Horizon (years)</t>
  </si>
  <si>
    <t>Years</t>
  </si>
  <si>
    <t>Average Asset Lifetime (Years)</t>
  </si>
  <si>
    <t>Discount rate (real vanilla WACC)</t>
  </si>
  <si>
    <t>Calculation</t>
  </si>
  <si>
    <t>Source for power factor: PWC, 11.11CP - Regulatory Determination Workbooks – Consolidated, 2018, Table 3.4.3.5</t>
  </si>
  <si>
    <t>Power Factor (%)</t>
  </si>
  <si>
    <t xml:space="preserve">This calculates the long-run marginal costs </t>
  </si>
  <si>
    <t>Note: This is calculated as the average WACC proposed for the 2024-29 period.</t>
  </si>
  <si>
    <t>Note: values in this section left blank for now. Expect to update as part of the annual pricing proposal process.</t>
  </si>
  <si>
    <t>This section inputs the data needed to translate the LRMC by voltage level into LRMC revenue for each tariff.</t>
  </si>
  <si>
    <t>This sheet inputs various values used in the model to calculate stand alone costs, avoidable costs, and residual costs, and to LRMC revenue for each tariff.</t>
  </si>
  <si>
    <t>Opex</t>
  </si>
  <si>
    <t>Augex</t>
  </si>
  <si>
    <t>Repex</t>
  </si>
  <si>
    <t>LRMC ($/kW/Year)</t>
  </si>
  <si>
    <t>LRMC ($/kVA/Year)</t>
  </si>
  <si>
    <t>3a</t>
  </si>
  <si>
    <t>3b</t>
  </si>
  <si>
    <t>3c</t>
  </si>
  <si>
    <t>$/day/NMI</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</si>
  <si>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</si>
  <si>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</si>
  <si>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</si>
  <si>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</si>
  <si>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</si>
  <si>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controlled load customer charges</t>
  </si>
  <si>
    <t>Revenue from unmetered supplies</t>
  </si>
  <si>
    <t>Revenue from Contracted Maximum Demand charges</t>
  </si>
  <si>
    <t>Revenue from Measured Maximum Demand charges</t>
  </si>
  <si>
    <t>Revenue from metering charges</t>
  </si>
  <si>
    <t>Revenue from connection charges</t>
  </si>
  <si>
    <t>Revenue from public lighting charges</t>
  </si>
  <si>
    <t>Revenue from other Sources</t>
  </si>
  <si>
    <t>Overview</t>
  </si>
  <si>
    <t>3.1.1 - Revenue grouping by chargeable quantity</t>
  </si>
  <si>
    <t>RIN Category (Table 3.1.1)</t>
  </si>
  <si>
    <t>3.1.2 - Revenue grouping by customer type or class</t>
  </si>
  <si>
    <t xml:space="preserve">Revenue from residential Customers </t>
  </si>
  <si>
    <t xml:space="preserve">Revenue from Non residential customers not on demand tariffs </t>
  </si>
  <si>
    <t xml:space="preserve">Revenue from Non-residential low voltage demand tariff customers </t>
  </si>
  <si>
    <t xml:space="preserve">Revenue from Non-residential high voltage demand tariff customers </t>
  </si>
  <si>
    <t>Revenue from Other Customers</t>
  </si>
  <si>
    <t>RIN Category (Table 3.1.2)</t>
  </si>
  <si>
    <t>Grouping</t>
  </si>
  <si>
    <t>Energy Delivery where time of use is not a determinant</t>
  </si>
  <si>
    <t>Energy Delivery at On-peak times</t>
  </si>
  <si>
    <t xml:space="preserve">Energy Delivery at Shoulder times </t>
  </si>
  <si>
    <t>Energy Delivery at Off-peak times</t>
  </si>
  <si>
    <t>Controlled load energy deliveries</t>
  </si>
  <si>
    <t>Energy Delivery to unmetered supplies</t>
  </si>
  <si>
    <t>GWh</t>
  </si>
  <si>
    <t>GWh_to_MWh</t>
  </si>
  <si>
    <t>RIN Category (Table 3.4.1.1)</t>
  </si>
  <si>
    <t>3.4.1.4 - Energy grouping  by customer type or class</t>
  </si>
  <si>
    <t>3.4.1.1 - Energy grouping by delivery by chargeable quantity</t>
  </si>
  <si>
    <t>Residential customers energy deliveries</t>
  </si>
  <si>
    <t>Non residential customers not on demand tariffs energy deliveries</t>
  </si>
  <si>
    <t>Non-residential low voltage demand tariff customers energy deliveries</t>
  </si>
  <si>
    <t>Non-residential high voltage demand tariff customers energy deliveries</t>
  </si>
  <si>
    <t>Other Customer Class Energy Deliveries</t>
  </si>
  <si>
    <t>RIN Category (Table 3.4.1.4)</t>
  </si>
  <si>
    <t>Inputs - FY23 and FY24</t>
  </si>
  <si>
    <t>This sheet inputs actual and estimated prices and volumes for tariffs that apply in FY23 and FY24. This data is used to assess cross-period bill impacts and to populate RIN outputs for those years.</t>
  </si>
  <si>
    <t>FY23</t>
  </si>
  <si>
    <t>FY24</t>
  </si>
  <si>
    <t>Volume</t>
  </si>
  <si>
    <t>Anytime Demand</t>
  </si>
  <si>
    <t>This section inputs actual and estimated prices and volumes for tariffs that apply in FY23 and FY24.</t>
  </si>
  <si>
    <t>This section inputs assumptions relevant to FY23 and FY24</t>
  </si>
  <si>
    <t>Customer Type</t>
  </si>
  <si>
    <t>Non-Residential</t>
  </si>
  <si>
    <t>Real 2024 (End Period) to Nominal (End Period)</t>
  </si>
  <si>
    <t>Real 2024 (End Period) to Nominal (Mid Period)</t>
  </si>
  <si>
    <t>This sheet outputs the revenue and volume forecasts to be input to the Reset RIN.</t>
  </si>
  <si>
    <t>Table 3.1: Stand alone and avoidable costs in 2024-25 ($million, real 2023-24)</t>
  </si>
  <si>
    <t>LV 0&lt;750 MWh</t>
  </si>
  <si>
    <t>Stand alone cost</t>
  </si>
  <si>
    <t>Forecast 2024-25 revenue</t>
  </si>
  <si>
    <t>Proposed revenue lies between standalone and avoidable cost?</t>
  </si>
  <si>
    <t>Table 3.2: How different expenditures contributed to our long run marginal cost of peak demand at each voltage level ($/kVA, real 2023-24)</t>
  </si>
  <si>
    <t>LRMC at Voltage Level</t>
  </si>
  <si>
    <t>Growth Capital Expenditure</t>
  </si>
  <si>
    <t>Replacement Capital Expenditure</t>
  </si>
  <si>
    <t>Growth Operating Expenditure</t>
  </si>
  <si>
    <t>Total LRMC at voltage level</t>
  </si>
  <si>
    <t>Low Voltage</t>
  </si>
  <si>
    <t>High Voltage</t>
  </si>
  <si>
    <t>Figure 3.2: Residual cost recovery shares by tariff and tariff charging parameters for the 2024-25 year</t>
  </si>
  <si>
    <t>Figure 3.4: Residential customer bill impact analysis (%)</t>
  </si>
  <si>
    <t>Figure 3.5: Large user customer bill impact analysis (Tariff 5)</t>
  </si>
  <si>
    <t>Description</t>
  </si>
  <si>
    <t>2024/25 (Year 1)</t>
  </si>
  <si>
    <t>2028/29 (Year 5)</t>
  </si>
  <si>
    <t>Network bill ($)</t>
  </si>
  <si>
    <t>Network bill impact</t>
  </si>
  <si>
    <r>
      <t>Network component of residential bill</t>
    </r>
    <r>
      <rPr>
        <b/>
        <vertAlign val="superscript"/>
        <sz val="11"/>
        <color rgb="FFFFFFFF"/>
        <rFont val="Calibri"/>
        <family val="2"/>
      </rPr>
      <t>1</t>
    </r>
  </si>
  <si>
    <r>
      <t>Increase in total retail invoice</t>
    </r>
    <r>
      <rPr>
        <b/>
        <vertAlign val="superscript"/>
        <sz val="11"/>
        <color rgb="FFFFFFFF"/>
        <rFont val="Calibri"/>
        <family val="2"/>
      </rPr>
      <t>2</t>
    </r>
  </si>
  <si>
    <t>2023/24</t>
  </si>
  <si>
    <t>2024/25</t>
  </si>
  <si>
    <t>Residential accumulation</t>
  </si>
  <si>
    <r>
      <t>EPO</t>
    </r>
    <r>
      <rPr>
        <vertAlign val="superscript"/>
        <sz val="11"/>
        <color rgb="FF000000"/>
        <rFont val="Calibri"/>
        <family val="2"/>
      </rPr>
      <t>3</t>
    </r>
  </si>
  <si>
    <t>Non-residential accumulation</t>
  </si>
  <si>
    <r>
      <t>EPO</t>
    </r>
    <r>
      <rPr>
        <vertAlign val="superscript"/>
        <sz val="11"/>
        <color theme="1"/>
        <rFont val="Calibri"/>
        <family val="2"/>
      </rPr>
      <t>3</t>
    </r>
  </si>
  <si>
    <t>Residential 0-160MWh</t>
  </si>
  <si>
    <t>Non-residential 0-160MWh</t>
  </si>
  <si>
    <t>Smart meter 160-750MWh</t>
  </si>
  <si>
    <t>Table A.1: Indicative prices (ex GST, Real 2024)</t>
  </si>
  <si>
    <t>Indicative rates</t>
  </si>
  <si>
    <t>2025/26</t>
  </si>
  <si>
    <t>2026/27</t>
  </si>
  <si>
    <t>2027/28</t>
  </si>
  <si>
    <t>2028/29</t>
  </si>
  <si>
    <t>SAC Price ($/NMI/day)</t>
  </si>
  <si>
    <t>Energy Price ($/kWh)</t>
  </si>
  <si>
    <t>Peak Price ($/kWh)</t>
  </si>
  <si>
    <t>Off-peak Price  ($/kWh)</t>
  </si>
  <si>
    <t>Super Off-peak Price  ($/kWh)</t>
  </si>
  <si>
    <t>LV Smart Meter - Large Comm</t>
  </si>
  <si>
    <t>Unmetered Supply</t>
  </si>
  <si>
    <t>On-Season Peak Period Price ($/kVA/month)</t>
  </si>
  <si>
    <t>Off-Season Peak Period Price  ($/kVA/month)</t>
  </si>
  <si>
    <t> Tariff</t>
  </si>
  <si>
    <t>LRMC target</t>
  </si>
  <si>
    <t>Peak kWh</t>
  </si>
  <si>
    <t>Wet MD</t>
  </si>
  <si>
    <t>Dry MD</t>
  </si>
  <si>
    <t>Anytime kWh</t>
  </si>
  <si>
    <t>Daily charge</t>
  </si>
  <si>
    <t>Compliant?</t>
  </si>
  <si>
    <t>Thousands_to_Millions</t>
  </si>
  <si>
    <t>Table 2.2 Tariffs reflect LRMC compliance check in 2024-25 ($million, real 2023-24)</t>
  </si>
  <si>
    <t>Note: the anytime kWh revenue for unmetered supply tariff is set to zero given that there is no daily charge</t>
  </si>
  <si>
    <t>Figure 5.2: Business customer bill impact analysis of Tariff 2 vs 3b</t>
  </si>
  <si>
    <t>This sheet inputs tariffs by tariff type.  The units vary across the types.  All tariffs are in $nominal.</t>
  </si>
  <si>
    <t>Tariff 1</t>
  </si>
  <si>
    <t>Tariff 2</t>
  </si>
  <si>
    <t>Tariff 3a</t>
  </si>
  <si>
    <t>Tariff 3b</t>
  </si>
  <si>
    <t>Tariff 3c</t>
  </si>
  <si>
    <t>Tariff 4</t>
  </si>
  <si>
    <t>Tariff 6</t>
  </si>
  <si>
    <t>Tariff 5</t>
  </si>
  <si>
    <t>FY24 Tariff</t>
  </si>
  <si>
    <t>FY25-29 Tariff</t>
  </si>
  <si>
    <t>Non-Residential Smart Meter (30,000 kWh pa)</t>
  </si>
  <si>
    <t xml:space="preserve">Non-Residential Smart Meter </t>
  </si>
  <si>
    <t>Non-Residential Smart Meter (LV)</t>
  </si>
  <si>
    <t>Small Industrial (HV)</t>
  </si>
  <si>
    <t>Medium Industrial (HV)</t>
  </si>
  <si>
    <t>Large Industrial (HV)</t>
  </si>
  <si>
    <t>Days per year ►</t>
  </si>
  <si>
    <t>Assumed consumption (kWh)</t>
  </si>
  <si>
    <t>Energy Consumption Allocators</t>
  </si>
  <si>
    <t>Monthly Max Demand (kVA)</t>
  </si>
  <si>
    <t>Demand Allocators</t>
  </si>
  <si>
    <t>YoY % Impact</t>
  </si>
  <si>
    <t>Figure 3.3: Residential customer bill impact analysis ($ per year, Nominal)</t>
  </si>
  <si>
    <t>Table 3.3: Movement in customers’ network bills 2023-24 to 2024-25 (excluding GST, Nominal)</t>
  </si>
  <si>
    <t>Network component of residential bill</t>
  </si>
  <si>
    <t>Customer Number</t>
  </si>
  <si>
    <t>Bill Impact</t>
  </si>
  <si>
    <t>Revenue increase + CPI</t>
  </si>
  <si>
    <t>Figure 11.1: Major customer impact - All LV and HV above 750 MWh</t>
  </si>
  <si>
    <t>7.7.1 - Inputs to LRMC calculation - Standard control services - Capex</t>
  </si>
  <si>
    <t>7.7.2 - Inputs to LRMC calculation - Standard control services - Opex</t>
  </si>
  <si>
    <t>7.7.3 - Inputs to LRMC calculation - Standard control services - Demand</t>
  </si>
  <si>
    <t>Replacement expenditure</t>
  </si>
  <si>
    <t>Connections</t>
  </si>
  <si>
    <t>Augmentation Expenditure</t>
  </si>
  <si>
    <t>Non-network</t>
  </si>
  <si>
    <t>Export services</t>
  </si>
  <si>
    <t>Capitalised network overheads</t>
  </si>
  <si>
    <t>Capitalised corporate overheads</t>
  </si>
  <si>
    <t>High-voltage network</t>
  </si>
  <si>
    <t>Sub-transmission network</t>
  </si>
  <si>
    <t>Low-voltage network</t>
  </si>
  <si>
    <t>Total capital expenditure</t>
  </si>
  <si>
    <t>Total operating expenditure</t>
  </si>
  <si>
    <t>PWC / Energeia</t>
  </si>
  <si>
    <t>System Forecast (PoE 10%)</t>
  </si>
  <si>
    <t>This section calculates the incremental demand by voltage level.  The section starts with aggregate peak demand for the network, before disaggregating it across voltage levels and calculating the increment change in demand for each level.</t>
  </si>
  <si>
    <t>Darwin Katherine</t>
  </si>
  <si>
    <t>Alice Springs</t>
  </si>
  <si>
    <t>Tennant Creek</t>
  </si>
  <si>
    <t>System Peak Demand Allocation Factors</t>
  </si>
  <si>
    <t>Distribution Loss Factors</t>
  </si>
  <si>
    <t>Source: AEMO, Distribution Loss Factors for the 2020/21 Financial Year, 2020</t>
  </si>
  <si>
    <t>PWC / AEMO</t>
  </si>
  <si>
    <t>This section calculates the incremental capital and operating expenditure by voltage level.  The section starts with a summary, before looking through augmentation expenditure and replacement expenditure separately.</t>
  </si>
  <si>
    <t>Share Excluding Other</t>
  </si>
  <si>
    <t>Inflation - Actual and forecast</t>
  </si>
  <si>
    <t>Total LRMC Revenue</t>
  </si>
  <si>
    <t>Annual usage per customer</t>
  </si>
  <si>
    <t>Single Rate Tariff</t>
  </si>
  <si>
    <t>TOU Tariff</t>
  </si>
  <si>
    <t>Residential customer</t>
  </si>
  <si>
    <t>Small business customer</t>
  </si>
  <si>
    <t>Typical annual electricity bill</t>
  </si>
  <si>
    <t>C. Distribution costs as a proportion of a typical customer's electricity bill</t>
  </si>
  <si>
    <t>Note: have treated nominal in 2023-24 as Real 2023-24 for the purposes of populating the Reset RIN Workbook 5</t>
  </si>
  <si>
    <t>Table of contents</t>
  </si>
  <si>
    <t>Price inputs by tariff type</t>
  </si>
  <si>
    <t>System access charge</t>
  </si>
  <si>
    <t>Volume inputs by tariff type</t>
  </si>
  <si>
    <t>LRMC inputs</t>
  </si>
  <si>
    <t>Forecasting assumptions</t>
  </si>
  <si>
    <t>Augmentation expenditure</t>
  </si>
  <si>
    <t>Incremental system non-coincidental max. demand (Sum of region max. demands) (MW)</t>
  </si>
  <si>
    <t>FY23 and FY24 inputs</t>
  </si>
  <si>
    <t>Prices and volumes</t>
  </si>
  <si>
    <t>Allocation of LV smart meter tariff across Residential and Non-Residential</t>
  </si>
  <si>
    <t>Unbilled energy delivered (used to populate RIN)</t>
  </si>
  <si>
    <t>Stand-alone cost inputs</t>
  </si>
  <si>
    <t>Other inputs</t>
  </si>
  <si>
    <t>Determination values</t>
  </si>
  <si>
    <t>Annual smoothed revenue requirement, X-factors, Real Vanilla WACC and side constraint</t>
  </si>
  <si>
    <t>Annual adjustments</t>
  </si>
  <si>
    <t>Unders and overs account inputs</t>
  </si>
  <si>
    <t>LRMC revenue inputs</t>
  </si>
  <si>
    <t>Voltage level and power factor by tariff</t>
  </si>
  <si>
    <t>Coincident demand</t>
  </si>
  <si>
    <t>Allocation of residual revenue</t>
  </si>
  <si>
    <t>Stand-alone and Avoidable cost inputs</t>
  </si>
  <si>
    <t>Avoidable cost inputs</t>
  </si>
  <si>
    <t>Calculation - Cost of supply - Revenue</t>
  </si>
  <si>
    <t>Forecast revenue by tariff type</t>
  </si>
  <si>
    <t>Calculation - Avoidable and stand-alone cost</t>
  </si>
  <si>
    <t>Avoidable and stand-alone cost</t>
  </si>
  <si>
    <t>Inflation adjustment</t>
  </si>
  <si>
    <t>Avoidable network cost</t>
  </si>
  <si>
    <t>Calculation - Long run marginal cost (LRMC)</t>
  </si>
  <si>
    <t>Long run marginal cost</t>
  </si>
  <si>
    <t>NPV by voltage level</t>
  </si>
  <si>
    <t>Incremental expenditure ($000's)</t>
  </si>
  <si>
    <t>Revenue allocators (%)</t>
  </si>
  <si>
    <t>Revenue allocation</t>
  </si>
  <si>
    <t>Incremental demand ($/MW)</t>
  </si>
  <si>
    <t>Incremental expenditure by voltage level</t>
  </si>
  <si>
    <t>Annualised capex</t>
  </si>
  <si>
    <t>Augmentation expenditure by voltage level</t>
  </si>
  <si>
    <t>Raw augex</t>
  </si>
  <si>
    <t>Re-allocated augex</t>
  </si>
  <si>
    <t>Annualised augex</t>
  </si>
  <si>
    <t>Replacement expenditure by voltage level</t>
  </si>
  <si>
    <t>Raw repex</t>
  </si>
  <si>
    <t>Re-allocated repex</t>
  </si>
  <si>
    <t>Growth repex</t>
  </si>
  <si>
    <t>Annualised growth repex</t>
  </si>
  <si>
    <t>Aggregate network demand</t>
  </si>
  <si>
    <t>Disaggregated network demand</t>
  </si>
  <si>
    <t>Incremental disaggregated network demand</t>
  </si>
  <si>
    <t>Share excluding other</t>
  </si>
  <si>
    <t>Calculation - LRMC by tariff</t>
  </si>
  <si>
    <t>LRMC by tariff</t>
  </si>
  <si>
    <t>Import prices</t>
  </si>
  <si>
    <t>Voltage level</t>
  </si>
  <si>
    <t>Power factor</t>
  </si>
  <si>
    <t>x Volumes (Coincident demand)</t>
  </si>
  <si>
    <t>Calculation - Residual cost</t>
  </si>
  <si>
    <t>Residual costs</t>
  </si>
  <si>
    <t>Residual costs by tariff type</t>
  </si>
  <si>
    <t>Residual costs by tariff and charging component</t>
  </si>
  <si>
    <t>Allocation across tariffs and tariff types</t>
  </si>
  <si>
    <t>Output - Forecast revenue</t>
  </si>
  <si>
    <t>Revenue by tariff type</t>
  </si>
  <si>
    <t>Revenue by tariff</t>
  </si>
  <si>
    <t>Output - AER compliance</t>
  </si>
  <si>
    <t>Compliance checks</t>
  </si>
  <si>
    <t>Tariff compliance year:</t>
  </si>
  <si>
    <t>Check 1: Maximum allowable revenue</t>
  </si>
  <si>
    <t>Formula inputs</t>
  </si>
  <si>
    <t>Maximum allowable revenue</t>
  </si>
  <si>
    <t>Maximum allowable revenue (MAR)</t>
  </si>
  <si>
    <t>Forecast revenue does not exceed maximum allowable revenue</t>
  </si>
  <si>
    <t>Check 2: Unders and overs account balance</t>
  </si>
  <si>
    <t>Under/Over recovery</t>
  </si>
  <si>
    <r>
      <rPr>
        <i/>
        <sz val="10"/>
        <rFont val="Helvetica"/>
      </rPr>
      <t>less</t>
    </r>
    <r>
      <rPr>
        <sz val="10"/>
        <rFont val="Helvetica"/>
      </rPr>
      <t xml:space="preserve"> (B) Allowable revenue for regulatory year</t>
    </r>
  </si>
  <si>
    <t>Account balance</t>
  </si>
  <si>
    <t>Closing balance</t>
  </si>
  <si>
    <t>Projected closing balance close to zero</t>
  </si>
  <si>
    <t>Check 3: Side constraint</t>
  </si>
  <si>
    <t>Tariff class</t>
  </si>
  <si>
    <t>Side constraint</t>
  </si>
  <si>
    <t>Check 4: Stand alone and avoidable costs</t>
  </si>
  <si>
    <t>Note: The side constraint only applies from year 2 of the regulatory period</t>
  </si>
  <si>
    <t>Comparison charts</t>
  </si>
  <si>
    <t>Residual cost charts</t>
  </si>
  <si>
    <t>Model title message</t>
  </si>
  <si>
    <t>Error message</t>
  </si>
  <si>
    <t>Alert message</t>
  </si>
  <si>
    <t>Model message</t>
  </si>
  <si>
    <t>Model checks</t>
  </si>
  <si>
    <t>Error checks</t>
  </si>
  <si>
    <t>Total errors</t>
  </si>
  <si>
    <t>Tariff names</t>
  </si>
  <si>
    <t>Tariff classes</t>
  </si>
  <si>
    <t>Revenue input type</t>
  </si>
  <si>
    <t>Model lookups</t>
  </si>
  <si>
    <t>Model settings</t>
  </si>
  <si>
    <t>Periodicity inputs</t>
  </si>
  <si>
    <t>Model start date</t>
  </si>
  <si>
    <t>Time series headings</t>
  </si>
  <si>
    <t>Period start date</t>
  </si>
  <si>
    <t>Period end date</t>
  </si>
  <si>
    <t>Period counter</t>
  </si>
  <si>
    <t>Output - Reset RIN</t>
  </si>
  <si>
    <t>Revenue tables</t>
  </si>
  <si>
    <t>Energy delivered tables</t>
  </si>
  <si>
    <t>Total energy delivered</t>
  </si>
  <si>
    <t>LRMC tables</t>
  </si>
  <si>
    <t>Bill impact tables</t>
  </si>
  <si>
    <t>7.6.1 - Indicative Impact of the Regulatory Proposal on the average electricity bills</t>
  </si>
  <si>
    <t>Output - Pricing components of Regulatory Proposal</t>
  </si>
  <si>
    <t>TSS charts and tables</t>
  </si>
  <si>
    <t>Additional TSES charts and tables</t>
  </si>
  <si>
    <t>Additional TSS Overview charts and tables</t>
  </si>
  <si>
    <t>Working | Bill impacts ($Nominal)</t>
  </si>
  <si>
    <t>General bill impact</t>
  </si>
  <si>
    <t>Tariff 5 bill impact</t>
  </si>
  <si>
    <t>Tariff name</t>
  </si>
  <si>
    <t>Monthly max. demand (kVA)</t>
  </si>
  <si>
    <t>Anytime demand</t>
  </si>
  <si>
    <t>On-season demand</t>
  </si>
  <si>
    <t>Off-season demand</t>
  </si>
  <si>
    <t>Anytime energy</t>
  </si>
  <si>
    <t>Peak energy</t>
  </si>
  <si>
    <t>Off-peak energy</t>
  </si>
  <si>
    <t>Super off-peak energy</t>
  </si>
  <si>
    <t>Network bill ($ per year)</t>
  </si>
  <si>
    <t>Bill movement ($ per year)</t>
  </si>
  <si>
    <t>Raw Rank</t>
  </si>
  <si>
    <t>Adjusted Rank</t>
  </si>
  <si>
    <t>Customer count</t>
  </si>
  <si>
    <t>Bill impact (%)</t>
  </si>
  <si>
    <t>PWC Revised Proposal Changes</t>
  </si>
  <si>
    <t>Allocators</t>
  </si>
  <si>
    <t>Super User (HV)</t>
  </si>
  <si>
    <t>Revenue X factor</t>
  </si>
  <si>
    <t>Revenue B factor</t>
  </si>
  <si>
    <t>Average bill impact (%)</t>
  </si>
  <si>
    <t>Tariff 6 bill impact (excluding those previously on Tariff 7)</t>
  </si>
  <si>
    <t>Tariff 6 bill impact (including those previously on Tariff 7)</t>
  </si>
  <si>
    <t>Figure 3.7: Large user customer bill impact analysis (those on previously proposed Tariff 7)</t>
  </si>
  <si>
    <t>Figure 3.6: Large user customer bill impact analysis (Tariff 6, excluding previously proposed Tariff 7 customers)</t>
  </si>
  <si>
    <t>Figure 3.6A: Large user customer bill impact analysis (Tariff 6, including previously proposed Tariff 7 customers)</t>
  </si>
  <si>
    <t>Note: check set to look at the pricing year and subsequent years over the period.</t>
  </si>
  <si>
    <r>
      <t xml:space="preserve">Figure 2.1: Forward looking avoidable power system costs </t>
    </r>
    <r>
      <rPr>
        <b/>
        <u/>
        <sz val="11"/>
        <color theme="4"/>
        <rFont val="Helvetica"/>
      </rPr>
      <t>by tariff class</t>
    </r>
    <r>
      <rPr>
        <b/>
        <sz val="11"/>
        <color theme="4"/>
        <rFont val="Helvetica"/>
        <family val="2"/>
      </rPr>
      <t xml:space="preserve"> ($million)</t>
    </r>
  </si>
  <si>
    <r>
      <t xml:space="preserve">Figure 2.1: Forward looking avoidable power system costs </t>
    </r>
    <r>
      <rPr>
        <b/>
        <u/>
        <sz val="11"/>
        <color theme="4"/>
        <rFont val="Helvetica"/>
      </rPr>
      <t>by tariff</t>
    </r>
    <r>
      <rPr>
        <b/>
        <sz val="11"/>
        <color theme="4"/>
        <rFont val="Helvetica"/>
        <family val="2"/>
      </rPr>
      <t xml:space="preserve"> ($million)</t>
    </r>
  </si>
  <si>
    <t>FY29</t>
  </si>
  <si>
    <t>Previous Tariff 7 customers bill impact</t>
  </si>
  <si>
    <t>All major customers (Tariffs 5 and 6)</t>
  </si>
  <si>
    <t>System forecast (PoE 10%) by region</t>
  </si>
  <si>
    <t>The purpose of this model is to assess tariffs applicable to Power and Water Corporation customers and demonstrate compliance with AER requirements.</t>
  </si>
  <si>
    <t>[c-i-c]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</si>
</sst>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quot;$&quot;#,##0_);\(&quot;$&quot;#,##0\);_(&quot;-&quot;_)"/>
    <numFmt numFmtId="176" formatCode="&quot;$&quot;#,##0.00"/>
    <numFmt numFmtId="177" formatCode="_(#,##0.000_);\(#,##0.000\);_(&quot;-&quot;_)"/>
    <numFmt numFmtId="178" formatCode="_(#,##0.00%_);\(#,##0.00%\);_(&quot;-&quot;_)"/>
    <numFmt numFmtId="179" formatCode="_(#,##0%_);\(#,##0%\);_(&quot;-&quot;_)"/>
    <numFmt numFmtId="180" formatCode="0.0%"/>
    <numFmt numFmtId="181" formatCode="mmm\-yyyy"/>
    <numFmt numFmtId="182" formatCode="#,##0,;[Red]\-#,##0,,"/>
    <numFmt numFmtId="183" formatCode="_(#,##0.00_);\(#,##0.00\);_(&quot;-&quot;_)"/>
    <numFmt numFmtId="184" formatCode="_(#,##0.0000_);\(#,##0.0000\);_(&quot;-&quot;_)"/>
    <numFmt numFmtId="185" formatCode="0.000%"/>
    <numFmt numFmtId="186" formatCode="_(#,##0.000000_);\(#,##0.000000\);_(&quot;-&quot;_)"/>
    <numFmt numFmtId="187" formatCode="&quot;$&quot;#,##0.0;[Red]\-&quot;$&quot;#,##0.0"/>
    <numFmt numFmtId="188" formatCode="_(&quot;$&quot;#,##0.000_);\(&quot;$&quot;#,##0.000\);_(&quot;-&quot;_)"/>
  </numFmts>
  <fonts count="72"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name val="Helvetica"/>
    </font>
    <font>
      <sz val="8"/>
      <color rgb="FFFF0066"/>
      <name val="Helvetica"/>
    </font>
    <font>
      <sz val="10"/>
      <color theme="1"/>
      <name val="Helvetica"/>
    </font>
    <font>
      <i/>
      <sz val="10"/>
      <name val="Helvetica"/>
    </font>
    <font>
      <sz val="8"/>
      <color rgb="FFFF0066"/>
      <name val="Helvetica"/>
      <family val="2"/>
    </font>
    <font>
      <sz val="10"/>
      <color rgb="FFFF0066"/>
      <name val="Calibri"/>
      <family val="2"/>
      <scheme val="minor"/>
    </font>
    <font>
      <sz val="10"/>
      <color theme="0"/>
      <name val="Calibri"/>
      <family val="2"/>
      <scheme val="minor"/>
    </font>
    <font>
      <sz val="10"/>
      <color theme="0" tint="-0.249977111117893"/>
      <name val="Calibri"/>
      <family val="2"/>
      <scheme val="minor"/>
    </font>
    <font>
      <sz val="10"/>
      <color theme="0" tint="-0.249977111117893"/>
      <name val="Calibri"/>
      <family val="2"/>
    </font>
    <font>
      <b/>
      <sz val="10"/>
      <color theme="0" tint="-0.249977111117893"/>
      <name val="Calibri"/>
      <family val="2"/>
      <scheme val="minor"/>
    </font>
    <font>
      <b/>
      <sz val="10"/>
      <color theme="0" tint="-0.249977111117893"/>
      <name val="Calibri"/>
      <family val="2"/>
    </font>
    <font>
      <b/>
      <sz val="10"/>
      <color theme="0"/>
      <name val="Calibri"/>
      <family val="2"/>
      <scheme val="minor"/>
    </font>
    <font>
      <b/>
      <sz val="8"/>
      <color theme="4"/>
      <name val="Helvetica"/>
    </font>
    <font>
      <i/>
      <sz val="8"/>
      <color theme="4"/>
      <name val="Helvetica"/>
    </font>
    <font>
      <b/>
      <i/>
      <sz val="10"/>
      <name val="Helvetica"/>
    </font>
    <font>
      <i/>
      <sz val="10"/>
      <color theme="1"/>
      <name val="Helvetica"/>
    </font>
    <font>
      <u/>
      <sz val="11"/>
      <color theme="10"/>
      <name val="Calibri"/>
      <family val="2"/>
      <scheme val="minor"/>
    </font>
    <font>
      <b/>
      <sz val="16"/>
      <color theme="4"/>
      <name val="Calibri"/>
      <family val="2"/>
      <scheme val="minor"/>
    </font>
    <font>
      <b/>
      <sz val="10"/>
      <name val="Helvetica"/>
    </font>
    <font>
      <sz val="10"/>
      <color theme="0"/>
      <name val="Helvetica"/>
      <family val="2"/>
    </font>
    <font>
      <b/>
      <sz val="11"/>
      <color rgb="FFFFFFFF"/>
      <name val="Calibri"/>
      <family val="2"/>
    </font>
    <font>
      <b/>
      <sz val="11"/>
      <color theme="1"/>
      <name val="Calibri"/>
      <family val="2"/>
    </font>
    <font>
      <sz val="11"/>
      <color rgb="FF000000"/>
      <name val="Calibri"/>
      <family val="2"/>
    </font>
    <font>
      <b/>
      <sz val="11"/>
      <color rgb="FF000000"/>
      <name val="Calibri"/>
      <family val="2"/>
    </font>
    <font>
      <sz val="11"/>
      <color theme="1"/>
      <name val="Calibri"/>
      <family val="2"/>
    </font>
    <font>
      <b/>
      <vertAlign val="superscript"/>
      <sz val="11"/>
      <color rgb="FFFFFFFF"/>
      <name val="Calibri"/>
      <family val="2"/>
    </font>
    <font>
      <sz val="11"/>
      <color rgb="FFFFFFFF"/>
      <name val="Calibri"/>
      <family val="2"/>
    </font>
    <font>
      <vertAlign val="superscript"/>
      <sz val="11"/>
      <color rgb="FF000000"/>
      <name val="Calibri"/>
      <family val="2"/>
    </font>
    <font>
      <vertAlign val="superscript"/>
      <sz val="11"/>
      <color theme="1"/>
      <name val="Calibri"/>
      <family val="2"/>
    </font>
    <font>
      <i/>
      <sz val="10"/>
      <name val="Calibri"/>
      <family val="2"/>
      <scheme val="minor"/>
    </font>
    <font>
      <b/>
      <sz val="10"/>
      <color theme="0"/>
      <name val="Helvetica"/>
      <family val="2"/>
    </font>
    <font>
      <sz val="10"/>
      <color theme="0" tint="-0.34998626667073579"/>
      <name val="Helvetica"/>
      <family val="2"/>
    </font>
    <font>
      <sz val="10"/>
      <color rgb="FFFF0000"/>
      <name val="Helvetica"/>
      <family val="2"/>
    </font>
    <font>
      <sz val="10"/>
      <name val="Arial"/>
      <family val="2"/>
    </font>
    <font>
      <b/>
      <u/>
      <sz val="11"/>
      <color theme="4"/>
      <name val="Helvetica"/>
    </font>
  </fonts>
  <fills count="29">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6" tint="0.59999389629810485"/>
        <bgColor indexed="64"/>
      </patternFill>
    </fill>
    <fill>
      <patternFill patternType="solid">
        <fgColor theme="0" tint="-0.249977111117893"/>
        <bgColor indexed="64"/>
      </patternFill>
    </fill>
    <fill>
      <patternFill patternType="solid">
        <fgColor rgb="FF2A3D6F"/>
        <bgColor indexed="64"/>
      </patternFill>
    </fill>
    <fill>
      <patternFill patternType="solid">
        <fgColor rgb="FFFFFFFF"/>
        <bgColor indexed="64"/>
      </patternFill>
    </fill>
    <fill>
      <patternFill patternType="solid">
        <fgColor rgb="FFFFFF00"/>
        <bgColor indexed="64"/>
      </patternFill>
    </fill>
    <fill>
      <patternFill patternType="solid">
        <fgColor rgb="FF131640"/>
        <bgColor indexed="64"/>
      </patternFill>
    </fill>
    <fill>
      <patternFill patternType="solid">
        <fgColor rgb="FFE7E7EC"/>
        <bgColor indexed="64"/>
      </patternFill>
    </fill>
    <fill>
      <patternFill patternType="solid">
        <fgColor theme="6"/>
        <bgColor indexed="64"/>
      </patternFill>
    </fill>
    <fill>
      <patternFill patternType="solid">
        <fgColor theme="9"/>
        <bgColor indexed="64"/>
      </patternFill>
    </fill>
    <fill>
      <patternFill patternType="solid">
        <fgColor theme="0" tint="-0.14999847407452621"/>
        <bgColor indexed="64"/>
      </patternFill>
    </fill>
    <fill>
      <patternFill patternType="solid">
        <fgColor rgb="FFFFC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dotted">
        <color auto="1"/>
      </top>
      <bottom/>
      <diagonal/>
    </border>
    <border>
      <left style="thin">
        <color theme="0"/>
      </left>
      <right/>
      <top style="thin">
        <color theme="0"/>
      </top>
      <bottom style="thin">
        <color theme="0"/>
      </bottom>
      <diagonal/>
    </border>
    <border>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dotted">
        <color auto="1"/>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dotted">
        <color auto="1"/>
      </right>
      <top/>
      <bottom style="dotted">
        <color auto="1"/>
      </bottom>
      <diagonal/>
    </border>
    <border>
      <left/>
      <right/>
      <top/>
      <bottom style="dotted">
        <color auto="1"/>
      </bottom>
      <diagonal/>
    </border>
    <border>
      <left style="medium">
        <color rgb="FF131640"/>
      </left>
      <right style="medium">
        <color rgb="FF131640"/>
      </right>
      <top style="medium">
        <color rgb="FF131640"/>
      </top>
      <bottom/>
      <diagonal/>
    </border>
    <border>
      <left/>
      <right style="medium">
        <color rgb="FF131640"/>
      </right>
      <top style="medium">
        <color rgb="FF131640"/>
      </top>
      <bottom/>
      <diagonal/>
    </border>
    <border>
      <left style="medium">
        <color rgb="FF131640"/>
      </left>
      <right style="medium">
        <color rgb="FF131640"/>
      </right>
      <top/>
      <bottom/>
      <diagonal/>
    </border>
    <border>
      <left/>
      <right style="medium">
        <color rgb="FF131640"/>
      </right>
      <top/>
      <bottom/>
      <diagonal/>
    </border>
    <border>
      <left style="medium">
        <color rgb="FF131640"/>
      </left>
      <right style="medium">
        <color rgb="FF131640"/>
      </right>
      <top/>
      <bottom style="medium">
        <color rgb="FF131640"/>
      </bottom>
      <diagonal/>
    </border>
    <border>
      <left/>
      <right style="medium">
        <color rgb="FF131640"/>
      </right>
      <top/>
      <bottom style="medium">
        <color rgb="FF131640"/>
      </bottom>
      <diagonal/>
    </border>
    <border>
      <left style="medium">
        <color rgb="FF131640"/>
      </left>
      <right/>
      <top style="medium">
        <color rgb="FF131640"/>
      </top>
      <bottom/>
      <diagonal/>
    </border>
    <border>
      <left style="medium">
        <color rgb="FF131640"/>
      </left>
      <right style="medium">
        <color rgb="FF131640"/>
      </right>
      <top style="medium">
        <color theme="0"/>
      </top>
      <bottom style="medium">
        <color theme="0"/>
      </bottom>
      <diagonal/>
    </border>
    <border>
      <left style="medium">
        <color indexed="64"/>
      </left>
      <right style="medium">
        <color indexed="64"/>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dotted">
        <color theme="1"/>
      </top>
      <bottom style="thin">
        <color theme="0"/>
      </bottom>
      <diagonal/>
    </border>
    <border>
      <left style="medium">
        <color indexed="64"/>
      </left>
      <right/>
      <top style="medium">
        <color indexed="64"/>
      </top>
      <bottom/>
      <diagonal/>
    </border>
    <border>
      <left/>
      <right style="medium">
        <color rgb="FF131640"/>
      </right>
      <top style="medium">
        <color indexed="64"/>
      </top>
      <bottom/>
      <diagonal/>
    </border>
    <border>
      <left style="medium">
        <color rgb="FF13164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rgb="FF131640"/>
      </right>
      <top/>
      <bottom/>
      <diagonal/>
    </border>
    <border>
      <left style="medium">
        <color indexed="64"/>
      </left>
      <right style="medium">
        <color rgb="FF131640"/>
      </right>
      <top/>
      <bottom style="medium">
        <color indexed="64"/>
      </bottom>
      <diagonal/>
    </border>
    <border>
      <left/>
      <right style="medium">
        <color rgb="FF131640"/>
      </right>
      <top/>
      <bottom style="medium">
        <color indexed="64"/>
      </bottom>
      <diagonal/>
    </border>
    <border>
      <left/>
      <right style="medium">
        <color indexed="64"/>
      </right>
      <top/>
      <bottom style="medium">
        <color indexed="64"/>
      </bottom>
      <diagonal/>
    </border>
    <border>
      <left style="medium">
        <color indexed="64"/>
      </left>
      <right style="medium">
        <color rgb="FF131640"/>
      </right>
      <top style="medium">
        <color indexed="64"/>
      </top>
      <bottom/>
      <diagonal/>
    </border>
  </borders>
  <cellStyleXfs count="73">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6"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6"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5"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4"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4" fillId="3" borderId="4">
      <alignment horizontal="right" vertical="center"/>
      <protection locked="0"/>
    </xf>
    <xf numFmtId="0" fontId="42"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8" fillId="20" borderId="0" applyBorder="0">
      <alignment horizontal="left" vertical="center"/>
    </xf>
    <xf numFmtId="0" fontId="2" fillId="0" borderId="0"/>
    <xf numFmtId="43" fontId="2" fillId="0" borderId="0" applyFont="0" applyFill="0" applyBorder="0" applyAlignment="0" applyProtection="0"/>
    <xf numFmtId="0" fontId="53" fillId="0" borderId="0" applyNumberFormat="0" applyFill="0" applyBorder="0" applyAlignment="0" applyProtection="0"/>
    <xf numFmtId="9" fontId="2" fillId="0" borderId="0" applyFont="0" applyFill="0" applyBorder="0" applyAlignment="0" applyProtection="0"/>
    <xf numFmtId="0" fontId="33" fillId="11" borderId="0" applyBorder="0">
      <alignment horizontal="left" vertical="center"/>
    </xf>
    <xf numFmtId="0" fontId="29" fillId="0" borderId="0" applyFill="0" applyBorder="0">
      <alignment horizontal="left" vertical="center"/>
    </xf>
    <xf numFmtId="0" fontId="19" fillId="0" borderId="0" applyNumberFormat="0" applyFill="0" applyBorder="0">
      <alignment horizontal="left" vertical="center"/>
    </xf>
    <xf numFmtId="0" fontId="28" fillId="0" borderId="0" applyFill="0" applyBorder="0">
      <alignment vertical="center"/>
    </xf>
    <xf numFmtId="0" fontId="54" fillId="0" borderId="0" applyFill="0" applyBorder="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0" fillId="0" borderId="0" xfId="0" applyAlignment="1">
      <alignment horizontal="left"/>
    </xf>
    <xf numFmtId="0" fontId="33" fillId="11" borderId="0" xfId="3">
      <alignment horizontal="left" vertical="center"/>
    </xf>
    <xf numFmtId="0" fontId="26" fillId="0" borderId="0" xfId="20">
      <alignment horizontal="left" vertical="center"/>
    </xf>
    <xf numFmtId="0" fontId="30" fillId="0" borderId="0" xfId="34">
      <alignment horizontal="left" vertical="center"/>
    </xf>
    <xf numFmtId="0" fontId="36"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30" fillId="0" borderId="0" xfId="34" applyAlignment="1">
      <alignment horizontal="center" vertical="center"/>
    </xf>
    <xf numFmtId="0" fontId="0" fillId="0" borderId="0" xfId="0" applyAlignment="1">
      <alignment horizontal="center"/>
    </xf>
    <xf numFmtId="0" fontId="29" fillId="0" borderId="0" xfId="36" applyAlignment="1">
      <alignment horizontal="center" vertical="center"/>
    </xf>
    <xf numFmtId="4" fontId="0" fillId="0" borderId="0" xfId="0" applyNumberFormat="1"/>
    <xf numFmtId="172" fontId="0" fillId="0" borderId="0" xfId="0" applyNumberFormat="1"/>
    <xf numFmtId="0" fontId="28" fillId="0" borderId="0" xfId="37" applyAlignment="1">
      <alignment horizontal="left" vertical="center" indent="1"/>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6" fillId="0" borderId="0" xfId="35" applyBorder="1" applyAlignment="1">
      <alignment horizontal="center" vertical="center"/>
    </xf>
    <xf numFmtId="0" fontId="22" fillId="11" borderId="0" xfId="3" applyFont="1" applyBorder="1" applyAlignment="1">
      <alignment horizontal="center" vertical="center"/>
    </xf>
    <xf numFmtId="0" fontId="23"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Alignment="1">
      <alignment horizontal="center" vertical="center"/>
      <protection locked="0"/>
    </xf>
    <xf numFmtId="0" fontId="30" fillId="0" borderId="0" xfId="34" applyFill="1" applyBorder="1" applyAlignment="1">
      <alignment vertical="center"/>
    </xf>
    <xf numFmtId="0" fontId="27" fillId="0" borderId="0" xfId="3" applyFont="1" applyFill="1">
      <alignment horizontal="left" vertical="center"/>
    </xf>
    <xf numFmtId="0" fontId="19" fillId="0" borderId="0" xfId="32" applyBorder="1">
      <alignment horizontal="left" vertical="center"/>
    </xf>
    <xf numFmtId="0" fontId="19" fillId="0" borderId="0" xfId="32">
      <alignment horizontal="left" vertical="center"/>
    </xf>
    <xf numFmtId="0" fontId="19" fillId="0" borderId="0" xfId="32" applyAlignment="1">
      <alignment horizontal="center" vertical="center"/>
    </xf>
    <xf numFmtId="0" fontId="7" fillId="17" borderId="0" xfId="54"/>
    <xf numFmtId="165" fontId="29" fillId="3" borderId="4" xfId="14" applyFill="1">
      <alignment horizontal="right" vertical="center"/>
      <protection locked="0"/>
    </xf>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170" fontId="28" fillId="0" borderId="0" xfId="1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6" fillId="0" borderId="2" xfId="35" applyBorder="1" applyAlignment="1">
      <alignment horizontal="center" vertical="center"/>
    </xf>
    <xf numFmtId="165" fontId="35" fillId="0" borderId="3" xfId="13" applyFont="1" applyFill="1" applyBorder="1" applyAlignment="1">
      <alignment horizontal="center" vertical="center"/>
    </xf>
    <xf numFmtId="0" fontId="36" fillId="0" borderId="3" xfId="35" applyFill="1" applyBorder="1" applyAlignment="1">
      <alignment horizontal="center" vertical="center"/>
    </xf>
    <xf numFmtId="167" fontId="29" fillId="12" borderId="4" xfId="16" applyAlignment="1">
      <alignment horizontal="center" vertical="center"/>
      <protection locked="0"/>
    </xf>
    <xf numFmtId="0" fontId="29" fillId="0" borderId="0" xfId="36" applyFill="1" applyAlignment="1">
      <alignment horizontal="center" vertical="center"/>
    </xf>
    <xf numFmtId="173" fontId="7" fillId="0" borderId="0" xfId="44">
      <alignment horizontal="center" vertical="center"/>
    </xf>
    <xf numFmtId="0" fontId="36" fillId="0" borderId="0" xfId="35" applyAlignment="1">
      <alignment horizontal="center" vertical="center" wrapText="1"/>
    </xf>
    <xf numFmtId="0" fontId="36" fillId="0" borderId="2" xfId="35" applyBorder="1" applyAlignment="1">
      <alignment horizontal="center" vertical="center" wrapText="1"/>
    </xf>
    <xf numFmtId="0" fontId="36" fillId="0" borderId="3" xfId="35" applyFill="1" applyBorder="1">
      <alignment horizontal="left" vertical="center"/>
    </xf>
    <xf numFmtId="0" fontId="28" fillId="0" borderId="0" xfId="37" applyFill="1" applyAlignment="1">
      <alignment horizontal="center" vertical="center"/>
    </xf>
    <xf numFmtId="169" fontId="29" fillId="12" borderId="4" xfId="14" applyNumberFormat="1" applyAlignment="1">
      <alignment horizontal="center" vertical="center"/>
      <protection locked="0"/>
    </xf>
    <xf numFmtId="169" fontId="35" fillId="0" borderId="3" xfId="13" applyNumberFormat="1" applyFont="1" applyFill="1" applyBorder="1" applyAlignment="1">
      <alignment horizontal="center" vertical="center"/>
    </xf>
    <xf numFmtId="175" fontId="28" fillId="0" borderId="0" xfId="40" applyNumberFormat="1" applyFill="1" applyAlignment="1">
      <alignment horizontal="center" vertical="center"/>
    </xf>
    <xf numFmtId="175" fontId="29" fillId="12" borderId="4" xfId="19" applyNumberFormat="1" applyAlignment="1">
      <alignment horizontal="center" vertical="center"/>
      <protection locked="0"/>
    </xf>
    <xf numFmtId="175" fontId="35" fillId="0" borderId="3" xfId="40" applyNumberFormat="1" applyFont="1" applyFill="1" applyBorder="1" applyAlignment="1">
      <alignment horizontal="center" vertical="center"/>
    </xf>
    <xf numFmtId="0" fontId="0" fillId="17" borderId="0" xfId="0" applyFill="1"/>
    <xf numFmtId="0" fontId="36" fillId="0" borderId="2" xfId="35" applyBorder="1">
      <alignment horizontal="left" vertical="center"/>
    </xf>
    <xf numFmtId="176" fontId="0" fillId="0" borderId="0" xfId="0" applyNumberFormat="1"/>
    <xf numFmtId="167" fontId="28" fillId="0" borderId="0" xfId="15" applyAlignment="1">
      <alignment horizontal="center" vertical="center"/>
    </xf>
    <xf numFmtId="167" fontId="35" fillId="0" borderId="3" xfId="15" applyFont="1" applyFill="1" applyBorder="1" applyAlignment="1">
      <alignment horizontal="center" vertical="center"/>
    </xf>
    <xf numFmtId="165" fontId="29" fillId="12" borderId="4" xfId="14" applyAlignment="1">
      <alignment horizontal="center" vertical="center"/>
      <protection locked="0"/>
    </xf>
    <xf numFmtId="0" fontId="28" fillId="0" borderId="0" xfId="37" applyAlignment="1">
      <alignment horizontal="left" vertical="center"/>
    </xf>
    <xf numFmtId="0" fontId="28" fillId="0" borderId="0" xfId="37" applyFill="1" applyAlignment="1">
      <alignment horizontal="left" vertical="center"/>
    </xf>
    <xf numFmtId="169" fontId="28" fillId="0" borderId="0" xfId="13" applyNumberFormat="1" applyFill="1" applyAlignment="1">
      <alignment horizontal="center" vertical="center"/>
    </xf>
    <xf numFmtId="0" fontId="29" fillId="0" borderId="4" xfId="53" applyFill="1">
      <alignment horizontal="center" vertical="center"/>
      <protection locked="0"/>
    </xf>
    <xf numFmtId="0" fontId="29" fillId="0" borderId="0" xfId="36" applyFill="1" applyBorder="1">
      <alignment horizontal="left" vertical="center"/>
    </xf>
    <xf numFmtId="0" fontId="34" fillId="0" borderId="0" xfId="36" applyFont="1" applyFill="1" applyAlignment="1">
      <alignment horizontal="center" vertical="center"/>
    </xf>
    <xf numFmtId="0" fontId="34" fillId="0" borderId="0" xfId="36" applyFont="1" applyFill="1">
      <alignment horizontal="left" vertical="center"/>
    </xf>
    <xf numFmtId="0" fontId="7" fillId="0" borderId="0" xfId="0" applyFont="1"/>
    <xf numFmtId="0" fontId="34" fillId="0" borderId="4" xfId="8" applyFont="1" applyFill="1" applyAlignment="1">
      <alignment horizontal="center" vertical="center"/>
      <protection locked="0"/>
    </xf>
    <xf numFmtId="0" fontId="34" fillId="0" borderId="4" xfId="53" applyFont="1" applyFill="1">
      <alignment horizontal="center" vertical="center"/>
      <protection locked="0"/>
    </xf>
    <xf numFmtId="0" fontId="34" fillId="0" borderId="4" xfId="53" applyFont="1" applyFill="1" applyAlignment="1">
      <alignment horizontal="left" vertical="center"/>
      <protection locked="0"/>
    </xf>
    <xf numFmtId="0" fontId="34" fillId="0" borderId="0" xfId="37" applyFont="1" applyFill="1" applyAlignment="1">
      <alignment horizontal="center" vertical="center"/>
    </xf>
    <xf numFmtId="168" fontId="28" fillId="0" borderId="0" xfId="40" applyNumberFormat="1" applyFill="1" applyAlignment="1">
      <alignment horizontal="center" vertical="center"/>
    </xf>
    <xf numFmtId="177" fontId="29" fillId="12" borderId="4" xfId="14" applyNumberFormat="1" applyAlignment="1">
      <alignment horizontal="center" vertical="center"/>
      <protection locked="0"/>
    </xf>
    <xf numFmtId="177" fontId="28" fillId="0" borderId="0" xfId="13" applyNumberFormat="1" applyFill="1" applyAlignment="1">
      <alignment horizontal="center" vertical="center"/>
    </xf>
    <xf numFmtId="0" fontId="37" fillId="0" borderId="3" xfId="35" applyFont="1" applyFill="1" applyBorder="1">
      <alignment horizontal="left" vertical="center"/>
    </xf>
    <xf numFmtId="0" fontId="38" fillId="0" borderId="0" xfId="0" applyFont="1"/>
    <xf numFmtId="0" fontId="37" fillId="0" borderId="3" xfId="35" applyFont="1" applyFill="1" applyBorder="1" applyAlignment="1">
      <alignment horizontal="center" vertical="center"/>
    </xf>
    <xf numFmtId="175" fontId="39" fillId="0" borderId="3" xfId="40" applyNumberFormat="1" applyFont="1" applyFill="1" applyBorder="1" applyAlignment="1">
      <alignment horizontal="center" vertical="center"/>
    </xf>
    <xf numFmtId="178" fontId="29" fillId="12" borderId="4" xfId="16" applyNumberFormat="1" applyAlignment="1">
      <alignment horizontal="center" vertical="center"/>
      <protection locked="0"/>
    </xf>
    <xf numFmtId="175" fontId="28" fillId="17" borderId="0" xfId="40" applyNumberFormat="1" applyFill="1" applyAlignment="1">
      <alignment horizontal="center" vertical="center"/>
    </xf>
    <xf numFmtId="175" fontId="28" fillId="0" borderId="19" xfId="40" applyNumberFormat="1" applyFill="1" applyBorder="1" applyAlignment="1">
      <alignment horizontal="center" vertical="center"/>
    </xf>
    <xf numFmtId="175" fontId="28" fillId="0" borderId="20" xfId="40" applyNumberFormat="1" applyFill="1" applyBorder="1" applyAlignment="1">
      <alignment horizontal="center" vertical="center"/>
    </xf>
    <xf numFmtId="175" fontId="28" fillId="0" borderId="21" xfId="40" applyNumberFormat="1" applyFill="1" applyBorder="1" applyAlignment="1">
      <alignment horizontal="center" vertical="center"/>
    </xf>
    <xf numFmtId="0" fontId="42" fillId="0" borderId="0" xfId="56"/>
    <xf numFmtId="0" fontId="43" fillId="19" borderId="22" xfId="57" applyFont="1" applyFill="1" applyBorder="1" applyAlignment="1">
      <alignment horizontal="center" vertical="center" wrapText="1"/>
    </xf>
    <xf numFmtId="0" fontId="44" fillId="0" borderId="22" xfId="57" applyFont="1" applyBorder="1" applyAlignment="1">
      <alignment horizontal="center" vertical="center"/>
    </xf>
    <xf numFmtId="9" fontId="45" fillId="0" borderId="22" xfId="58" applyFont="1" applyBorder="1" applyAlignment="1">
      <alignment horizontal="center" vertical="center" wrapText="1"/>
    </xf>
    <xf numFmtId="0" fontId="44" fillId="0" borderId="22" xfId="57" applyFont="1" applyBorder="1" applyAlignment="1">
      <alignment horizontal="center" vertical="center" wrapText="1"/>
    </xf>
    <xf numFmtId="179" fontId="47" fillId="0" borderId="22" xfId="57" applyNumberFormat="1" applyFont="1" applyBorder="1" applyAlignment="1">
      <alignment horizontal="center" vertical="center" wrapText="1"/>
    </xf>
    <xf numFmtId="0" fontId="24" fillId="0" borderId="0" xfId="0" applyFont="1"/>
    <xf numFmtId="0" fontId="24" fillId="18" borderId="18" xfId="53" applyFont="1" applyFill="1" applyBorder="1">
      <alignment horizontal="center" vertical="center"/>
      <protection locked="0"/>
    </xf>
    <xf numFmtId="0" fontId="50" fillId="0" borderId="0" xfId="0" applyFont="1" applyAlignment="1">
      <alignment horizontal="left" indent="1"/>
    </xf>
    <xf numFmtId="0" fontId="48" fillId="19" borderId="25" xfId="57" applyFont="1" applyFill="1" applyBorder="1" applyAlignment="1">
      <alignment vertical="center" wrapText="1"/>
    </xf>
    <xf numFmtId="0" fontId="43" fillId="19" borderId="22" xfId="57" applyFont="1" applyFill="1" applyBorder="1" applyAlignment="1">
      <alignment horizontal="left" vertical="center" wrapText="1"/>
    </xf>
    <xf numFmtId="0" fontId="48" fillId="19" borderId="22" xfId="57" applyFont="1" applyFill="1" applyBorder="1" applyAlignment="1">
      <alignment horizontal="left" vertical="center" wrapText="1"/>
    </xf>
    <xf numFmtId="180" fontId="29" fillId="12" borderId="4" xfId="59" applyNumberFormat="1" applyFont="1" applyFill="1" applyBorder="1" applyAlignment="1" applyProtection="1">
      <alignment horizontal="center" vertical="center"/>
      <protection locked="0"/>
    </xf>
    <xf numFmtId="0" fontId="32" fillId="15" borderId="0" xfId="38" quotePrefix="1">
      <alignment horizontal="left" vertical="center"/>
    </xf>
    <xf numFmtId="169" fontId="4" fillId="0" borderId="1" xfId="13" applyNumberFormat="1" applyFont="1" applyFill="1" applyBorder="1" applyAlignment="1">
      <alignment horizontal="center" vertical="center"/>
    </xf>
    <xf numFmtId="0" fontId="34" fillId="0" borderId="0" xfId="36" applyFont="1" applyFill="1" applyAlignment="1">
      <alignment horizontal="left" vertical="center" indent="1"/>
    </xf>
    <xf numFmtId="181" fontId="29" fillId="12" borderId="4" xfId="14" applyNumberFormat="1" applyAlignment="1">
      <alignment horizontal="center" vertical="center"/>
      <protection locked="0"/>
    </xf>
    <xf numFmtId="178" fontId="34" fillId="0" borderId="4" xfId="16" applyNumberFormat="1" applyFont="1" applyFill="1" applyAlignment="1">
      <alignment horizontal="center" vertical="center"/>
      <protection locked="0"/>
    </xf>
    <xf numFmtId="0" fontId="40" fillId="0" borderId="0" xfId="36" applyFont="1" applyFill="1">
      <alignment horizontal="left" vertical="center"/>
    </xf>
    <xf numFmtId="0" fontId="37" fillId="0" borderId="28" xfId="8" applyFont="1" applyFill="1" applyBorder="1" applyAlignment="1">
      <alignment horizontal="center" vertical="center"/>
      <protection locked="0"/>
    </xf>
    <xf numFmtId="0" fontId="37" fillId="0" borderId="28" xfId="53" applyFont="1" applyFill="1" applyBorder="1">
      <alignment horizontal="center" vertical="center"/>
      <protection locked="0"/>
    </xf>
    <xf numFmtId="0" fontId="37" fillId="0" borderId="17" xfId="36" applyFont="1" applyFill="1" applyBorder="1" applyAlignment="1">
      <alignment horizontal="left" vertical="center" indent="1"/>
    </xf>
    <xf numFmtId="178" fontId="37" fillId="0" borderId="28" xfId="16" applyNumberFormat="1" applyFont="1" applyFill="1" applyBorder="1" applyAlignment="1">
      <alignment horizontal="center" vertical="center"/>
      <protection locked="0"/>
    </xf>
    <xf numFmtId="0" fontId="37" fillId="0" borderId="17" xfId="36" applyFont="1" applyFill="1" applyBorder="1">
      <alignment horizontal="left" vertical="center"/>
    </xf>
    <xf numFmtId="0" fontId="39" fillId="0" borderId="0" xfId="37" applyFont="1">
      <alignment vertical="center"/>
    </xf>
    <xf numFmtId="0" fontId="52" fillId="0" borderId="0" xfId="37" applyFont="1">
      <alignment vertical="center"/>
    </xf>
    <xf numFmtId="0" fontId="34" fillId="0" borderId="4" xfId="53" applyFont="1" applyFill="1" applyAlignment="1">
      <alignment horizontal="left" vertical="center" indent="1"/>
      <protection locked="0"/>
    </xf>
    <xf numFmtId="178" fontId="28" fillId="0" borderId="0" xfId="59" applyNumberFormat="1" applyFont="1" applyFill="1" applyAlignment="1">
      <alignment horizontal="center" vertical="center"/>
    </xf>
    <xf numFmtId="0" fontId="24" fillId="0" borderId="0" xfId="0" applyFont="1" applyAlignment="1">
      <alignment horizontal="left" indent="1"/>
    </xf>
    <xf numFmtId="0" fontId="49" fillId="0" borderId="0" xfId="0" applyFont="1"/>
    <xf numFmtId="0" fontId="7" fillId="0" borderId="0" xfId="36" applyFont="1" applyFill="1" applyAlignment="1">
      <alignment horizontal="center" vertical="center"/>
    </xf>
    <xf numFmtId="182" fontId="34" fillId="0" borderId="0" xfId="0" applyNumberFormat="1" applyFont="1"/>
    <xf numFmtId="0" fontId="42" fillId="0" borderId="0" xfId="56" applyAlignment="1">
      <alignment vertical="center"/>
    </xf>
    <xf numFmtId="0" fontId="42" fillId="0" borderId="0" xfId="56" quotePrefix="1" applyAlignment="1">
      <alignment vertical="center"/>
    </xf>
    <xf numFmtId="0" fontId="41" fillId="0" borderId="0" xfId="57" applyAlignment="1">
      <alignment vertical="center"/>
    </xf>
    <xf numFmtId="0" fontId="27" fillId="0" borderId="0" xfId="65" applyFont="1" applyFill="1">
      <alignment horizontal="left" vertical="center"/>
    </xf>
    <xf numFmtId="0" fontId="29" fillId="0" borderId="0" xfId="66" applyFill="1">
      <alignment horizontal="left" vertical="center"/>
    </xf>
    <xf numFmtId="0" fontId="19" fillId="0" borderId="0" xfId="67" applyFill="1">
      <alignment horizontal="left" vertical="center"/>
    </xf>
    <xf numFmtId="0" fontId="21" fillId="0" borderId="0" xfId="68" applyFont="1" applyFill="1">
      <alignment vertical="center"/>
    </xf>
    <xf numFmtId="0" fontId="54" fillId="0" borderId="0" xfId="69">
      <alignment horizontal="left" vertical="center"/>
    </xf>
    <xf numFmtId="0" fontId="48" fillId="19" borderId="25" xfId="57" applyFont="1" applyFill="1" applyBorder="1" applyAlignment="1">
      <alignment horizontal="center" vertical="center" wrapText="1"/>
    </xf>
    <xf numFmtId="169" fontId="28" fillId="0" borderId="0" xfId="40" applyNumberFormat="1" applyFill="1" applyAlignment="1">
      <alignment horizontal="center" vertical="center"/>
    </xf>
    <xf numFmtId="179" fontId="28" fillId="0" borderId="0" xfId="15" applyNumberFormat="1" applyAlignment="1">
      <alignment horizontal="center" vertical="center"/>
    </xf>
    <xf numFmtId="184" fontId="28" fillId="0" borderId="0" xfId="13" applyNumberFormat="1" applyFill="1" applyAlignment="1">
      <alignment horizontal="center" vertical="center"/>
    </xf>
    <xf numFmtId="0" fontId="29" fillId="0" borderId="0" xfId="53" applyFill="1" applyBorder="1">
      <alignment horizontal="center" vertical="center"/>
      <protection locked="0"/>
    </xf>
    <xf numFmtId="0" fontId="48" fillId="19" borderId="22" xfId="57" applyFont="1" applyFill="1" applyBorder="1" applyAlignment="1">
      <alignment horizontal="center" vertical="center" wrapText="1"/>
    </xf>
    <xf numFmtId="175" fontId="0" fillId="0" borderId="0" xfId="0" applyNumberFormat="1"/>
    <xf numFmtId="0" fontId="50" fillId="12" borderId="0" xfId="0" applyFont="1" applyFill="1" applyAlignment="1">
      <alignment horizontal="center"/>
    </xf>
    <xf numFmtId="180" fontId="45" fillId="0" borderId="27" xfId="58" applyNumberFormat="1" applyFont="1" applyBorder="1" applyAlignment="1">
      <alignment horizontal="center" vertical="center" wrapText="1"/>
    </xf>
    <xf numFmtId="180" fontId="47" fillId="0" borderId="22" xfId="58" applyNumberFormat="1" applyFont="1" applyBorder="1" applyAlignment="1">
      <alignment horizontal="center" vertical="center" wrapText="1"/>
    </xf>
    <xf numFmtId="10" fontId="0" fillId="0" borderId="0" xfId="59" applyNumberFormat="1" applyFont="1" applyFill="1"/>
    <xf numFmtId="185" fontId="0" fillId="0" borderId="0" xfId="59" applyNumberFormat="1" applyFont="1" applyFill="1"/>
    <xf numFmtId="175" fontId="0" fillId="0" borderId="0" xfId="0" applyNumberFormat="1" applyAlignment="1">
      <alignment horizontal="center"/>
    </xf>
    <xf numFmtId="180" fontId="0" fillId="0" borderId="0" xfId="59" applyNumberFormat="1" applyFont="1" applyFill="1" applyAlignment="1">
      <alignment horizontal="center"/>
    </xf>
    <xf numFmtId="9" fontId="0" fillId="0" borderId="0" xfId="59" applyFont="1" applyFill="1" applyAlignment="1">
      <alignment horizontal="center"/>
    </xf>
    <xf numFmtId="0" fontId="44" fillId="0" borderId="26" xfId="57" applyFont="1" applyBorder="1" applyAlignment="1">
      <alignment wrapText="1"/>
    </xf>
    <xf numFmtId="0" fontId="44" fillId="0" borderId="27" xfId="57" applyFont="1" applyBorder="1" applyAlignment="1">
      <alignment wrapText="1"/>
    </xf>
    <xf numFmtId="0" fontId="51" fillId="0" borderId="2" xfId="35" applyFont="1" applyBorder="1" applyAlignment="1">
      <alignment horizontal="center" vertical="center"/>
    </xf>
    <xf numFmtId="167" fontId="34" fillId="0" borderId="4" xfId="16" applyFont="1" applyFill="1" applyAlignment="1">
      <alignment horizontal="center" vertical="center"/>
      <protection locked="0"/>
    </xf>
    <xf numFmtId="183" fontId="29" fillId="12" borderId="4" xfId="14" applyNumberFormat="1" applyAlignment="1">
      <alignment horizontal="center" vertical="center"/>
      <protection locked="0"/>
    </xf>
    <xf numFmtId="0" fontId="44" fillId="0" borderId="36" xfId="57" applyFont="1" applyBorder="1" applyAlignment="1">
      <alignment vertical="center"/>
    </xf>
    <xf numFmtId="0" fontId="44" fillId="0" borderId="36" xfId="57" applyFont="1" applyBorder="1" applyAlignment="1">
      <alignment horizontal="left" vertical="center"/>
    </xf>
    <xf numFmtId="178" fontId="35" fillId="0" borderId="0" xfId="59" applyNumberFormat="1" applyFont="1" applyFill="1" applyAlignment="1">
      <alignment horizontal="center" vertical="center"/>
    </xf>
    <xf numFmtId="0" fontId="55" fillId="0" borderId="37" xfId="53" applyFont="1" applyFill="1" applyBorder="1">
      <alignment horizontal="center" vertical="center"/>
      <protection locked="0"/>
    </xf>
    <xf numFmtId="168" fontId="35" fillId="0" borderId="3" xfId="40" applyNumberFormat="1" applyFont="1" applyFill="1" applyBorder="1" applyAlignment="1">
      <alignment horizontal="center" vertical="center"/>
    </xf>
    <xf numFmtId="167" fontId="55" fillId="0" borderId="37" xfId="16" applyFont="1" applyFill="1" applyBorder="1" applyAlignment="1">
      <alignment horizontal="center" vertical="center"/>
      <protection locked="0"/>
    </xf>
    <xf numFmtId="167" fontId="28" fillId="0" borderId="0" xfId="59" applyNumberFormat="1" applyFont="1" applyFill="1" applyAlignment="1">
      <alignment horizontal="center" vertical="center"/>
    </xf>
    <xf numFmtId="167" fontId="28" fillId="17" borderId="0" xfId="40" applyNumberFormat="1" applyFill="1" applyAlignment="1">
      <alignment horizontal="center" vertical="center"/>
    </xf>
    <xf numFmtId="178" fontId="29" fillId="0" borderId="4" xfId="16" applyNumberFormat="1" applyFill="1" applyAlignment="1">
      <alignment horizontal="center" vertical="center"/>
      <protection locked="0"/>
    </xf>
    <xf numFmtId="168" fontId="28" fillId="0" borderId="19" xfId="40" applyNumberFormat="1" applyFill="1" applyBorder="1" applyAlignment="1">
      <alignment horizontal="center" vertical="center"/>
    </xf>
    <xf numFmtId="0" fontId="40" fillId="0" borderId="0" xfId="0" applyFont="1" applyAlignment="1">
      <alignment horizontal="right"/>
    </xf>
    <xf numFmtId="0" fontId="51" fillId="0" borderId="2" xfId="35" applyFont="1" applyBorder="1" applyAlignment="1">
      <alignment horizontal="right" vertical="center"/>
    </xf>
    <xf numFmtId="186" fontId="29" fillId="12" borderId="4" xfId="19" applyNumberFormat="1" applyAlignment="1">
      <alignment horizontal="center" vertical="center"/>
      <protection locked="0"/>
    </xf>
    <xf numFmtId="186" fontId="29" fillId="12" borderId="4" xfId="19" applyNumberFormat="1" applyAlignment="1">
      <alignment horizontal="left" vertical="center"/>
      <protection locked="0"/>
    </xf>
    <xf numFmtId="169" fontId="35" fillId="0" borderId="3" xfId="40" applyNumberFormat="1" applyFont="1" applyFill="1" applyBorder="1" applyAlignment="1">
      <alignment horizontal="center" vertical="center"/>
    </xf>
    <xf numFmtId="169" fontId="28" fillId="0" borderId="20" xfId="40" applyNumberFormat="1" applyFill="1" applyBorder="1" applyAlignment="1">
      <alignment horizontal="center" vertical="center"/>
    </xf>
    <xf numFmtId="175" fontId="28" fillId="0" borderId="0" xfId="40" applyNumberFormat="1" applyFill="1" applyBorder="1" applyAlignment="1">
      <alignment horizontal="center" vertical="center"/>
    </xf>
    <xf numFmtId="175" fontId="28" fillId="0" borderId="40" xfId="40" applyNumberFormat="1" applyFill="1" applyBorder="1" applyAlignment="1">
      <alignment horizontal="center" vertical="center"/>
    </xf>
    <xf numFmtId="175" fontId="28" fillId="0" borderId="39" xfId="40" applyNumberFormat="1" applyFill="1" applyBorder="1" applyAlignment="1">
      <alignment horizontal="center" vertical="center"/>
    </xf>
    <xf numFmtId="169" fontId="28" fillId="0" borderId="40" xfId="40" applyNumberFormat="1" applyFill="1" applyBorder="1" applyAlignment="1">
      <alignment horizontal="center" vertical="center"/>
    </xf>
    <xf numFmtId="169" fontId="28" fillId="0" borderId="39" xfId="40" applyNumberFormat="1" applyFill="1" applyBorder="1" applyAlignment="1">
      <alignment horizontal="center" vertical="center"/>
    </xf>
    <xf numFmtId="0" fontId="57" fillId="23" borderId="41" xfId="0" applyFont="1" applyFill="1" applyBorder="1" applyAlignment="1">
      <alignment vertical="center" wrapText="1"/>
    </xf>
    <xf numFmtId="0" fontId="57" fillId="23" borderId="42" xfId="0" applyFont="1" applyFill="1" applyBorder="1" applyAlignment="1">
      <alignment horizontal="right" vertical="center" wrapText="1"/>
    </xf>
    <xf numFmtId="0" fontId="58" fillId="0" borderId="43" xfId="0" applyFont="1" applyBorder="1" applyAlignment="1">
      <alignment vertical="center" wrapText="1"/>
    </xf>
    <xf numFmtId="187" fontId="59" fillId="21" borderId="44" xfId="0" applyNumberFormat="1" applyFont="1" applyFill="1" applyBorder="1" applyAlignment="1">
      <alignment horizontal="right" vertical="center" wrapText="1"/>
    </xf>
    <xf numFmtId="0" fontId="60" fillId="24" borderId="43" xfId="0" applyFont="1" applyFill="1" applyBorder="1" applyAlignment="1">
      <alignment vertical="center" wrapText="1"/>
    </xf>
    <xf numFmtId="187" fontId="59" fillId="24" borderId="44" xfId="0" applyNumberFormat="1" applyFont="1" applyFill="1" applyBorder="1" applyAlignment="1">
      <alignment horizontal="right" vertical="center" wrapText="1"/>
    </xf>
    <xf numFmtId="0" fontId="60" fillId="24" borderId="45" xfId="0" applyFont="1" applyFill="1" applyBorder="1" applyAlignment="1">
      <alignment vertical="center" wrapText="1"/>
    </xf>
    <xf numFmtId="0" fontId="59" fillId="24" borderId="46" xfId="0" applyFont="1" applyFill="1" applyBorder="1" applyAlignment="1">
      <alignment horizontal="right" vertical="center" wrapText="1"/>
    </xf>
    <xf numFmtId="0" fontId="57" fillId="23" borderId="42" xfId="0" applyFont="1" applyFill="1" applyBorder="1" applyAlignment="1">
      <alignment horizontal="center" vertical="center" wrapText="1"/>
    </xf>
    <xf numFmtId="0" fontId="61" fillId="0" borderId="44" xfId="0" applyFont="1" applyBorder="1" applyAlignment="1">
      <alignment horizontal="right" vertical="center" wrapText="1"/>
    </xf>
    <xf numFmtId="2" fontId="59" fillId="0" borderId="44" xfId="0" applyNumberFormat="1" applyFont="1" applyBorder="1" applyAlignment="1">
      <alignment horizontal="right" vertical="center" wrapText="1"/>
    </xf>
    <xf numFmtId="2" fontId="59" fillId="24" borderId="46" xfId="0" applyNumberFormat="1" applyFont="1" applyFill="1" applyBorder="1" applyAlignment="1">
      <alignment horizontal="right" vertical="center" wrapText="1"/>
    </xf>
    <xf numFmtId="0" fontId="57" fillId="23" borderId="42" xfId="0" applyFont="1" applyFill="1" applyBorder="1" applyAlignment="1">
      <alignment horizontal="left" vertical="center" wrapText="1"/>
    </xf>
    <xf numFmtId="0" fontId="57" fillId="23" borderId="47" xfId="0" applyFont="1" applyFill="1" applyBorder="1" applyAlignment="1">
      <alignment horizontal="center" vertical="center" wrapText="1"/>
    </xf>
    <xf numFmtId="0" fontId="57" fillId="23" borderId="47" xfId="0" applyFont="1" applyFill="1" applyBorder="1" applyAlignment="1">
      <alignment horizontal="right" vertical="center" wrapText="1"/>
    </xf>
    <xf numFmtId="0" fontId="57" fillId="23" borderId="41" xfId="0" applyFont="1" applyFill="1" applyBorder="1" applyAlignment="1">
      <alignment horizontal="right" vertical="center" wrapText="1"/>
    </xf>
    <xf numFmtId="0" fontId="63" fillId="23" borderId="43" xfId="0" applyFont="1" applyFill="1" applyBorder="1" applyAlignment="1">
      <alignment vertical="center" wrapText="1"/>
    </xf>
    <xf numFmtId="0" fontId="57" fillId="23" borderId="44" xfId="0" applyFont="1" applyFill="1" applyBorder="1" applyAlignment="1">
      <alignment horizontal="right" vertical="center" wrapText="1"/>
    </xf>
    <xf numFmtId="0" fontId="57" fillId="23" borderId="43" xfId="0" applyFont="1" applyFill="1" applyBorder="1" applyAlignment="1">
      <alignment horizontal="right" vertical="center" wrapText="1"/>
    </xf>
    <xf numFmtId="0" fontId="60" fillId="24" borderId="43" xfId="0" applyFont="1" applyFill="1" applyBorder="1" applyAlignment="1">
      <alignment horizontal="center" vertical="center" wrapText="1"/>
    </xf>
    <xf numFmtId="0" fontId="59" fillId="24" borderId="44" xfId="0" applyFont="1" applyFill="1" applyBorder="1" applyAlignment="1">
      <alignment horizontal="left" vertical="center" wrapText="1"/>
    </xf>
    <xf numFmtId="3" fontId="59" fillId="24" borderId="44" xfId="0" applyNumberFormat="1" applyFont="1" applyFill="1" applyBorder="1" applyAlignment="1">
      <alignment horizontal="right" vertical="center" wrapText="1"/>
    </xf>
    <xf numFmtId="0" fontId="58" fillId="0" borderId="43" xfId="0" applyFont="1" applyBorder="1" applyAlignment="1">
      <alignment horizontal="center" vertical="center" wrapText="1"/>
    </xf>
    <xf numFmtId="0" fontId="61" fillId="0" borderId="44" xfId="0" applyFont="1" applyBorder="1" applyAlignment="1">
      <alignment horizontal="left" vertical="center" wrapText="1"/>
    </xf>
    <xf numFmtId="3" fontId="61" fillId="0" borderId="44" xfId="0" applyNumberFormat="1" applyFont="1" applyBorder="1" applyAlignment="1">
      <alignment horizontal="right" vertical="center" wrapText="1"/>
    </xf>
    <xf numFmtId="0" fontId="58" fillId="0" borderId="45" xfId="0" applyFont="1" applyBorder="1" applyAlignment="1">
      <alignment horizontal="center" vertical="center" wrapText="1"/>
    </xf>
    <xf numFmtId="0" fontId="61" fillId="0" borderId="46" xfId="0" applyFont="1" applyBorder="1" applyAlignment="1">
      <alignment horizontal="left" vertical="center" wrapText="1"/>
    </xf>
    <xf numFmtId="3" fontId="61" fillId="0" borderId="46" xfId="0" applyNumberFormat="1" applyFont="1" applyBorder="1" applyAlignment="1">
      <alignment horizontal="right" vertical="center" wrapText="1"/>
    </xf>
    <xf numFmtId="0" fontId="57" fillId="23" borderId="44" xfId="0" applyFont="1" applyFill="1" applyBorder="1" applyAlignment="1">
      <alignment horizontal="right" vertical="center"/>
    </xf>
    <xf numFmtId="0" fontId="58" fillId="0" borderId="44" xfId="0" applyFont="1" applyBorder="1" applyAlignment="1">
      <alignment vertical="center"/>
    </xf>
    <xf numFmtId="0" fontId="61" fillId="0" borderId="44" xfId="0" applyFont="1" applyBorder="1" applyAlignment="1">
      <alignment horizontal="right" vertical="center"/>
    </xf>
    <xf numFmtId="0" fontId="61" fillId="0" borderId="44" xfId="0" applyFont="1" applyBorder="1" applyAlignment="1">
      <alignment vertical="center"/>
    </xf>
    <xf numFmtId="0" fontId="60" fillId="24" borderId="44" xfId="0" applyFont="1" applyFill="1" applyBorder="1" applyAlignment="1">
      <alignment vertical="center"/>
    </xf>
    <xf numFmtId="0" fontId="59" fillId="24" borderId="44" xfId="0" applyFont="1" applyFill="1" applyBorder="1" applyAlignment="1">
      <alignment vertical="center"/>
    </xf>
    <xf numFmtId="172" fontId="59" fillId="0" borderId="44" xfId="0" applyNumberFormat="1" applyFont="1" applyBorder="1" applyAlignment="1">
      <alignment horizontal="center" vertical="center"/>
    </xf>
    <xf numFmtId="172" fontId="59" fillId="24" borderId="44" xfId="0" applyNumberFormat="1" applyFont="1" applyFill="1" applyBorder="1" applyAlignment="1">
      <alignment horizontal="center" vertical="center"/>
    </xf>
    <xf numFmtId="0" fontId="66" fillId="0" borderId="0" xfId="56" applyFont="1" applyAlignment="1">
      <alignment horizontal="center" vertical="center"/>
    </xf>
    <xf numFmtId="172" fontId="59" fillId="12" borderId="48" xfId="0" applyNumberFormat="1" applyFont="1" applyFill="1" applyBorder="1" applyAlignment="1">
      <alignment horizontal="center" vertical="center"/>
    </xf>
    <xf numFmtId="0" fontId="50" fillId="0" borderId="0" xfId="0" applyFont="1" applyAlignment="1">
      <alignment horizontal="left"/>
    </xf>
    <xf numFmtId="0" fontId="57" fillId="23" borderId="30" xfId="0" applyFont="1" applyFill="1" applyBorder="1" applyAlignment="1">
      <alignment horizontal="center" vertical="center"/>
    </xf>
    <xf numFmtId="172" fontId="59" fillId="0" borderId="49" xfId="0" applyNumberFormat="1" applyFont="1" applyBorder="1" applyAlignment="1">
      <alignment horizontal="center" vertical="center"/>
    </xf>
    <xf numFmtId="172" fontId="59" fillId="24" borderId="49" xfId="0" applyNumberFormat="1" applyFont="1" applyFill="1" applyBorder="1" applyAlignment="1">
      <alignment horizontal="center" vertical="center"/>
    </xf>
    <xf numFmtId="0" fontId="48" fillId="19" borderId="0" xfId="57" applyFont="1" applyFill="1" applyAlignment="1">
      <alignment horizontal="center" vertical="center" wrapText="1"/>
    </xf>
    <xf numFmtId="0" fontId="46" fillId="0" borderId="22" xfId="57" applyFont="1" applyBorder="1" applyAlignment="1">
      <alignment horizontal="center"/>
    </xf>
    <xf numFmtId="172" fontId="44" fillId="0" borderId="27" xfId="57" applyNumberFormat="1" applyFont="1" applyBorder="1" applyAlignment="1">
      <alignment horizontal="center" wrapText="1"/>
    </xf>
    <xf numFmtId="175" fontId="42" fillId="0" borderId="0" xfId="56" applyNumberFormat="1" applyAlignment="1">
      <alignment vertical="center"/>
    </xf>
    <xf numFmtId="0" fontId="52" fillId="0" borderId="0" xfId="37" applyFont="1" applyAlignment="1">
      <alignment horizontal="right" vertical="center"/>
    </xf>
    <xf numFmtId="169" fontId="34" fillId="0" borderId="4" xfId="14" applyNumberFormat="1" applyFont="1" applyFill="1" applyAlignment="1">
      <alignment horizontal="center" vertical="center"/>
      <protection locked="0"/>
    </xf>
    <xf numFmtId="180" fontId="28" fillId="0" borderId="0" xfId="59" applyNumberFormat="1" applyFont="1" applyFill="1" applyBorder="1" applyAlignment="1">
      <alignment horizontal="center" vertical="center"/>
    </xf>
    <xf numFmtId="180" fontId="44" fillId="0" borderId="27" xfId="59" applyNumberFormat="1" applyFont="1" applyBorder="1" applyAlignment="1">
      <alignment horizontal="center" wrapText="1"/>
    </xf>
    <xf numFmtId="9" fontId="59" fillId="24" borderId="44" xfId="59" applyFont="1" applyFill="1" applyBorder="1" applyAlignment="1">
      <alignment horizontal="right" vertical="center" wrapText="1"/>
    </xf>
    <xf numFmtId="9" fontId="61" fillId="0" borderId="44" xfId="59" applyFont="1" applyBorder="1" applyAlignment="1">
      <alignment horizontal="right" vertical="center" wrapText="1"/>
    </xf>
    <xf numFmtId="9" fontId="61" fillId="0" borderId="46" xfId="59" applyFont="1" applyBorder="1" applyAlignment="1">
      <alignment horizontal="right" vertical="center" wrapText="1"/>
    </xf>
    <xf numFmtId="178" fontId="68" fillId="27" borderId="4" xfId="16" applyNumberFormat="1" applyFont="1" applyFill="1" applyAlignment="1">
      <alignment horizontal="center" vertical="center"/>
      <protection locked="0"/>
    </xf>
    <xf numFmtId="180" fontId="56" fillId="27" borderId="31" xfId="59" applyNumberFormat="1" applyFont="1" applyFill="1" applyBorder="1" applyAlignment="1">
      <alignment horizontal="center" vertical="center"/>
    </xf>
    <xf numFmtId="0" fontId="52" fillId="0" borderId="0" xfId="37" applyFont="1" applyAlignment="1">
      <alignment horizontal="center" vertical="center"/>
    </xf>
    <xf numFmtId="165" fontId="35" fillId="0" borderId="3" xfId="40" applyNumberFormat="1" applyFont="1" applyFill="1" applyBorder="1" applyAlignment="1">
      <alignment horizontal="center" vertical="center"/>
    </xf>
    <xf numFmtId="165" fontId="28" fillId="0" borderId="0" xfId="40" applyNumberFormat="1" applyFill="1" applyAlignment="1">
      <alignment horizontal="center" vertical="center"/>
    </xf>
    <xf numFmtId="165" fontId="28" fillId="0" borderId="20" xfId="40" applyNumberFormat="1" applyFill="1" applyBorder="1" applyAlignment="1">
      <alignment horizontal="center" vertical="center"/>
    </xf>
    <xf numFmtId="169" fontId="69" fillId="22" borderId="4" xfId="14" applyNumberFormat="1" applyFont="1" applyFill="1" applyAlignment="1">
      <alignment horizontal="center" vertical="center"/>
      <protection locked="0"/>
    </xf>
    <xf numFmtId="175" fontId="69" fillId="22" borderId="19" xfId="40" applyNumberFormat="1" applyFont="1" applyFill="1" applyBorder="1" applyAlignment="1">
      <alignment horizontal="center" vertical="center"/>
    </xf>
    <xf numFmtId="175" fontId="69" fillId="22" borderId="20" xfId="40" applyNumberFormat="1" applyFont="1" applyFill="1" applyBorder="1" applyAlignment="1">
      <alignment horizontal="center" vertical="center"/>
    </xf>
    <xf numFmtId="175" fontId="69" fillId="22" borderId="0" xfId="40" applyNumberFormat="1" applyFont="1" applyFill="1" applyBorder="1" applyAlignment="1">
      <alignment horizontal="center" vertical="center"/>
    </xf>
    <xf numFmtId="0" fontId="28" fillId="0" borderId="4" xfId="37" applyFill="1" applyBorder="1" applyAlignment="1">
      <alignment horizontal="center" vertical="center"/>
    </xf>
    <xf numFmtId="0" fontId="36" fillId="0" borderId="0" xfId="35">
      <alignment horizontal="left" vertical="center"/>
    </xf>
    <xf numFmtId="188" fontId="28" fillId="0" borderId="44" xfId="40" applyNumberFormat="1" applyBorder="1">
      <alignment horizontal="right" vertical="center"/>
    </xf>
    <xf numFmtId="188" fontId="28" fillId="24" borderId="44" xfId="40" applyNumberFormat="1" applyFill="1" applyBorder="1">
      <alignment horizontal="right" vertical="center"/>
    </xf>
    <xf numFmtId="0" fontId="29" fillId="0" borderId="1" xfId="36" applyFill="1" applyBorder="1" applyAlignment="1">
      <alignment horizontal="center" vertical="center"/>
    </xf>
    <xf numFmtId="169" fontId="28" fillId="0" borderId="0" xfId="13" applyNumberFormat="1" applyAlignment="1">
      <alignment vertical="center"/>
    </xf>
    <xf numFmtId="167" fontId="28" fillId="0" borderId="0" xfId="15">
      <alignment horizontal="right" vertical="center"/>
    </xf>
    <xf numFmtId="0" fontId="28" fillId="0" borderId="17" xfId="37" applyBorder="1" applyAlignment="1">
      <alignment horizontal="left" vertical="center"/>
    </xf>
    <xf numFmtId="0" fontId="34" fillId="0" borderId="17" xfId="36" applyFont="1" applyFill="1" applyBorder="1" applyAlignment="1">
      <alignment horizontal="center" vertical="center"/>
    </xf>
    <xf numFmtId="169" fontId="69" fillId="22" borderId="51" xfId="14" applyNumberFormat="1" applyFont="1" applyFill="1" applyBorder="1" applyAlignment="1">
      <alignment horizontal="center" vertical="center"/>
      <protection locked="0"/>
    </xf>
    <xf numFmtId="169" fontId="69" fillId="22" borderId="52" xfId="14" applyNumberFormat="1" applyFont="1" applyFill="1" applyBorder="1" applyAlignment="1">
      <alignment horizontal="center" vertical="center"/>
      <protection locked="0"/>
    </xf>
    <xf numFmtId="169" fontId="69" fillId="22" borderId="28" xfId="14" applyNumberFormat="1" applyFont="1" applyFill="1" applyBorder="1" applyAlignment="1">
      <alignment horizontal="center" vertical="center"/>
      <protection locked="0"/>
    </xf>
    <xf numFmtId="178" fontId="29" fillId="28" borderId="4" xfId="16" applyNumberFormat="1" applyFill="1" applyAlignment="1">
      <alignment horizontal="center" vertical="center"/>
      <protection locked="0"/>
    </xf>
    <xf numFmtId="0" fontId="46" fillId="0" borderId="23" xfId="57" applyFont="1" applyBorder="1" applyAlignment="1">
      <alignment horizontal="center" vertical="center"/>
    </xf>
    <xf numFmtId="0" fontId="46" fillId="0" borderId="24" xfId="57" applyFont="1" applyBorder="1" applyAlignment="1">
      <alignment horizontal="center" vertical="center"/>
    </xf>
    <xf numFmtId="169" fontId="29" fillId="28" borderId="4" xfId="14" applyNumberFormat="1" applyFill="1" applyAlignment="1">
      <alignment horizontal="center" vertical="center"/>
      <protection locked="0"/>
    </xf>
    <xf numFmtId="0" fontId="70" fillId="28" borderId="0" xfId="0" applyFont="1" applyFill="1"/>
    <xf numFmtId="167" fontId="29" fillId="28" borderId="4" xfId="16" applyFill="1" applyAlignment="1">
      <alignment horizontal="center" vertical="center"/>
      <protection locked="0"/>
    </xf>
    <xf numFmtId="175" fontId="29" fillId="28" borderId="4" xfId="19" applyNumberFormat="1" applyFill="1" applyAlignment="1">
      <alignment horizontal="center" vertical="center"/>
      <protection locked="0"/>
    </xf>
    <xf numFmtId="0" fontId="57" fillId="23" borderId="57" xfId="0" applyFont="1" applyFill="1" applyBorder="1" applyAlignment="1">
      <alignment horizontal="center" vertical="center"/>
    </xf>
    <xf numFmtId="0" fontId="57" fillId="23" borderId="59" xfId="0" applyFont="1" applyFill="1" applyBorder="1" applyAlignment="1">
      <alignment horizontal="right" vertical="center"/>
    </xf>
    <xf numFmtId="0" fontId="58" fillId="0" borderId="60" xfId="0" applyFont="1" applyBorder="1" applyAlignment="1">
      <alignment horizontal="center" vertical="center"/>
    </xf>
    <xf numFmtId="0" fontId="61" fillId="0" borderId="59" xfId="0" applyFont="1" applyBorder="1" applyAlignment="1">
      <alignment horizontal="right" vertical="center"/>
    </xf>
    <xf numFmtId="188" fontId="28" fillId="0" borderId="59" xfId="40" applyNumberFormat="1" applyBorder="1">
      <alignment horizontal="right" vertical="center"/>
    </xf>
    <xf numFmtId="0" fontId="60" fillId="24" borderId="60" xfId="0" applyFont="1" applyFill="1" applyBorder="1" applyAlignment="1">
      <alignment horizontal="center" vertical="center"/>
    </xf>
    <xf numFmtId="188" fontId="28" fillId="24" borderId="59" xfId="40" applyNumberFormat="1" applyFill="1" applyBorder="1">
      <alignment horizontal="right" vertical="center"/>
    </xf>
    <xf numFmtId="0" fontId="60" fillId="24" borderId="61" xfId="0" applyFont="1" applyFill="1" applyBorder="1" applyAlignment="1">
      <alignment horizontal="center" vertical="center"/>
    </xf>
    <xf numFmtId="0" fontId="59" fillId="24" borderId="62" xfId="0" applyFont="1" applyFill="1" applyBorder="1" applyAlignment="1">
      <alignment vertical="center"/>
    </xf>
    <xf numFmtId="188" fontId="28" fillId="24" borderId="62" xfId="40" applyNumberFormat="1" applyFill="1" applyBorder="1">
      <alignment horizontal="right" vertical="center"/>
    </xf>
    <xf numFmtId="188" fontId="28" fillId="24" borderId="63" xfId="40" applyNumberFormat="1" applyFill="1" applyBorder="1">
      <alignment horizontal="right" vertical="center"/>
    </xf>
    <xf numFmtId="0" fontId="57" fillId="23" borderId="64" xfId="0" applyFont="1" applyFill="1" applyBorder="1" applyAlignment="1">
      <alignment horizontal="left" vertical="center"/>
    </xf>
    <xf numFmtId="0" fontId="57" fillId="23" borderId="54" xfId="0" applyFont="1" applyFill="1" applyBorder="1" applyAlignment="1">
      <alignment horizontal="center" vertical="center"/>
    </xf>
    <xf numFmtId="0" fontId="61" fillId="0" borderId="60" xfId="0" applyFont="1" applyBorder="1" applyAlignment="1">
      <alignment horizontal="left" vertical="center"/>
    </xf>
    <xf numFmtId="0" fontId="59" fillId="0" borderId="59" xfId="0" applyFont="1" applyBorder="1" applyAlignment="1">
      <alignment horizontal="center" vertical="center"/>
    </xf>
    <xf numFmtId="0" fontId="59" fillId="24" borderId="60" xfId="0" applyFont="1" applyFill="1" applyBorder="1" applyAlignment="1">
      <alignment horizontal="left" vertical="center"/>
    </xf>
    <xf numFmtId="0" fontId="59" fillId="24" borderId="59" xfId="0" applyFont="1" applyFill="1" applyBorder="1" applyAlignment="1">
      <alignment horizontal="center" vertical="center"/>
    </xf>
    <xf numFmtId="0" fontId="59" fillId="24" borderId="61" xfId="0" applyFont="1" applyFill="1" applyBorder="1" applyAlignment="1">
      <alignment horizontal="left" vertical="center"/>
    </xf>
    <xf numFmtId="172" fontId="59" fillId="24" borderId="62" xfId="0" applyNumberFormat="1" applyFont="1" applyFill="1" applyBorder="1" applyAlignment="1">
      <alignment horizontal="center" vertical="center"/>
    </xf>
    <xf numFmtId="0" fontId="59" fillId="24" borderId="63" xfId="0" applyFont="1" applyFill="1" applyBorder="1" applyAlignment="1">
      <alignment horizontal="center" vertical="center"/>
    </xf>
    <xf numFmtId="172" fontId="59" fillId="24" borderId="29" xfId="0" applyNumberFormat="1" applyFont="1" applyFill="1" applyBorder="1" applyAlignment="1">
      <alignment horizontal="center" vertical="center"/>
    </xf>
    <xf numFmtId="10" fontId="56" fillId="27" borderId="31" xfId="59" applyNumberFormat="1" applyFont="1" applyFill="1" applyBorder="1" applyAlignment="1">
      <alignment horizontal="center" vertical="center"/>
    </xf>
    <xf numFmtId="168" fontId="0" fillId="0" borderId="0" xfId="0" applyNumberFormat="1" applyAlignment="1">
      <alignment horizontal="center"/>
    </xf>
    <xf numFmtId="186" fontId="29" fillId="28" borderId="4" xfId="19" applyNumberFormat="1" applyFill="1" applyAlignment="1">
      <alignment horizontal="center" vertical="center"/>
      <protection locked="0"/>
    </xf>
    <xf numFmtId="0" fontId="0" fillId="28" borderId="0" xfId="0" applyFill="1"/>
    <xf numFmtId="0" fontId="34" fillId="28" borderId="0" xfId="36" applyFont="1" applyFill="1" applyAlignment="1">
      <alignment horizontal="center" vertical="center"/>
    </xf>
    <xf numFmtId="169" fontId="0" fillId="0" borderId="0" xfId="0" applyNumberFormat="1"/>
    <xf numFmtId="0" fontId="29" fillId="0" borderId="0" xfId="36" applyFill="1" applyAlignment="1">
      <alignment horizontal="left" vertical="center" wrapText="1"/>
    </xf>
    <xf numFmtId="0" fontId="36" fillId="0" borderId="0" xfId="35" applyBorder="1" applyAlignment="1">
      <alignment horizontal="center" vertical="center" wrapText="1"/>
    </xf>
    <xf numFmtId="0" fontId="34" fillId="0" borderId="38" xfId="53" applyFont="1" applyFill="1" applyBorder="1">
      <alignment horizontal="center" vertical="center"/>
      <protection locked="0"/>
    </xf>
    <xf numFmtId="0" fontId="34" fillId="0" borderId="0" xfId="53" applyFont="1" applyFill="1" applyBorder="1">
      <alignment horizontal="center" vertical="center"/>
      <protection locked="0"/>
    </xf>
    <xf numFmtId="0" fontId="44" fillId="0" borderId="33" xfId="57" applyFont="1" applyBorder="1" applyAlignment="1">
      <alignment horizontal="center" vertical="center" wrapText="1"/>
    </xf>
    <xf numFmtId="0" fontId="44" fillId="0" borderId="34" xfId="57" applyFont="1" applyBorder="1" applyAlignment="1">
      <alignment horizontal="center" vertical="center" wrapText="1"/>
    </xf>
    <xf numFmtId="0" fontId="44" fillId="0" borderId="35" xfId="57" applyFont="1" applyBorder="1" applyAlignment="1">
      <alignment horizontal="center" vertical="center" wrapText="1"/>
    </xf>
    <xf numFmtId="0" fontId="46" fillId="0" borderId="23" xfId="57" applyFont="1" applyBorder="1" applyAlignment="1">
      <alignment horizontal="right" vertical="center"/>
    </xf>
    <xf numFmtId="0" fontId="46" fillId="0" borderId="24" xfId="57" applyFont="1" applyBorder="1" applyAlignment="1">
      <alignment horizontal="right" vertical="center"/>
    </xf>
    <xf numFmtId="0" fontId="44" fillId="0" borderId="22" xfId="57" applyFont="1" applyBorder="1" applyAlignment="1">
      <alignment horizontal="center" vertical="center" wrapText="1"/>
    </xf>
    <xf numFmtId="0" fontId="67" fillId="25" borderId="0" xfId="35" applyFont="1" applyFill="1" applyBorder="1" applyAlignment="1">
      <alignment horizontal="center" vertical="center"/>
    </xf>
    <xf numFmtId="0" fontId="67" fillId="26" borderId="0" xfId="35" applyFont="1" applyFill="1" applyBorder="1" applyAlignment="1">
      <alignment horizontal="center" vertical="center"/>
    </xf>
    <xf numFmtId="0" fontId="48" fillId="19" borderId="51" xfId="57" applyFont="1" applyFill="1" applyBorder="1" applyAlignment="1">
      <alignment horizontal="center" vertical="center" wrapText="1"/>
    </xf>
    <xf numFmtId="0" fontId="48" fillId="19" borderId="32" xfId="57" applyFont="1" applyFill="1" applyBorder="1" applyAlignment="1">
      <alignment horizontal="center" vertical="center" wrapText="1"/>
    </xf>
    <xf numFmtId="0" fontId="36" fillId="0" borderId="0" xfId="35" applyBorder="1" applyAlignment="1">
      <alignment horizontal="center" vertical="center"/>
    </xf>
    <xf numFmtId="0" fontId="67" fillId="11" borderId="0" xfId="35" applyFont="1" applyFill="1" applyBorder="1" applyAlignment="1">
      <alignment horizontal="center" vertical="center"/>
    </xf>
    <xf numFmtId="0" fontId="52" fillId="0" borderId="50" xfId="37" applyFont="1" applyBorder="1" applyAlignment="1">
      <alignment horizontal="center" vertical="center"/>
    </xf>
    <xf numFmtId="0" fontId="57" fillId="23" borderId="53" xfId="0" applyFont="1" applyFill="1" applyBorder="1" applyAlignment="1">
      <alignment vertical="center" wrapText="1"/>
    </xf>
    <xf numFmtId="0" fontId="57" fillId="23" borderId="54" xfId="0" applyFont="1" applyFill="1" applyBorder="1" applyAlignment="1">
      <alignment vertical="center" wrapText="1"/>
    </xf>
    <xf numFmtId="0" fontId="57" fillId="23" borderId="58" xfId="0" applyFont="1" applyFill="1" applyBorder="1" applyAlignment="1">
      <alignment vertical="center" wrapText="1"/>
    </xf>
    <xf numFmtId="0" fontId="57" fillId="23" borderId="44" xfId="0" applyFont="1" applyFill="1" applyBorder="1" applyAlignment="1">
      <alignment vertical="center" wrapText="1"/>
    </xf>
    <xf numFmtId="0" fontId="57" fillId="23" borderId="55" xfId="0" applyFont="1" applyFill="1" applyBorder="1" applyAlignment="1">
      <alignment horizontal="center" vertical="center"/>
    </xf>
    <xf numFmtId="0" fontId="57" fillId="23" borderId="56" xfId="0" applyFont="1" applyFill="1" applyBorder="1" applyAlignment="1">
      <alignment horizontal="center" vertical="center"/>
    </xf>
    <xf numFmtId="0" fontId="57" fillId="23" borderId="57" xfId="0" applyFont="1" applyFill="1" applyBorder="1" applyAlignment="1">
      <alignment horizontal="center" vertical="center"/>
    </xf>
  </cellXfs>
  <cellStyles count="73">
    <cellStyle name="Bad" xfId="22" builtinId="27" hidden="1"/>
    <cellStyle name="Calculation" xfId="26" builtinId="22" hidden="1"/>
    <cellStyle name="Check Cell" xfId="28" builtinId="23" hidden="1"/>
    <cellStyle name="Check RedRedGreen" xfId="44" xr:uid="{00000000-0005-0000-0000-000003000000}"/>
    <cellStyle name="Comma 2" xfId="62" xr:uid="{00000000-0005-0000-0000-000004000000}"/>
    <cellStyle name="Comma 2 2" xfId="71" xr:uid="{00000000-0005-0000-0000-000005000000}"/>
    <cellStyle name="Currency" xfId="1" builtinId="4" hidden="1" customBuiltin="1"/>
    <cellStyle name="Currency" xfId="40" xr:uid="{00000000-0005-0000-0000-000007000000}"/>
    <cellStyle name="Currency Assumptions" xfId="19" xr:uid="{00000000-0005-0000-0000-000008000000}"/>
    <cellStyle name="Currency Input" xfId="49" xr:uid="{00000000-0005-0000-0000-000009000000}"/>
    <cellStyle name="Date" xfId="11" xr:uid="{00000000-0005-0000-0000-00000A000000}"/>
    <cellStyle name="Date Assumptions" xfId="12" xr:uid="{00000000-0005-0000-0000-00000B000000}"/>
    <cellStyle name="Date Input" xfId="48" xr:uid="{00000000-0005-0000-0000-00000C000000}"/>
    <cellStyle name="Dropdown" xfId="53" xr:uid="{00000000-0005-0000-0000-00000D000000}"/>
    <cellStyle name="Explanatory Text" xfId="31" builtinId="53" hidden="1"/>
    <cellStyle name="External Link" xfId="55" xr:uid="{00000000-0005-0000-0000-00000F000000}"/>
    <cellStyle name="Good" xfId="21" builtinId="26" hidden="1"/>
    <cellStyle name="Heading 1" xfId="3" builtinId="16" customBuiltin="1"/>
    <cellStyle name="Heading 1 2 4" xfId="60" xr:uid="{00000000-0005-0000-0000-000012000000}"/>
    <cellStyle name="Heading 1 4" xfId="65" xr:uid="{00000000-0005-0000-0000-000013000000}"/>
    <cellStyle name="Heading 2" xfId="4" builtinId="17" hidden="1" customBuiltin="1"/>
    <cellStyle name="Heading 2 Input" xfId="38" xr:uid="{00000000-0005-0000-0000-000015000000}"/>
    <cellStyle name="Heading 2 Output" xfId="39" xr:uid="{00000000-0005-0000-0000-000016000000}"/>
    <cellStyle name="Heading 3" xfId="5" builtinId="18" hidden="1" customBuiltin="1"/>
    <cellStyle name="Heading 3 Input" xfId="34" xr:uid="{00000000-0005-0000-0000-000018000000}"/>
    <cellStyle name="Heading 3 Output" xfId="35" xr:uid="{00000000-0005-0000-0000-000019000000}"/>
    <cellStyle name="Heading 4" xfId="6" builtinId="19" hidden="1" customBuiltin="1"/>
    <cellStyle name="Heading 4 Assumptions" xfId="8" xr:uid="{00000000-0005-0000-0000-00001B000000}"/>
    <cellStyle name="Heading 4 Input" xfId="36" xr:uid="{00000000-0005-0000-0000-00001C000000}"/>
    <cellStyle name="Heading 4 Input 2" xfId="66" xr:uid="{00000000-0005-0000-0000-00001D000000}"/>
    <cellStyle name="Heading 4 Output" xfId="37" xr:uid="{00000000-0005-0000-0000-00001E000000}"/>
    <cellStyle name="Heading 4 Output 2" xfId="68" xr:uid="{00000000-0005-0000-0000-00001F000000}"/>
    <cellStyle name="Hyperlink" xfId="32" builtinId="8" customBuiltin="1"/>
    <cellStyle name="Hyperlink 2" xfId="63" xr:uid="{00000000-0005-0000-0000-000021000000}"/>
    <cellStyle name="Hyperlink 5" xfId="67" xr:uid="{00000000-0005-0000-0000-000022000000}"/>
    <cellStyle name="Input" xfId="24" builtinId="20" hidden="1"/>
    <cellStyle name="Line Item Modifier" xfId="41" xr:uid="{00000000-0005-0000-0000-000024000000}"/>
    <cellStyle name="Linked Cell" xfId="27" builtinId="24" hidden="1"/>
    <cellStyle name="Multiple" xfId="17" xr:uid="{00000000-0005-0000-0000-000026000000}"/>
    <cellStyle name="Multiple Assumptions" xfId="18" xr:uid="{00000000-0005-0000-0000-000027000000}"/>
    <cellStyle name="Multiple Input" xfId="50" xr:uid="{00000000-0005-0000-0000-000028000000}"/>
    <cellStyle name="Neutral" xfId="23" builtinId="28" hidden="1"/>
    <cellStyle name="Normal" xfId="0" builtinId="0" customBuiltin="1"/>
    <cellStyle name="Normal 2" xfId="61" xr:uid="{00000000-0005-0000-0000-00002B000000}"/>
    <cellStyle name="Normal 2 2" xfId="70" xr:uid="{00000000-0005-0000-0000-00002C000000}"/>
    <cellStyle name="Normal 4 8" xfId="56" xr:uid="{00000000-0005-0000-0000-00002D000000}"/>
    <cellStyle name="Normal 45" xfId="57" xr:uid="{00000000-0005-0000-0000-00002E000000}"/>
    <cellStyle name="Not Applicable" xfId="54" xr:uid="{00000000-0005-0000-0000-00002F000000}"/>
    <cellStyle name="Note" xfId="30" builtinId="10" hidden="1"/>
    <cellStyle name="Number" xfId="13" xr:uid="{00000000-0005-0000-0000-000031000000}"/>
    <cellStyle name="Number Assumptions" xfId="14" xr:uid="{00000000-0005-0000-0000-000032000000}"/>
    <cellStyle name="Number Input" xfId="47" xr:uid="{00000000-0005-0000-0000-000033000000}"/>
    <cellStyle name="Output" xfId="25" builtinId="21" hidden="1"/>
    <cellStyle name="Percent" xfId="59" builtinId="5"/>
    <cellStyle name="Percent 2" xfId="64" xr:uid="{00000000-0005-0000-0000-000036000000}"/>
    <cellStyle name="Percent 2 2" xfId="72" xr:uid="{00000000-0005-0000-0000-000037000000}"/>
    <cellStyle name="Percent 50" xfId="58" xr:uid="{00000000-0005-0000-0000-000038000000}"/>
    <cellStyle name="Percentage" xfId="15" xr:uid="{00000000-0005-0000-0000-000039000000}"/>
    <cellStyle name="Percentage Assumptions" xfId="16" xr:uid="{00000000-0005-0000-0000-00003A000000}"/>
    <cellStyle name="Percentage Input" xfId="51" xr:uid="{00000000-0005-0000-0000-00003B000000}"/>
    <cellStyle name="Sheet Title Input" xfId="20" xr:uid="{00000000-0005-0000-0000-00003C000000}"/>
    <cellStyle name="Sheet Title Input 2 2" xfId="69" xr:uid="{00000000-0005-0000-0000-00003D000000}"/>
    <cellStyle name="Sheet Title Output" xfId="33" xr:uid="{00000000-0005-0000-0000-00003E000000}"/>
    <cellStyle name="Table Header 1" xfId="42" xr:uid="{00000000-0005-0000-0000-00003F000000}"/>
    <cellStyle name="Table Header 2" xfId="43" xr:uid="{00000000-0005-0000-0000-000040000000}"/>
    <cellStyle name="Title" xfId="2" builtinId="15" hidden="1"/>
    <cellStyle name="Total" xfId="7" builtinId="25" hidden="1"/>
    <cellStyle name="Trigger Assumption GreenRedGrey" xfId="45" xr:uid="{00000000-0005-0000-0000-000043000000}"/>
    <cellStyle name="Trigger GreenRedGrey" xfId="46" xr:uid="{00000000-0005-0000-0000-000044000000}"/>
    <cellStyle name="Warning Text" xfId="29" builtinId="11" hidden="1"/>
    <cellStyle name="Year" xfId="9" xr:uid="{00000000-0005-0000-0000-000046000000}"/>
    <cellStyle name="Year Assumptions" xfId="10" xr:uid="{00000000-0005-0000-0000-000047000000}"/>
    <cellStyle name="Year Input" xfId="52" xr:uid="{00000000-0005-0000-0000-000048000000}"/>
  </cellStyles>
  <dxfs count="33">
    <dxf>
      <font>
        <b/>
        <i val="0"/>
        <color rgb="FFFF0000"/>
      </font>
    </dxf>
    <dxf>
      <font>
        <b/>
        <i val="0"/>
        <color rgb="FFFF0000"/>
      </font>
    </dxf>
    <dxf>
      <font>
        <b/>
        <i val="0"/>
        <color rgb="FFFF0000"/>
      </font>
    </dxf>
    <dxf>
      <font>
        <b/>
        <i val="0"/>
        <color rgb="FFFF0000"/>
      </font>
    </dxf>
    <dxf>
      <font>
        <b/>
        <i val="0"/>
        <color rgb="FFFF0000"/>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39C00"/>
      <color rgb="FF3D8704"/>
      <color rgb="FF131640"/>
      <color rgb="FFD14900"/>
      <color rgb="FFF2F8EF"/>
      <color rgb="FFB3D8EB"/>
      <color rgb="FFB8B9C5"/>
      <color rgb="FFF1C8B2"/>
      <color rgb="FFC5DBB4"/>
      <color rgb="FF037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Output_Charts!$S$41</c:f>
              <c:strCache>
                <c:ptCount val="1"/>
                <c:pt idx="0">
                  <c:v>FY25</c:v>
                </c:pt>
              </c:strCache>
            </c:strRef>
          </c:tx>
          <c:spPr>
            <a:solidFill>
              <a:schemeClr val="tx2"/>
            </a:solidFill>
          </c:spPr>
          <c:invertIfNegative val="0"/>
          <c:dLbls>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13-404F-B5B0-E2E10DC0D286}"/>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F2-4CA2-94C7-81C32A76C8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Output_Charts!$P$42:$Q$66</c:f>
              <c:multiLvlStrCache>
                <c:ptCount val="25"/>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lvl>
                <c:lvl>
                  <c:pt idx="0">
                    <c:v>T1</c:v>
                  </c:pt>
                  <c:pt idx="2">
                    <c:v>T2</c:v>
                  </c:pt>
                  <c:pt idx="4">
                    <c:v>T3a</c:v>
                  </c:pt>
                  <c:pt idx="8">
                    <c:v>T3b</c:v>
                  </c:pt>
                  <c:pt idx="12">
                    <c:v>T3c</c:v>
                  </c:pt>
                  <c:pt idx="16">
                    <c:v>T4</c:v>
                  </c:pt>
                  <c:pt idx="17">
                    <c:v>T5</c:v>
                  </c:pt>
                  <c:pt idx="21">
                    <c:v>T6</c:v>
                  </c:pt>
                </c:lvl>
              </c:multiLvlStrCache>
            </c:multiLvlStrRef>
          </c:cat>
          <c:val>
            <c:numRef>
              <c:f>Output_Charts!$S$42:$S$66</c:f>
              <c:numCache>
                <c:formatCode>0%</c:formatCode>
                <c:ptCount val="25"/>
                <c:pt idx="0">
                  <c:v>0.22520041734079224</c:v>
                </c:pt>
                <c:pt idx="1">
                  <c:v>9.6514464574625258E-2</c:v>
                </c:pt>
                <c:pt idx="2">
                  <c:v>3.4646134377166308E-3</c:v>
                </c:pt>
                <c:pt idx="3">
                  <c:v>8.5402841288690617E-3</c:v>
                </c:pt>
                <c:pt idx="4">
                  <c:v>0.17810128819325069</c:v>
                </c:pt>
                <c:pt idx="5">
                  <c:v>0</c:v>
                </c:pt>
                <c:pt idx="6">
                  <c:v>1.9789032021472291E-2</c:v>
                </c:pt>
                <c:pt idx="7">
                  <c:v>0</c:v>
                </c:pt>
                <c:pt idx="8">
                  <c:v>2.460224249366862E-2</c:v>
                </c:pt>
                <c:pt idx="9">
                  <c:v>0</c:v>
                </c:pt>
                <c:pt idx="10">
                  <c:v>9.8408969974674479E-2</c:v>
                </c:pt>
                <c:pt idx="11">
                  <c:v>0</c:v>
                </c:pt>
                <c:pt idx="12">
                  <c:v>3.8546754257156209E-2</c:v>
                </c:pt>
                <c:pt idx="13">
                  <c:v>0</c:v>
                </c:pt>
                <c:pt idx="14">
                  <c:v>7.8261591976650474E-2</c:v>
                </c:pt>
                <c:pt idx="15">
                  <c:v>0</c:v>
                </c:pt>
                <c:pt idx="16">
                  <c:v>1.481522293897921E-2</c:v>
                </c:pt>
                <c:pt idx="17">
                  <c:v>7.6092340801465125E-2</c:v>
                </c:pt>
                <c:pt idx="18">
                  <c:v>1.0870334400209304E-2</c:v>
                </c:pt>
                <c:pt idx="19">
                  <c:v>0</c:v>
                </c:pt>
                <c:pt idx="20">
                  <c:v>0</c:v>
                </c:pt>
                <c:pt idx="21">
                  <c:v>3.1698110865117674E-2</c:v>
                </c:pt>
                <c:pt idx="22">
                  <c:v>9.5094332595353034E-2</c:v>
                </c:pt>
                <c:pt idx="23">
                  <c:v>0</c:v>
                </c:pt>
                <c:pt idx="24">
                  <c:v>0</c:v>
                </c:pt>
              </c:numCache>
            </c:numRef>
          </c:val>
          <c:extLst>
            <c:ext xmlns:c16="http://schemas.microsoft.com/office/drawing/2014/chart" uri="{C3380CC4-5D6E-409C-BE32-E72D297353CC}">
              <c16:uniqueId val="{00000000-3F7B-4FCB-AB7A-0B7B17C1CEF8}"/>
            </c:ext>
          </c:extLst>
        </c:ser>
        <c:dLbls>
          <c:showLegendKey val="0"/>
          <c:showVal val="0"/>
          <c:showCatName val="0"/>
          <c:showSerName val="0"/>
          <c:showPercent val="0"/>
          <c:showBubbleSize val="0"/>
        </c:dLbls>
        <c:gapWidth val="75"/>
        <c:axId val="97039872"/>
        <c:axId val="97041408"/>
        <c:extLst>
          <c:ext xmlns:c15="http://schemas.microsoft.com/office/drawing/2012/chart" uri="{02D57815-91ED-43cb-92C2-25804820EDAC}">
            <c15:filteredBarSeries>
              <c15:ser>
                <c:idx val="0"/>
                <c:order val="0"/>
                <c:tx>
                  <c:strRef>
                    <c:extLst>
                      <c:ext uri="{02D57815-91ED-43cb-92C2-25804820EDAC}">
                        <c15:formulaRef>
                          <c15:sqref>Output_Charts!$R$41</c15:sqref>
                        </c15:formulaRef>
                      </c:ext>
                    </c:extLst>
                    <c:strCache>
                      <c:ptCount val="1"/>
                      <c:pt idx="0">
                        <c:v>FY24</c:v>
                      </c:pt>
                    </c:strCache>
                  </c:strRef>
                </c:tx>
                <c:spPr>
                  <a:solidFill>
                    <a:schemeClr val="accent3">
                      <a:lumMod val="40000"/>
                      <a:lumOff val="60000"/>
                    </a:schemeClr>
                  </a:solidFill>
                  <a:ln>
                    <a:noFill/>
                  </a:ln>
                  <a:effectLst/>
                </c:spPr>
                <c:invertIfNegative val="0"/>
                <c:dLbls>
                  <c:dLbl>
                    <c:idx val="13"/>
                    <c:layout>
                      <c:manualLayout>
                        <c:x val="-4.4792833146697622E-3"/>
                        <c:y val="0.161725350368939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513-404F-B5B0-E2E10DC0D286}"/>
                      </c:ext>
                    </c:extLst>
                  </c:dLbl>
                  <c:dLbl>
                    <c:idx val="16"/>
                    <c:layout>
                      <c:manualLayout>
                        <c:x val="-4.4792833146696529E-3"/>
                        <c:y val="3.593890386343216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513-404F-B5B0-E2E10DC0D286}"/>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Output_Charts!$P$42:$Q$66</c15:sqref>
                        </c15:formulaRef>
                      </c:ext>
                    </c:extLst>
                    <c:multiLvlStrCache>
                      <c:ptCount val="25"/>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lvl>
                      <c:lvl>
                        <c:pt idx="0">
                          <c:v>T1</c:v>
                        </c:pt>
                        <c:pt idx="2">
                          <c:v>T2</c:v>
                        </c:pt>
                        <c:pt idx="4">
                          <c:v>T3a</c:v>
                        </c:pt>
                        <c:pt idx="8">
                          <c:v>T3b</c:v>
                        </c:pt>
                        <c:pt idx="12">
                          <c:v>T3c</c:v>
                        </c:pt>
                        <c:pt idx="16">
                          <c:v>T4</c:v>
                        </c:pt>
                        <c:pt idx="17">
                          <c:v>T5</c:v>
                        </c:pt>
                        <c:pt idx="21">
                          <c:v>T6</c:v>
                        </c:pt>
                      </c:lvl>
                    </c:multiLvlStrCache>
                  </c:multiLvlStrRef>
                </c:cat>
                <c:val>
                  <c:numRef>
                    <c:extLst>
                      <c:ext uri="{02D57815-91ED-43cb-92C2-25804820EDAC}">
                        <c15:formulaRef>
                          <c15:sqref>Output_Charts!$R$42:$R$66</c15:sqref>
                        </c15:formulaRef>
                      </c:ext>
                    </c:extLst>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3256-4863-BA5D-66EC01DE22BA}"/>
                  </c:ext>
                </c:extLst>
              </c15:ser>
            </c15:filteredBarSeries>
          </c:ext>
        </c:extLst>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Output_Charts!$S$20</c:f>
              <c:strCache>
                <c:ptCount val="1"/>
                <c:pt idx="0">
                  <c:v>FY25</c:v>
                </c:pt>
              </c:strCache>
            </c:strRef>
          </c:tx>
          <c:spPr>
            <a:solidFill>
              <a:schemeClr val="tx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Output_Charts!$P$21:$Q$28</c:f>
              <c:strCache>
                <c:ptCount val="8"/>
                <c:pt idx="0">
                  <c:v>T1: Residential Accumulation</c:v>
                </c:pt>
                <c:pt idx="1">
                  <c:v>T2: Non-Residential Accumulation</c:v>
                </c:pt>
                <c:pt idx="2">
                  <c:v>T3a: LV Smart Meter - Res</c:v>
                </c:pt>
                <c:pt idx="3">
                  <c:v>T3b: LV Smart Meter - Small Comm</c:v>
                </c:pt>
                <c:pt idx="4">
                  <c:v>T3c: LV Smart Meter - Med Comm</c:v>
                </c:pt>
                <c:pt idx="5">
                  <c:v>T4: Unmetered</c:v>
                </c:pt>
                <c:pt idx="6">
                  <c:v>T5: LV Majors</c:v>
                </c:pt>
                <c:pt idx="7">
                  <c:v>T6: HV Smart Meters</c:v>
                </c:pt>
              </c:strCache>
            </c:strRef>
          </c:cat>
          <c:val>
            <c:numRef>
              <c:f>Output_Charts!$S$21:$S$28</c:f>
              <c:numCache>
                <c:formatCode>0.0%</c:formatCode>
                <c:ptCount val="8"/>
                <c:pt idx="0">
                  <c:v>0.32171488191541742</c:v>
                </c:pt>
                <c:pt idx="1">
                  <c:v>1.2004897566585687E-2</c:v>
                </c:pt>
                <c:pt idx="2">
                  <c:v>0.19789032021472291</c:v>
                </c:pt>
                <c:pt idx="3">
                  <c:v>0.12301121246834304</c:v>
                </c:pt>
                <c:pt idx="4">
                  <c:v>0.11680834623380666</c:v>
                </c:pt>
                <c:pt idx="5">
                  <c:v>1.4815222938979205E-2</c:v>
                </c:pt>
                <c:pt idx="6">
                  <c:v>8.6962675201674403E-2</c:v>
                </c:pt>
                <c:pt idx="7">
                  <c:v>0.12679244346047067</c:v>
                </c:pt>
              </c:numCache>
            </c:numRef>
          </c:val>
          <c:extLst>
            <c:ext xmlns:c16="http://schemas.microsoft.com/office/drawing/2014/chart" uri="{C3380CC4-5D6E-409C-BE32-E72D297353CC}">
              <c16:uniqueId val="{00000000-EF8B-4800-844E-AD7B375CE654}"/>
            </c:ext>
          </c:extLst>
        </c:ser>
        <c:dLbls>
          <c:showLegendKey val="0"/>
          <c:showVal val="0"/>
          <c:showCatName val="0"/>
          <c:showSerName val="0"/>
          <c:showPercent val="0"/>
          <c:showBubbleSize val="0"/>
        </c:dLbls>
        <c:gapWidth val="100"/>
        <c:axId val="106600704"/>
        <c:axId val="106610688"/>
        <c:extLst>
          <c:ext xmlns:c15="http://schemas.microsoft.com/office/drawing/2012/chart" uri="{02D57815-91ED-43cb-92C2-25804820EDAC}">
            <c15:filteredBarSeries>
              <c15:ser>
                <c:idx val="0"/>
                <c:order val="0"/>
                <c:tx>
                  <c:strRef>
                    <c:extLst>
                      <c:ext uri="{02D57815-91ED-43cb-92C2-25804820EDAC}">
                        <c15:formulaRef>
                          <c15:sqref>Output_Charts!$R$20</c15:sqref>
                        </c15:formulaRef>
                      </c:ext>
                    </c:extLst>
                    <c:strCache>
                      <c:ptCount val="1"/>
                      <c:pt idx="0">
                        <c:v>FY24</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Output_Charts!$P$21:$Q$28</c15:sqref>
                        </c15:formulaRef>
                      </c:ext>
                    </c:extLst>
                    <c:strCache>
                      <c:ptCount val="8"/>
                      <c:pt idx="0">
                        <c:v>T1: Residential Accumulation</c:v>
                      </c:pt>
                      <c:pt idx="1">
                        <c:v>T2: Non-Residential Accumulation</c:v>
                      </c:pt>
                      <c:pt idx="2">
                        <c:v>T3a: LV Smart Meter - Res</c:v>
                      </c:pt>
                      <c:pt idx="3">
                        <c:v>T3b: LV Smart Meter - Small Comm</c:v>
                      </c:pt>
                      <c:pt idx="4">
                        <c:v>T3c: LV Smart Meter - Med Comm</c:v>
                      </c:pt>
                      <c:pt idx="5">
                        <c:v>T4: Unmetered</c:v>
                      </c:pt>
                      <c:pt idx="6">
                        <c:v>T5: LV Majors</c:v>
                      </c:pt>
                      <c:pt idx="7">
                        <c:v>T6: HV Smart Meters</c:v>
                      </c:pt>
                    </c:strCache>
                  </c:strRef>
                </c:cat>
                <c:val>
                  <c:numRef>
                    <c:extLst>
                      <c:ext uri="{02D57815-91ED-43cb-92C2-25804820EDAC}">
                        <c15:formulaRef>
                          <c15:sqref>Output_Charts!$R$21:$R$28</c15:sqref>
                        </c15:formulaRef>
                      </c:ext>
                    </c:extLst>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21D-47E4-8469-D701B72CEEA2}"/>
                  </c:ext>
                </c:extLst>
              </c15:ser>
            </c15:filteredBarSeries>
          </c:ext>
        </c:extLst>
      </c:barChart>
      <c:catAx>
        <c:axId val="10660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0688"/>
        <c:crosses val="autoZero"/>
        <c:auto val="1"/>
        <c:lblAlgn val="ctr"/>
        <c:lblOffset val="100"/>
        <c:noMultiLvlLbl val="0"/>
      </c:catAx>
      <c:valAx>
        <c:axId val="10661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070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Output_Pricing_Proposal!$K$27</c:f>
              <c:strCache>
                <c:ptCount val="1"/>
                <c:pt idx="0">
                  <c:v>FY25</c:v>
                </c:pt>
              </c:strCache>
            </c:strRef>
          </c:tx>
          <c:spPr>
            <a:solidFill>
              <a:schemeClr val="tx2"/>
            </a:solidFill>
            <a:ln>
              <a:solidFill>
                <a:schemeClr val="bg1"/>
              </a:solidFill>
            </a:ln>
          </c:spPr>
          <c:invertIfNegative val="0"/>
          <c:dLbls>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33-415C-9CC4-2218246D0924}"/>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33-415C-9CC4-2218246D09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Output_Pricing_Proposal!$I$28:$J$52</c:f>
              <c:multiLvlStrCache>
                <c:ptCount val="25"/>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lvl>
                <c:lvl>
                  <c:pt idx="0">
                    <c:v>T1</c:v>
                  </c:pt>
                  <c:pt idx="2">
                    <c:v>T2</c:v>
                  </c:pt>
                  <c:pt idx="4">
                    <c:v>T3a</c:v>
                  </c:pt>
                  <c:pt idx="8">
                    <c:v>T3b</c:v>
                  </c:pt>
                  <c:pt idx="12">
                    <c:v>T3c</c:v>
                  </c:pt>
                  <c:pt idx="16">
                    <c:v>T4</c:v>
                  </c:pt>
                  <c:pt idx="17">
                    <c:v>T5</c:v>
                  </c:pt>
                  <c:pt idx="21">
                    <c:v>T6</c:v>
                  </c:pt>
                </c:lvl>
              </c:multiLvlStrCache>
            </c:multiLvlStrRef>
          </c:cat>
          <c:val>
            <c:numRef>
              <c:f>Output_Pricing_Proposal!$K$28:$K$52</c:f>
              <c:numCache>
                <c:formatCode>0%</c:formatCode>
                <c:ptCount val="25"/>
                <c:pt idx="0">
                  <c:v>0.22520041734079224</c:v>
                </c:pt>
                <c:pt idx="1">
                  <c:v>9.6514464574625258E-2</c:v>
                </c:pt>
                <c:pt idx="2">
                  <c:v>3.4646134377166308E-3</c:v>
                </c:pt>
                <c:pt idx="3">
                  <c:v>8.5402841288690617E-3</c:v>
                </c:pt>
                <c:pt idx="4">
                  <c:v>0.17810128819325069</c:v>
                </c:pt>
                <c:pt idx="5">
                  <c:v>0</c:v>
                </c:pt>
                <c:pt idx="6">
                  <c:v>1.9789032021472291E-2</c:v>
                </c:pt>
                <c:pt idx="7">
                  <c:v>0</c:v>
                </c:pt>
                <c:pt idx="8">
                  <c:v>2.460224249366862E-2</c:v>
                </c:pt>
                <c:pt idx="9">
                  <c:v>0</c:v>
                </c:pt>
                <c:pt idx="10">
                  <c:v>9.8408969974674479E-2</c:v>
                </c:pt>
                <c:pt idx="11">
                  <c:v>0</c:v>
                </c:pt>
                <c:pt idx="12">
                  <c:v>3.8546754257156209E-2</c:v>
                </c:pt>
                <c:pt idx="13">
                  <c:v>0</c:v>
                </c:pt>
                <c:pt idx="14">
                  <c:v>7.8261591976650474E-2</c:v>
                </c:pt>
                <c:pt idx="15">
                  <c:v>0</c:v>
                </c:pt>
                <c:pt idx="16">
                  <c:v>1.481522293897921E-2</c:v>
                </c:pt>
                <c:pt idx="17">
                  <c:v>7.6092340801465125E-2</c:v>
                </c:pt>
                <c:pt idx="18">
                  <c:v>1.0870334400209304E-2</c:v>
                </c:pt>
                <c:pt idx="19">
                  <c:v>0</c:v>
                </c:pt>
                <c:pt idx="20">
                  <c:v>0</c:v>
                </c:pt>
                <c:pt idx="21">
                  <c:v>3.1698110865117674E-2</c:v>
                </c:pt>
                <c:pt idx="22">
                  <c:v>9.5094332595353034E-2</c:v>
                </c:pt>
                <c:pt idx="23">
                  <c:v>0</c:v>
                </c:pt>
                <c:pt idx="24">
                  <c:v>0</c:v>
                </c:pt>
              </c:numCache>
            </c:numRef>
          </c:val>
          <c:extLst>
            <c:ext xmlns:c16="http://schemas.microsoft.com/office/drawing/2014/chart" uri="{C3380CC4-5D6E-409C-BE32-E72D297353CC}">
              <c16:uniqueId val="{00000002-2533-415C-9CC4-2218246D0924}"/>
            </c:ext>
          </c:extLst>
        </c:ser>
        <c:dLbls>
          <c:showLegendKey val="0"/>
          <c:showVal val="0"/>
          <c:showCatName val="0"/>
          <c:showSerName val="0"/>
          <c:showPercent val="0"/>
          <c:showBubbleSize val="0"/>
        </c:dLbls>
        <c:gapWidth val="50"/>
        <c:axId val="97039872"/>
        <c:axId val="97041408"/>
        <c:extLst/>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Output_Pricing_Proposal!$L$233</c:f>
              <c:strCache>
                <c:ptCount val="1"/>
                <c:pt idx="0">
                  <c:v>Tariff 1</c:v>
                </c:pt>
              </c:strCache>
            </c:strRef>
          </c:tx>
          <c:spPr>
            <a:ln w="28575" cap="rnd">
              <a:solidFill>
                <a:srgbClr val="131640"/>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Output_Pricing_Proposal!$M$233:$Q$233</c:f>
              <c:numCache>
                <c:formatCode>0.0</c:formatCode>
                <c:ptCount val="5"/>
                <c:pt idx="0">
                  <c:v>20.702762337570352</c:v>
                </c:pt>
                <c:pt idx="1">
                  <c:v>16.048911263376024</c:v>
                </c:pt>
                <c:pt idx="2">
                  <c:v>11.015483890198823</c:v>
                </c:pt>
                <c:pt idx="3">
                  <c:v>11.187572880335702</c:v>
                </c:pt>
                <c:pt idx="4">
                  <c:v>5.0302924995222913</c:v>
                </c:pt>
              </c:numCache>
            </c:numRef>
          </c:val>
          <c:smooth val="0"/>
          <c:extLst>
            <c:ext xmlns:c16="http://schemas.microsoft.com/office/drawing/2014/chart" uri="{C3380CC4-5D6E-409C-BE32-E72D297353CC}">
              <c16:uniqueId val="{00000000-56AD-42F9-9B1D-ACAE49B96B70}"/>
            </c:ext>
          </c:extLst>
        </c:ser>
        <c:ser>
          <c:idx val="1"/>
          <c:order val="1"/>
          <c:tx>
            <c:strRef>
              <c:f>Output_Pricing_Proposal!$L$234</c:f>
              <c:strCache>
                <c:ptCount val="1"/>
                <c:pt idx="0">
                  <c:v>Tariff 2</c:v>
                </c:pt>
              </c:strCache>
            </c:strRef>
          </c:tx>
          <c:spPr>
            <a:ln w="28575" cap="rnd">
              <a:solidFill>
                <a:srgbClr val="131640"/>
              </a:solidFill>
              <a:prstDash val="sysDot"/>
              <a:round/>
            </a:ln>
            <a:effectLst/>
          </c:spPr>
          <c:marker>
            <c:symbol val="none"/>
          </c:marker>
          <c:dLbls>
            <c:dLbl>
              <c:idx val="4"/>
              <c:layout>
                <c:manualLayout>
                  <c:x val="1.212121019307864E-2"/>
                  <c:y val="1.62107396149949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Output_Pricing_Proposal!$M$234:$Q$234</c:f>
              <c:numCache>
                <c:formatCode>0.0</c:formatCode>
                <c:ptCount val="5"/>
                <c:pt idx="0">
                  <c:v>1.3565826616833889</c:v>
                </c:pt>
                <c:pt idx="1">
                  <c:v>0.99784782914111048</c:v>
                </c:pt>
                <c:pt idx="2">
                  <c:v>0.63659131685664028</c:v>
                </c:pt>
                <c:pt idx="3">
                  <c:v>0.28038779462755103</c:v>
                </c:pt>
                <c:pt idx="4">
                  <c:v>0</c:v>
                </c:pt>
              </c:numCache>
            </c:numRef>
          </c:val>
          <c:smooth val="0"/>
          <c:extLst>
            <c:ext xmlns:c16="http://schemas.microsoft.com/office/drawing/2014/chart" uri="{C3380CC4-5D6E-409C-BE32-E72D297353CC}">
              <c16:uniqueId val="{00000001-56AD-42F9-9B1D-ACAE49B96B70}"/>
            </c:ext>
          </c:extLst>
        </c:ser>
        <c:ser>
          <c:idx val="2"/>
          <c:order val="2"/>
          <c:tx>
            <c:strRef>
              <c:f>Output_Pricing_Proposal!$L$235</c:f>
              <c:strCache>
                <c:ptCount val="1"/>
                <c:pt idx="0">
                  <c:v>Tariff 3a</c:v>
                </c:pt>
              </c:strCache>
            </c:strRef>
          </c:tx>
          <c:spPr>
            <a:ln w="28575" cap="rnd">
              <a:solidFill>
                <a:srgbClr val="037DBB"/>
              </a:solidFill>
              <a:round/>
            </a:ln>
            <a:effectLst/>
          </c:spPr>
          <c:marker>
            <c:symbol val="none"/>
          </c:marker>
          <c:dLbls>
            <c:dLbl>
              <c:idx val="4"/>
              <c:layout>
                <c:manualLayout>
                  <c:x val="2.0202016988463169E-3"/>
                  <c:y val="-2.836879432624113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Output_Pricing_Proposal!$M$235:$Q$235</c:f>
              <c:numCache>
                <c:formatCode>0.0</c:formatCode>
                <c:ptCount val="5"/>
                <c:pt idx="0">
                  <c:v>11.05356294358965</c:v>
                </c:pt>
                <c:pt idx="1">
                  <c:v>16.55285072559878</c:v>
                </c:pt>
                <c:pt idx="2">
                  <c:v>22.246355483874286</c:v>
                </c:pt>
                <c:pt idx="3">
                  <c:v>22.763287622352816</c:v>
                </c:pt>
                <c:pt idx="4">
                  <c:v>29.495507035886249</c:v>
                </c:pt>
              </c:numCache>
            </c:numRef>
          </c:val>
          <c:smooth val="0"/>
          <c:extLst>
            <c:ext xmlns:c16="http://schemas.microsoft.com/office/drawing/2014/chart" uri="{C3380CC4-5D6E-409C-BE32-E72D297353CC}">
              <c16:uniqueId val="{00000002-56AD-42F9-9B1D-ACAE49B96B70}"/>
            </c:ext>
          </c:extLst>
        </c:ser>
        <c:ser>
          <c:idx val="3"/>
          <c:order val="3"/>
          <c:tx>
            <c:strRef>
              <c:f>Output_Pricing_Proposal!$L$236</c:f>
              <c:strCache>
                <c:ptCount val="1"/>
                <c:pt idx="0">
                  <c:v>Tariff 3b</c:v>
                </c:pt>
              </c:strCache>
            </c:strRef>
          </c:tx>
          <c:spPr>
            <a:ln w="28575" cap="rnd">
              <a:solidFill>
                <a:srgbClr val="D14900"/>
              </a:solidFill>
              <a:round/>
            </a:ln>
            <a:effectLst/>
          </c:spPr>
          <c:marker>
            <c:symbol val="none"/>
          </c:marker>
          <c:dLbls>
            <c:dLbl>
              <c:idx val="4"/>
              <c:layout>
                <c:manualLayout>
                  <c:x val="6.0606050965393947E-3"/>
                  <c:y val="4.937599204513455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Output_Pricing_Proposal!$M$236:$Q$236</c:f>
              <c:numCache>
                <c:formatCode>0.0</c:formatCode>
                <c:ptCount val="5"/>
                <c:pt idx="0">
                  <c:v>10.547114992238532</c:v>
                </c:pt>
                <c:pt idx="1">
                  <c:v>11.04038653799279</c:v>
                </c:pt>
                <c:pt idx="2">
                  <c:v>11.470228682814529</c:v>
                </c:pt>
                <c:pt idx="3">
                  <c:v>11.902434054165816</c:v>
                </c:pt>
                <c:pt idx="4">
                  <c:v>12.260292520076854</c:v>
                </c:pt>
              </c:numCache>
            </c:numRef>
          </c:val>
          <c:smooth val="0"/>
          <c:extLst>
            <c:ext xmlns:c16="http://schemas.microsoft.com/office/drawing/2014/chart" uri="{C3380CC4-5D6E-409C-BE32-E72D297353CC}">
              <c16:uniqueId val="{00000003-56AD-42F9-9B1D-ACAE49B96B70}"/>
            </c:ext>
          </c:extLst>
        </c:ser>
        <c:ser>
          <c:idx val="4"/>
          <c:order val="4"/>
          <c:tx>
            <c:strRef>
              <c:f>Output_Pricing_Proposal!$L$237</c:f>
              <c:strCache>
                <c:ptCount val="1"/>
                <c:pt idx="0">
                  <c:v>Tariff 3c</c:v>
                </c:pt>
              </c:strCache>
            </c:strRef>
          </c:tx>
          <c:spPr>
            <a:ln w="28575" cap="rnd">
              <a:solidFill>
                <a:srgbClr val="3D8704"/>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Output_Pricing_Proposal!$M$237:$Q$237</c:f>
              <c:numCache>
                <c:formatCode>0.0</c:formatCode>
                <c:ptCount val="5"/>
                <c:pt idx="0">
                  <c:v>9.1770559822778335</c:v>
                </c:pt>
                <c:pt idx="1">
                  <c:v>9.6037442469135517</c:v>
                </c:pt>
                <c:pt idx="2">
                  <c:v>9.9733367918853837</c:v>
                </c:pt>
                <c:pt idx="3">
                  <c:v>10.354726801987365</c:v>
                </c:pt>
                <c:pt idx="4">
                  <c:v>10.658917043838439</c:v>
                </c:pt>
              </c:numCache>
            </c:numRef>
          </c:val>
          <c:smooth val="0"/>
          <c:extLst>
            <c:ext xmlns:c16="http://schemas.microsoft.com/office/drawing/2014/chart" uri="{C3380CC4-5D6E-409C-BE32-E72D297353CC}">
              <c16:uniqueId val="{00000004-56AD-42F9-9B1D-ACAE49B96B70}"/>
            </c:ext>
          </c:extLst>
        </c:ser>
        <c:ser>
          <c:idx val="5"/>
          <c:order val="5"/>
          <c:tx>
            <c:strRef>
              <c:f>Output_Pricing_Proposal!$L$238</c:f>
              <c:strCache>
                <c:ptCount val="1"/>
                <c:pt idx="0">
                  <c:v>Tariff 4</c:v>
                </c:pt>
              </c:strCache>
            </c:strRef>
          </c:tx>
          <c:spPr>
            <a:ln w="28575" cap="rnd">
              <a:solidFill>
                <a:srgbClr val="B3D8EB"/>
              </a:solidFill>
              <a:round/>
            </a:ln>
            <a:effectLst/>
          </c:spPr>
          <c:marker>
            <c:symbol val="none"/>
          </c:marker>
          <c:dLbls>
            <c:dLbl>
              <c:idx val="4"/>
              <c:layout>
                <c:manualLayout>
                  <c:x val="4.0404033976927812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Output_Pricing_Proposal!$M$238:$Q$238</c:f>
              <c:numCache>
                <c:formatCode>0.0</c:formatCode>
                <c:ptCount val="5"/>
                <c:pt idx="0">
                  <c:v>0.77855332274173283</c:v>
                </c:pt>
                <c:pt idx="1">
                  <c:v>0.79928045512274359</c:v>
                </c:pt>
                <c:pt idx="2">
                  <c:v>0.81546322932237225</c:v>
                </c:pt>
                <c:pt idx="3">
                  <c:v>0.83235560223936822</c:v>
                </c:pt>
                <c:pt idx="4">
                  <c:v>0.84645108370125033</c:v>
                </c:pt>
              </c:numCache>
            </c:numRef>
          </c:val>
          <c:smooth val="0"/>
          <c:extLst>
            <c:ext xmlns:c16="http://schemas.microsoft.com/office/drawing/2014/chart" uri="{C3380CC4-5D6E-409C-BE32-E72D297353CC}">
              <c16:uniqueId val="{00000005-56AD-42F9-9B1D-ACAE49B96B70}"/>
            </c:ext>
          </c:extLst>
        </c:ser>
        <c:ser>
          <c:idx val="6"/>
          <c:order val="6"/>
          <c:tx>
            <c:strRef>
              <c:f>Output_Pricing_Proposal!$L$239</c:f>
              <c:strCache>
                <c:ptCount val="1"/>
                <c:pt idx="0">
                  <c:v>Tariff 5</c:v>
                </c:pt>
              </c:strCache>
            </c:strRef>
          </c:tx>
          <c:spPr>
            <a:ln w="28575" cap="rnd">
              <a:solidFill>
                <a:srgbClr val="B8B9C5"/>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Output_Pricing_Proposal!$M$239:$Q$239</c:f>
              <c:numCache>
                <c:formatCode>0.0</c:formatCode>
                <c:ptCount val="5"/>
                <c:pt idx="0">
                  <c:v>7.34693836191581</c:v>
                </c:pt>
                <c:pt idx="1">
                  <c:v>7.5425331395301232</c:v>
                </c:pt>
                <c:pt idx="2">
                  <c:v>7.6952443811324081</c:v>
                </c:pt>
                <c:pt idx="3">
                  <c:v>7.8546518603409128</c:v>
                </c:pt>
                <c:pt idx="4">
                  <c:v>7.9876660424874677</c:v>
                </c:pt>
              </c:numCache>
            </c:numRef>
          </c:val>
          <c:smooth val="0"/>
          <c:extLst>
            <c:ext xmlns:c16="http://schemas.microsoft.com/office/drawing/2014/chart" uri="{C3380CC4-5D6E-409C-BE32-E72D297353CC}">
              <c16:uniqueId val="{00000006-56AD-42F9-9B1D-ACAE49B96B70}"/>
            </c:ext>
          </c:extLst>
        </c:ser>
        <c:ser>
          <c:idx val="7"/>
          <c:order val="7"/>
          <c:tx>
            <c:strRef>
              <c:f>Output_Pricing_Proposal!$L$240</c:f>
              <c:strCache>
                <c:ptCount val="1"/>
                <c:pt idx="0">
                  <c:v>Tariff 6</c:v>
                </c:pt>
              </c:strCache>
            </c:strRef>
          </c:tx>
          <c:spPr>
            <a:ln w="28575" cap="rnd">
              <a:solidFill>
                <a:srgbClr val="C5DBB4"/>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Output_Pricing_Proposal!$M$232:$Q$232</c:f>
              <c:strCache>
                <c:ptCount val="5"/>
                <c:pt idx="0">
                  <c:v>FY25</c:v>
                </c:pt>
                <c:pt idx="1">
                  <c:v>FY26</c:v>
                </c:pt>
                <c:pt idx="2">
                  <c:v>FY27</c:v>
                </c:pt>
                <c:pt idx="3">
                  <c:v>FY28</c:v>
                </c:pt>
                <c:pt idx="4">
                  <c:v>FY29</c:v>
                </c:pt>
              </c:strCache>
            </c:strRef>
          </c:cat>
          <c:val>
            <c:numRef>
              <c:f>Output_Pricing_Proposal!$M$240:$Q$240</c:f>
              <c:numCache>
                <c:formatCode>0.0</c:formatCode>
                <c:ptCount val="5"/>
                <c:pt idx="0">
                  <c:v>6.3322568290959707</c:v>
                </c:pt>
                <c:pt idx="1">
                  <c:v>6.5008381217748408</c:v>
                </c:pt>
                <c:pt idx="2">
                  <c:v>6.6324584995268099</c:v>
                </c:pt>
                <c:pt idx="3">
                  <c:v>6.7698503012682645</c:v>
                </c:pt>
                <c:pt idx="4">
                  <c:v>6.8844939693886138</c:v>
                </c:pt>
              </c:numCache>
            </c:numRef>
          </c:val>
          <c:smooth val="0"/>
          <c:extLst>
            <c:ext xmlns:c16="http://schemas.microsoft.com/office/drawing/2014/chart" uri="{C3380CC4-5D6E-409C-BE32-E72D297353CC}">
              <c16:uniqueId val="{00000007-56AD-42F9-9B1D-ACAE49B96B70}"/>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Output_Pricing_Proposal!$L$59</c:f>
              <c:strCache>
                <c:ptCount val="1"/>
                <c:pt idx="0">
                  <c:v>Tariff 1</c:v>
                </c:pt>
              </c:strCache>
            </c:strRef>
          </c:tx>
          <c:spPr>
            <a:ln w="28575" cap="rnd">
              <a:solidFill>
                <a:srgbClr val="D14900"/>
              </a:solidFill>
              <a:round/>
            </a:ln>
            <a:effectLst/>
          </c:spPr>
          <c:marker>
            <c:symbol val="none"/>
          </c:marker>
          <c:dLbls>
            <c:dLbl>
              <c:idx val="0"/>
              <c:layout>
                <c:manualLayout>
                  <c:x val="-8.2828269652705053E-2"/>
                  <c:y val="1.53256643333577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D342-47E7-BDD8-3243EF3DEB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Output_Pricing_Proposal!$M$58:$R$58</c:f>
              <c:strCache>
                <c:ptCount val="6"/>
                <c:pt idx="0">
                  <c:v>FY24</c:v>
                </c:pt>
                <c:pt idx="1">
                  <c:v>FY25</c:v>
                </c:pt>
                <c:pt idx="2">
                  <c:v>FY26</c:v>
                </c:pt>
                <c:pt idx="3">
                  <c:v>FY27</c:v>
                </c:pt>
                <c:pt idx="4">
                  <c:v>FY28</c:v>
                </c:pt>
                <c:pt idx="5">
                  <c:v>FY29</c:v>
                </c:pt>
              </c:strCache>
            </c:strRef>
          </c:cat>
          <c:val>
            <c:numRef>
              <c:f>Output_Pricing_Proposal!$M$59:$R$59</c:f>
              <c:numCache>
                <c:formatCode>0.0</c:formatCode>
                <c:ptCount val="6"/>
                <c:pt idx="0">
                  <c:v>1052.5</c:v>
                </c:pt>
                <c:pt idx="1">
                  <c:v>1231.5</c:v>
                </c:pt>
                <c:pt idx="2">
                  <c:v>1331.25</c:v>
                </c:pt>
                <c:pt idx="3">
                  <c:v>1482</c:v>
                </c:pt>
                <c:pt idx="4">
                  <c:v>1641.875</c:v>
                </c:pt>
                <c:pt idx="5">
                  <c:v>1683.75</c:v>
                </c:pt>
              </c:numCache>
            </c:numRef>
          </c:val>
          <c:smooth val="0"/>
          <c:extLst>
            <c:ext xmlns:c16="http://schemas.microsoft.com/office/drawing/2014/chart" uri="{C3380CC4-5D6E-409C-BE32-E72D297353CC}">
              <c16:uniqueId val="{00000012-D342-47E7-BDD8-3243EF3DEB7F}"/>
            </c:ext>
          </c:extLst>
        </c:ser>
        <c:ser>
          <c:idx val="1"/>
          <c:order val="1"/>
          <c:tx>
            <c:strRef>
              <c:f>Output_Pricing_Proposal!$L$60</c:f>
              <c:strCache>
                <c:ptCount val="1"/>
                <c:pt idx="0">
                  <c:v>Tariff 3a</c:v>
                </c:pt>
              </c:strCache>
            </c:strRef>
          </c:tx>
          <c:spPr>
            <a:ln w="28575" cap="rnd">
              <a:solidFill>
                <a:srgbClr val="139C00"/>
              </a:solidFill>
              <a:round/>
            </a:ln>
            <a:effectLst/>
          </c:spPr>
          <c:marker>
            <c:symbol val="none"/>
          </c:marker>
          <c:dLbls>
            <c:dLbl>
              <c:idx val="0"/>
              <c:layout>
                <c:manualLayout>
                  <c:x val="-8.6868673050397985E-2"/>
                  <c:y val="-5.108554777786006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342-47E7-BDD8-3243EF3DEB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Output_Pricing_Proposal!$M$58:$R$58</c:f>
              <c:strCache>
                <c:ptCount val="6"/>
                <c:pt idx="0">
                  <c:v>FY24</c:v>
                </c:pt>
                <c:pt idx="1">
                  <c:v>FY25</c:v>
                </c:pt>
                <c:pt idx="2">
                  <c:v>FY26</c:v>
                </c:pt>
                <c:pt idx="3">
                  <c:v>FY27</c:v>
                </c:pt>
                <c:pt idx="4">
                  <c:v>FY28</c:v>
                </c:pt>
                <c:pt idx="5">
                  <c:v>FY29</c:v>
                </c:pt>
              </c:strCache>
            </c:strRef>
          </c:cat>
          <c:val>
            <c:numRef>
              <c:f>Output_Pricing_Proposal!$M$60:$R$60</c:f>
              <c:numCache>
                <c:formatCode>0.0</c:formatCode>
                <c:ptCount val="6"/>
                <c:pt idx="0">
                  <c:v>1254</c:v>
                </c:pt>
                <c:pt idx="1">
                  <c:v>1231.1873487908158</c:v>
                </c:pt>
                <c:pt idx="2">
                  <c:v>1331.0951326134102</c:v>
                </c:pt>
                <c:pt idx="3">
                  <c:v>1482.1049288391189</c:v>
                </c:pt>
                <c:pt idx="4">
                  <c:v>1642.3006822611997</c:v>
                </c:pt>
                <c:pt idx="5">
                  <c:v>1684.6390827341679</c:v>
                </c:pt>
              </c:numCache>
            </c:numRef>
          </c:val>
          <c:smooth val="0"/>
          <c:extLst>
            <c:ext xmlns:c16="http://schemas.microsoft.com/office/drawing/2014/chart" uri="{C3380CC4-5D6E-409C-BE32-E72D297353CC}">
              <c16:uniqueId val="{00000013-D342-47E7-BDD8-3243EF3DEB7F}"/>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Output_Pricing_Proposal!$L$77</c:f>
              <c:strCache>
                <c:ptCount val="1"/>
                <c:pt idx="0">
                  <c:v>Tariff 1</c:v>
                </c:pt>
              </c:strCache>
            </c:strRef>
          </c:tx>
          <c:spPr>
            <a:ln w="28575" cap="rnd">
              <a:solidFill>
                <a:srgbClr val="D14900"/>
              </a:solidFill>
              <a:round/>
            </a:ln>
            <a:effectLst/>
          </c:spPr>
          <c:marker>
            <c:symbol val="none"/>
          </c:marker>
          <c:dLbls>
            <c:dLbl>
              <c:idx val="0"/>
              <c:layout>
                <c:manualLayout>
                  <c:x val="-7.6767664556165682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86-4B6B-8030-88F6308B23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Output_Pricing_Proposal!$M$76:$Q$76</c:f>
              <c:strCache>
                <c:ptCount val="5"/>
                <c:pt idx="0">
                  <c:v>FY25</c:v>
                </c:pt>
                <c:pt idx="1">
                  <c:v>FY26</c:v>
                </c:pt>
                <c:pt idx="2">
                  <c:v>FY27</c:v>
                </c:pt>
                <c:pt idx="3">
                  <c:v>FY28</c:v>
                </c:pt>
                <c:pt idx="4">
                  <c:v>FY29</c:v>
                </c:pt>
              </c:strCache>
            </c:strRef>
          </c:cat>
          <c:val>
            <c:numRef>
              <c:f>Output_Pricing_Proposal!$M$77:$Q$77</c:f>
              <c:numCache>
                <c:formatCode>0.0%</c:formatCode>
                <c:ptCount val="5"/>
                <c:pt idx="0">
                  <c:v>0.17007125890736341</c:v>
                </c:pt>
                <c:pt idx="1">
                  <c:v>8.0998781973203413E-2</c:v>
                </c:pt>
                <c:pt idx="2">
                  <c:v>0.1132394366197183</c:v>
                </c:pt>
                <c:pt idx="3">
                  <c:v>0.1078778677462888</c:v>
                </c:pt>
                <c:pt idx="4">
                  <c:v>2.5504377617053674E-2</c:v>
                </c:pt>
              </c:numCache>
            </c:numRef>
          </c:val>
          <c:smooth val="0"/>
          <c:extLst>
            <c:ext xmlns:c16="http://schemas.microsoft.com/office/drawing/2014/chart" uri="{C3380CC4-5D6E-409C-BE32-E72D297353CC}">
              <c16:uniqueId val="{00000001-7586-4B6B-8030-88F6308B2365}"/>
            </c:ext>
          </c:extLst>
        </c:ser>
        <c:ser>
          <c:idx val="1"/>
          <c:order val="1"/>
          <c:tx>
            <c:strRef>
              <c:f>Output_Pricing_Proposal!$L$78</c:f>
              <c:strCache>
                <c:ptCount val="1"/>
                <c:pt idx="0">
                  <c:v>Tariff 3a</c:v>
                </c:pt>
              </c:strCache>
            </c:strRef>
          </c:tx>
          <c:spPr>
            <a:ln w="28575" cap="rnd">
              <a:solidFill>
                <a:srgbClr val="139C00"/>
              </a:solidFill>
              <a:round/>
            </a:ln>
            <a:effectLst/>
          </c:spPr>
          <c:marker>
            <c:symbol val="none"/>
          </c:marker>
          <c:dLbls>
            <c:dLbl>
              <c:idx val="0"/>
              <c:layout>
                <c:manualLayout>
                  <c:x val="-8.4848471351551519E-2"/>
                  <c:y val="5.1085547777859125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86-4B6B-8030-88F6308B23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Output_Pricing_Proposal!$M$76:$Q$76</c:f>
              <c:strCache>
                <c:ptCount val="5"/>
                <c:pt idx="0">
                  <c:v>FY25</c:v>
                </c:pt>
                <c:pt idx="1">
                  <c:v>FY26</c:v>
                </c:pt>
                <c:pt idx="2">
                  <c:v>FY27</c:v>
                </c:pt>
                <c:pt idx="3">
                  <c:v>FY28</c:v>
                </c:pt>
                <c:pt idx="4">
                  <c:v>FY29</c:v>
                </c:pt>
              </c:strCache>
            </c:strRef>
          </c:cat>
          <c:val>
            <c:numRef>
              <c:f>Output_Pricing_Proposal!$M$78:$Q$78</c:f>
              <c:numCache>
                <c:formatCode>0.0%</c:formatCode>
                <c:ptCount val="5"/>
                <c:pt idx="0">
                  <c:v>-1.8191906865378148E-2</c:v>
                </c:pt>
                <c:pt idx="1">
                  <c:v>8.1147506852402837E-2</c:v>
                </c:pt>
                <c:pt idx="2">
                  <c:v>0.11344778635710512</c:v>
                </c:pt>
                <c:pt idx="3">
                  <c:v>0.10808664778380875</c:v>
                </c:pt>
                <c:pt idx="4">
                  <c:v>2.5779932341424037E-2</c:v>
                </c:pt>
              </c:numCache>
            </c:numRef>
          </c:val>
          <c:smooth val="0"/>
          <c:extLst>
            <c:ext xmlns:c16="http://schemas.microsoft.com/office/drawing/2014/chart" uri="{C3380CC4-5D6E-409C-BE32-E72D297353CC}">
              <c16:uniqueId val="{00000003-7586-4B6B-8030-88F6308B2365}"/>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Output_Pricing_Proposal!$L$284</c:f>
              <c:strCache>
                <c:ptCount val="1"/>
                <c:pt idx="0">
                  <c:v>Tariff 2</c:v>
                </c:pt>
              </c:strCache>
            </c:strRef>
          </c:tx>
          <c:spPr>
            <a:ln w="28575" cap="rnd">
              <a:solidFill>
                <a:srgbClr val="D14900"/>
              </a:solidFill>
              <a:round/>
            </a:ln>
            <a:effectLst/>
          </c:spPr>
          <c:marker>
            <c:symbol val="none"/>
          </c:marker>
          <c:dLbls>
            <c:dLbl>
              <c:idx val="5"/>
              <c:layout>
                <c:manualLayout>
                  <c:x val="-1.4814641318206719E-16"/>
                  <c:y val="6.130265733343094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D17-468F-9010-BDC4D239C1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Output_Pricing_Proposal!$M$283:$R$283</c:f>
              <c:strCache>
                <c:ptCount val="6"/>
                <c:pt idx="0">
                  <c:v>FY24</c:v>
                </c:pt>
                <c:pt idx="1">
                  <c:v>FY25</c:v>
                </c:pt>
                <c:pt idx="2">
                  <c:v>FY26</c:v>
                </c:pt>
                <c:pt idx="3">
                  <c:v>FY27</c:v>
                </c:pt>
                <c:pt idx="4">
                  <c:v>FY28</c:v>
                </c:pt>
                <c:pt idx="5">
                  <c:v>FY29</c:v>
                </c:pt>
              </c:strCache>
            </c:strRef>
          </c:cat>
          <c:val>
            <c:numRef>
              <c:f>Output_Pricing_Proposal!$M$284:$R$284</c:f>
              <c:numCache>
                <c:formatCode>0.0</c:formatCode>
                <c:ptCount val="6"/>
                <c:pt idx="0">
                  <c:v>2967.3</c:v>
                </c:pt>
                <c:pt idx="1">
                  <c:v>2849.5</c:v>
                </c:pt>
                <c:pt idx="2">
                  <c:v>3020.25</c:v>
                </c:pt>
                <c:pt idx="3">
                  <c:v>3222.5</c:v>
                </c:pt>
                <c:pt idx="4">
                  <c:v>3409.5</c:v>
                </c:pt>
                <c:pt idx="5">
                  <c:v>3540</c:v>
                </c:pt>
              </c:numCache>
            </c:numRef>
          </c:val>
          <c:smooth val="0"/>
          <c:extLst>
            <c:ext xmlns:c16="http://schemas.microsoft.com/office/drawing/2014/chart" uri="{C3380CC4-5D6E-409C-BE32-E72D297353CC}">
              <c16:uniqueId val="{00000001-ED17-468F-9010-BDC4D239C10B}"/>
            </c:ext>
          </c:extLst>
        </c:ser>
        <c:ser>
          <c:idx val="1"/>
          <c:order val="1"/>
          <c:tx>
            <c:strRef>
              <c:f>Output_Pricing_Proposal!$L$285</c:f>
              <c:strCache>
                <c:ptCount val="1"/>
                <c:pt idx="0">
                  <c:v>Tariff 3b</c:v>
                </c:pt>
              </c:strCache>
            </c:strRef>
          </c:tx>
          <c:spPr>
            <a:ln w="28575" cap="rnd">
              <a:solidFill>
                <a:srgbClr val="139C00"/>
              </a:solidFill>
              <a:round/>
            </a:ln>
            <a:effectLst/>
          </c:spPr>
          <c:marker>
            <c:symbol val="none"/>
          </c:marker>
          <c:dLbls>
            <c:dLbl>
              <c:idx val="5"/>
              <c:layout>
                <c:manualLayout>
                  <c:x val="6.0606050965393947E-3"/>
                  <c:y val="-6.130265733343094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D17-468F-9010-BDC4D239C1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Output_Pricing_Proposal!$M$283:$R$283</c:f>
              <c:strCache>
                <c:ptCount val="6"/>
                <c:pt idx="0">
                  <c:v>FY24</c:v>
                </c:pt>
                <c:pt idx="1">
                  <c:v>FY25</c:v>
                </c:pt>
                <c:pt idx="2">
                  <c:v>FY26</c:v>
                </c:pt>
                <c:pt idx="3">
                  <c:v>FY27</c:v>
                </c:pt>
                <c:pt idx="4">
                  <c:v>FY28</c:v>
                </c:pt>
                <c:pt idx="5">
                  <c:v>FY29</c:v>
                </c:pt>
              </c:strCache>
            </c:strRef>
          </c:cat>
          <c:val>
            <c:numRef>
              <c:f>Output_Pricing_Proposal!$M$285:$R$285</c:f>
              <c:numCache>
                <c:formatCode>0.0</c:formatCode>
                <c:ptCount val="6"/>
                <c:pt idx="0">
                  <c:v>2967.3</c:v>
                </c:pt>
                <c:pt idx="1">
                  <c:v>2848.7417193644933</c:v>
                </c:pt>
                <c:pt idx="2">
                  <c:v>3020.6865678898525</c:v>
                </c:pt>
                <c:pt idx="3">
                  <c:v>3222.0553567942929</c:v>
                </c:pt>
                <c:pt idx="4">
                  <c:v>3408.8256570694466</c:v>
                </c:pt>
                <c:pt idx="5">
                  <c:v>3539.3099799873958</c:v>
                </c:pt>
              </c:numCache>
            </c:numRef>
          </c:val>
          <c:smooth val="0"/>
          <c:extLst>
            <c:ext xmlns:c16="http://schemas.microsoft.com/office/drawing/2014/chart" uri="{C3380CC4-5D6E-409C-BE32-E72D297353CC}">
              <c16:uniqueId val="{00000003-ED17-468F-9010-BDC4D239C10B}"/>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Output_Pricing_Proposal!$AD$360</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Output_Pricing_Proposal!$AD$361:$AD$518</c:f>
              <c:numCache>
                <c:formatCode>_(#,##0.0%_);\(#,##0.0%\);_("-"_)</c:formatCode>
                <c:ptCount val="158"/>
                <c:pt idx="0">
                  <c:v>-0.18882725711447981</c:v>
                </c:pt>
                <c:pt idx="1">
                  <c:v>-0.13900349252692187</c:v>
                </c:pt>
                <c:pt idx="2">
                  <c:v>-0.13076096242074176</c:v>
                </c:pt>
                <c:pt idx="3">
                  <c:v>-0.11988485400468367</c:v>
                </c:pt>
                <c:pt idx="4">
                  <c:v>-9.9973753411121261E-2</c:v>
                </c:pt>
                <c:pt idx="5">
                  <c:v>-9.9294126702905702E-2</c:v>
                </c:pt>
                <c:pt idx="6">
                  <c:v>-9.7330860683964071E-2</c:v>
                </c:pt>
                <c:pt idx="7">
                  <c:v>-9.7314815834521479E-2</c:v>
                </c:pt>
                <c:pt idx="8">
                  <c:v>-9.599682247552567E-2</c:v>
                </c:pt>
                <c:pt idx="9">
                  <c:v>-9.523648587007616E-2</c:v>
                </c:pt>
                <c:pt idx="10">
                  <c:v>-9.1221127035423052E-2</c:v>
                </c:pt>
                <c:pt idx="11">
                  <c:v>-9.0429460349449486E-2</c:v>
                </c:pt>
                <c:pt idx="12">
                  <c:v>-9.0381262511824323E-2</c:v>
                </c:pt>
                <c:pt idx="13">
                  <c:v>-9.036011230135825E-2</c:v>
                </c:pt>
                <c:pt idx="14">
                  <c:v>-8.5810727067428025E-2</c:v>
                </c:pt>
                <c:pt idx="15">
                  <c:v>-8.0728849595447461E-2</c:v>
                </c:pt>
                <c:pt idx="16">
                  <c:v>-7.9820251067397582E-2</c:v>
                </c:pt>
                <c:pt idx="17">
                  <c:v>-6.4899076699458061E-2</c:v>
                </c:pt>
                <c:pt idx="18">
                  <c:v>-6.4855722868962642E-2</c:v>
                </c:pt>
                <c:pt idx="19">
                  <c:v>-6.4703493743359194E-2</c:v>
                </c:pt>
                <c:pt idx="20">
                  <c:v>-5.910017598373557E-2</c:v>
                </c:pt>
                <c:pt idx="21">
                  <c:v>-5.737091430412971E-2</c:v>
                </c:pt>
                <c:pt idx="22">
                  <c:v>-5.2860010682834795E-2</c:v>
                </c:pt>
                <c:pt idx="23">
                  <c:v>-4.7182008117809225E-2</c:v>
                </c:pt>
                <c:pt idx="24">
                  <c:v>-4.3481308230450114E-2</c:v>
                </c:pt>
                <c:pt idx="25">
                  <c:v>-3.2635744129926446E-2</c:v>
                </c:pt>
                <c:pt idx="26">
                  <c:v>-3.2108837604418718E-2</c:v>
                </c:pt>
                <c:pt idx="27">
                  <c:v>-2.8491958214856748E-2</c:v>
                </c:pt>
                <c:pt idx="28">
                  <c:v>-2.6770453482209546E-2</c:v>
                </c:pt>
                <c:pt idx="29">
                  <c:v>-2.5401132465296548E-2</c:v>
                </c:pt>
                <c:pt idx="30">
                  <c:v>-2.508792091687042E-2</c:v>
                </c:pt>
                <c:pt idx="31">
                  <c:v>-1.9588124441091728E-2</c:v>
                </c:pt>
                <c:pt idx="32">
                  <c:v>-1.8297334764632744E-2</c:v>
                </c:pt>
                <c:pt idx="33">
                  <c:v>-1.7482316792807498E-2</c:v>
                </c:pt>
                <c:pt idx="34">
                  <c:v>-1.5614877459299006E-2</c:v>
                </c:pt>
                <c:pt idx="35">
                  <c:v>-1.4293890296946997E-2</c:v>
                </c:pt>
                <c:pt idx="36">
                  <c:v>-1.3961299129028248E-2</c:v>
                </c:pt>
                <c:pt idx="37">
                  <c:v>-1.0569461217144723E-2</c:v>
                </c:pt>
                <c:pt idx="38">
                  <c:v>-8.2776710341285701E-3</c:v>
                </c:pt>
                <c:pt idx="39">
                  <c:v>-3.5261373059112967E-3</c:v>
                </c:pt>
                <c:pt idx="40">
                  <c:v>-2.4551151356803249E-3</c:v>
                </c:pt>
                <c:pt idx="41">
                  <c:v>3.7182774108928248E-3</c:v>
                </c:pt>
                <c:pt idx="42">
                  <c:v>4.6556096092726955E-3</c:v>
                </c:pt>
                <c:pt idx="43">
                  <c:v>8.9468767854772209E-3</c:v>
                </c:pt>
                <c:pt idx="44">
                  <c:v>1.0670728813247436E-2</c:v>
                </c:pt>
                <c:pt idx="45">
                  <c:v>1.2282463858278185E-2</c:v>
                </c:pt>
                <c:pt idx="46">
                  <c:v>1.2672089736356274E-2</c:v>
                </c:pt>
                <c:pt idx="47">
                  <c:v>1.271965014549622E-2</c:v>
                </c:pt>
                <c:pt idx="48">
                  <c:v>1.3929016484080559E-2</c:v>
                </c:pt>
                <c:pt idx="49">
                  <c:v>1.5554225705909634E-2</c:v>
                </c:pt>
                <c:pt idx="50">
                  <c:v>1.6482790388196621E-2</c:v>
                </c:pt>
                <c:pt idx="51">
                  <c:v>1.6972679195296988E-2</c:v>
                </c:pt>
                <c:pt idx="52">
                  <c:v>1.8975950972787394E-2</c:v>
                </c:pt>
                <c:pt idx="53">
                  <c:v>1.9918722213049873E-2</c:v>
                </c:pt>
                <c:pt idx="54">
                  <c:v>3.0293610456135503E-2</c:v>
                </c:pt>
                <c:pt idx="55">
                  <c:v>3.0353339394786252E-2</c:v>
                </c:pt>
                <c:pt idx="56">
                  <c:v>3.0928842942981677E-2</c:v>
                </c:pt>
                <c:pt idx="57">
                  <c:v>3.1754171183599258E-2</c:v>
                </c:pt>
                <c:pt idx="58">
                  <c:v>3.7944408173042954E-2</c:v>
                </c:pt>
                <c:pt idx="59">
                  <c:v>4.055226972606385E-2</c:v>
                </c:pt>
                <c:pt idx="60">
                  <c:v>4.139275177290222E-2</c:v>
                </c:pt>
                <c:pt idx="61">
                  <c:v>4.2988118104570462E-2</c:v>
                </c:pt>
                <c:pt idx="62">
                  <c:v>4.3974877877907742E-2</c:v>
                </c:pt>
                <c:pt idx="63">
                  <c:v>4.6829813039374259E-2</c:v>
                </c:pt>
                <c:pt idx="64">
                  <c:v>4.7203646376646063E-2</c:v>
                </c:pt>
                <c:pt idx="65">
                  <c:v>4.833119516923913E-2</c:v>
                </c:pt>
                <c:pt idx="66">
                  <c:v>4.9873319357820634E-2</c:v>
                </c:pt>
                <c:pt idx="67">
                  <c:v>5.2303056572180297E-2</c:v>
                </c:pt>
                <c:pt idx="68">
                  <c:v>5.2983635472529211E-2</c:v>
                </c:pt>
                <c:pt idx="69">
                  <c:v>5.4348457105506433E-2</c:v>
                </c:pt>
                <c:pt idx="70">
                  <c:v>5.4396378066283717E-2</c:v>
                </c:pt>
                <c:pt idx="71">
                  <c:v>5.5419539851011418E-2</c:v>
                </c:pt>
                <c:pt idx="72">
                  <c:v>5.9246708554538584E-2</c:v>
                </c:pt>
                <c:pt idx="73">
                  <c:v>6.0433506710704799E-2</c:v>
                </c:pt>
                <c:pt idx="74">
                  <c:v>6.403449398502864E-2</c:v>
                </c:pt>
                <c:pt idx="75">
                  <c:v>6.4707051752853448E-2</c:v>
                </c:pt>
                <c:pt idx="76">
                  <c:v>6.6210633321691942E-2</c:v>
                </c:pt>
                <c:pt idx="77">
                  <c:v>6.6378404046690029E-2</c:v>
                </c:pt>
                <c:pt idx="78">
                  <c:v>6.7078899330452163E-2</c:v>
                </c:pt>
                <c:pt idx="79">
                  <c:v>6.7428852022473576E-2</c:v>
                </c:pt>
                <c:pt idx="80">
                  <c:v>6.8451801524280695E-2</c:v>
                </c:pt>
                <c:pt idx="81">
                  <c:v>6.8610257459872703E-2</c:v>
                </c:pt>
                <c:pt idx="82">
                  <c:v>6.8986638201086192E-2</c:v>
                </c:pt>
                <c:pt idx="83">
                  <c:v>6.927650758883637E-2</c:v>
                </c:pt>
                <c:pt idx="84">
                  <c:v>7.0066542955208477E-2</c:v>
                </c:pt>
                <c:pt idx="85">
                  <c:v>7.1275155370214588E-2</c:v>
                </c:pt>
                <c:pt idx="86">
                  <c:v>7.3507299636621434E-2</c:v>
                </c:pt>
                <c:pt idx="87">
                  <c:v>7.4706393262441384E-2</c:v>
                </c:pt>
                <c:pt idx="88">
                  <c:v>7.5342601046754679E-2</c:v>
                </c:pt>
                <c:pt idx="89">
                  <c:v>7.5386635378867542E-2</c:v>
                </c:pt>
                <c:pt idx="90">
                  <c:v>7.5738810641686236E-2</c:v>
                </c:pt>
                <c:pt idx="91">
                  <c:v>7.623117773821031E-2</c:v>
                </c:pt>
                <c:pt idx="92">
                  <c:v>7.6768425602739165E-2</c:v>
                </c:pt>
                <c:pt idx="93">
                  <c:v>8.1624906994801336E-2</c:v>
                </c:pt>
                <c:pt idx="94">
                  <c:v>8.1796002826923495E-2</c:v>
                </c:pt>
                <c:pt idx="95">
                  <c:v>8.244259901023189E-2</c:v>
                </c:pt>
                <c:pt idx="96">
                  <c:v>8.2883549019453981E-2</c:v>
                </c:pt>
                <c:pt idx="97">
                  <c:v>8.3923388628387732E-2</c:v>
                </c:pt>
                <c:pt idx="98">
                  <c:v>8.4231128199944758E-2</c:v>
                </c:pt>
                <c:pt idx="99">
                  <c:v>8.4783821902782594E-2</c:v>
                </c:pt>
                <c:pt idx="100">
                  <c:v>8.5003729189253807E-2</c:v>
                </c:pt>
                <c:pt idx="101">
                  <c:v>8.5035949115196671E-2</c:v>
                </c:pt>
                <c:pt idx="102">
                  <c:v>8.5261127108484866E-2</c:v>
                </c:pt>
                <c:pt idx="103">
                  <c:v>8.592421797836472E-2</c:v>
                </c:pt>
                <c:pt idx="104">
                  <c:v>8.712545985853816E-2</c:v>
                </c:pt>
                <c:pt idx="105">
                  <c:v>8.8710050765899703E-2</c:v>
                </c:pt>
                <c:pt idx="106">
                  <c:v>9.1208492362797475E-2</c:v>
                </c:pt>
                <c:pt idx="107">
                  <c:v>9.2702221733732382E-2</c:v>
                </c:pt>
                <c:pt idx="108">
                  <c:v>9.3153963988403615E-2</c:v>
                </c:pt>
                <c:pt idx="109">
                  <c:v>9.3685827333789246E-2</c:v>
                </c:pt>
                <c:pt idx="110">
                  <c:v>9.3860757188752364E-2</c:v>
                </c:pt>
                <c:pt idx="111">
                  <c:v>9.4956498915901466E-2</c:v>
                </c:pt>
                <c:pt idx="112">
                  <c:v>9.6692427453249116E-2</c:v>
                </c:pt>
                <c:pt idx="113">
                  <c:v>9.7943332033236866E-2</c:v>
                </c:pt>
                <c:pt idx="114">
                  <c:v>9.8040510267686953E-2</c:v>
                </c:pt>
                <c:pt idx="115">
                  <c:v>9.9303411242097267E-2</c:v>
                </c:pt>
                <c:pt idx="116">
                  <c:v>9.9392775005353845E-2</c:v>
                </c:pt>
                <c:pt idx="117">
                  <c:v>0.10160392837183095</c:v>
                </c:pt>
                <c:pt idx="118">
                  <c:v>0.101748139232437</c:v>
                </c:pt>
                <c:pt idx="119">
                  <c:v>0.10252666642691345</c:v>
                </c:pt>
                <c:pt idx="120">
                  <c:v>0.10365495493348925</c:v>
                </c:pt>
                <c:pt idx="121">
                  <c:v>0.10650405345817276</c:v>
                </c:pt>
                <c:pt idx="122">
                  <c:v>0.10769917834619777</c:v>
                </c:pt>
                <c:pt idx="123">
                  <c:v>0.10803074242464944</c:v>
                </c:pt>
                <c:pt idx="124">
                  <c:v>0.1088939210134931</c:v>
                </c:pt>
                <c:pt idx="125">
                  <c:v>0.10895006239374753</c:v>
                </c:pt>
                <c:pt idx="126">
                  <c:v>0.10908897734494449</c:v>
                </c:pt>
                <c:pt idx="127">
                  <c:v>0.10929880467909303</c:v>
                </c:pt>
                <c:pt idx="128">
                  <c:v>0.10965947674947887</c:v>
                </c:pt>
                <c:pt idx="129">
                  <c:v>0.11111988166139371</c:v>
                </c:pt>
                <c:pt idx="130">
                  <c:v>0.11227667249384594</c:v>
                </c:pt>
                <c:pt idx="131">
                  <c:v>0.11240757009977075</c:v>
                </c:pt>
                <c:pt idx="132">
                  <c:v>0.1127101404871543</c:v>
                </c:pt>
                <c:pt idx="133">
                  <c:v>0.11281001162415792</c:v>
                </c:pt>
                <c:pt idx="134">
                  <c:v>0.11307996786579705</c:v>
                </c:pt>
                <c:pt idx="135">
                  <c:v>0.11482027358407883</c:v>
                </c:pt>
                <c:pt idx="136">
                  <c:v>0.11507144929332284</c:v>
                </c:pt>
                <c:pt idx="137">
                  <c:v>0.11619163408301864</c:v>
                </c:pt>
                <c:pt idx="138">
                  <c:v>0.11705087037706825</c:v>
                </c:pt>
                <c:pt idx="139">
                  <c:v>0.1181709841957909</c:v>
                </c:pt>
                <c:pt idx="140">
                  <c:v>0.11923454957574921</c:v>
                </c:pt>
                <c:pt idx="141">
                  <c:v>0.12047345405911075</c:v>
                </c:pt>
                <c:pt idx="142">
                  <c:v>0.1246324642663227</c:v>
                </c:pt>
                <c:pt idx="143">
                  <c:v>0.12584014324019077</c:v>
                </c:pt>
                <c:pt idx="144">
                  <c:v>0.12662632495156428</c:v>
                </c:pt>
                <c:pt idx="145">
                  <c:v>0.12720692233777495</c:v>
                </c:pt>
                <c:pt idx="146">
                  <c:v>0.1281133789718851</c:v>
                </c:pt>
                <c:pt idx="147">
                  <c:v>0.13057106278329692</c:v>
                </c:pt>
                <c:pt idx="148">
                  <c:v>0.1308635507115361</c:v>
                </c:pt>
                <c:pt idx="149">
                  <c:v>0.13256727764503948</c:v>
                </c:pt>
                <c:pt idx="150">
                  <c:v>0.13380751608806832</c:v>
                </c:pt>
                <c:pt idx="151">
                  <c:v>0.13484758867323332</c:v>
                </c:pt>
                <c:pt idx="152">
                  <c:v>0.15127737410037229</c:v>
                </c:pt>
                <c:pt idx="153">
                  <c:v>0.1535406388662888</c:v>
                </c:pt>
                <c:pt idx="154">
                  <c:v>0.15980497049544307</c:v>
                </c:pt>
                <c:pt idx="155">
                  <c:v>0.16004255217806621</c:v>
                </c:pt>
                <c:pt idx="156">
                  <c:v>0.16934297905682114</c:v>
                </c:pt>
                <c:pt idx="157">
                  <c:v>0.17264104523526258</c:v>
                </c:pt>
              </c:numCache>
            </c:numRef>
          </c:yVal>
          <c:smooth val="0"/>
          <c:extLst>
            <c:ext xmlns:c16="http://schemas.microsoft.com/office/drawing/2014/chart" uri="{C3380CC4-5D6E-409C-BE32-E72D297353CC}">
              <c16:uniqueId val="{00000000-6772-445F-8493-186274B8B10E}"/>
            </c:ext>
          </c:extLst>
        </c:ser>
        <c:ser>
          <c:idx val="1"/>
          <c:order val="1"/>
          <c:tx>
            <c:strRef>
              <c:f>Output_Pricing_Proposal!$AE$360</c:f>
              <c:strCache>
                <c:ptCount val="1"/>
                <c:pt idx="0">
                  <c:v>Revenue Increase + CPI = 11.2%</c:v>
                </c:pt>
              </c:strCache>
            </c:strRef>
          </c:tx>
          <c:spPr>
            <a:ln w="38100" cap="rnd">
              <a:solidFill>
                <a:srgbClr val="139C00"/>
              </a:solidFill>
              <a:round/>
            </a:ln>
            <a:effectLst/>
          </c:spPr>
          <c:marker>
            <c:symbol val="none"/>
          </c:marker>
          <c:dLbls>
            <c:dLbl>
              <c:idx val="21"/>
              <c:layout>
                <c:manualLayout>
                  <c:x val="-0.10028592132054608"/>
                  <c:y val="-4.854130212890055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2-6772-445F-8493-186274B8B1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Output_Pricing_Proposal!$AE$361:$AE$518</c:f>
              <c:numCache>
                <c:formatCode>0.0%</c:formatCode>
                <c:ptCount val="158"/>
                <c:pt idx="0">
                  <c:v>0.1122328118842657</c:v>
                </c:pt>
                <c:pt idx="1">
                  <c:v>0.1122328118842657</c:v>
                </c:pt>
                <c:pt idx="2">
                  <c:v>0.1122328118842657</c:v>
                </c:pt>
                <c:pt idx="3">
                  <c:v>0.1122328118842657</c:v>
                </c:pt>
                <c:pt idx="4">
                  <c:v>0.1122328118842657</c:v>
                </c:pt>
                <c:pt idx="5">
                  <c:v>0.1122328118842657</c:v>
                </c:pt>
                <c:pt idx="6">
                  <c:v>0.1122328118842657</c:v>
                </c:pt>
                <c:pt idx="7">
                  <c:v>0.1122328118842657</c:v>
                </c:pt>
                <c:pt idx="8">
                  <c:v>0.1122328118842657</c:v>
                </c:pt>
                <c:pt idx="9">
                  <c:v>0.1122328118842657</c:v>
                </c:pt>
                <c:pt idx="10">
                  <c:v>0.1122328118842657</c:v>
                </c:pt>
                <c:pt idx="11">
                  <c:v>0.1122328118842657</c:v>
                </c:pt>
                <c:pt idx="12">
                  <c:v>0.1122328118842657</c:v>
                </c:pt>
                <c:pt idx="13">
                  <c:v>0.1122328118842657</c:v>
                </c:pt>
                <c:pt idx="14">
                  <c:v>0.1122328118842657</c:v>
                </c:pt>
                <c:pt idx="15">
                  <c:v>0.1122328118842657</c:v>
                </c:pt>
                <c:pt idx="16">
                  <c:v>0.1122328118842657</c:v>
                </c:pt>
                <c:pt idx="17">
                  <c:v>0.1122328118842657</c:v>
                </c:pt>
                <c:pt idx="18">
                  <c:v>0.1122328118842657</c:v>
                </c:pt>
                <c:pt idx="19">
                  <c:v>0.1122328118842657</c:v>
                </c:pt>
                <c:pt idx="20">
                  <c:v>0.1122328118842657</c:v>
                </c:pt>
                <c:pt idx="21">
                  <c:v>0.1122328118842657</c:v>
                </c:pt>
                <c:pt idx="22">
                  <c:v>0.1122328118842657</c:v>
                </c:pt>
                <c:pt idx="23">
                  <c:v>0.1122328118842657</c:v>
                </c:pt>
                <c:pt idx="24">
                  <c:v>0.1122328118842657</c:v>
                </c:pt>
                <c:pt idx="25">
                  <c:v>0.1122328118842657</c:v>
                </c:pt>
                <c:pt idx="26">
                  <c:v>0.1122328118842657</c:v>
                </c:pt>
                <c:pt idx="27">
                  <c:v>0.1122328118842657</c:v>
                </c:pt>
                <c:pt idx="28">
                  <c:v>0.1122328118842657</c:v>
                </c:pt>
                <c:pt idx="29">
                  <c:v>0.1122328118842657</c:v>
                </c:pt>
                <c:pt idx="30">
                  <c:v>0.1122328118842657</c:v>
                </c:pt>
                <c:pt idx="31">
                  <c:v>0.1122328118842657</c:v>
                </c:pt>
                <c:pt idx="32">
                  <c:v>0.1122328118842657</c:v>
                </c:pt>
                <c:pt idx="33">
                  <c:v>0.1122328118842657</c:v>
                </c:pt>
                <c:pt idx="34">
                  <c:v>0.1122328118842657</c:v>
                </c:pt>
                <c:pt idx="35">
                  <c:v>0.1122328118842657</c:v>
                </c:pt>
                <c:pt idx="36">
                  <c:v>0.1122328118842657</c:v>
                </c:pt>
                <c:pt idx="37">
                  <c:v>0.1122328118842657</c:v>
                </c:pt>
                <c:pt idx="38">
                  <c:v>0.1122328118842657</c:v>
                </c:pt>
                <c:pt idx="39">
                  <c:v>0.1122328118842657</c:v>
                </c:pt>
                <c:pt idx="40">
                  <c:v>0.1122328118842657</c:v>
                </c:pt>
                <c:pt idx="41">
                  <c:v>0.1122328118842657</c:v>
                </c:pt>
                <c:pt idx="42">
                  <c:v>0.1122328118842657</c:v>
                </c:pt>
                <c:pt idx="43">
                  <c:v>0.1122328118842657</c:v>
                </c:pt>
                <c:pt idx="44">
                  <c:v>0.1122328118842657</c:v>
                </c:pt>
                <c:pt idx="45">
                  <c:v>0.1122328118842657</c:v>
                </c:pt>
                <c:pt idx="46">
                  <c:v>0.1122328118842657</c:v>
                </c:pt>
                <c:pt idx="47">
                  <c:v>0.1122328118842657</c:v>
                </c:pt>
                <c:pt idx="48">
                  <c:v>0.1122328118842657</c:v>
                </c:pt>
                <c:pt idx="49">
                  <c:v>0.1122328118842657</c:v>
                </c:pt>
                <c:pt idx="50">
                  <c:v>0.1122328118842657</c:v>
                </c:pt>
                <c:pt idx="51">
                  <c:v>0.1122328118842657</c:v>
                </c:pt>
                <c:pt idx="52">
                  <c:v>0.1122328118842657</c:v>
                </c:pt>
                <c:pt idx="53">
                  <c:v>0.1122328118842657</c:v>
                </c:pt>
                <c:pt idx="54">
                  <c:v>0.1122328118842657</c:v>
                </c:pt>
                <c:pt idx="55">
                  <c:v>0.1122328118842657</c:v>
                </c:pt>
                <c:pt idx="56">
                  <c:v>0.1122328118842657</c:v>
                </c:pt>
                <c:pt idx="57">
                  <c:v>0.1122328118842657</c:v>
                </c:pt>
                <c:pt idx="58">
                  <c:v>0.1122328118842657</c:v>
                </c:pt>
                <c:pt idx="59">
                  <c:v>0.1122328118842657</c:v>
                </c:pt>
                <c:pt idx="60">
                  <c:v>0.1122328118842657</c:v>
                </c:pt>
                <c:pt idx="61">
                  <c:v>0.1122328118842657</c:v>
                </c:pt>
                <c:pt idx="62">
                  <c:v>0.1122328118842657</c:v>
                </c:pt>
                <c:pt idx="63">
                  <c:v>0.1122328118842657</c:v>
                </c:pt>
                <c:pt idx="64">
                  <c:v>0.1122328118842657</c:v>
                </c:pt>
                <c:pt idx="65">
                  <c:v>0.1122328118842657</c:v>
                </c:pt>
                <c:pt idx="66">
                  <c:v>0.1122328118842657</c:v>
                </c:pt>
                <c:pt idx="67">
                  <c:v>0.1122328118842657</c:v>
                </c:pt>
                <c:pt idx="68">
                  <c:v>0.1122328118842657</c:v>
                </c:pt>
                <c:pt idx="69">
                  <c:v>0.1122328118842657</c:v>
                </c:pt>
                <c:pt idx="70">
                  <c:v>0.1122328118842657</c:v>
                </c:pt>
                <c:pt idx="71">
                  <c:v>0.1122328118842657</c:v>
                </c:pt>
                <c:pt idx="72">
                  <c:v>0.1122328118842657</c:v>
                </c:pt>
                <c:pt idx="73">
                  <c:v>0.1122328118842657</c:v>
                </c:pt>
                <c:pt idx="74">
                  <c:v>0.1122328118842657</c:v>
                </c:pt>
                <c:pt idx="75">
                  <c:v>0.1122328118842657</c:v>
                </c:pt>
                <c:pt idx="76">
                  <c:v>0.1122328118842657</c:v>
                </c:pt>
                <c:pt idx="77">
                  <c:v>0.1122328118842657</c:v>
                </c:pt>
                <c:pt idx="78">
                  <c:v>0.1122328118842657</c:v>
                </c:pt>
                <c:pt idx="79">
                  <c:v>0.1122328118842657</c:v>
                </c:pt>
                <c:pt idx="80">
                  <c:v>0.1122328118842657</c:v>
                </c:pt>
                <c:pt idx="81">
                  <c:v>0.1122328118842657</c:v>
                </c:pt>
                <c:pt idx="82">
                  <c:v>0.1122328118842657</c:v>
                </c:pt>
                <c:pt idx="83">
                  <c:v>0.1122328118842657</c:v>
                </c:pt>
                <c:pt idx="84">
                  <c:v>0.1122328118842657</c:v>
                </c:pt>
                <c:pt idx="85">
                  <c:v>0.1122328118842657</c:v>
                </c:pt>
                <c:pt idx="86">
                  <c:v>0.1122328118842657</c:v>
                </c:pt>
                <c:pt idx="87">
                  <c:v>0.1122328118842657</c:v>
                </c:pt>
                <c:pt idx="88">
                  <c:v>0.1122328118842657</c:v>
                </c:pt>
                <c:pt idx="89">
                  <c:v>0.1122328118842657</c:v>
                </c:pt>
                <c:pt idx="90">
                  <c:v>0.1122328118842657</c:v>
                </c:pt>
                <c:pt idx="91">
                  <c:v>0.1122328118842657</c:v>
                </c:pt>
                <c:pt idx="92">
                  <c:v>0.1122328118842657</c:v>
                </c:pt>
                <c:pt idx="93">
                  <c:v>0.1122328118842657</c:v>
                </c:pt>
                <c:pt idx="94">
                  <c:v>0.1122328118842657</c:v>
                </c:pt>
                <c:pt idx="95">
                  <c:v>0.1122328118842657</c:v>
                </c:pt>
                <c:pt idx="96">
                  <c:v>0.1122328118842657</c:v>
                </c:pt>
                <c:pt idx="97">
                  <c:v>0.1122328118842657</c:v>
                </c:pt>
                <c:pt idx="98">
                  <c:v>0.1122328118842657</c:v>
                </c:pt>
                <c:pt idx="99">
                  <c:v>0.1122328118842657</c:v>
                </c:pt>
                <c:pt idx="100">
                  <c:v>0.1122328118842657</c:v>
                </c:pt>
                <c:pt idx="101">
                  <c:v>0.1122328118842657</c:v>
                </c:pt>
                <c:pt idx="102">
                  <c:v>0.1122328118842657</c:v>
                </c:pt>
                <c:pt idx="103">
                  <c:v>0.1122328118842657</c:v>
                </c:pt>
                <c:pt idx="104">
                  <c:v>0.1122328118842657</c:v>
                </c:pt>
                <c:pt idx="105">
                  <c:v>0.1122328118842657</c:v>
                </c:pt>
                <c:pt idx="106">
                  <c:v>0.1122328118842657</c:v>
                </c:pt>
                <c:pt idx="107">
                  <c:v>0.1122328118842657</c:v>
                </c:pt>
                <c:pt idx="108">
                  <c:v>0.1122328118842657</c:v>
                </c:pt>
                <c:pt idx="109">
                  <c:v>0.1122328118842657</c:v>
                </c:pt>
                <c:pt idx="110">
                  <c:v>0.1122328118842657</c:v>
                </c:pt>
                <c:pt idx="111">
                  <c:v>0.1122328118842657</c:v>
                </c:pt>
                <c:pt idx="112">
                  <c:v>0.1122328118842657</c:v>
                </c:pt>
                <c:pt idx="113">
                  <c:v>0.1122328118842657</c:v>
                </c:pt>
                <c:pt idx="114">
                  <c:v>0.1122328118842657</c:v>
                </c:pt>
                <c:pt idx="115">
                  <c:v>0.1122328118842657</c:v>
                </c:pt>
                <c:pt idx="116">
                  <c:v>0.1122328118842657</c:v>
                </c:pt>
                <c:pt idx="117">
                  <c:v>0.1122328118842657</c:v>
                </c:pt>
                <c:pt idx="118">
                  <c:v>0.1122328118842657</c:v>
                </c:pt>
                <c:pt idx="119">
                  <c:v>0.1122328118842657</c:v>
                </c:pt>
                <c:pt idx="120">
                  <c:v>0.1122328118842657</c:v>
                </c:pt>
                <c:pt idx="121">
                  <c:v>0.1122328118842657</c:v>
                </c:pt>
                <c:pt idx="122">
                  <c:v>0.1122328118842657</c:v>
                </c:pt>
                <c:pt idx="123">
                  <c:v>0.1122328118842657</c:v>
                </c:pt>
                <c:pt idx="124">
                  <c:v>0.1122328118842657</c:v>
                </c:pt>
                <c:pt idx="125">
                  <c:v>0.1122328118842657</c:v>
                </c:pt>
                <c:pt idx="126">
                  <c:v>0.1122328118842657</c:v>
                </c:pt>
                <c:pt idx="127">
                  <c:v>0.1122328118842657</c:v>
                </c:pt>
                <c:pt idx="128">
                  <c:v>0.1122328118842657</c:v>
                </c:pt>
                <c:pt idx="129">
                  <c:v>0.1122328118842657</c:v>
                </c:pt>
                <c:pt idx="130">
                  <c:v>0.1122328118842657</c:v>
                </c:pt>
                <c:pt idx="131">
                  <c:v>0.1122328118842657</c:v>
                </c:pt>
                <c:pt idx="132">
                  <c:v>0.1122328118842657</c:v>
                </c:pt>
                <c:pt idx="133">
                  <c:v>0.1122328118842657</c:v>
                </c:pt>
                <c:pt idx="134">
                  <c:v>0.1122328118842657</c:v>
                </c:pt>
                <c:pt idx="135">
                  <c:v>0.1122328118842657</c:v>
                </c:pt>
                <c:pt idx="136">
                  <c:v>0.1122328118842657</c:v>
                </c:pt>
                <c:pt idx="137">
                  <c:v>0.1122328118842657</c:v>
                </c:pt>
                <c:pt idx="138">
                  <c:v>0.1122328118842657</c:v>
                </c:pt>
                <c:pt idx="139">
                  <c:v>0.1122328118842657</c:v>
                </c:pt>
                <c:pt idx="140">
                  <c:v>0.1122328118842657</c:v>
                </c:pt>
                <c:pt idx="141">
                  <c:v>0.1122328118842657</c:v>
                </c:pt>
                <c:pt idx="142">
                  <c:v>0.1122328118842657</c:v>
                </c:pt>
                <c:pt idx="143">
                  <c:v>0.1122328118842657</c:v>
                </c:pt>
                <c:pt idx="144">
                  <c:v>0.1122328118842657</c:v>
                </c:pt>
                <c:pt idx="145">
                  <c:v>0.1122328118842657</c:v>
                </c:pt>
                <c:pt idx="146">
                  <c:v>0.1122328118842657</c:v>
                </c:pt>
                <c:pt idx="147">
                  <c:v>0.1122328118842657</c:v>
                </c:pt>
                <c:pt idx="148">
                  <c:v>0.1122328118842657</c:v>
                </c:pt>
                <c:pt idx="149">
                  <c:v>0.1122328118842657</c:v>
                </c:pt>
                <c:pt idx="150">
                  <c:v>0.1122328118842657</c:v>
                </c:pt>
                <c:pt idx="151">
                  <c:v>0.1122328118842657</c:v>
                </c:pt>
                <c:pt idx="152">
                  <c:v>0.1122328118842657</c:v>
                </c:pt>
                <c:pt idx="153">
                  <c:v>0.1122328118842657</c:v>
                </c:pt>
                <c:pt idx="154">
                  <c:v>0.1122328118842657</c:v>
                </c:pt>
                <c:pt idx="155">
                  <c:v>0.1122328118842657</c:v>
                </c:pt>
                <c:pt idx="156">
                  <c:v>0.1122328118842657</c:v>
                </c:pt>
                <c:pt idx="157">
                  <c:v>0.1122328118842657</c:v>
                </c:pt>
              </c:numCache>
            </c:numRef>
          </c:yVal>
          <c:smooth val="0"/>
          <c:extLst>
            <c:ext xmlns:c16="http://schemas.microsoft.com/office/drawing/2014/chart" uri="{C3380CC4-5D6E-409C-BE32-E72D297353CC}">
              <c16:uniqueId val="{00000001-6772-445F-8493-186274B8B10E}"/>
            </c:ext>
          </c:extLst>
        </c:ser>
        <c:dLbls>
          <c:showLegendKey val="0"/>
          <c:showVal val="0"/>
          <c:showCatName val="0"/>
          <c:showSerName val="0"/>
          <c:showPercent val="0"/>
          <c:showBubbleSize val="0"/>
        </c:dLbls>
        <c:axId val="296140975"/>
        <c:axId val="296141391"/>
      </c:scatterChart>
      <c:valAx>
        <c:axId val="296140975"/>
        <c:scaling>
          <c:orientation val="minMax"/>
          <c:max val="160"/>
        </c:scaling>
        <c:delete val="0"/>
        <c:axPos val="b"/>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20"/>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Output_Pricing_Proposal!$AD$526</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Output_Pricing_Proposal!$AD$527:$AD$575</c:f>
              <c:numCache>
                <c:formatCode>_(#,##0.0%_);\(#,##0.0%\);_("-"_)</c:formatCode>
                <c:ptCount val="49"/>
                <c:pt idx="0">
                  <c:v>-0.34663381948202676</c:v>
                </c:pt>
                <c:pt idx="1">
                  <c:v>-0.237696562363753</c:v>
                </c:pt>
                <c:pt idx="2">
                  <c:v>-0.10725260869206832</c:v>
                </c:pt>
                <c:pt idx="3">
                  <c:v>-0.10592684432290711</c:v>
                </c:pt>
                <c:pt idx="4">
                  <c:v>-0.10208620705854651</c:v>
                </c:pt>
                <c:pt idx="5">
                  <c:v>-9.7791784863753894E-2</c:v>
                </c:pt>
                <c:pt idx="6">
                  <c:v>-8.3863958100959105E-2</c:v>
                </c:pt>
                <c:pt idx="7">
                  <c:v>-6.6300078422906999E-2</c:v>
                </c:pt>
                <c:pt idx="8">
                  <c:v>-6.1548024356816756E-2</c:v>
                </c:pt>
                <c:pt idx="9">
                  <c:v>-6.1413997178586859E-2</c:v>
                </c:pt>
                <c:pt idx="10">
                  <c:v>-4.3740542274417309E-2</c:v>
                </c:pt>
                <c:pt idx="11">
                  <c:v>-4.0990419619962533E-2</c:v>
                </c:pt>
                <c:pt idx="12">
                  <c:v>-3.0833465886462776E-2</c:v>
                </c:pt>
                <c:pt idx="13">
                  <c:v>-2.4809989692188741E-2</c:v>
                </c:pt>
                <c:pt idx="14">
                  <c:v>-2.3851854318814075E-2</c:v>
                </c:pt>
                <c:pt idx="15">
                  <c:v>-4.6924457886590451E-3</c:v>
                </c:pt>
                <c:pt idx="16">
                  <c:v>-2.2771310515587136E-4</c:v>
                </c:pt>
                <c:pt idx="17">
                  <c:v>4.581583804173187E-4</c:v>
                </c:pt>
                <c:pt idx="18">
                  <c:v>1.0172654707937505E-2</c:v>
                </c:pt>
                <c:pt idx="19">
                  <c:v>1.5114795180549421E-2</c:v>
                </c:pt>
                <c:pt idx="20">
                  <c:v>1.6072098843383623E-2</c:v>
                </c:pt>
                <c:pt idx="21">
                  <c:v>1.6796581671116518E-2</c:v>
                </c:pt>
                <c:pt idx="22">
                  <c:v>2.2353806615985152E-2</c:v>
                </c:pt>
                <c:pt idx="23">
                  <c:v>2.7439554698770047E-2</c:v>
                </c:pt>
                <c:pt idx="24">
                  <c:v>2.9550585449906051E-2</c:v>
                </c:pt>
                <c:pt idx="25">
                  <c:v>3.8262752215596725E-2</c:v>
                </c:pt>
                <c:pt idx="26">
                  <c:v>4.0453320053697048E-2</c:v>
                </c:pt>
                <c:pt idx="27">
                  <c:v>4.7496665046676767E-2</c:v>
                </c:pt>
                <c:pt idx="28">
                  <c:v>4.9616512614626407E-2</c:v>
                </c:pt>
                <c:pt idx="29">
                  <c:v>5.3606148965675962E-2</c:v>
                </c:pt>
                <c:pt idx="30">
                  <c:v>5.7054492785158471E-2</c:v>
                </c:pt>
                <c:pt idx="31">
                  <c:v>5.7211241264578744E-2</c:v>
                </c:pt>
                <c:pt idx="32">
                  <c:v>6.3433643084674113E-2</c:v>
                </c:pt>
                <c:pt idx="33">
                  <c:v>6.4373718092624641E-2</c:v>
                </c:pt>
                <c:pt idx="34">
                  <c:v>7.0537764446639076E-2</c:v>
                </c:pt>
                <c:pt idx="35">
                  <c:v>7.2811069991305988E-2</c:v>
                </c:pt>
                <c:pt idx="36">
                  <c:v>7.6962769076460311E-2</c:v>
                </c:pt>
                <c:pt idx="37">
                  <c:v>8.1839013842212538E-2</c:v>
                </c:pt>
                <c:pt idx="38">
                  <c:v>9.084853050277425E-2</c:v>
                </c:pt>
                <c:pt idx="39">
                  <c:v>9.699453551912568E-2</c:v>
                </c:pt>
                <c:pt idx="40">
                  <c:v>9.699453551912568E-2</c:v>
                </c:pt>
                <c:pt idx="41">
                  <c:v>9.699453551912568E-2</c:v>
                </c:pt>
                <c:pt idx="42">
                  <c:v>9.699453551912568E-2</c:v>
                </c:pt>
                <c:pt idx="43">
                  <c:v>9.699453551912568E-2</c:v>
                </c:pt>
                <c:pt idx="44">
                  <c:v>9.699453551912568E-2</c:v>
                </c:pt>
                <c:pt idx="45">
                  <c:v>9.699453551912568E-2</c:v>
                </c:pt>
                <c:pt idx="46">
                  <c:v>9.9685683827416702E-2</c:v>
                </c:pt>
                <c:pt idx="47">
                  <c:v>0.13803504854629253</c:v>
                </c:pt>
                <c:pt idx="48">
                  <c:v>0.14542142895091439</c:v>
                </c:pt>
              </c:numCache>
            </c:numRef>
          </c:yVal>
          <c:smooth val="0"/>
          <c:extLst>
            <c:ext xmlns:c16="http://schemas.microsoft.com/office/drawing/2014/chart" uri="{C3380CC4-5D6E-409C-BE32-E72D297353CC}">
              <c16:uniqueId val="{00000000-CF48-44A7-B605-C374FB400A9E}"/>
            </c:ext>
          </c:extLst>
        </c:ser>
        <c:ser>
          <c:idx val="1"/>
          <c:order val="1"/>
          <c:tx>
            <c:strRef>
              <c:f>Output_Pricing_Proposal!$AE$526</c:f>
              <c:strCache>
                <c:ptCount val="1"/>
                <c:pt idx="0">
                  <c:v>Revenue Increase + CPI = 11.2%</c:v>
                </c:pt>
              </c:strCache>
            </c:strRef>
          </c:tx>
          <c:spPr>
            <a:ln w="38100" cap="rnd">
              <a:solidFill>
                <a:srgbClr val="139C00"/>
              </a:solidFill>
              <a:round/>
            </a:ln>
            <a:effectLst/>
          </c:spPr>
          <c:marker>
            <c:symbol val="none"/>
          </c:marker>
          <c:dLbls>
            <c:dLbl>
              <c:idx val="21"/>
              <c:layout>
                <c:manualLayout>
                  <c:x val="-0.3485989906299008"/>
                  <c:y val="-3.928204286964129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CF48-44A7-B605-C374FB400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yVal>
            <c:numRef>
              <c:f>Output_Pricing_Proposal!$AE$527:$AE$575</c:f>
              <c:numCache>
                <c:formatCode>0.0%</c:formatCode>
                <c:ptCount val="49"/>
                <c:pt idx="0">
                  <c:v>0.1122328118842657</c:v>
                </c:pt>
                <c:pt idx="1">
                  <c:v>0.1122328118842657</c:v>
                </c:pt>
                <c:pt idx="2">
                  <c:v>0.1122328118842657</c:v>
                </c:pt>
                <c:pt idx="3">
                  <c:v>0.1122328118842657</c:v>
                </c:pt>
                <c:pt idx="4">
                  <c:v>0.1122328118842657</c:v>
                </c:pt>
                <c:pt idx="5">
                  <c:v>0.1122328118842657</c:v>
                </c:pt>
                <c:pt idx="6">
                  <c:v>0.1122328118842657</c:v>
                </c:pt>
                <c:pt idx="7">
                  <c:v>0.1122328118842657</c:v>
                </c:pt>
                <c:pt idx="8">
                  <c:v>0.1122328118842657</c:v>
                </c:pt>
                <c:pt idx="9">
                  <c:v>0.1122328118842657</c:v>
                </c:pt>
                <c:pt idx="10">
                  <c:v>0.1122328118842657</c:v>
                </c:pt>
                <c:pt idx="11">
                  <c:v>0.1122328118842657</c:v>
                </c:pt>
                <c:pt idx="12">
                  <c:v>0.1122328118842657</c:v>
                </c:pt>
                <c:pt idx="13">
                  <c:v>0.1122328118842657</c:v>
                </c:pt>
                <c:pt idx="14">
                  <c:v>0.1122328118842657</c:v>
                </c:pt>
                <c:pt idx="15">
                  <c:v>0.1122328118842657</c:v>
                </c:pt>
                <c:pt idx="16">
                  <c:v>0.1122328118842657</c:v>
                </c:pt>
                <c:pt idx="17">
                  <c:v>0.1122328118842657</c:v>
                </c:pt>
                <c:pt idx="18">
                  <c:v>0.1122328118842657</c:v>
                </c:pt>
                <c:pt idx="19">
                  <c:v>0.1122328118842657</c:v>
                </c:pt>
                <c:pt idx="20">
                  <c:v>0.1122328118842657</c:v>
                </c:pt>
                <c:pt idx="21">
                  <c:v>0.1122328118842657</c:v>
                </c:pt>
                <c:pt idx="22">
                  <c:v>0.1122328118842657</c:v>
                </c:pt>
                <c:pt idx="23">
                  <c:v>0.1122328118842657</c:v>
                </c:pt>
                <c:pt idx="24">
                  <c:v>0.1122328118842657</c:v>
                </c:pt>
                <c:pt idx="25">
                  <c:v>0.1122328118842657</c:v>
                </c:pt>
                <c:pt idx="26">
                  <c:v>0.1122328118842657</c:v>
                </c:pt>
                <c:pt idx="27">
                  <c:v>0.1122328118842657</c:v>
                </c:pt>
                <c:pt idx="28">
                  <c:v>0.1122328118842657</c:v>
                </c:pt>
                <c:pt idx="29">
                  <c:v>0.1122328118842657</c:v>
                </c:pt>
                <c:pt idx="30">
                  <c:v>0.1122328118842657</c:v>
                </c:pt>
                <c:pt idx="31">
                  <c:v>0.1122328118842657</c:v>
                </c:pt>
                <c:pt idx="32">
                  <c:v>0.1122328118842657</c:v>
                </c:pt>
                <c:pt idx="33">
                  <c:v>0.1122328118842657</c:v>
                </c:pt>
                <c:pt idx="34">
                  <c:v>0.1122328118842657</c:v>
                </c:pt>
                <c:pt idx="35">
                  <c:v>0.1122328118842657</c:v>
                </c:pt>
                <c:pt idx="36">
                  <c:v>0.1122328118842657</c:v>
                </c:pt>
                <c:pt idx="37">
                  <c:v>0.1122328118842657</c:v>
                </c:pt>
                <c:pt idx="38">
                  <c:v>0.1122328118842657</c:v>
                </c:pt>
                <c:pt idx="39">
                  <c:v>0.1122328118842657</c:v>
                </c:pt>
                <c:pt idx="40">
                  <c:v>0.1122328118842657</c:v>
                </c:pt>
                <c:pt idx="41">
                  <c:v>0.1122328118842657</c:v>
                </c:pt>
                <c:pt idx="42">
                  <c:v>0.1122328118842657</c:v>
                </c:pt>
                <c:pt idx="43">
                  <c:v>0.1122328118842657</c:v>
                </c:pt>
                <c:pt idx="44">
                  <c:v>0.1122328118842657</c:v>
                </c:pt>
                <c:pt idx="45">
                  <c:v>0.1122328118842657</c:v>
                </c:pt>
                <c:pt idx="46">
                  <c:v>0.1122328118842657</c:v>
                </c:pt>
                <c:pt idx="47">
                  <c:v>0.1122328118842657</c:v>
                </c:pt>
                <c:pt idx="48">
                  <c:v>0.1122328118842657</c:v>
                </c:pt>
              </c:numCache>
            </c:numRef>
          </c:yVal>
          <c:smooth val="0"/>
          <c:extLst>
            <c:ext xmlns:c16="http://schemas.microsoft.com/office/drawing/2014/chart" uri="{C3380CC4-5D6E-409C-BE32-E72D297353CC}">
              <c16:uniqueId val="{00000002-CF48-44A7-B605-C374FB400A9E}"/>
            </c:ext>
          </c:extLst>
        </c:ser>
        <c:dLbls>
          <c:showLegendKey val="0"/>
          <c:showVal val="0"/>
          <c:showCatName val="0"/>
          <c:showSerName val="0"/>
          <c:showPercent val="0"/>
          <c:showBubbleSize val="0"/>
        </c:dLbls>
        <c:axId val="296140975"/>
        <c:axId val="296141391"/>
      </c:scatterChart>
      <c:valAx>
        <c:axId val="296140975"/>
        <c:scaling>
          <c:orientation val="minMax"/>
          <c:max val="50"/>
          <c:min val="0"/>
        </c:scaling>
        <c:delete val="0"/>
        <c:axPos val="b"/>
        <c:numFmt formatCode="General" sourceLinked="1"/>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Output_Pricing_Proposal!$AD$651</c:f>
              <c:strCache>
                <c:ptCount val="1"/>
                <c:pt idx="0">
                  <c:v>Bill impact (%)</c:v>
                </c:pt>
              </c:strCache>
            </c:strRef>
          </c:tx>
          <c:spPr>
            <a:ln w="25400" cap="rnd">
              <a:noFill/>
              <a:round/>
            </a:ln>
            <a:effectLst/>
          </c:spPr>
          <c:marker>
            <c:symbol val="circle"/>
            <c:size val="7"/>
            <c:spPr>
              <a:solidFill>
                <a:srgbClr val="D14900"/>
              </a:solidFill>
              <a:ln w="38100">
                <a:noFill/>
                <a:prstDash val="sysDot"/>
              </a:ln>
              <a:effectLst/>
            </c:spPr>
          </c:marker>
          <c:yVal>
            <c:numRef>
              <c:f>Output_Pricing_Proposal!$AD$652:$AD$664</c:f>
              <c:numCache>
                <c:formatCode>_(#,##0.0%_);\(#,##0.0%\);_("-"_)</c:formatCode>
                <c:ptCount val="13"/>
                <c:pt idx="0">
                  <c:v>-2.9510301250199062E-2</c:v>
                </c:pt>
                <c:pt idx="1">
                  <c:v>-2.0630286596776799E-2</c:v>
                </c:pt>
                <c:pt idx="2">
                  <c:v>1.0424175144729732E-2</c:v>
                </c:pt>
                <c:pt idx="3">
                  <c:v>3.9028382495852242E-2</c:v>
                </c:pt>
                <c:pt idx="4">
                  <c:v>5.5796093136179774E-2</c:v>
                </c:pt>
                <c:pt idx="5">
                  <c:v>5.617796891895923E-2</c:v>
                </c:pt>
                <c:pt idx="6">
                  <c:v>7.839786980061296E-2</c:v>
                </c:pt>
                <c:pt idx="7">
                  <c:v>8.8646322551245854E-2</c:v>
                </c:pt>
                <c:pt idx="8">
                  <c:v>0.10626246612573952</c:v>
                </c:pt>
                <c:pt idx="9">
                  <c:v>0.10697611724306327</c:v>
                </c:pt>
                <c:pt idx="10">
                  <c:v>0.10993923618414154</c:v>
                </c:pt>
                <c:pt idx="11">
                  <c:v>0.12025757771267176</c:v>
                </c:pt>
                <c:pt idx="12">
                  <c:v>0.12114752549235358</c:v>
                </c:pt>
              </c:numCache>
            </c:numRef>
          </c:yVal>
          <c:smooth val="0"/>
          <c:extLst>
            <c:ext xmlns:c16="http://schemas.microsoft.com/office/drawing/2014/chart" uri="{C3380CC4-5D6E-409C-BE32-E72D297353CC}">
              <c16:uniqueId val="{00000000-3B5B-4C99-AC33-1486AF913031}"/>
            </c:ext>
          </c:extLst>
        </c:ser>
        <c:ser>
          <c:idx val="1"/>
          <c:order val="1"/>
          <c:tx>
            <c:strRef>
              <c:f>Output_Pricing_Proposal!$AE$651</c:f>
              <c:strCache>
                <c:ptCount val="1"/>
                <c:pt idx="0">
                  <c:v>Revenue Increase + CPI = 11.2%</c:v>
                </c:pt>
              </c:strCache>
            </c:strRef>
          </c:tx>
          <c:spPr>
            <a:ln w="38100" cap="rnd">
              <a:solidFill>
                <a:srgbClr val="139C00"/>
              </a:solidFill>
              <a:round/>
            </a:ln>
            <a:effectLst/>
          </c:spPr>
          <c:marker>
            <c:symbol val="none"/>
          </c:marker>
          <c:dLbls>
            <c:dLbl>
              <c:idx val="1"/>
              <c:layout>
                <c:manualLayout>
                  <c:x val="-7.2215748268184235E-2"/>
                  <c:y val="5.085648148148148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8046421367471375"/>
                      <c:h val="5.0787037037037026E-2"/>
                    </c:manualLayout>
                  </c15:layout>
                </c:ext>
                <c:ext xmlns:c16="http://schemas.microsoft.com/office/drawing/2014/chart" uri="{C3380CC4-5D6E-409C-BE32-E72D297353CC}">
                  <c16:uniqueId val="{00000003-3B5B-4C99-AC33-1486AF913031}"/>
                </c:ext>
              </c:extLst>
            </c:dLbl>
            <c:dLbl>
              <c:idx val="21"/>
              <c:layout>
                <c:manualLayout>
                  <c:x val="-0.3485989906299008"/>
                  <c:y val="-3.928204286964129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3B5B-4C99-AC33-1486AF9130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yVal>
            <c:numRef>
              <c:f>Output_Pricing_Proposal!$AE$652:$AE$664</c:f>
              <c:numCache>
                <c:formatCode>0.0%</c:formatCode>
                <c:ptCount val="13"/>
                <c:pt idx="0">
                  <c:v>0.1122328118842657</c:v>
                </c:pt>
                <c:pt idx="1">
                  <c:v>0.1122328118842657</c:v>
                </c:pt>
                <c:pt idx="2">
                  <c:v>0.1122328118842657</c:v>
                </c:pt>
                <c:pt idx="3">
                  <c:v>0.1122328118842657</c:v>
                </c:pt>
                <c:pt idx="4">
                  <c:v>0.1122328118842657</c:v>
                </c:pt>
                <c:pt idx="5">
                  <c:v>0.1122328118842657</c:v>
                </c:pt>
                <c:pt idx="6">
                  <c:v>0.1122328118842657</c:v>
                </c:pt>
                <c:pt idx="7">
                  <c:v>0.1122328118842657</c:v>
                </c:pt>
                <c:pt idx="8">
                  <c:v>0.1122328118842657</c:v>
                </c:pt>
                <c:pt idx="9">
                  <c:v>0.1122328118842657</c:v>
                </c:pt>
                <c:pt idx="10">
                  <c:v>0.1122328118842657</c:v>
                </c:pt>
                <c:pt idx="11">
                  <c:v>0.1122328118842657</c:v>
                </c:pt>
                <c:pt idx="12">
                  <c:v>0.1122328118842657</c:v>
                </c:pt>
              </c:numCache>
            </c:numRef>
          </c:yVal>
          <c:smooth val="0"/>
          <c:extLst>
            <c:ext xmlns:c16="http://schemas.microsoft.com/office/drawing/2014/chart" uri="{C3380CC4-5D6E-409C-BE32-E72D297353CC}">
              <c16:uniqueId val="{00000002-3B5B-4C99-AC33-1486AF913031}"/>
            </c:ext>
          </c:extLst>
        </c:ser>
        <c:dLbls>
          <c:showLegendKey val="0"/>
          <c:showVal val="0"/>
          <c:showCatName val="0"/>
          <c:showSerName val="0"/>
          <c:showPercent val="0"/>
          <c:showBubbleSize val="0"/>
        </c:dLbls>
        <c:axId val="296140975"/>
        <c:axId val="296141391"/>
      </c:scatterChart>
      <c:valAx>
        <c:axId val="296140975"/>
        <c:scaling>
          <c:orientation val="minMax"/>
          <c:max val="13"/>
          <c:min val="1"/>
        </c:scaling>
        <c:delete val="0"/>
        <c:axPos val="b"/>
        <c:numFmt formatCode="General" sourceLinked="1"/>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1"/>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Output_Pricing_Proposal!$AD$671</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Output_Pricing_Proposal!$AD$672:$AD$891</c:f>
              <c:numCache>
                <c:formatCode>_(#,##0.0%_);\(#,##0.0%\);_("-"_)</c:formatCode>
                <c:ptCount val="220"/>
                <c:pt idx="0">
                  <c:v>-0.34663381948202676</c:v>
                </c:pt>
                <c:pt idx="1">
                  <c:v>-0.237696562363753</c:v>
                </c:pt>
                <c:pt idx="2">
                  <c:v>-0.18882725711447981</c:v>
                </c:pt>
                <c:pt idx="3">
                  <c:v>-0.13900349252692187</c:v>
                </c:pt>
                <c:pt idx="4">
                  <c:v>-0.13076096242074176</c:v>
                </c:pt>
                <c:pt idx="5">
                  <c:v>-0.11988485400468367</c:v>
                </c:pt>
                <c:pt idx="6">
                  <c:v>-0.10725260869206832</c:v>
                </c:pt>
                <c:pt idx="7">
                  <c:v>-0.10592684432290711</c:v>
                </c:pt>
                <c:pt idx="8">
                  <c:v>-0.10208620705854651</c:v>
                </c:pt>
                <c:pt idx="9">
                  <c:v>-9.9973753411121261E-2</c:v>
                </c:pt>
                <c:pt idx="10">
                  <c:v>-9.9294126702905702E-2</c:v>
                </c:pt>
                <c:pt idx="11">
                  <c:v>-9.7791784863753894E-2</c:v>
                </c:pt>
                <c:pt idx="12">
                  <c:v>-9.7330860683964071E-2</c:v>
                </c:pt>
                <c:pt idx="13">
                  <c:v>-9.7314815834521479E-2</c:v>
                </c:pt>
                <c:pt idx="14">
                  <c:v>-9.599682247552567E-2</c:v>
                </c:pt>
                <c:pt idx="15">
                  <c:v>-9.523648587007616E-2</c:v>
                </c:pt>
                <c:pt idx="16">
                  <c:v>-9.1221127035423052E-2</c:v>
                </c:pt>
                <c:pt idx="17">
                  <c:v>-9.0429460349449486E-2</c:v>
                </c:pt>
                <c:pt idx="18">
                  <c:v>-9.0381262511824323E-2</c:v>
                </c:pt>
                <c:pt idx="19">
                  <c:v>-9.036011230135825E-2</c:v>
                </c:pt>
                <c:pt idx="20">
                  <c:v>-8.5810727067428025E-2</c:v>
                </c:pt>
                <c:pt idx="21">
                  <c:v>-8.3863958100959105E-2</c:v>
                </c:pt>
                <c:pt idx="22">
                  <c:v>-8.0728849595447461E-2</c:v>
                </c:pt>
                <c:pt idx="23">
                  <c:v>-7.9820251067397582E-2</c:v>
                </c:pt>
                <c:pt idx="24">
                  <c:v>-6.6300078422906999E-2</c:v>
                </c:pt>
                <c:pt idx="25">
                  <c:v>-6.4899076699458061E-2</c:v>
                </c:pt>
                <c:pt idx="26">
                  <c:v>-6.4855722868962642E-2</c:v>
                </c:pt>
                <c:pt idx="27">
                  <c:v>-6.4703493743359194E-2</c:v>
                </c:pt>
                <c:pt idx="28">
                  <c:v>-6.1548024356816756E-2</c:v>
                </c:pt>
                <c:pt idx="29">
                  <c:v>-6.1413997178586859E-2</c:v>
                </c:pt>
                <c:pt idx="30">
                  <c:v>-5.910017598373557E-2</c:v>
                </c:pt>
                <c:pt idx="31">
                  <c:v>-5.737091430412971E-2</c:v>
                </c:pt>
                <c:pt idx="32">
                  <c:v>-5.2860010682834795E-2</c:v>
                </c:pt>
                <c:pt idx="33">
                  <c:v>-4.7182008117809225E-2</c:v>
                </c:pt>
                <c:pt idx="34">
                  <c:v>-4.3740542274417309E-2</c:v>
                </c:pt>
                <c:pt idx="35">
                  <c:v>-4.3481308230450114E-2</c:v>
                </c:pt>
                <c:pt idx="36">
                  <c:v>-4.0990419619962533E-2</c:v>
                </c:pt>
                <c:pt idx="37">
                  <c:v>-3.2635744129926446E-2</c:v>
                </c:pt>
                <c:pt idx="38">
                  <c:v>-3.2108837604418718E-2</c:v>
                </c:pt>
                <c:pt idx="39">
                  <c:v>-3.0833465886462776E-2</c:v>
                </c:pt>
                <c:pt idx="40">
                  <c:v>-2.9510301250199062E-2</c:v>
                </c:pt>
                <c:pt idx="41">
                  <c:v>-2.8491958214856748E-2</c:v>
                </c:pt>
                <c:pt idx="42">
                  <c:v>-2.6770453482209546E-2</c:v>
                </c:pt>
                <c:pt idx="43">
                  <c:v>-2.5401132465296548E-2</c:v>
                </c:pt>
                <c:pt idx="44">
                  <c:v>-2.508792091687042E-2</c:v>
                </c:pt>
                <c:pt idx="45">
                  <c:v>-2.4809989692188741E-2</c:v>
                </c:pt>
                <c:pt idx="46">
                  <c:v>-2.3851854318814075E-2</c:v>
                </c:pt>
                <c:pt idx="47">
                  <c:v>-2.0630286596776799E-2</c:v>
                </c:pt>
                <c:pt idx="48">
                  <c:v>-1.9588124441091728E-2</c:v>
                </c:pt>
                <c:pt idx="49">
                  <c:v>-1.8297334764632744E-2</c:v>
                </c:pt>
                <c:pt idx="50">
                  <c:v>-1.7482316792807498E-2</c:v>
                </c:pt>
                <c:pt idx="51">
                  <c:v>-1.5614877459299006E-2</c:v>
                </c:pt>
                <c:pt idx="52">
                  <c:v>-1.4293890296946997E-2</c:v>
                </c:pt>
                <c:pt idx="53">
                  <c:v>-1.3961299129028248E-2</c:v>
                </c:pt>
                <c:pt idx="54">
                  <c:v>-1.0569461217144723E-2</c:v>
                </c:pt>
                <c:pt idx="55">
                  <c:v>-8.2776710341285701E-3</c:v>
                </c:pt>
                <c:pt idx="56">
                  <c:v>-4.6924457886590451E-3</c:v>
                </c:pt>
                <c:pt idx="57">
                  <c:v>-3.5261373059112967E-3</c:v>
                </c:pt>
                <c:pt idx="58">
                  <c:v>-2.4551151356803249E-3</c:v>
                </c:pt>
                <c:pt idx="59">
                  <c:v>-2.2771310515587136E-4</c:v>
                </c:pt>
                <c:pt idx="60">
                  <c:v>4.581583804173187E-4</c:v>
                </c:pt>
                <c:pt idx="61">
                  <c:v>3.7182774108928248E-3</c:v>
                </c:pt>
                <c:pt idx="62">
                  <c:v>4.6556096092726955E-3</c:v>
                </c:pt>
                <c:pt idx="63">
                  <c:v>8.9468767854772209E-3</c:v>
                </c:pt>
                <c:pt idx="64">
                  <c:v>1.0172654707937505E-2</c:v>
                </c:pt>
                <c:pt idx="65">
                  <c:v>1.0424175144729732E-2</c:v>
                </c:pt>
                <c:pt idx="66">
                  <c:v>1.0670728813247436E-2</c:v>
                </c:pt>
                <c:pt idx="67">
                  <c:v>1.2282463858278185E-2</c:v>
                </c:pt>
                <c:pt idx="68">
                  <c:v>1.2672089736356274E-2</c:v>
                </c:pt>
                <c:pt idx="69">
                  <c:v>1.271965014549622E-2</c:v>
                </c:pt>
                <c:pt idx="70">
                  <c:v>1.3929016484080559E-2</c:v>
                </c:pt>
                <c:pt idx="71">
                  <c:v>1.5114795180549421E-2</c:v>
                </c:pt>
                <c:pt idx="72">
                  <c:v>1.5554225705909634E-2</c:v>
                </c:pt>
                <c:pt idx="73">
                  <c:v>1.6072098843383623E-2</c:v>
                </c:pt>
                <c:pt idx="74">
                  <c:v>1.6482790388196621E-2</c:v>
                </c:pt>
                <c:pt idx="75">
                  <c:v>1.6796581671116518E-2</c:v>
                </c:pt>
                <c:pt idx="76">
                  <c:v>1.6972679195296988E-2</c:v>
                </c:pt>
                <c:pt idx="77">
                  <c:v>1.8975950972787394E-2</c:v>
                </c:pt>
                <c:pt idx="78">
                  <c:v>1.9918722213049873E-2</c:v>
                </c:pt>
                <c:pt idx="79">
                  <c:v>2.2353806615985152E-2</c:v>
                </c:pt>
                <c:pt idx="80">
                  <c:v>2.7439554698770047E-2</c:v>
                </c:pt>
                <c:pt idx="81">
                  <c:v>2.9550585449906051E-2</c:v>
                </c:pt>
                <c:pt idx="82">
                  <c:v>3.0293610456135503E-2</c:v>
                </c:pt>
                <c:pt idx="83">
                  <c:v>3.0353339394786252E-2</c:v>
                </c:pt>
                <c:pt idx="84">
                  <c:v>3.0928842942981677E-2</c:v>
                </c:pt>
                <c:pt idx="85">
                  <c:v>3.1754171183599258E-2</c:v>
                </c:pt>
                <c:pt idx="86">
                  <c:v>3.7944408173042954E-2</c:v>
                </c:pt>
                <c:pt idx="87">
                  <c:v>3.8262752215596725E-2</c:v>
                </c:pt>
                <c:pt idx="88">
                  <c:v>3.9028382495852242E-2</c:v>
                </c:pt>
                <c:pt idx="89">
                  <c:v>4.0453320053697048E-2</c:v>
                </c:pt>
                <c:pt idx="90">
                  <c:v>4.055226972606385E-2</c:v>
                </c:pt>
                <c:pt idx="91">
                  <c:v>4.139275177290222E-2</c:v>
                </c:pt>
                <c:pt idx="92">
                  <c:v>4.2988118104570462E-2</c:v>
                </c:pt>
                <c:pt idx="93">
                  <c:v>4.3974877877907742E-2</c:v>
                </c:pt>
                <c:pt idx="94">
                  <c:v>4.6829813039374259E-2</c:v>
                </c:pt>
                <c:pt idx="95">
                  <c:v>4.7203646376646063E-2</c:v>
                </c:pt>
                <c:pt idx="96">
                  <c:v>4.7496665046676767E-2</c:v>
                </c:pt>
                <c:pt idx="97">
                  <c:v>4.833119516923913E-2</c:v>
                </c:pt>
                <c:pt idx="98">
                  <c:v>4.9616512614626407E-2</c:v>
                </c:pt>
                <c:pt idx="99">
                  <c:v>4.9873319357820634E-2</c:v>
                </c:pt>
                <c:pt idx="100">
                  <c:v>5.2303056572180297E-2</c:v>
                </c:pt>
                <c:pt idx="101">
                  <c:v>5.2983635472529211E-2</c:v>
                </c:pt>
                <c:pt idx="102">
                  <c:v>5.3606148965675962E-2</c:v>
                </c:pt>
                <c:pt idx="103">
                  <c:v>5.4348457105506433E-2</c:v>
                </c:pt>
                <c:pt idx="104">
                  <c:v>5.4396378066283717E-2</c:v>
                </c:pt>
                <c:pt idx="105">
                  <c:v>5.5419539851011418E-2</c:v>
                </c:pt>
                <c:pt idx="106">
                  <c:v>5.5796093136179774E-2</c:v>
                </c:pt>
                <c:pt idx="107">
                  <c:v>5.617796891895923E-2</c:v>
                </c:pt>
                <c:pt idx="108">
                  <c:v>5.7054492785158471E-2</c:v>
                </c:pt>
                <c:pt idx="109">
                  <c:v>5.7211241264578744E-2</c:v>
                </c:pt>
                <c:pt idx="110">
                  <c:v>5.9246708554538584E-2</c:v>
                </c:pt>
                <c:pt idx="111">
                  <c:v>6.0433506710704799E-2</c:v>
                </c:pt>
                <c:pt idx="112">
                  <c:v>6.3433643084674113E-2</c:v>
                </c:pt>
                <c:pt idx="113">
                  <c:v>6.403449398502864E-2</c:v>
                </c:pt>
                <c:pt idx="114">
                  <c:v>6.4373718092624641E-2</c:v>
                </c:pt>
                <c:pt idx="115">
                  <c:v>6.4707051752853448E-2</c:v>
                </c:pt>
                <c:pt idx="116">
                  <c:v>6.6210633321691942E-2</c:v>
                </c:pt>
                <c:pt idx="117">
                  <c:v>6.6378404046690029E-2</c:v>
                </c:pt>
                <c:pt idx="118">
                  <c:v>6.7078899330452163E-2</c:v>
                </c:pt>
                <c:pt idx="119">
                  <c:v>6.7428852022473576E-2</c:v>
                </c:pt>
                <c:pt idx="120">
                  <c:v>6.8451801524280695E-2</c:v>
                </c:pt>
                <c:pt idx="121">
                  <c:v>6.8610257459872703E-2</c:v>
                </c:pt>
                <c:pt idx="122">
                  <c:v>6.8986638201086192E-2</c:v>
                </c:pt>
                <c:pt idx="123">
                  <c:v>6.927650758883637E-2</c:v>
                </c:pt>
                <c:pt idx="124">
                  <c:v>7.0066542955208477E-2</c:v>
                </c:pt>
                <c:pt idx="125">
                  <c:v>7.0537764446639076E-2</c:v>
                </c:pt>
                <c:pt idx="126">
                  <c:v>7.1275155370214588E-2</c:v>
                </c:pt>
                <c:pt idx="127">
                  <c:v>7.2811069991305988E-2</c:v>
                </c:pt>
                <c:pt idx="128">
                  <c:v>7.3507299636621434E-2</c:v>
                </c:pt>
                <c:pt idx="129">
                  <c:v>7.4706393262441384E-2</c:v>
                </c:pt>
                <c:pt idx="130">
                  <c:v>7.5342601046754679E-2</c:v>
                </c:pt>
                <c:pt idx="131">
                  <c:v>7.5386635378867542E-2</c:v>
                </c:pt>
                <c:pt idx="132">
                  <c:v>7.5738810641686236E-2</c:v>
                </c:pt>
                <c:pt idx="133">
                  <c:v>7.623117773821031E-2</c:v>
                </c:pt>
                <c:pt idx="134">
                  <c:v>7.6768425602739165E-2</c:v>
                </c:pt>
                <c:pt idx="135">
                  <c:v>7.6962769076460311E-2</c:v>
                </c:pt>
                <c:pt idx="136">
                  <c:v>7.839786980061296E-2</c:v>
                </c:pt>
                <c:pt idx="137">
                  <c:v>8.1624906994801336E-2</c:v>
                </c:pt>
                <c:pt idx="138">
                  <c:v>8.1796002826923495E-2</c:v>
                </c:pt>
                <c:pt idx="139">
                  <c:v>8.1839013842212538E-2</c:v>
                </c:pt>
                <c:pt idx="140">
                  <c:v>8.244259901023189E-2</c:v>
                </c:pt>
                <c:pt idx="141">
                  <c:v>8.2883549019453981E-2</c:v>
                </c:pt>
                <c:pt idx="142">
                  <c:v>8.3923388628387732E-2</c:v>
                </c:pt>
                <c:pt idx="143">
                  <c:v>8.4231128199944758E-2</c:v>
                </c:pt>
                <c:pt idx="144">
                  <c:v>8.4783821902782594E-2</c:v>
                </c:pt>
                <c:pt idx="145">
                  <c:v>8.5003729189253807E-2</c:v>
                </c:pt>
                <c:pt idx="146">
                  <c:v>8.5035949115196671E-2</c:v>
                </c:pt>
                <c:pt idx="147">
                  <c:v>8.5261127108484866E-2</c:v>
                </c:pt>
                <c:pt idx="148">
                  <c:v>8.592421797836472E-2</c:v>
                </c:pt>
                <c:pt idx="149">
                  <c:v>8.712545985853816E-2</c:v>
                </c:pt>
                <c:pt idx="150">
                  <c:v>8.8646322551245854E-2</c:v>
                </c:pt>
                <c:pt idx="151">
                  <c:v>8.8710050765899703E-2</c:v>
                </c:pt>
                <c:pt idx="152">
                  <c:v>9.084853050277425E-2</c:v>
                </c:pt>
                <c:pt idx="153">
                  <c:v>9.1208492362797475E-2</c:v>
                </c:pt>
                <c:pt idx="154">
                  <c:v>9.2702221733732382E-2</c:v>
                </c:pt>
                <c:pt idx="155">
                  <c:v>9.3153963988403615E-2</c:v>
                </c:pt>
                <c:pt idx="156">
                  <c:v>9.3685827333789246E-2</c:v>
                </c:pt>
                <c:pt idx="157">
                  <c:v>9.3860757188752364E-2</c:v>
                </c:pt>
                <c:pt idx="158">
                  <c:v>9.4956498915901466E-2</c:v>
                </c:pt>
                <c:pt idx="159">
                  <c:v>9.6692427453249116E-2</c:v>
                </c:pt>
                <c:pt idx="160">
                  <c:v>9.699453551912568E-2</c:v>
                </c:pt>
                <c:pt idx="161">
                  <c:v>9.699453551912568E-2</c:v>
                </c:pt>
                <c:pt idx="162">
                  <c:v>9.699453551912568E-2</c:v>
                </c:pt>
                <c:pt idx="163">
                  <c:v>9.699453551912568E-2</c:v>
                </c:pt>
                <c:pt idx="164">
                  <c:v>9.699453551912568E-2</c:v>
                </c:pt>
                <c:pt idx="165">
                  <c:v>9.699453551912568E-2</c:v>
                </c:pt>
                <c:pt idx="166">
                  <c:v>9.699453551912568E-2</c:v>
                </c:pt>
                <c:pt idx="167">
                  <c:v>9.7943332033236866E-2</c:v>
                </c:pt>
                <c:pt idx="168">
                  <c:v>9.8040510267686953E-2</c:v>
                </c:pt>
                <c:pt idx="169">
                  <c:v>9.9303411242097267E-2</c:v>
                </c:pt>
                <c:pt idx="170">
                  <c:v>9.9392775005353845E-2</c:v>
                </c:pt>
                <c:pt idx="171">
                  <c:v>9.9685683827416702E-2</c:v>
                </c:pt>
                <c:pt idx="172">
                  <c:v>0.10160392837183095</c:v>
                </c:pt>
                <c:pt idx="173">
                  <c:v>0.101748139232437</c:v>
                </c:pt>
                <c:pt idx="174">
                  <c:v>0.10252666642691345</c:v>
                </c:pt>
                <c:pt idx="175">
                  <c:v>0.10365495493348925</c:v>
                </c:pt>
                <c:pt idx="176">
                  <c:v>0.10626246612573952</c:v>
                </c:pt>
                <c:pt idx="177">
                  <c:v>0.10650405345817276</c:v>
                </c:pt>
                <c:pt idx="178">
                  <c:v>0.10697611724306327</c:v>
                </c:pt>
                <c:pt idx="179">
                  <c:v>0.10769917834619777</c:v>
                </c:pt>
                <c:pt idx="180">
                  <c:v>0.10803074242464944</c:v>
                </c:pt>
                <c:pt idx="181">
                  <c:v>0.1088939210134931</c:v>
                </c:pt>
                <c:pt idx="182">
                  <c:v>0.10895006239374753</c:v>
                </c:pt>
                <c:pt idx="183">
                  <c:v>0.10908897734494449</c:v>
                </c:pt>
                <c:pt idx="184">
                  <c:v>0.10929880467909303</c:v>
                </c:pt>
                <c:pt idx="185">
                  <c:v>0.10965947674947887</c:v>
                </c:pt>
                <c:pt idx="186">
                  <c:v>0.10993923618414154</c:v>
                </c:pt>
                <c:pt idx="187">
                  <c:v>0.11111988166139371</c:v>
                </c:pt>
                <c:pt idx="188">
                  <c:v>0.11227667249384594</c:v>
                </c:pt>
                <c:pt idx="189">
                  <c:v>0.11240757009977075</c:v>
                </c:pt>
                <c:pt idx="190">
                  <c:v>0.1127101404871543</c:v>
                </c:pt>
                <c:pt idx="191">
                  <c:v>0.11281001162415792</c:v>
                </c:pt>
                <c:pt idx="192">
                  <c:v>0.11307996786579705</c:v>
                </c:pt>
                <c:pt idx="193">
                  <c:v>0.11482027358407883</c:v>
                </c:pt>
                <c:pt idx="194">
                  <c:v>0.11507144929332284</c:v>
                </c:pt>
                <c:pt idx="195">
                  <c:v>0.11619163408301864</c:v>
                </c:pt>
                <c:pt idx="196">
                  <c:v>0.11705087037706825</c:v>
                </c:pt>
                <c:pt idx="197">
                  <c:v>0.1181709841957909</c:v>
                </c:pt>
                <c:pt idx="198">
                  <c:v>0.11923454957574921</c:v>
                </c:pt>
                <c:pt idx="199">
                  <c:v>0.12025757771267176</c:v>
                </c:pt>
                <c:pt idx="200">
                  <c:v>0.12047345405911075</c:v>
                </c:pt>
                <c:pt idx="201">
                  <c:v>0.12114752549235358</c:v>
                </c:pt>
                <c:pt idx="202">
                  <c:v>0.1246324642663227</c:v>
                </c:pt>
                <c:pt idx="203">
                  <c:v>0.12584014324019077</c:v>
                </c:pt>
                <c:pt idx="204">
                  <c:v>0.12662632495156428</c:v>
                </c:pt>
                <c:pt idx="205">
                  <c:v>0.12720692233777495</c:v>
                </c:pt>
                <c:pt idx="206">
                  <c:v>0.1281133789718851</c:v>
                </c:pt>
                <c:pt idx="207">
                  <c:v>0.13057106278329692</c:v>
                </c:pt>
                <c:pt idx="208">
                  <c:v>0.1308635507115361</c:v>
                </c:pt>
                <c:pt idx="209">
                  <c:v>0.13256727764503948</c:v>
                </c:pt>
                <c:pt idx="210">
                  <c:v>0.13380751608806832</c:v>
                </c:pt>
                <c:pt idx="211">
                  <c:v>0.13484758867323332</c:v>
                </c:pt>
                <c:pt idx="212">
                  <c:v>0.13803504854629253</c:v>
                </c:pt>
                <c:pt idx="213">
                  <c:v>0.14542142895091439</c:v>
                </c:pt>
                <c:pt idx="214">
                  <c:v>0.15127737410037229</c:v>
                </c:pt>
                <c:pt idx="215">
                  <c:v>0.1535406388662888</c:v>
                </c:pt>
                <c:pt idx="216">
                  <c:v>0.15980497049544307</c:v>
                </c:pt>
                <c:pt idx="217">
                  <c:v>0.16004255217806621</c:v>
                </c:pt>
                <c:pt idx="218">
                  <c:v>0.16934297905682114</c:v>
                </c:pt>
                <c:pt idx="219">
                  <c:v>0.17264104523526258</c:v>
                </c:pt>
              </c:numCache>
            </c:numRef>
          </c:yVal>
          <c:smooth val="0"/>
          <c:extLst>
            <c:ext xmlns:c16="http://schemas.microsoft.com/office/drawing/2014/chart" uri="{C3380CC4-5D6E-409C-BE32-E72D297353CC}">
              <c16:uniqueId val="{00000000-6732-416A-9F66-648E3D5037DF}"/>
            </c:ext>
          </c:extLst>
        </c:ser>
        <c:ser>
          <c:idx val="1"/>
          <c:order val="1"/>
          <c:tx>
            <c:strRef>
              <c:f>Output_Pricing_Proposal!$AE$671</c:f>
              <c:strCache>
                <c:ptCount val="1"/>
                <c:pt idx="0">
                  <c:v>Revenue Increase + CPI = 11.2%</c:v>
                </c:pt>
              </c:strCache>
            </c:strRef>
          </c:tx>
          <c:spPr>
            <a:ln w="38100" cap="rnd">
              <a:solidFill>
                <a:srgbClr val="139C00"/>
              </a:solidFill>
              <a:round/>
            </a:ln>
            <a:effectLst/>
          </c:spPr>
          <c:marker>
            <c:symbol val="none"/>
          </c:marker>
          <c:dLbls>
            <c:dLbl>
              <c:idx val="21"/>
              <c:layout>
                <c:manualLayout>
                  <c:x val="-0.10028592132054608"/>
                  <c:y val="-4.854130212890055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6732-416A-9F66-648E3D5037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Output_Pricing_Proposal!$AE$672:$AE$891</c:f>
              <c:numCache>
                <c:formatCode>0.0%</c:formatCode>
                <c:ptCount val="220"/>
                <c:pt idx="0">
                  <c:v>0.1122328118842657</c:v>
                </c:pt>
                <c:pt idx="1">
                  <c:v>0.1122328118842657</c:v>
                </c:pt>
                <c:pt idx="2">
                  <c:v>0.1122328118842657</c:v>
                </c:pt>
                <c:pt idx="3">
                  <c:v>0.1122328118842657</c:v>
                </c:pt>
                <c:pt idx="4">
                  <c:v>0.1122328118842657</c:v>
                </c:pt>
                <c:pt idx="5">
                  <c:v>0.1122328118842657</c:v>
                </c:pt>
                <c:pt idx="6">
                  <c:v>0.1122328118842657</c:v>
                </c:pt>
                <c:pt idx="7">
                  <c:v>0.1122328118842657</c:v>
                </c:pt>
                <c:pt idx="8">
                  <c:v>0.1122328118842657</c:v>
                </c:pt>
                <c:pt idx="9">
                  <c:v>0.1122328118842657</c:v>
                </c:pt>
                <c:pt idx="10">
                  <c:v>0.1122328118842657</c:v>
                </c:pt>
                <c:pt idx="11">
                  <c:v>0.1122328118842657</c:v>
                </c:pt>
                <c:pt idx="12">
                  <c:v>0.1122328118842657</c:v>
                </c:pt>
                <c:pt idx="13">
                  <c:v>0.1122328118842657</c:v>
                </c:pt>
                <c:pt idx="14">
                  <c:v>0.1122328118842657</c:v>
                </c:pt>
                <c:pt idx="15">
                  <c:v>0.1122328118842657</c:v>
                </c:pt>
                <c:pt idx="16">
                  <c:v>0.1122328118842657</c:v>
                </c:pt>
                <c:pt idx="17">
                  <c:v>0.1122328118842657</c:v>
                </c:pt>
                <c:pt idx="18">
                  <c:v>0.1122328118842657</c:v>
                </c:pt>
                <c:pt idx="19">
                  <c:v>0.1122328118842657</c:v>
                </c:pt>
                <c:pt idx="20">
                  <c:v>0.1122328118842657</c:v>
                </c:pt>
                <c:pt idx="21">
                  <c:v>0.1122328118842657</c:v>
                </c:pt>
                <c:pt idx="22">
                  <c:v>0.1122328118842657</c:v>
                </c:pt>
                <c:pt idx="23">
                  <c:v>0.1122328118842657</c:v>
                </c:pt>
                <c:pt idx="24">
                  <c:v>0.1122328118842657</c:v>
                </c:pt>
                <c:pt idx="25">
                  <c:v>0.1122328118842657</c:v>
                </c:pt>
                <c:pt idx="26">
                  <c:v>0.1122328118842657</c:v>
                </c:pt>
                <c:pt idx="27">
                  <c:v>0.1122328118842657</c:v>
                </c:pt>
                <c:pt idx="28">
                  <c:v>0.1122328118842657</c:v>
                </c:pt>
                <c:pt idx="29">
                  <c:v>0.1122328118842657</c:v>
                </c:pt>
                <c:pt idx="30">
                  <c:v>0.1122328118842657</c:v>
                </c:pt>
                <c:pt idx="31">
                  <c:v>0.1122328118842657</c:v>
                </c:pt>
                <c:pt idx="32">
                  <c:v>0.1122328118842657</c:v>
                </c:pt>
                <c:pt idx="33">
                  <c:v>0.1122328118842657</c:v>
                </c:pt>
                <c:pt idx="34">
                  <c:v>0.1122328118842657</c:v>
                </c:pt>
                <c:pt idx="35">
                  <c:v>0.1122328118842657</c:v>
                </c:pt>
                <c:pt idx="36">
                  <c:v>0.1122328118842657</c:v>
                </c:pt>
                <c:pt idx="37">
                  <c:v>0.1122328118842657</c:v>
                </c:pt>
                <c:pt idx="38">
                  <c:v>0.1122328118842657</c:v>
                </c:pt>
                <c:pt idx="39">
                  <c:v>0.1122328118842657</c:v>
                </c:pt>
                <c:pt idx="40">
                  <c:v>0.1122328118842657</c:v>
                </c:pt>
                <c:pt idx="41">
                  <c:v>0.1122328118842657</c:v>
                </c:pt>
                <c:pt idx="42">
                  <c:v>0.1122328118842657</c:v>
                </c:pt>
                <c:pt idx="43">
                  <c:v>0.1122328118842657</c:v>
                </c:pt>
                <c:pt idx="44">
                  <c:v>0.1122328118842657</c:v>
                </c:pt>
                <c:pt idx="45">
                  <c:v>0.1122328118842657</c:v>
                </c:pt>
                <c:pt idx="46">
                  <c:v>0.1122328118842657</c:v>
                </c:pt>
                <c:pt idx="47">
                  <c:v>0.1122328118842657</c:v>
                </c:pt>
                <c:pt idx="48">
                  <c:v>0.1122328118842657</c:v>
                </c:pt>
                <c:pt idx="49">
                  <c:v>0.1122328118842657</c:v>
                </c:pt>
                <c:pt idx="50">
                  <c:v>0.1122328118842657</c:v>
                </c:pt>
                <c:pt idx="51">
                  <c:v>0.1122328118842657</c:v>
                </c:pt>
                <c:pt idx="52">
                  <c:v>0.1122328118842657</c:v>
                </c:pt>
                <c:pt idx="53">
                  <c:v>0.1122328118842657</c:v>
                </c:pt>
                <c:pt idx="54">
                  <c:v>0.1122328118842657</c:v>
                </c:pt>
                <c:pt idx="55">
                  <c:v>0.1122328118842657</c:v>
                </c:pt>
                <c:pt idx="56">
                  <c:v>0.1122328118842657</c:v>
                </c:pt>
                <c:pt idx="57">
                  <c:v>0.1122328118842657</c:v>
                </c:pt>
                <c:pt idx="58">
                  <c:v>0.1122328118842657</c:v>
                </c:pt>
                <c:pt idx="59">
                  <c:v>0.1122328118842657</c:v>
                </c:pt>
                <c:pt idx="60">
                  <c:v>0.1122328118842657</c:v>
                </c:pt>
                <c:pt idx="61">
                  <c:v>0.1122328118842657</c:v>
                </c:pt>
                <c:pt idx="62">
                  <c:v>0.1122328118842657</c:v>
                </c:pt>
                <c:pt idx="63">
                  <c:v>0.1122328118842657</c:v>
                </c:pt>
                <c:pt idx="64">
                  <c:v>0.1122328118842657</c:v>
                </c:pt>
                <c:pt idx="65">
                  <c:v>0.1122328118842657</c:v>
                </c:pt>
                <c:pt idx="66">
                  <c:v>0.1122328118842657</c:v>
                </c:pt>
                <c:pt idx="67">
                  <c:v>0.1122328118842657</c:v>
                </c:pt>
                <c:pt idx="68">
                  <c:v>0.1122328118842657</c:v>
                </c:pt>
                <c:pt idx="69">
                  <c:v>0.1122328118842657</c:v>
                </c:pt>
                <c:pt idx="70">
                  <c:v>0.1122328118842657</c:v>
                </c:pt>
                <c:pt idx="71">
                  <c:v>0.1122328118842657</c:v>
                </c:pt>
                <c:pt idx="72">
                  <c:v>0.1122328118842657</c:v>
                </c:pt>
                <c:pt idx="73">
                  <c:v>0.1122328118842657</c:v>
                </c:pt>
                <c:pt idx="74">
                  <c:v>0.1122328118842657</c:v>
                </c:pt>
                <c:pt idx="75">
                  <c:v>0.1122328118842657</c:v>
                </c:pt>
                <c:pt idx="76">
                  <c:v>0.1122328118842657</c:v>
                </c:pt>
                <c:pt idx="77">
                  <c:v>0.1122328118842657</c:v>
                </c:pt>
                <c:pt idx="78">
                  <c:v>0.1122328118842657</c:v>
                </c:pt>
                <c:pt idx="79">
                  <c:v>0.1122328118842657</c:v>
                </c:pt>
                <c:pt idx="80">
                  <c:v>0.1122328118842657</c:v>
                </c:pt>
                <c:pt idx="81">
                  <c:v>0.1122328118842657</c:v>
                </c:pt>
                <c:pt idx="82">
                  <c:v>0.1122328118842657</c:v>
                </c:pt>
                <c:pt idx="83">
                  <c:v>0.1122328118842657</c:v>
                </c:pt>
                <c:pt idx="84">
                  <c:v>0.1122328118842657</c:v>
                </c:pt>
                <c:pt idx="85">
                  <c:v>0.1122328118842657</c:v>
                </c:pt>
                <c:pt idx="86">
                  <c:v>0.1122328118842657</c:v>
                </c:pt>
                <c:pt idx="87">
                  <c:v>0.1122328118842657</c:v>
                </c:pt>
                <c:pt idx="88">
                  <c:v>0.1122328118842657</c:v>
                </c:pt>
                <c:pt idx="89">
                  <c:v>0.1122328118842657</c:v>
                </c:pt>
                <c:pt idx="90">
                  <c:v>0.1122328118842657</c:v>
                </c:pt>
                <c:pt idx="91">
                  <c:v>0.1122328118842657</c:v>
                </c:pt>
                <c:pt idx="92">
                  <c:v>0.1122328118842657</c:v>
                </c:pt>
                <c:pt idx="93">
                  <c:v>0.1122328118842657</c:v>
                </c:pt>
                <c:pt idx="94">
                  <c:v>0.1122328118842657</c:v>
                </c:pt>
                <c:pt idx="95">
                  <c:v>0.1122328118842657</c:v>
                </c:pt>
                <c:pt idx="96">
                  <c:v>0.1122328118842657</c:v>
                </c:pt>
                <c:pt idx="97">
                  <c:v>0.1122328118842657</c:v>
                </c:pt>
                <c:pt idx="98">
                  <c:v>0.1122328118842657</c:v>
                </c:pt>
                <c:pt idx="99">
                  <c:v>0.1122328118842657</c:v>
                </c:pt>
                <c:pt idx="100">
                  <c:v>0.1122328118842657</c:v>
                </c:pt>
                <c:pt idx="101">
                  <c:v>0.1122328118842657</c:v>
                </c:pt>
                <c:pt idx="102">
                  <c:v>0.1122328118842657</c:v>
                </c:pt>
                <c:pt idx="103">
                  <c:v>0.1122328118842657</c:v>
                </c:pt>
                <c:pt idx="104">
                  <c:v>0.1122328118842657</c:v>
                </c:pt>
                <c:pt idx="105">
                  <c:v>0.1122328118842657</c:v>
                </c:pt>
                <c:pt idx="106">
                  <c:v>0.1122328118842657</c:v>
                </c:pt>
                <c:pt idx="107">
                  <c:v>0.1122328118842657</c:v>
                </c:pt>
                <c:pt idx="108">
                  <c:v>0.1122328118842657</c:v>
                </c:pt>
                <c:pt idx="109">
                  <c:v>0.1122328118842657</c:v>
                </c:pt>
                <c:pt idx="110">
                  <c:v>0.1122328118842657</c:v>
                </c:pt>
                <c:pt idx="111">
                  <c:v>0.1122328118842657</c:v>
                </c:pt>
                <c:pt idx="112">
                  <c:v>0.1122328118842657</c:v>
                </c:pt>
                <c:pt idx="113">
                  <c:v>0.1122328118842657</c:v>
                </c:pt>
                <c:pt idx="114">
                  <c:v>0.1122328118842657</c:v>
                </c:pt>
                <c:pt idx="115">
                  <c:v>0.1122328118842657</c:v>
                </c:pt>
                <c:pt idx="116">
                  <c:v>0.1122328118842657</c:v>
                </c:pt>
                <c:pt idx="117">
                  <c:v>0.1122328118842657</c:v>
                </c:pt>
                <c:pt idx="118">
                  <c:v>0.1122328118842657</c:v>
                </c:pt>
                <c:pt idx="119">
                  <c:v>0.1122328118842657</c:v>
                </c:pt>
                <c:pt idx="120">
                  <c:v>0.1122328118842657</c:v>
                </c:pt>
                <c:pt idx="121">
                  <c:v>0.1122328118842657</c:v>
                </c:pt>
                <c:pt idx="122">
                  <c:v>0.1122328118842657</c:v>
                </c:pt>
                <c:pt idx="123">
                  <c:v>0.1122328118842657</c:v>
                </c:pt>
                <c:pt idx="124">
                  <c:v>0.1122328118842657</c:v>
                </c:pt>
                <c:pt idx="125">
                  <c:v>0.1122328118842657</c:v>
                </c:pt>
                <c:pt idx="126">
                  <c:v>0.1122328118842657</c:v>
                </c:pt>
                <c:pt idx="127">
                  <c:v>0.1122328118842657</c:v>
                </c:pt>
                <c:pt idx="128">
                  <c:v>0.1122328118842657</c:v>
                </c:pt>
                <c:pt idx="129">
                  <c:v>0.1122328118842657</c:v>
                </c:pt>
                <c:pt idx="130">
                  <c:v>0.1122328118842657</c:v>
                </c:pt>
                <c:pt idx="131">
                  <c:v>0.1122328118842657</c:v>
                </c:pt>
                <c:pt idx="132">
                  <c:v>0.1122328118842657</c:v>
                </c:pt>
                <c:pt idx="133">
                  <c:v>0.1122328118842657</c:v>
                </c:pt>
                <c:pt idx="134">
                  <c:v>0.1122328118842657</c:v>
                </c:pt>
                <c:pt idx="135">
                  <c:v>0.1122328118842657</c:v>
                </c:pt>
                <c:pt idx="136">
                  <c:v>0.1122328118842657</c:v>
                </c:pt>
                <c:pt idx="137">
                  <c:v>0.1122328118842657</c:v>
                </c:pt>
                <c:pt idx="138">
                  <c:v>0.1122328118842657</c:v>
                </c:pt>
                <c:pt idx="139">
                  <c:v>0.1122328118842657</c:v>
                </c:pt>
                <c:pt idx="140">
                  <c:v>0.1122328118842657</c:v>
                </c:pt>
                <c:pt idx="141">
                  <c:v>0.1122328118842657</c:v>
                </c:pt>
                <c:pt idx="142">
                  <c:v>0.1122328118842657</c:v>
                </c:pt>
                <c:pt idx="143">
                  <c:v>0.1122328118842657</c:v>
                </c:pt>
                <c:pt idx="144">
                  <c:v>0.1122328118842657</c:v>
                </c:pt>
                <c:pt idx="145">
                  <c:v>0.1122328118842657</c:v>
                </c:pt>
                <c:pt idx="146">
                  <c:v>0.1122328118842657</c:v>
                </c:pt>
                <c:pt idx="147">
                  <c:v>0.1122328118842657</c:v>
                </c:pt>
                <c:pt idx="148">
                  <c:v>0.1122328118842657</c:v>
                </c:pt>
                <c:pt idx="149">
                  <c:v>0.1122328118842657</c:v>
                </c:pt>
                <c:pt idx="150">
                  <c:v>0.1122328118842657</c:v>
                </c:pt>
                <c:pt idx="151">
                  <c:v>0.1122328118842657</c:v>
                </c:pt>
                <c:pt idx="152">
                  <c:v>0.1122328118842657</c:v>
                </c:pt>
                <c:pt idx="153">
                  <c:v>0.1122328118842657</c:v>
                </c:pt>
                <c:pt idx="154">
                  <c:v>0.1122328118842657</c:v>
                </c:pt>
                <c:pt idx="155">
                  <c:v>0.1122328118842657</c:v>
                </c:pt>
                <c:pt idx="156">
                  <c:v>0.1122328118842657</c:v>
                </c:pt>
                <c:pt idx="157">
                  <c:v>0.1122328118842657</c:v>
                </c:pt>
                <c:pt idx="158">
                  <c:v>0.1122328118842657</c:v>
                </c:pt>
                <c:pt idx="159">
                  <c:v>0.1122328118842657</c:v>
                </c:pt>
                <c:pt idx="160">
                  <c:v>0.1122328118842657</c:v>
                </c:pt>
                <c:pt idx="161">
                  <c:v>0.1122328118842657</c:v>
                </c:pt>
                <c:pt idx="162">
                  <c:v>0.1122328118842657</c:v>
                </c:pt>
                <c:pt idx="163">
                  <c:v>0.1122328118842657</c:v>
                </c:pt>
                <c:pt idx="164">
                  <c:v>0.1122328118842657</c:v>
                </c:pt>
                <c:pt idx="165">
                  <c:v>0.1122328118842657</c:v>
                </c:pt>
                <c:pt idx="166">
                  <c:v>0.1122328118842657</c:v>
                </c:pt>
                <c:pt idx="167">
                  <c:v>0.1122328118842657</c:v>
                </c:pt>
                <c:pt idx="168">
                  <c:v>0.1122328118842657</c:v>
                </c:pt>
                <c:pt idx="169">
                  <c:v>0.1122328118842657</c:v>
                </c:pt>
                <c:pt idx="170">
                  <c:v>0.1122328118842657</c:v>
                </c:pt>
                <c:pt idx="171">
                  <c:v>0.1122328118842657</c:v>
                </c:pt>
                <c:pt idx="172">
                  <c:v>0.1122328118842657</c:v>
                </c:pt>
                <c:pt idx="173">
                  <c:v>0.1122328118842657</c:v>
                </c:pt>
                <c:pt idx="174">
                  <c:v>0.1122328118842657</c:v>
                </c:pt>
                <c:pt idx="175">
                  <c:v>0.1122328118842657</c:v>
                </c:pt>
                <c:pt idx="176">
                  <c:v>0.1122328118842657</c:v>
                </c:pt>
                <c:pt idx="177">
                  <c:v>0.1122328118842657</c:v>
                </c:pt>
                <c:pt idx="178">
                  <c:v>0.1122328118842657</c:v>
                </c:pt>
                <c:pt idx="179">
                  <c:v>0.1122328118842657</c:v>
                </c:pt>
                <c:pt idx="180">
                  <c:v>0.1122328118842657</c:v>
                </c:pt>
                <c:pt idx="181">
                  <c:v>0.1122328118842657</c:v>
                </c:pt>
                <c:pt idx="182">
                  <c:v>0.1122328118842657</c:v>
                </c:pt>
                <c:pt idx="183">
                  <c:v>0.1122328118842657</c:v>
                </c:pt>
                <c:pt idx="184">
                  <c:v>0.1122328118842657</c:v>
                </c:pt>
                <c:pt idx="185">
                  <c:v>0.1122328118842657</c:v>
                </c:pt>
                <c:pt idx="186">
                  <c:v>0.1122328118842657</c:v>
                </c:pt>
                <c:pt idx="187">
                  <c:v>0.1122328118842657</c:v>
                </c:pt>
                <c:pt idx="188">
                  <c:v>0.1122328118842657</c:v>
                </c:pt>
                <c:pt idx="189">
                  <c:v>0.1122328118842657</c:v>
                </c:pt>
                <c:pt idx="190">
                  <c:v>0.1122328118842657</c:v>
                </c:pt>
                <c:pt idx="191">
                  <c:v>0.1122328118842657</c:v>
                </c:pt>
                <c:pt idx="192">
                  <c:v>0.1122328118842657</c:v>
                </c:pt>
                <c:pt idx="193">
                  <c:v>0.1122328118842657</c:v>
                </c:pt>
                <c:pt idx="194">
                  <c:v>0.1122328118842657</c:v>
                </c:pt>
                <c:pt idx="195">
                  <c:v>0.1122328118842657</c:v>
                </c:pt>
                <c:pt idx="196">
                  <c:v>0.1122328118842657</c:v>
                </c:pt>
                <c:pt idx="197">
                  <c:v>0.1122328118842657</c:v>
                </c:pt>
                <c:pt idx="198">
                  <c:v>0.1122328118842657</c:v>
                </c:pt>
                <c:pt idx="199">
                  <c:v>0.1122328118842657</c:v>
                </c:pt>
                <c:pt idx="200">
                  <c:v>0.1122328118842657</c:v>
                </c:pt>
                <c:pt idx="201">
                  <c:v>0.1122328118842657</c:v>
                </c:pt>
                <c:pt idx="202">
                  <c:v>0.1122328118842657</c:v>
                </c:pt>
                <c:pt idx="203">
                  <c:v>0.1122328118842657</c:v>
                </c:pt>
                <c:pt idx="204">
                  <c:v>0.1122328118842657</c:v>
                </c:pt>
                <c:pt idx="205">
                  <c:v>0.1122328118842657</c:v>
                </c:pt>
                <c:pt idx="206">
                  <c:v>0.1122328118842657</c:v>
                </c:pt>
                <c:pt idx="207">
                  <c:v>0.1122328118842657</c:v>
                </c:pt>
                <c:pt idx="208">
                  <c:v>0.1122328118842657</c:v>
                </c:pt>
                <c:pt idx="209">
                  <c:v>0.1122328118842657</c:v>
                </c:pt>
                <c:pt idx="210">
                  <c:v>0.1122328118842657</c:v>
                </c:pt>
                <c:pt idx="211">
                  <c:v>0.1122328118842657</c:v>
                </c:pt>
                <c:pt idx="212">
                  <c:v>0.1122328118842657</c:v>
                </c:pt>
                <c:pt idx="213">
                  <c:v>0.1122328118842657</c:v>
                </c:pt>
                <c:pt idx="214">
                  <c:v>0.1122328118842657</c:v>
                </c:pt>
                <c:pt idx="215">
                  <c:v>0.1122328118842657</c:v>
                </c:pt>
                <c:pt idx="216">
                  <c:v>0.1122328118842657</c:v>
                </c:pt>
                <c:pt idx="217">
                  <c:v>0.1122328118842657</c:v>
                </c:pt>
                <c:pt idx="218">
                  <c:v>0.1122328118842657</c:v>
                </c:pt>
                <c:pt idx="219">
                  <c:v>0.1122328118842657</c:v>
                </c:pt>
              </c:numCache>
            </c:numRef>
          </c:yVal>
          <c:smooth val="0"/>
          <c:extLst>
            <c:ext xmlns:c16="http://schemas.microsoft.com/office/drawing/2014/chart" uri="{C3380CC4-5D6E-409C-BE32-E72D297353CC}">
              <c16:uniqueId val="{00000002-6732-416A-9F66-648E3D5037DF}"/>
            </c:ext>
          </c:extLst>
        </c:ser>
        <c:dLbls>
          <c:showLegendKey val="0"/>
          <c:showVal val="0"/>
          <c:showCatName val="0"/>
          <c:showSerName val="0"/>
          <c:showPercent val="0"/>
          <c:showBubbleSize val="0"/>
        </c:dLbls>
        <c:axId val="296140975"/>
        <c:axId val="296141391"/>
      </c:scatterChart>
      <c:valAx>
        <c:axId val="296140975"/>
        <c:scaling>
          <c:orientation val="minMax"/>
          <c:max val="220"/>
        </c:scaling>
        <c:delete val="0"/>
        <c:axPos val="b"/>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20"/>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Output_Pricing_Proposal!$AD$526</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Output_Pricing_Proposal!$AD$583:$AD$644</c:f>
              <c:numCache>
                <c:formatCode>_(#,##0.0%_);\(#,##0.0%\);_("-"_)</c:formatCode>
                <c:ptCount val="62"/>
                <c:pt idx="0">
                  <c:v>-0.34663381948202676</c:v>
                </c:pt>
                <c:pt idx="1">
                  <c:v>-0.237696562363753</c:v>
                </c:pt>
                <c:pt idx="2">
                  <c:v>-0.10725260869206832</c:v>
                </c:pt>
                <c:pt idx="3">
                  <c:v>-0.10592684432290711</c:v>
                </c:pt>
                <c:pt idx="4">
                  <c:v>-0.10208620705854651</c:v>
                </c:pt>
                <c:pt idx="5">
                  <c:v>-9.7791784863753894E-2</c:v>
                </c:pt>
                <c:pt idx="6">
                  <c:v>-8.3863958100959105E-2</c:v>
                </c:pt>
                <c:pt idx="7">
                  <c:v>-6.6300078422906999E-2</c:v>
                </c:pt>
                <c:pt idx="8">
                  <c:v>-6.1548024356816756E-2</c:v>
                </c:pt>
                <c:pt idx="9">
                  <c:v>-6.1413997178586859E-2</c:v>
                </c:pt>
                <c:pt idx="10">
                  <c:v>-4.3740542274417309E-2</c:v>
                </c:pt>
                <c:pt idx="11">
                  <c:v>-4.0990419619962533E-2</c:v>
                </c:pt>
                <c:pt idx="12">
                  <c:v>-3.0833465886462776E-2</c:v>
                </c:pt>
                <c:pt idx="13">
                  <c:v>-2.9510301250199062E-2</c:v>
                </c:pt>
                <c:pt idx="14">
                  <c:v>-2.4809989692188741E-2</c:v>
                </c:pt>
                <c:pt idx="15">
                  <c:v>-2.3851854318814075E-2</c:v>
                </c:pt>
                <c:pt idx="16">
                  <c:v>-2.0630286596776799E-2</c:v>
                </c:pt>
                <c:pt idx="17">
                  <c:v>-4.6924457886590451E-3</c:v>
                </c:pt>
                <c:pt idx="18">
                  <c:v>-2.2771310515587136E-4</c:v>
                </c:pt>
                <c:pt idx="19">
                  <c:v>4.581583804173187E-4</c:v>
                </c:pt>
                <c:pt idx="20">
                  <c:v>1.0172654707937505E-2</c:v>
                </c:pt>
                <c:pt idx="21">
                  <c:v>1.0424175144729732E-2</c:v>
                </c:pt>
                <c:pt idx="22">
                  <c:v>1.5114795180549421E-2</c:v>
                </c:pt>
                <c:pt idx="23">
                  <c:v>1.6072098843383623E-2</c:v>
                </c:pt>
                <c:pt idx="24">
                  <c:v>1.6796581671116518E-2</c:v>
                </c:pt>
                <c:pt idx="25">
                  <c:v>2.2353806615985152E-2</c:v>
                </c:pt>
                <c:pt idx="26">
                  <c:v>2.7439554698770047E-2</c:v>
                </c:pt>
                <c:pt idx="27">
                  <c:v>2.9550585449906051E-2</c:v>
                </c:pt>
                <c:pt idx="28">
                  <c:v>3.8262752215596725E-2</c:v>
                </c:pt>
                <c:pt idx="29">
                  <c:v>3.9028382495852242E-2</c:v>
                </c:pt>
                <c:pt idx="30">
                  <c:v>4.0453320053697048E-2</c:v>
                </c:pt>
                <c:pt idx="31">
                  <c:v>4.7496665046676767E-2</c:v>
                </c:pt>
                <c:pt idx="32">
                  <c:v>4.9616512614626407E-2</c:v>
                </c:pt>
                <c:pt idx="33">
                  <c:v>5.3606148965675962E-2</c:v>
                </c:pt>
                <c:pt idx="34">
                  <c:v>5.5796093136179774E-2</c:v>
                </c:pt>
                <c:pt idx="35">
                  <c:v>5.617796891895923E-2</c:v>
                </c:pt>
                <c:pt idx="36">
                  <c:v>5.7054492785158471E-2</c:v>
                </c:pt>
                <c:pt idx="37">
                  <c:v>5.7211241264578744E-2</c:v>
                </c:pt>
                <c:pt idx="38">
                  <c:v>6.3433643084674113E-2</c:v>
                </c:pt>
                <c:pt idx="39">
                  <c:v>6.4373718092624641E-2</c:v>
                </c:pt>
                <c:pt idx="40">
                  <c:v>7.0537764446639076E-2</c:v>
                </c:pt>
                <c:pt idx="41">
                  <c:v>7.2811069991305988E-2</c:v>
                </c:pt>
                <c:pt idx="42">
                  <c:v>7.6962769076460311E-2</c:v>
                </c:pt>
                <c:pt idx="43">
                  <c:v>7.839786980061296E-2</c:v>
                </c:pt>
                <c:pt idx="44">
                  <c:v>8.1839013842212538E-2</c:v>
                </c:pt>
                <c:pt idx="45">
                  <c:v>8.8646322551245854E-2</c:v>
                </c:pt>
                <c:pt idx="46">
                  <c:v>9.084853050277425E-2</c:v>
                </c:pt>
                <c:pt idx="47">
                  <c:v>9.699453551912568E-2</c:v>
                </c:pt>
                <c:pt idx="48">
                  <c:v>9.699453551912568E-2</c:v>
                </c:pt>
                <c:pt idx="49">
                  <c:v>9.699453551912568E-2</c:v>
                </c:pt>
                <c:pt idx="50">
                  <c:v>9.699453551912568E-2</c:v>
                </c:pt>
                <c:pt idx="51">
                  <c:v>9.699453551912568E-2</c:v>
                </c:pt>
                <c:pt idx="52">
                  <c:v>9.699453551912568E-2</c:v>
                </c:pt>
                <c:pt idx="53">
                  <c:v>9.699453551912568E-2</c:v>
                </c:pt>
                <c:pt idx="54">
                  <c:v>9.9685683827416702E-2</c:v>
                </c:pt>
                <c:pt idx="55">
                  <c:v>0.10626246612573952</c:v>
                </c:pt>
                <c:pt idx="56">
                  <c:v>0.10697611724306327</c:v>
                </c:pt>
                <c:pt idx="57">
                  <c:v>0.10993923618414154</c:v>
                </c:pt>
                <c:pt idx="58">
                  <c:v>0.12025757771267176</c:v>
                </c:pt>
                <c:pt idx="59">
                  <c:v>0.12114752549235358</c:v>
                </c:pt>
                <c:pt idx="60">
                  <c:v>0.13803504854629253</c:v>
                </c:pt>
                <c:pt idx="61">
                  <c:v>0.14542142895091439</c:v>
                </c:pt>
              </c:numCache>
            </c:numRef>
          </c:yVal>
          <c:smooth val="0"/>
          <c:extLst>
            <c:ext xmlns:c16="http://schemas.microsoft.com/office/drawing/2014/chart" uri="{C3380CC4-5D6E-409C-BE32-E72D297353CC}">
              <c16:uniqueId val="{00000000-524B-4A75-BB7A-317FEED2E943}"/>
            </c:ext>
          </c:extLst>
        </c:ser>
        <c:ser>
          <c:idx val="1"/>
          <c:order val="1"/>
          <c:tx>
            <c:strRef>
              <c:f>Output_Pricing_Proposal!$AE$526</c:f>
              <c:strCache>
                <c:ptCount val="1"/>
                <c:pt idx="0">
                  <c:v>Revenue Increase + CPI = 11.2%</c:v>
                </c:pt>
              </c:strCache>
            </c:strRef>
          </c:tx>
          <c:spPr>
            <a:ln w="38100" cap="rnd">
              <a:solidFill>
                <a:srgbClr val="139C00"/>
              </a:solidFill>
              <a:round/>
            </a:ln>
            <a:effectLst/>
          </c:spPr>
          <c:marker>
            <c:symbol val="none"/>
          </c:marker>
          <c:dLbls>
            <c:dLbl>
              <c:idx val="21"/>
              <c:layout>
                <c:manualLayout>
                  <c:x val="-0.3485989906299008"/>
                  <c:y val="-3.928204286964129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524B-4A75-BB7A-317FEED2E9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yVal>
            <c:numRef>
              <c:f>Output_Pricing_Proposal!$AE$583:$AE$644</c:f>
              <c:numCache>
                <c:formatCode>0.0%</c:formatCode>
                <c:ptCount val="62"/>
                <c:pt idx="0">
                  <c:v>0.1122328118842657</c:v>
                </c:pt>
                <c:pt idx="1">
                  <c:v>0.1122328118842657</c:v>
                </c:pt>
                <c:pt idx="2">
                  <c:v>0.1122328118842657</c:v>
                </c:pt>
                <c:pt idx="3">
                  <c:v>0.1122328118842657</c:v>
                </c:pt>
                <c:pt idx="4">
                  <c:v>0.1122328118842657</c:v>
                </c:pt>
                <c:pt idx="5">
                  <c:v>0.1122328118842657</c:v>
                </c:pt>
                <c:pt idx="6">
                  <c:v>0.1122328118842657</c:v>
                </c:pt>
                <c:pt idx="7">
                  <c:v>0.1122328118842657</c:v>
                </c:pt>
                <c:pt idx="8">
                  <c:v>0.1122328118842657</c:v>
                </c:pt>
                <c:pt idx="9">
                  <c:v>0.1122328118842657</c:v>
                </c:pt>
                <c:pt idx="10">
                  <c:v>0.1122328118842657</c:v>
                </c:pt>
                <c:pt idx="11">
                  <c:v>0.1122328118842657</c:v>
                </c:pt>
                <c:pt idx="12">
                  <c:v>0.1122328118842657</c:v>
                </c:pt>
                <c:pt idx="13">
                  <c:v>0.1122328118842657</c:v>
                </c:pt>
                <c:pt idx="14">
                  <c:v>0.1122328118842657</c:v>
                </c:pt>
                <c:pt idx="15">
                  <c:v>0.1122328118842657</c:v>
                </c:pt>
                <c:pt idx="16">
                  <c:v>0.1122328118842657</c:v>
                </c:pt>
                <c:pt idx="17">
                  <c:v>0.1122328118842657</c:v>
                </c:pt>
                <c:pt idx="18">
                  <c:v>0.1122328118842657</c:v>
                </c:pt>
                <c:pt idx="19">
                  <c:v>0.1122328118842657</c:v>
                </c:pt>
                <c:pt idx="20">
                  <c:v>0.1122328118842657</c:v>
                </c:pt>
                <c:pt idx="21">
                  <c:v>0.1122328118842657</c:v>
                </c:pt>
                <c:pt idx="22">
                  <c:v>0.1122328118842657</c:v>
                </c:pt>
                <c:pt idx="23">
                  <c:v>0.1122328118842657</c:v>
                </c:pt>
                <c:pt idx="24">
                  <c:v>0.1122328118842657</c:v>
                </c:pt>
                <c:pt idx="25">
                  <c:v>0.1122328118842657</c:v>
                </c:pt>
                <c:pt idx="26">
                  <c:v>0.1122328118842657</c:v>
                </c:pt>
                <c:pt idx="27">
                  <c:v>0.1122328118842657</c:v>
                </c:pt>
                <c:pt idx="28">
                  <c:v>0.1122328118842657</c:v>
                </c:pt>
                <c:pt idx="29">
                  <c:v>0.1122328118842657</c:v>
                </c:pt>
                <c:pt idx="30">
                  <c:v>0.1122328118842657</c:v>
                </c:pt>
                <c:pt idx="31">
                  <c:v>0.1122328118842657</c:v>
                </c:pt>
                <c:pt idx="32">
                  <c:v>0.1122328118842657</c:v>
                </c:pt>
                <c:pt idx="33">
                  <c:v>0.1122328118842657</c:v>
                </c:pt>
                <c:pt idx="34">
                  <c:v>0.1122328118842657</c:v>
                </c:pt>
                <c:pt idx="35">
                  <c:v>0.1122328118842657</c:v>
                </c:pt>
                <c:pt idx="36">
                  <c:v>0.1122328118842657</c:v>
                </c:pt>
                <c:pt idx="37">
                  <c:v>0.1122328118842657</c:v>
                </c:pt>
                <c:pt idx="38">
                  <c:v>0.1122328118842657</c:v>
                </c:pt>
                <c:pt idx="39">
                  <c:v>0.1122328118842657</c:v>
                </c:pt>
                <c:pt idx="40">
                  <c:v>0.1122328118842657</c:v>
                </c:pt>
                <c:pt idx="41">
                  <c:v>0.1122328118842657</c:v>
                </c:pt>
                <c:pt idx="42">
                  <c:v>0.1122328118842657</c:v>
                </c:pt>
                <c:pt idx="43">
                  <c:v>0.1122328118842657</c:v>
                </c:pt>
                <c:pt idx="44">
                  <c:v>0.1122328118842657</c:v>
                </c:pt>
                <c:pt idx="45">
                  <c:v>0.1122328118842657</c:v>
                </c:pt>
                <c:pt idx="46">
                  <c:v>0.1122328118842657</c:v>
                </c:pt>
                <c:pt idx="47">
                  <c:v>0.1122328118842657</c:v>
                </c:pt>
                <c:pt idx="48">
                  <c:v>0.1122328118842657</c:v>
                </c:pt>
                <c:pt idx="49">
                  <c:v>0.1122328118842657</c:v>
                </c:pt>
                <c:pt idx="50">
                  <c:v>0.1122328118842657</c:v>
                </c:pt>
                <c:pt idx="51">
                  <c:v>0.1122328118842657</c:v>
                </c:pt>
                <c:pt idx="52">
                  <c:v>0.1122328118842657</c:v>
                </c:pt>
                <c:pt idx="53">
                  <c:v>0.1122328118842657</c:v>
                </c:pt>
                <c:pt idx="54">
                  <c:v>0.1122328118842657</c:v>
                </c:pt>
                <c:pt idx="55">
                  <c:v>0.1122328118842657</c:v>
                </c:pt>
                <c:pt idx="56">
                  <c:v>0.1122328118842657</c:v>
                </c:pt>
                <c:pt idx="57">
                  <c:v>0.1122328118842657</c:v>
                </c:pt>
                <c:pt idx="58">
                  <c:v>0.1122328118842657</c:v>
                </c:pt>
                <c:pt idx="59">
                  <c:v>0.1122328118842657</c:v>
                </c:pt>
                <c:pt idx="60">
                  <c:v>0.1122328118842657</c:v>
                </c:pt>
                <c:pt idx="61">
                  <c:v>0.1122328118842657</c:v>
                </c:pt>
              </c:numCache>
            </c:numRef>
          </c:yVal>
          <c:smooth val="0"/>
          <c:extLst>
            <c:ext xmlns:c16="http://schemas.microsoft.com/office/drawing/2014/chart" uri="{C3380CC4-5D6E-409C-BE32-E72D297353CC}">
              <c16:uniqueId val="{00000002-524B-4A75-BB7A-317FEED2E943}"/>
            </c:ext>
          </c:extLst>
        </c:ser>
        <c:dLbls>
          <c:showLegendKey val="0"/>
          <c:showVal val="0"/>
          <c:showCatName val="0"/>
          <c:showSerName val="0"/>
          <c:showPercent val="0"/>
          <c:showBubbleSize val="0"/>
        </c:dLbls>
        <c:axId val="296140975"/>
        <c:axId val="296141391"/>
      </c:scatterChart>
      <c:valAx>
        <c:axId val="296140975"/>
        <c:scaling>
          <c:orientation val="minMax"/>
          <c:max val="62"/>
          <c:min val="0"/>
        </c:scaling>
        <c:delete val="0"/>
        <c:axPos val="b"/>
        <c:numFmt formatCode="General" sourceLinked="1"/>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Output_Pricing_Proposal!$L$252</c:f>
              <c:strCache>
                <c:ptCount val="1"/>
                <c:pt idx="0">
                  <c:v>LV &gt;750MWh</c:v>
                </c:pt>
              </c:strCache>
            </c:strRef>
          </c:tx>
          <c:spPr>
            <a:ln w="28575" cap="rnd">
              <a:solidFill>
                <a:srgbClr val="3D8704"/>
              </a:solidFill>
              <a:round/>
            </a:ln>
            <a:effectLst/>
          </c:spPr>
          <c:marker>
            <c:symbol val="none"/>
          </c:marker>
          <c:dLbls>
            <c:dLbl>
              <c:idx val="4"/>
              <c:layout>
                <c:manualLayout>
                  <c:x val="-1.4814641318206719E-16"/>
                  <c:y val="-6.504062264873250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BD-4DD8-958B-80EE0182D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Output_Pricing_Proposal!$M$250:$Q$250</c:f>
              <c:strCache>
                <c:ptCount val="5"/>
                <c:pt idx="0">
                  <c:v>FY25</c:v>
                </c:pt>
                <c:pt idx="1">
                  <c:v>FY26</c:v>
                </c:pt>
                <c:pt idx="2">
                  <c:v>FY27</c:v>
                </c:pt>
                <c:pt idx="3">
                  <c:v>FY28</c:v>
                </c:pt>
                <c:pt idx="4">
                  <c:v>FY29</c:v>
                </c:pt>
              </c:strCache>
            </c:strRef>
          </c:cat>
          <c:val>
            <c:numRef>
              <c:f>Output_Pricing_Proposal!$M$252:$Q$252</c:f>
              <c:numCache>
                <c:formatCode>0.0</c:formatCode>
                <c:ptCount val="5"/>
                <c:pt idx="0">
                  <c:v>7.34693836191581</c:v>
                </c:pt>
                <c:pt idx="1">
                  <c:v>7.5425331395301232</c:v>
                </c:pt>
                <c:pt idx="2">
                  <c:v>7.6952443811324081</c:v>
                </c:pt>
                <c:pt idx="3">
                  <c:v>7.8546518603409128</c:v>
                </c:pt>
                <c:pt idx="4">
                  <c:v>7.9876660424874677</c:v>
                </c:pt>
              </c:numCache>
            </c:numRef>
          </c:val>
          <c:smooth val="0"/>
          <c:extLst>
            <c:ext xmlns:c16="http://schemas.microsoft.com/office/drawing/2014/chart" uri="{C3380CC4-5D6E-409C-BE32-E72D297353CC}">
              <c16:uniqueId val="{00000001-4ABD-4DD8-958B-80EE0182D260}"/>
            </c:ext>
          </c:extLst>
        </c:ser>
        <c:ser>
          <c:idx val="2"/>
          <c:order val="1"/>
          <c:tx>
            <c:strRef>
              <c:f>Output_Pricing_Proposal!$L$251</c:f>
              <c:strCache>
                <c:ptCount val="1"/>
                <c:pt idx="0">
                  <c:v>LV &lt;750MWh</c:v>
                </c:pt>
              </c:strCache>
            </c:strRef>
          </c:tx>
          <c:spPr>
            <a:ln w="28575" cap="rnd">
              <a:solidFill>
                <a:srgbClr val="037DBB"/>
              </a:solidFill>
              <a:round/>
            </a:ln>
            <a:effectLst/>
          </c:spPr>
          <c:marker>
            <c:symbol val="none"/>
          </c:marker>
          <c:dLbls>
            <c:dLbl>
              <c:idx val="4"/>
              <c:layout>
                <c:manualLayout>
                  <c:x val="2.0202016988463169E-3"/>
                  <c:y val="-2.836879432624113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BD-4DD8-958B-80EE0182D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Output_Pricing_Proposal!$M$250:$Q$250</c:f>
              <c:strCache>
                <c:ptCount val="5"/>
                <c:pt idx="0">
                  <c:v>FY25</c:v>
                </c:pt>
                <c:pt idx="1">
                  <c:v>FY26</c:v>
                </c:pt>
                <c:pt idx="2">
                  <c:v>FY27</c:v>
                </c:pt>
                <c:pt idx="3">
                  <c:v>FY28</c:v>
                </c:pt>
                <c:pt idx="4">
                  <c:v>FY29</c:v>
                </c:pt>
              </c:strCache>
            </c:strRef>
          </c:cat>
          <c:val>
            <c:numRef>
              <c:f>Output_Pricing_Proposal!$M$251:$Q$251</c:f>
              <c:numCache>
                <c:formatCode>0.0</c:formatCode>
                <c:ptCount val="5"/>
                <c:pt idx="0">
                  <c:v>53.615632240101498</c:v>
                </c:pt>
                <c:pt idx="1">
                  <c:v>55.043021058144994</c:v>
                </c:pt>
                <c:pt idx="2">
                  <c:v>56.157459394952042</c:v>
                </c:pt>
                <c:pt idx="3">
                  <c:v>57.320764755708616</c:v>
                </c:pt>
                <c:pt idx="4">
                  <c:v>58.291460183025073</c:v>
                </c:pt>
              </c:numCache>
            </c:numRef>
          </c:val>
          <c:smooth val="0"/>
          <c:extLst>
            <c:ext xmlns:c16="http://schemas.microsoft.com/office/drawing/2014/chart" uri="{C3380CC4-5D6E-409C-BE32-E72D297353CC}">
              <c16:uniqueId val="{00000005-4ABD-4DD8-958B-80EE0182D260}"/>
            </c:ext>
          </c:extLst>
        </c:ser>
        <c:ser>
          <c:idx val="3"/>
          <c:order val="2"/>
          <c:tx>
            <c:strRef>
              <c:f>Output_Pricing_Proposal!$L$253</c:f>
              <c:strCache>
                <c:ptCount val="1"/>
                <c:pt idx="0">
                  <c:v>HV</c:v>
                </c:pt>
              </c:strCache>
            </c:strRef>
          </c:tx>
          <c:spPr>
            <a:ln w="28575" cap="rnd">
              <a:solidFill>
                <a:srgbClr val="D14900"/>
              </a:solidFill>
              <a:round/>
            </a:ln>
            <a:effectLst/>
          </c:spPr>
          <c:marker>
            <c:symbol val="none"/>
          </c:marker>
          <c:dLbls>
            <c:dLbl>
              <c:idx val="4"/>
              <c:layout>
                <c:manualLayout>
                  <c:x val="6.0606050965393947E-3"/>
                  <c:y val="4.82982104012929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BD-4DD8-958B-80EE0182D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Output_Pricing_Proposal!$M$250:$Q$250</c:f>
              <c:strCache>
                <c:ptCount val="5"/>
                <c:pt idx="0">
                  <c:v>FY25</c:v>
                </c:pt>
                <c:pt idx="1">
                  <c:v>FY26</c:v>
                </c:pt>
                <c:pt idx="2">
                  <c:v>FY27</c:v>
                </c:pt>
                <c:pt idx="3">
                  <c:v>FY28</c:v>
                </c:pt>
                <c:pt idx="4">
                  <c:v>FY29</c:v>
                </c:pt>
              </c:strCache>
            </c:strRef>
          </c:cat>
          <c:val>
            <c:numRef>
              <c:f>Output_Pricing_Proposal!$M$253:$Q$253</c:f>
              <c:numCache>
                <c:formatCode>0.0</c:formatCode>
                <c:ptCount val="5"/>
                <c:pt idx="0">
                  <c:v>6.3322568290959707</c:v>
                </c:pt>
                <c:pt idx="1">
                  <c:v>6.5008381217748408</c:v>
                </c:pt>
                <c:pt idx="2">
                  <c:v>6.6324584995268099</c:v>
                </c:pt>
                <c:pt idx="3">
                  <c:v>6.7698503012682645</c:v>
                </c:pt>
                <c:pt idx="4">
                  <c:v>6.8844939693886138</c:v>
                </c:pt>
              </c:numCache>
            </c:numRef>
          </c:val>
          <c:smooth val="0"/>
          <c:extLst>
            <c:ext xmlns:c16="http://schemas.microsoft.com/office/drawing/2014/chart" uri="{C3380CC4-5D6E-409C-BE32-E72D297353CC}">
              <c16:uniqueId val="{00000007-4ABD-4DD8-958B-80EE0182D260}"/>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39</xdr:row>
      <xdr:rowOff>142874</xdr:rowOff>
    </xdr:from>
    <xdr:to>
      <xdr:col>13</xdr:col>
      <xdr:colOff>590550</xdr:colOff>
      <xdr:row>63</xdr:row>
      <xdr:rowOff>133349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xdr:colOff>
      <xdr:row>16</xdr:row>
      <xdr:rowOff>0</xdr:rowOff>
    </xdr:from>
    <xdr:to>
      <xdr:col>13</xdr:col>
      <xdr:colOff>561975</xdr:colOff>
      <xdr:row>37</xdr:row>
      <xdr:rowOff>9525</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25</xdr:row>
      <xdr:rowOff>0</xdr:rowOff>
    </xdr:from>
    <xdr:to>
      <xdr:col>6</xdr:col>
      <xdr:colOff>718765</xdr:colOff>
      <xdr:row>41</xdr:row>
      <xdr:rowOff>96073</xdr:rowOff>
    </xdr:to>
    <xdr:graphicFrame macro="">
      <xdr:nvGraphicFramePr>
        <xdr:cNvPr id="3" name="Chart 2">
          <a:extLst>
            <a:ext uri="{FF2B5EF4-FFF2-40B4-BE49-F238E27FC236}">
              <a16:creationId xmlns:a16="http://schemas.microsoft.com/office/drawing/2014/main" id="{3EE82D4F-A03C-4B60-9DD9-7026EBCA9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209549</xdr:colOff>
      <xdr:row>230</xdr:row>
      <xdr:rowOff>142875</xdr:rowOff>
    </xdr:from>
    <xdr:to>
      <xdr:col>6</xdr:col>
      <xdr:colOff>485775</xdr:colOff>
      <xdr:row>245</xdr:row>
      <xdr:rowOff>57151</xdr:rowOff>
    </xdr:to>
    <xdr:graphicFrame macro="">
      <xdr:nvGraphicFramePr>
        <xdr:cNvPr id="17" name="Chart 16">
          <a:extLst>
            <a:ext uri="{FF2B5EF4-FFF2-40B4-BE49-F238E27FC236}">
              <a16:creationId xmlns:a16="http://schemas.microsoft.com/office/drawing/2014/main" id="{1CC590FC-E1AA-41AE-8EE4-08AB5CF36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209549</xdr:colOff>
      <xdr:row>56</xdr:row>
      <xdr:rowOff>142875</xdr:rowOff>
    </xdr:from>
    <xdr:to>
      <xdr:col>6</xdr:col>
      <xdr:colOff>485775</xdr:colOff>
      <xdr:row>71</xdr:row>
      <xdr:rowOff>57151</xdr:rowOff>
    </xdr:to>
    <xdr:graphicFrame macro="">
      <xdr:nvGraphicFramePr>
        <xdr:cNvPr id="21" name="Chart 20">
          <a:extLst>
            <a:ext uri="{FF2B5EF4-FFF2-40B4-BE49-F238E27FC236}">
              <a16:creationId xmlns:a16="http://schemas.microsoft.com/office/drawing/2014/main" id="{38F4EA5A-BDE8-4B88-AC10-09DE4B85E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209549</xdr:colOff>
      <xdr:row>74</xdr:row>
      <xdr:rowOff>142875</xdr:rowOff>
    </xdr:from>
    <xdr:to>
      <xdr:col>6</xdr:col>
      <xdr:colOff>485775</xdr:colOff>
      <xdr:row>89</xdr:row>
      <xdr:rowOff>57151</xdr:rowOff>
    </xdr:to>
    <xdr:graphicFrame macro="">
      <xdr:nvGraphicFramePr>
        <xdr:cNvPr id="22" name="Chart 21">
          <a:extLst>
            <a:ext uri="{FF2B5EF4-FFF2-40B4-BE49-F238E27FC236}">
              <a16:creationId xmlns:a16="http://schemas.microsoft.com/office/drawing/2014/main" id="{01DB538D-1387-4630-88F0-2863DAB71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209549</xdr:colOff>
      <xdr:row>281</xdr:row>
      <xdr:rowOff>142875</xdr:rowOff>
    </xdr:from>
    <xdr:to>
      <xdr:col>6</xdr:col>
      <xdr:colOff>485775</xdr:colOff>
      <xdr:row>296</xdr:row>
      <xdr:rowOff>57151</xdr:rowOff>
    </xdr:to>
    <xdr:graphicFrame macro="">
      <xdr:nvGraphicFramePr>
        <xdr:cNvPr id="23" name="Chart 22">
          <a:extLst>
            <a:ext uri="{FF2B5EF4-FFF2-40B4-BE49-F238E27FC236}">
              <a16:creationId xmlns:a16="http://schemas.microsoft.com/office/drawing/2014/main" id="{E2C960D8-B35D-4536-B480-3937C8CB2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93</xdr:row>
      <xdr:rowOff>0</xdr:rowOff>
    </xdr:from>
    <xdr:to>
      <xdr:col>6</xdr:col>
      <xdr:colOff>347663</xdr:colOff>
      <xdr:row>109</xdr:row>
      <xdr:rowOff>76200</xdr:rowOff>
    </xdr:to>
    <xdr:graphicFrame macro="">
      <xdr:nvGraphicFramePr>
        <xdr:cNvPr id="25" name="Chart 24">
          <a:extLst>
            <a:ext uri="{FF2B5EF4-FFF2-40B4-BE49-F238E27FC236}">
              <a16:creationId xmlns:a16="http://schemas.microsoft.com/office/drawing/2014/main" id="{A84C6443-324D-4ADC-A81E-239B729A4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115</xdr:row>
      <xdr:rowOff>0</xdr:rowOff>
    </xdr:from>
    <xdr:to>
      <xdr:col>6</xdr:col>
      <xdr:colOff>347663</xdr:colOff>
      <xdr:row>131</xdr:row>
      <xdr:rowOff>76200</xdr:rowOff>
    </xdr:to>
    <xdr:graphicFrame macro="">
      <xdr:nvGraphicFramePr>
        <xdr:cNvPr id="26" name="Chart 25">
          <a:extLst>
            <a:ext uri="{FF2B5EF4-FFF2-40B4-BE49-F238E27FC236}">
              <a16:creationId xmlns:a16="http://schemas.microsoft.com/office/drawing/2014/main" id="{CDB2738B-B442-4C99-83A8-83C469A96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157</xdr:row>
      <xdr:rowOff>0</xdr:rowOff>
    </xdr:from>
    <xdr:to>
      <xdr:col>6</xdr:col>
      <xdr:colOff>347663</xdr:colOff>
      <xdr:row>173</xdr:row>
      <xdr:rowOff>76200</xdr:rowOff>
    </xdr:to>
    <xdr:graphicFrame macro="">
      <xdr:nvGraphicFramePr>
        <xdr:cNvPr id="27" name="Chart 26">
          <a:extLst>
            <a:ext uri="{FF2B5EF4-FFF2-40B4-BE49-F238E27FC236}">
              <a16:creationId xmlns:a16="http://schemas.microsoft.com/office/drawing/2014/main" id="{CFA5DCA7-6EAD-4165-8E00-FA392A35B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302</xdr:row>
      <xdr:rowOff>0</xdr:rowOff>
    </xdr:from>
    <xdr:to>
      <xdr:col>6</xdr:col>
      <xdr:colOff>347663</xdr:colOff>
      <xdr:row>318</xdr:row>
      <xdr:rowOff>76200</xdr:rowOff>
    </xdr:to>
    <xdr:graphicFrame macro="">
      <xdr:nvGraphicFramePr>
        <xdr:cNvPr id="28" name="Chart 27">
          <a:extLst>
            <a:ext uri="{FF2B5EF4-FFF2-40B4-BE49-F238E27FC236}">
              <a16:creationId xmlns:a16="http://schemas.microsoft.com/office/drawing/2014/main" id="{B8ED7D78-7343-4B93-8F92-16E49F9E3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136</xdr:row>
      <xdr:rowOff>0</xdr:rowOff>
    </xdr:from>
    <xdr:to>
      <xdr:col>6</xdr:col>
      <xdr:colOff>347663</xdr:colOff>
      <xdr:row>152</xdr:row>
      <xdr:rowOff>76200</xdr:rowOff>
    </xdr:to>
    <xdr:graphicFrame macro="">
      <xdr:nvGraphicFramePr>
        <xdr:cNvPr id="2" name="Chart 1">
          <a:extLst>
            <a:ext uri="{FF2B5EF4-FFF2-40B4-BE49-F238E27FC236}">
              <a16:creationId xmlns:a16="http://schemas.microsoft.com/office/drawing/2014/main" id="{3A33DA03-740E-4EC5-9602-ACC35A3E9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209549</xdr:colOff>
      <xdr:row>248</xdr:row>
      <xdr:rowOff>142875</xdr:rowOff>
    </xdr:from>
    <xdr:to>
      <xdr:col>6</xdr:col>
      <xdr:colOff>485775</xdr:colOff>
      <xdr:row>263</xdr:row>
      <xdr:rowOff>57151</xdr:rowOff>
    </xdr:to>
    <xdr:graphicFrame macro="">
      <xdr:nvGraphicFramePr>
        <xdr:cNvPr id="4" name="Chart 3">
          <a:extLst>
            <a:ext uri="{FF2B5EF4-FFF2-40B4-BE49-F238E27FC236}">
              <a16:creationId xmlns:a16="http://schemas.microsoft.com/office/drawing/2014/main" id="{8EA1EF6F-FFAC-4242-85BC-02CB9B08F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2"/>
  <sheetViews>
    <sheetView showGridLines="0" tabSelected="1" zoomScaleNormal="100" workbookViewId="0"/>
  </sheetViews>
  <sheetFormatPr defaultColWidth="9.1640625" defaultRowHeight="11.25" x14ac:dyDescent="0.2"/>
  <cols>
    <col min="2" max="3" width="5.83203125" customWidth="1"/>
    <col min="4" max="4" width="12.83203125" customWidth="1"/>
    <col min="6" max="13" width="10.83203125" customWidth="1"/>
  </cols>
  <sheetData>
    <row r="1" spans="2:6" ht="11.25" customHeight="1" x14ac:dyDescent="0.2"/>
    <row r="2" spans="2:6" ht="11.25" customHeight="1" x14ac:dyDescent="0.2"/>
    <row r="3" spans="2:6" ht="19.5" x14ac:dyDescent="0.2">
      <c r="B3" s="3" t="s">
        <v>121</v>
      </c>
    </row>
    <row r="4" spans="2:6" ht="11.25" customHeight="1" x14ac:dyDescent="0.2"/>
    <row r="5" spans="2:6" ht="11.25" customHeight="1" x14ac:dyDescent="0.2"/>
    <row r="6" spans="2:6" ht="11.25" customHeight="1" x14ac:dyDescent="0.2"/>
    <row r="7" spans="2:6" ht="11.25" customHeight="1" x14ac:dyDescent="0.2"/>
    <row r="8" spans="2:6" ht="11.25" customHeight="1" x14ac:dyDescent="0.2"/>
    <row r="11" spans="2:6" ht="12.75" x14ac:dyDescent="0.2">
      <c r="C11" s="39" t="s">
        <v>18</v>
      </c>
      <c r="F11" s="79" t="s">
        <v>120</v>
      </c>
    </row>
    <row r="13" spans="2:6" ht="12.75" x14ac:dyDescent="0.2">
      <c r="C13" s="9" t="s">
        <v>19</v>
      </c>
    </row>
    <row r="14" spans="2:6" ht="12.75" x14ac:dyDescent="0.2">
      <c r="C14" s="11" t="s">
        <v>827</v>
      </c>
    </row>
    <row r="16" spans="2:6" ht="12.75" x14ac:dyDescent="0.2">
      <c r="C16" s="9" t="s">
        <v>23</v>
      </c>
    </row>
    <row r="18" spans="3:24" x14ac:dyDescent="0.2">
      <c r="C18" s="25"/>
      <c r="D18" s="26"/>
      <c r="E18" s="26"/>
      <c r="F18" s="26"/>
      <c r="G18" s="26"/>
      <c r="H18" s="26"/>
      <c r="I18" s="26"/>
      <c r="J18" s="26"/>
      <c r="K18" s="26"/>
      <c r="L18" s="26"/>
      <c r="M18" s="27"/>
    </row>
    <row r="19" spans="3:24" ht="12.75" x14ac:dyDescent="0.2">
      <c r="C19" s="28"/>
      <c r="D19" s="38" t="s">
        <v>8</v>
      </c>
      <c r="F19" s="30" t="s">
        <v>15</v>
      </c>
      <c r="M19" s="29"/>
    </row>
    <row r="20" spans="3:24" ht="12.75" x14ac:dyDescent="0.2">
      <c r="C20" s="28"/>
      <c r="D20" s="31" t="s">
        <v>10</v>
      </c>
      <c r="F20" s="30" t="s">
        <v>12</v>
      </c>
      <c r="M20" s="29"/>
    </row>
    <row r="21" spans="3:24" ht="12.75" x14ac:dyDescent="0.2">
      <c r="C21" s="28"/>
      <c r="D21" s="32" t="s">
        <v>11</v>
      </c>
      <c r="F21" s="30" t="s">
        <v>13</v>
      </c>
      <c r="M21" s="29"/>
    </row>
    <row r="22" spans="3:24" ht="12.75" x14ac:dyDescent="0.2">
      <c r="C22" s="28"/>
      <c r="D22" s="33" t="s">
        <v>3</v>
      </c>
      <c r="F22" s="30" t="s">
        <v>16</v>
      </c>
      <c r="M22" s="29"/>
    </row>
    <row r="23" spans="3:24" ht="12.75" x14ac:dyDescent="0.2">
      <c r="C23" s="28"/>
      <c r="D23" s="34" t="s">
        <v>14</v>
      </c>
      <c r="F23" s="30" t="s">
        <v>17</v>
      </c>
      <c r="M23" s="29"/>
    </row>
    <row r="24" spans="3:24" ht="12.75" x14ac:dyDescent="0.2">
      <c r="C24" s="28"/>
      <c r="D24" s="44"/>
      <c r="F24" s="30" t="s">
        <v>24</v>
      </c>
      <c r="M24" s="29"/>
    </row>
    <row r="25" spans="3:24" ht="12.75" x14ac:dyDescent="0.2">
      <c r="C25" s="28"/>
      <c r="D25" s="43" t="s">
        <v>29</v>
      </c>
      <c r="F25" s="30" t="s">
        <v>25</v>
      </c>
      <c r="M25" s="29"/>
    </row>
    <row r="26" spans="3:24" ht="12.75" x14ac:dyDescent="0.2">
      <c r="C26" s="28"/>
      <c r="D26" s="59">
        <v>1</v>
      </c>
      <c r="F26" s="30" t="s">
        <v>26</v>
      </c>
      <c r="M26" s="29"/>
    </row>
    <row r="27" spans="3:24" ht="12.75" x14ac:dyDescent="0.2">
      <c r="C27" s="28"/>
      <c r="D27" s="59">
        <v>0</v>
      </c>
      <c r="F27" s="30" t="s">
        <v>27</v>
      </c>
      <c r="M27" s="29"/>
    </row>
    <row r="28" spans="3:24" ht="12.75" x14ac:dyDescent="0.2">
      <c r="C28" s="28"/>
      <c r="D28" s="45"/>
      <c r="F28" s="30" t="s">
        <v>28</v>
      </c>
      <c r="M28" s="29"/>
    </row>
    <row r="29" spans="3:24" x14ac:dyDescent="0.2">
      <c r="C29" s="35"/>
      <c r="D29" s="36"/>
      <c r="E29" s="36"/>
      <c r="F29" s="36"/>
      <c r="G29" s="36"/>
      <c r="H29" s="36"/>
      <c r="I29" s="36"/>
      <c r="J29" s="36"/>
      <c r="K29" s="36"/>
      <c r="L29" s="36"/>
      <c r="M29" s="37"/>
    </row>
    <row r="31" spans="3:24" ht="12.75" x14ac:dyDescent="0.2">
      <c r="C31" s="9" t="s">
        <v>58</v>
      </c>
      <c r="D31" s="41"/>
    </row>
    <row r="32" spans="3:24" ht="84" customHeight="1" x14ac:dyDescent="0.2">
      <c r="C32" s="289" t="s">
        <v>59</v>
      </c>
      <c r="D32" s="289"/>
      <c r="E32" s="289"/>
      <c r="F32" s="289"/>
      <c r="G32" s="289"/>
      <c r="H32" s="289"/>
      <c r="I32" s="289"/>
      <c r="J32" s="289"/>
      <c r="K32" s="289"/>
      <c r="L32" s="289"/>
      <c r="M32" s="289"/>
      <c r="N32" s="289"/>
      <c r="O32" s="289"/>
      <c r="P32" s="289"/>
      <c r="Q32" s="289"/>
      <c r="R32" s="289"/>
      <c r="S32" s="289"/>
      <c r="T32" s="289"/>
      <c r="U32" s="289"/>
      <c r="V32" s="289"/>
      <c r="W32" s="289"/>
      <c r="X32" s="289"/>
    </row>
  </sheetData>
  <mergeCells count="1">
    <mergeCell ref="C32:X32"/>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7"/>
  <sheetViews>
    <sheetView showGridLines="0" zoomScaleNormal="100" workbookViewId="0"/>
  </sheetViews>
  <sheetFormatPr defaultColWidth="0" defaultRowHeight="11.25" x14ac:dyDescent="0.2"/>
  <cols>
    <col min="1" max="3" width="2.83203125" customWidth="1"/>
    <col min="4" max="4" width="45.83203125" customWidth="1"/>
    <col min="5" max="6" width="10.83203125" customWidth="1"/>
    <col min="7" max="15" width="10.83203125" hidden="1" customWidth="1"/>
    <col min="16" max="16384" width="9.1640625" hidden="1"/>
  </cols>
  <sheetData>
    <row r="1" spans="2:5" ht="19.5" x14ac:dyDescent="0.2">
      <c r="B1" s="3" t="s">
        <v>675</v>
      </c>
    </row>
    <row r="2" spans="2:5" x14ac:dyDescent="0.2">
      <c r="B2" s="13" t="str">
        <f ca="1">Title_Msg</f>
        <v>No Errors Found</v>
      </c>
    </row>
    <row r="3" spans="2:5" ht="12.75" x14ac:dyDescent="0.2">
      <c r="B3" s="46" t="s">
        <v>33</v>
      </c>
      <c r="C3" s="46"/>
      <c r="D3" s="46"/>
      <c r="E3" s="11"/>
    </row>
    <row r="4" spans="2:5" ht="12.75" x14ac:dyDescent="0.2">
      <c r="B4" s="40" t="str">
        <f>Model_Name</f>
        <v>Pricing Model - Power and Water Corporation</v>
      </c>
    </row>
    <row r="6" spans="2:5" s="2" customFormat="1" ht="15.75" x14ac:dyDescent="0.2">
      <c r="B6" s="2" t="str">
        <f>B1</f>
        <v>Table of contents</v>
      </c>
    </row>
    <row r="7" spans="2:5" ht="4.5" customHeight="1" x14ac:dyDescent="0.2"/>
    <row r="8" spans="2:5" s="8" customFormat="1" ht="15" x14ac:dyDescent="0.2">
      <c r="C8" s="8" t="s">
        <v>30</v>
      </c>
    </row>
    <row r="9" spans="2:5" ht="11.25" customHeight="1" x14ac:dyDescent="0.2"/>
    <row r="10" spans="2:5" ht="11.25" customHeight="1" x14ac:dyDescent="0.2">
      <c r="D10" s="46" t="str">
        <f>Inputs_Prices!$B$1</f>
        <v>Inputs - Prices</v>
      </c>
    </row>
    <row r="11" spans="2:5" ht="11.25" customHeight="1" x14ac:dyDescent="0.2">
      <c r="D11" s="46" t="str">
        <f>Inputs_Volumes!$B$1</f>
        <v>Inputs - Volumes</v>
      </c>
    </row>
    <row r="12" spans="2:5" ht="11.25" customHeight="1" x14ac:dyDescent="0.2">
      <c r="D12" s="46" t="str">
        <f>Inputs_LRMC!$B$1</f>
        <v>Inputs - LRMC</v>
      </c>
    </row>
    <row r="13" spans="2:5" ht="11.25" customHeight="1" x14ac:dyDescent="0.2">
      <c r="D13" s="46" t="str">
        <f>Inputs_FY23_FY24!$B$1</f>
        <v>Inputs - FY23 and FY24</v>
      </c>
    </row>
    <row r="14" spans="2:5" ht="11.25" customHeight="1" x14ac:dyDescent="0.2">
      <c r="D14" s="46" t="str">
        <f>Inputs_Other!$B$1</f>
        <v>Inputs - Other</v>
      </c>
    </row>
    <row r="15" spans="2:5" ht="11.25" customHeight="1" x14ac:dyDescent="0.2"/>
    <row r="16" spans="2:5" s="8" customFormat="1" ht="15" x14ac:dyDescent="0.2">
      <c r="C16" s="8" t="s">
        <v>7</v>
      </c>
    </row>
    <row r="18" spans="3:4" x14ac:dyDescent="0.2">
      <c r="D18" s="46" t="str">
        <f>Calc_Revenue!$B$1</f>
        <v>Calculation - Cost of supply - Revenue</v>
      </c>
    </row>
    <row r="19" spans="3:4" x14ac:dyDescent="0.2">
      <c r="D19" s="46" t="str">
        <f>Calc_A_SA_Cost!$B$1</f>
        <v>Calculation - Avoidable and stand-alone cost</v>
      </c>
    </row>
    <row r="20" spans="3:4" x14ac:dyDescent="0.2">
      <c r="D20" s="46" t="str">
        <f>Calc_LRMC!$B$1</f>
        <v>Calculation - Long run marginal cost (LRMC)</v>
      </c>
    </row>
    <row r="21" spans="3:4" x14ac:dyDescent="0.2">
      <c r="D21" s="46" t="str">
        <f>Calc_LRMC_Tariff!$B$1</f>
        <v>Calculation - LRMC by tariff</v>
      </c>
    </row>
    <row r="22" spans="3:4" x14ac:dyDescent="0.2">
      <c r="D22" s="46" t="str">
        <f>Calc_Residual_Tariff!$B$1</f>
        <v>Calculation - Residual cost</v>
      </c>
    </row>
    <row r="24" spans="3:4" s="8" customFormat="1" ht="15" x14ac:dyDescent="0.2">
      <c r="C24" s="8" t="s">
        <v>31</v>
      </c>
    </row>
    <row r="26" spans="3:4" x14ac:dyDescent="0.2">
      <c r="D26" s="46" t="str">
        <f>Output_Revenue!$B$1</f>
        <v>Output - Forecast revenue</v>
      </c>
    </row>
    <row r="27" spans="3:4" x14ac:dyDescent="0.2">
      <c r="D27" s="46" t="str">
        <f>Output_AER_Compliance!$B$1</f>
        <v>Output - AER compliance</v>
      </c>
    </row>
    <row r="28" spans="3:4" x14ac:dyDescent="0.2">
      <c r="D28" s="46" t="str">
        <f>Output_Charts!$B$1</f>
        <v>Output - Charts</v>
      </c>
    </row>
    <row r="29" spans="3:4" x14ac:dyDescent="0.2">
      <c r="D29" s="46" t="str">
        <f>Output_Pricing_Proposal!B1</f>
        <v>Output - Pricing components of Regulatory Proposal</v>
      </c>
    </row>
    <row r="30" spans="3:4" x14ac:dyDescent="0.2">
      <c r="D30" s="46" t="str">
        <f>Output_RIN!$B$1</f>
        <v>Output - Reset RIN</v>
      </c>
    </row>
    <row r="32" spans="3:4" s="8" customFormat="1" ht="15" x14ac:dyDescent="0.2">
      <c r="C32" s="8" t="s">
        <v>32</v>
      </c>
    </row>
    <row r="34" spans="2:4" x14ac:dyDescent="0.2">
      <c r="D34" s="46" t="str">
        <f>Lookup!B1</f>
        <v>Model lookups</v>
      </c>
    </row>
    <row r="35" spans="2:4" x14ac:dyDescent="0.2">
      <c r="D35" s="46" t="str">
        <f>Checks!B1</f>
        <v>Checks</v>
      </c>
    </row>
    <row r="37" spans="2:4" s="2" customFormat="1" ht="15.75" x14ac:dyDescent="0.2">
      <c r="B37" s="2" t="s">
        <v>20</v>
      </c>
    </row>
  </sheetData>
  <conditionalFormatting sqref="B2">
    <cfRule type="cellIs" dxfId="32" priority="1" operator="notEqual">
      <formula>"No Errors Found"</formula>
    </cfRule>
  </conditionalFormatting>
  <hyperlinks>
    <hyperlink ref="D34" location="Lookup!A1" display="Lookup!A1" xr:uid="{00000000-0004-0000-0100-000000000000}"/>
    <hyperlink ref="D35" location="Checks!A1" display="Checks!A1" xr:uid="{00000000-0004-0000-0100-000001000000}"/>
    <hyperlink ref="B3:D3" location="Cover!A1" display="Go to Cover Sheet" xr:uid="{00000000-0004-0000-0100-000002000000}"/>
    <hyperlink ref="D10" location="Inputs_Prices!A1" display="Inputs_Prices!A1" xr:uid="{00000000-0004-0000-0100-000003000000}"/>
    <hyperlink ref="D11" location="Inputs_Volumes!A1" display="Inputs_Volumes!A1" xr:uid="{00000000-0004-0000-0100-000004000000}"/>
    <hyperlink ref="D14" location="Inputs_Other!A1" display="Inputs_Other!A1" xr:uid="{00000000-0004-0000-0100-000005000000}"/>
    <hyperlink ref="D18" location="Calc_Revenue!A1" display="Calc_Revenue!A1" xr:uid="{00000000-0004-0000-0100-000006000000}"/>
    <hyperlink ref="D19" location="Calc_A_SA_Cost!A1" display="Calc_A_SA_Cost!A1" xr:uid="{00000000-0004-0000-0100-000007000000}"/>
    <hyperlink ref="D21" location="Calc_LRMC_Tariff!A1" display="Calc_LRMC_Tariff!A1" xr:uid="{00000000-0004-0000-0100-000008000000}"/>
    <hyperlink ref="D22" location="Calc_Residual_Tariff!A1" display="Calc_Residual_Tariff!A1" xr:uid="{00000000-0004-0000-0100-000009000000}"/>
    <hyperlink ref="D26" location="Output_Revenue!A1" display="Output_Revenue!A1" xr:uid="{00000000-0004-0000-0100-00000A000000}"/>
    <hyperlink ref="D27" location="Output_AER_Compliance!A1" display="Output_AER_Compliance!A1" xr:uid="{00000000-0004-0000-0100-00000B000000}"/>
    <hyperlink ref="D28" location="Output_Charts!A1" display="Output_Charts!A1" xr:uid="{00000000-0004-0000-0100-00000C000000}"/>
    <hyperlink ref="D29" location="Output_Pricing_Proposal!A1" display="Output_Pricing_Proposal!A1" xr:uid="{00000000-0004-0000-0100-00000D000000}"/>
    <hyperlink ref="D12" location="Inputs_LRMC!A1" display="Inputs_LRMC!A1" xr:uid="{00000000-0004-0000-0100-00000E000000}"/>
    <hyperlink ref="D20" location="Calc_LRMC!A1" display="Calc_LRMC!A1" xr:uid="{00000000-0004-0000-0100-00000F000000}"/>
    <hyperlink ref="D30" location="Output_RIN!A1" display="Output_RIN!A1" xr:uid="{00000000-0004-0000-0100-000010000000}"/>
    <hyperlink ref="D13" location="Inputs_FY23_FY24!A1" display="Inputs_FY23_FY24!A1" xr:uid="{00000000-0004-0000-0100-00001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59999389629810485"/>
  </sheetPr>
  <dimension ref="A1:AN60"/>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6640625" bestFit="1" customWidth="1"/>
    <col min="2" max="3" width="2.83203125" customWidth="1"/>
    <col min="4" max="4" width="36.1640625" customWidth="1"/>
    <col min="5" max="5" width="23.1640625" bestFit="1" customWidth="1"/>
    <col min="6" max="6" width="14.6640625" bestFit="1" customWidth="1"/>
    <col min="7" max="7" width="2.33203125" customWidth="1"/>
    <col min="8" max="8" width="8.6640625" bestFit="1" customWidth="1"/>
    <col min="9" max="9" width="11" bestFit="1" customWidth="1"/>
    <col min="10" max="10" width="3.33203125" customWidth="1"/>
    <col min="11" max="11" width="3.33203125" hidden="1" customWidth="1"/>
    <col min="12" max="12" width="2.33203125" hidden="1" customWidth="1"/>
    <col min="13" max="14" width="14.33203125" hidden="1" customWidth="1"/>
    <col min="15" max="19" width="20.6640625" customWidth="1"/>
    <col min="20" max="20" width="4" customWidth="1"/>
    <col min="21" max="21" width="81.83203125" hidden="1" customWidth="1"/>
    <col min="22" max="22" width="4" hidden="1" customWidth="1"/>
    <col min="23" max="23" width="70" hidden="1" customWidth="1"/>
    <col min="24" max="24" width="5.83203125" customWidth="1"/>
    <col min="25" max="33" width="14.83203125" bestFit="1" customWidth="1"/>
    <col min="34" max="34" width="15" bestFit="1" customWidth="1"/>
    <col min="35" max="39" width="12.1640625" bestFit="1" customWidth="1"/>
    <col min="43" max="43" width="16.6640625" bestFit="1" customWidth="1"/>
    <col min="44" max="44" width="9.1640625" bestFit="1" customWidth="1"/>
  </cols>
  <sheetData>
    <row r="1" spans="1:21" ht="19.5" x14ac:dyDescent="0.2">
      <c r="A1" s="59">
        <f>IF(SUM($A11:$A60)&gt;0,1,0)</f>
        <v>0</v>
      </c>
      <c r="B1" s="3" t="s">
        <v>60</v>
      </c>
      <c r="O1" s="259" t="s">
        <v>809</v>
      </c>
      <c r="P1" s="286"/>
    </row>
    <row r="2" spans="1:21" x14ac:dyDescent="0.2">
      <c r="B2" s="13" t="str">
        <f ca="1">Title_Msg</f>
        <v>No Errors Found</v>
      </c>
    </row>
    <row r="3" spans="1:21" x14ac:dyDescent="0.2">
      <c r="B3" s="46" t="str">
        <f>TOC!B1</f>
        <v>Table of contents</v>
      </c>
      <c r="C3" s="42"/>
      <c r="D3" s="42"/>
      <c r="E3" s="42"/>
    </row>
    <row r="4" spans="1:21" ht="12.75" x14ac:dyDescent="0.2">
      <c r="B4" s="40" t="str">
        <f>Model_Name</f>
        <v>Pricing Model - Power and Water Corporation</v>
      </c>
    </row>
    <row r="5" spans="1:21" ht="12.75" hidden="1" outlineLevel="1" x14ac:dyDescent="0.2">
      <c r="B5" s="10"/>
      <c r="J5" s="51"/>
      <c r="K5" s="51"/>
      <c r="L5" s="51"/>
      <c r="M5" s="51"/>
      <c r="N5" s="51"/>
      <c r="O5" s="51"/>
      <c r="P5" s="51"/>
      <c r="Q5" s="51"/>
      <c r="R5" s="51"/>
      <c r="S5" s="51"/>
    </row>
    <row r="6" spans="1:21" ht="12.75" hidden="1" outlineLevel="1" x14ac:dyDescent="0.2">
      <c r="B6" s="10"/>
      <c r="J6" s="51"/>
      <c r="K6" s="51"/>
      <c r="L6" s="51"/>
      <c r="M6" s="51"/>
      <c r="N6" s="51"/>
      <c r="O6" s="51"/>
      <c r="P6" s="51"/>
      <c r="Q6" s="51"/>
      <c r="R6" s="51"/>
      <c r="S6" s="51"/>
    </row>
    <row r="7" spans="1:21" ht="12.75" hidden="1" outlineLevel="1" x14ac:dyDescent="0.2">
      <c r="B7" s="10"/>
      <c r="J7" s="52"/>
      <c r="K7" s="52"/>
      <c r="L7" s="52"/>
      <c r="M7" s="52"/>
      <c r="N7" s="52"/>
      <c r="O7" s="52"/>
      <c r="P7" s="52"/>
      <c r="Q7" s="52"/>
      <c r="R7" s="52"/>
      <c r="S7" s="52"/>
    </row>
    <row r="8" spans="1:21" ht="12.75" hidden="1" outlineLevel="1" x14ac:dyDescent="0.2">
      <c r="B8" s="10"/>
      <c r="J8" s="53"/>
      <c r="K8" s="53"/>
      <c r="L8" s="53"/>
      <c r="M8" s="53"/>
      <c r="N8" s="53"/>
      <c r="O8" s="53"/>
      <c r="P8" s="53"/>
      <c r="Q8" s="53"/>
      <c r="R8" s="53"/>
      <c r="S8" s="53"/>
    </row>
    <row r="9" spans="1:21" ht="12.75" collapsed="1" x14ac:dyDescent="0.2">
      <c r="B9" s="5" t="str">
        <f>Lookup!B19</f>
        <v>FY</v>
      </c>
      <c r="D9" s="244" t="s">
        <v>118</v>
      </c>
      <c r="E9" s="50" t="s">
        <v>61</v>
      </c>
      <c r="F9" s="50" t="s">
        <v>62</v>
      </c>
      <c r="H9" s="50" t="str">
        <f>Lookup!E19</f>
        <v>Source</v>
      </c>
      <c r="I9" s="50" t="str">
        <f>Lookup!F19</f>
        <v>Unit</v>
      </c>
      <c r="J9" s="50"/>
      <c r="K9" s="50"/>
      <c r="L9" s="50"/>
      <c r="M9" s="50"/>
      <c r="N9" s="50"/>
      <c r="O9" s="50" t="str">
        <f>Lookup!O19</f>
        <v>FY25</v>
      </c>
      <c r="P9" s="50" t="str">
        <f>Lookup!P19</f>
        <v>FY26</v>
      </c>
      <c r="Q9" s="50" t="str">
        <f>Lookup!Q19</f>
        <v>FY27</v>
      </c>
      <c r="R9" s="50" t="str">
        <f>Lookup!R19</f>
        <v>FY28</v>
      </c>
      <c r="S9" s="50" t="str">
        <f>Lookup!S19</f>
        <v>FY29</v>
      </c>
      <c r="U9" s="60"/>
    </row>
    <row r="11" spans="1:21" s="2" customFormat="1" ht="15.75" x14ac:dyDescent="0.2">
      <c r="B11" s="2" t="s">
        <v>676</v>
      </c>
    </row>
    <row r="12" spans="1:21" ht="11.25" customHeight="1" x14ac:dyDescent="0.2"/>
    <row r="13" spans="1:21" ht="11.25" customHeight="1" x14ac:dyDescent="0.2">
      <c r="D13" s="105" t="s">
        <v>608</v>
      </c>
    </row>
    <row r="14" spans="1:21" ht="11.25" customHeight="1" x14ac:dyDescent="0.2"/>
    <row r="15" spans="1:21" ht="11.25" customHeight="1" x14ac:dyDescent="0.2"/>
    <row r="16" spans="1:21" s="8" customFormat="1" ht="15" x14ac:dyDescent="0.2">
      <c r="C16" s="8" t="s">
        <v>677</v>
      </c>
    </row>
    <row r="17" spans="3:40" ht="11.25" customHeight="1" x14ac:dyDescent="0.2"/>
    <row r="18" spans="3:40" ht="11.25" customHeight="1" x14ac:dyDescent="0.2">
      <c r="C18" s="170" t="s">
        <v>5</v>
      </c>
      <c r="D18" s="70" t="str">
        <f>D$9</f>
        <v>Tariff</v>
      </c>
      <c r="E18" s="54" t="str">
        <f>E$9</f>
        <v>Tariff Components</v>
      </c>
      <c r="F18" s="54" t="str">
        <f>F$9</f>
        <v>Tariff Class</v>
      </c>
      <c r="H18" s="54" t="str">
        <f>Lookup!E$19</f>
        <v>Source</v>
      </c>
      <c r="I18" s="54" t="str">
        <f>Lookup!F$19</f>
        <v>Unit</v>
      </c>
      <c r="O18" s="54" t="str">
        <f>O$9</f>
        <v>FY25</v>
      </c>
      <c r="P18" s="54" t="str">
        <f>P$9</f>
        <v>FY26</v>
      </c>
      <c r="Q18" s="54" t="str">
        <f>Q$9</f>
        <v>FY27</v>
      </c>
      <c r="R18" s="54" t="str">
        <f>R$9</f>
        <v>FY28</v>
      </c>
      <c r="S18" s="54" t="str">
        <f>S$9</f>
        <v>FY29</v>
      </c>
      <c r="U18" s="70" t="s">
        <v>510</v>
      </c>
      <c r="W18" s="70" t="s">
        <v>517</v>
      </c>
    </row>
    <row r="19" spans="3:40" ht="11.25" customHeight="1" x14ac:dyDescent="0.2">
      <c r="D19" s="1"/>
      <c r="U19" s="1"/>
      <c r="W19" s="1"/>
    </row>
    <row r="20" spans="3:40" ht="12.75" x14ac:dyDescent="0.2">
      <c r="C20" s="169">
        <v>1</v>
      </c>
      <c r="D20" s="85" t="str">
        <f>Lookup!D90</f>
        <v>Residential Accumulation</v>
      </c>
      <c r="E20" s="243" t="s">
        <v>105</v>
      </c>
      <c r="F20" s="243" t="s">
        <v>64</v>
      </c>
      <c r="G20" s="243"/>
      <c r="H20" s="243" t="s">
        <v>79</v>
      </c>
      <c r="I20" s="243" t="s">
        <v>494</v>
      </c>
      <c r="O20" s="285">
        <v>2</v>
      </c>
      <c r="P20" s="285">
        <v>2.25</v>
      </c>
      <c r="Q20" s="285">
        <v>2.5</v>
      </c>
      <c r="R20" s="285">
        <v>2.75</v>
      </c>
      <c r="S20" s="285">
        <v>2.75</v>
      </c>
      <c r="U20" s="172" t="s">
        <v>495</v>
      </c>
      <c r="W20" s="172" t="s">
        <v>512</v>
      </c>
      <c r="AN20" s="15"/>
    </row>
    <row r="21" spans="3:40" ht="12.75" x14ac:dyDescent="0.2">
      <c r="C21" s="169">
        <v>2</v>
      </c>
      <c r="D21" s="85" t="str">
        <f>Lookup!D91</f>
        <v>Non-Residential Accumulation</v>
      </c>
      <c r="E21" s="243" t="s">
        <v>105</v>
      </c>
      <c r="F21" s="243" t="s">
        <v>64</v>
      </c>
      <c r="G21" s="243"/>
      <c r="H21" s="243" t="s">
        <v>79</v>
      </c>
      <c r="I21" s="243" t="s">
        <v>494</v>
      </c>
      <c r="O21" s="285">
        <v>2</v>
      </c>
      <c r="P21" s="285">
        <v>2.25</v>
      </c>
      <c r="Q21" s="285">
        <v>2.5</v>
      </c>
      <c r="R21" s="285">
        <v>2.75</v>
      </c>
      <c r="S21" s="285">
        <v>3</v>
      </c>
      <c r="U21" s="172" t="s">
        <v>495</v>
      </c>
      <c r="W21" s="172" t="s">
        <v>513</v>
      </c>
      <c r="AN21" s="15"/>
    </row>
    <row r="22" spans="3:40" ht="12.75" x14ac:dyDescent="0.2">
      <c r="C22" s="169" t="s">
        <v>491</v>
      </c>
      <c r="D22" s="85" t="str">
        <f>Lookup!D92</f>
        <v>LV Smart Meter - Res</v>
      </c>
      <c r="E22" s="243" t="s">
        <v>105</v>
      </c>
      <c r="F22" s="243" t="s">
        <v>64</v>
      </c>
      <c r="G22" s="243"/>
      <c r="H22" s="243" t="s">
        <v>79</v>
      </c>
      <c r="I22" s="243" t="s">
        <v>494</v>
      </c>
      <c r="O22" s="285">
        <v>2</v>
      </c>
      <c r="P22" s="285">
        <v>2.25</v>
      </c>
      <c r="Q22" s="285">
        <v>2.5</v>
      </c>
      <c r="R22" s="285">
        <v>2.75</v>
      </c>
      <c r="S22" s="285">
        <v>2.75</v>
      </c>
      <c r="U22" s="172" t="s">
        <v>495</v>
      </c>
      <c r="W22" s="172" t="s">
        <v>512</v>
      </c>
      <c r="AN22" s="15"/>
    </row>
    <row r="23" spans="3:40" ht="12.75" x14ac:dyDescent="0.2">
      <c r="C23" s="169" t="s">
        <v>492</v>
      </c>
      <c r="D23" s="85" t="str">
        <f>Lookup!D93</f>
        <v>LV Smart Meter - Small Comm</v>
      </c>
      <c r="E23" s="243" t="s">
        <v>105</v>
      </c>
      <c r="F23" s="243" t="s">
        <v>64</v>
      </c>
      <c r="G23" s="243"/>
      <c r="H23" s="243" t="s">
        <v>79</v>
      </c>
      <c r="I23" s="243" t="s">
        <v>494</v>
      </c>
      <c r="O23" s="285">
        <v>2.5</v>
      </c>
      <c r="P23" s="285">
        <v>2.75</v>
      </c>
      <c r="Q23" s="285">
        <v>3</v>
      </c>
      <c r="R23" s="285">
        <v>3.25</v>
      </c>
      <c r="S23" s="285">
        <v>3.5</v>
      </c>
      <c r="U23" s="172" t="s">
        <v>495</v>
      </c>
      <c r="W23" s="172" t="s">
        <v>513</v>
      </c>
    </row>
    <row r="24" spans="3:40" ht="12.75" x14ac:dyDescent="0.2">
      <c r="C24" s="169" t="s">
        <v>493</v>
      </c>
      <c r="D24" s="85" t="str">
        <f>Lookup!D94</f>
        <v>LV Smart Meter - Med Comm</v>
      </c>
      <c r="E24" s="243" t="s">
        <v>105</v>
      </c>
      <c r="F24" s="243" t="s">
        <v>64</v>
      </c>
      <c r="G24" s="243"/>
      <c r="H24" s="243" t="s">
        <v>79</v>
      </c>
      <c r="I24" s="243" t="s">
        <v>494</v>
      </c>
      <c r="O24" s="285">
        <v>8.5</v>
      </c>
      <c r="P24" s="285">
        <v>9</v>
      </c>
      <c r="Q24" s="285">
        <v>9.5</v>
      </c>
      <c r="R24" s="285">
        <v>9.75</v>
      </c>
      <c r="S24" s="285">
        <v>10</v>
      </c>
      <c r="U24" s="172" t="s">
        <v>495</v>
      </c>
      <c r="W24" s="172" t="s">
        <v>513</v>
      </c>
    </row>
    <row r="25" spans="3:40" ht="12.75" x14ac:dyDescent="0.2">
      <c r="C25" s="169">
        <v>4</v>
      </c>
      <c r="D25" s="85" t="str">
        <f>Lookup!D95</f>
        <v>Unmetered</v>
      </c>
      <c r="E25" s="243" t="s">
        <v>105</v>
      </c>
      <c r="F25" s="243" t="s">
        <v>64</v>
      </c>
      <c r="G25" s="243"/>
      <c r="H25" s="243" t="s">
        <v>79</v>
      </c>
      <c r="I25" s="243" t="s">
        <v>494</v>
      </c>
      <c r="J25" s="143"/>
      <c r="K25" s="143"/>
      <c r="O25" s="285">
        <v>0</v>
      </c>
      <c r="P25" s="285">
        <v>0</v>
      </c>
      <c r="Q25" s="285">
        <v>0</v>
      </c>
      <c r="R25" s="285">
        <v>0</v>
      </c>
      <c r="S25" s="285">
        <v>0</v>
      </c>
      <c r="U25" s="172" t="s">
        <v>495</v>
      </c>
      <c r="W25" s="172" t="s">
        <v>501</v>
      </c>
    </row>
    <row r="26" spans="3:40" ht="12.75" x14ac:dyDescent="0.2">
      <c r="C26" s="169">
        <v>5</v>
      </c>
      <c r="D26" s="85" t="str">
        <f>Lookup!D96</f>
        <v>LV Majors</v>
      </c>
      <c r="E26" s="243" t="s">
        <v>105</v>
      </c>
      <c r="F26" s="243" t="s">
        <v>70</v>
      </c>
      <c r="G26" s="243"/>
      <c r="H26" s="243" t="s">
        <v>79</v>
      </c>
      <c r="I26" s="243" t="s">
        <v>494</v>
      </c>
      <c r="J26" s="143"/>
      <c r="K26" s="143"/>
      <c r="O26" s="285">
        <v>95</v>
      </c>
      <c r="P26" s="285">
        <v>100</v>
      </c>
      <c r="Q26" s="285">
        <v>110</v>
      </c>
      <c r="R26" s="285">
        <v>115</v>
      </c>
      <c r="S26" s="285">
        <v>120</v>
      </c>
      <c r="U26" s="172" t="s">
        <v>495</v>
      </c>
      <c r="W26" s="172" t="s">
        <v>514</v>
      </c>
    </row>
    <row r="27" spans="3:40" ht="12.75" x14ac:dyDescent="0.2">
      <c r="C27" s="169">
        <v>6</v>
      </c>
      <c r="D27" s="85" t="str">
        <f>Lookup!D97</f>
        <v>HV Smart Meters</v>
      </c>
      <c r="E27" s="243" t="s">
        <v>105</v>
      </c>
      <c r="F27" s="243" t="s">
        <v>69</v>
      </c>
      <c r="G27" s="243"/>
      <c r="H27" s="243" t="s">
        <v>79</v>
      </c>
      <c r="I27" s="243" t="s">
        <v>494</v>
      </c>
      <c r="J27" s="143"/>
      <c r="K27" s="143"/>
      <c r="O27" s="285">
        <v>110</v>
      </c>
      <c r="P27" s="285">
        <v>115</v>
      </c>
      <c r="Q27" s="285">
        <v>120</v>
      </c>
      <c r="R27" s="285">
        <v>125</v>
      </c>
      <c r="S27" s="285">
        <v>130</v>
      </c>
      <c r="U27" s="172" t="s">
        <v>495</v>
      </c>
      <c r="W27" s="172" t="s">
        <v>515</v>
      </c>
    </row>
    <row r="28" spans="3:40" ht="11.25" customHeight="1" x14ac:dyDescent="0.2">
      <c r="R28" t="s">
        <v>233</v>
      </c>
    </row>
    <row r="29" spans="3:40" ht="11.25" customHeight="1" x14ac:dyDescent="0.2"/>
    <row r="30" spans="3:40" s="8" customFormat="1" ht="15" x14ac:dyDescent="0.2">
      <c r="C30" s="8" t="s">
        <v>74</v>
      </c>
    </row>
    <row r="31" spans="3:40" ht="11.25" customHeight="1" x14ac:dyDescent="0.2"/>
    <row r="32" spans="3:40" ht="11.25" customHeight="1" x14ac:dyDescent="0.2">
      <c r="C32" s="170" t="s">
        <v>5</v>
      </c>
      <c r="D32" s="70" t="str">
        <f>D$9</f>
        <v>Tariff</v>
      </c>
      <c r="E32" s="54" t="str">
        <f>E$9</f>
        <v>Tariff Components</v>
      </c>
      <c r="F32" s="54" t="str">
        <f>F$9</f>
        <v>Tariff Class</v>
      </c>
      <c r="H32" s="54" t="str">
        <f>Lookup!E$19</f>
        <v>Source</v>
      </c>
      <c r="I32" s="54" t="str">
        <f>Lookup!F$19</f>
        <v>Unit</v>
      </c>
      <c r="N32" t="s">
        <v>228</v>
      </c>
      <c r="O32" s="54" t="str">
        <f>O$9</f>
        <v>FY25</v>
      </c>
      <c r="P32" s="54" t="str">
        <f>P$9</f>
        <v>FY26</v>
      </c>
      <c r="Q32" s="54" t="str">
        <f>Q$9</f>
        <v>FY27</v>
      </c>
      <c r="R32" s="54" t="str">
        <f>R$9</f>
        <v>FY28</v>
      </c>
      <c r="S32" s="54" t="str">
        <f>S$9</f>
        <v>FY29</v>
      </c>
      <c r="U32" s="70" t="s">
        <v>510</v>
      </c>
      <c r="W32" s="70" t="s">
        <v>517</v>
      </c>
    </row>
    <row r="33" spans="3:34" ht="11.25" customHeight="1" x14ac:dyDescent="0.2">
      <c r="D33" s="1"/>
      <c r="U33" s="1"/>
    </row>
    <row r="34" spans="3:34" ht="12.75" x14ac:dyDescent="0.2">
      <c r="C34" s="169">
        <v>1</v>
      </c>
      <c r="D34" s="85" t="s">
        <v>242</v>
      </c>
      <c r="E34" s="243" t="s">
        <v>275</v>
      </c>
      <c r="F34" s="243" t="s">
        <v>64</v>
      </c>
      <c r="G34" s="82"/>
      <c r="H34" s="243" t="s">
        <v>79</v>
      </c>
      <c r="I34" s="243" t="s">
        <v>193</v>
      </c>
      <c r="O34" s="285">
        <v>5.8999999999999997E-2</v>
      </c>
      <c r="P34" s="285">
        <v>0.06</v>
      </c>
      <c r="Q34" s="285">
        <v>6.7000000000000004E-2</v>
      </c>
      <c r="R34" s="285">
        <v>7.4749999999999997E-2</v>
      </c>
      <c r="S34" s="285">
        <v>0.08</v>
      </c>
      <c r="U34" s="172" t="s">
        <v>496</v>
      </c>
      <c r="W34" s="172" t="s">
        <v>512</v>
      </c>
      <c r="X34" s="150"/>
      <c r="Y34" s="150"/>
      <c r="Z34" s="150"/>
      <c r="AA34" s="150"/>
      <c r="AB34" s="150"/>
      <c r="AC34" s="150"/>
      <c r="AD34" s="150"/>
      <c r="AE34" s="150"/>
      <c r="AF34" s="150"/>
      <c r="AG34" s="150"/>
      <c r="AH34" s="150"/>
    </row>
    <row r="35" spans="3:34" ht="12.75" x14ac:dyDescent="0.2">
      <c r="C35" s="169">
        <v>2</v>
      </c>
      <c r="D35" s="85" t="s">
        <v>243</v>
      </c>
      <c r="E35" s="243" t="s">
        <v>275</v>
      </c>
      <c r="F35" s="243" t="s">
        <v>64</v>
      </c>
      <c r="G35" s="82"/>
      <c r="H35" s="243" t="s">
        <v>79</v>
      </c>
      <c r="I35" s="243" t="s">
        <v>193</v>
      </c>
      <c r="O35" s="285">
        <v>7.0650000000000004E-2</v>
      </c>
      <c r="P35" s="285">
        <v>7.3300000000000004E-2</v>
      </c>
      <c r="Q35" s="285">
        <v>7.6999999999999999E-2</v>
      </c>
      <c r="R35" s="285">
        <v>8.0100000000000005E-2</v>
      </c>
      <c r="S35" s="285">
        <v>8.1500000000000003E-2</v>
      </c>
      <c r="U35" s="172" t="s">
        <v>496</v>
      </c>
      <c r="W35" s="172" t="s">
        <v>513</v>
      </c>
      <c r="X35" s="150"/>
      <c r="Y35" s="150"/>
      <c r="Z35" s="150"/>
      <c r="AA35" s="150"/>
      <c r="AB35" s="150"/>
      <c r="AC35" s="150"/>
      <c r="AD35" s="150"/>
      <c r="AE35" s="150"/>
      <c r="AF35" s="150"/>
      <c r="AG35" s="150"/>
      <c r="AH35" s="150"/>
    </row>
    <row r="36" spans="3:34" ht="12.75" x14ac:dyDescent="0.2">
      <c r="C36" s="169" t="s">
        <v>491</v>
      </c>
      <c r="D36" s="85" t="s">
        <v>244</v>
      </c>
      <c r="E36" s="243" t="s">
        <v>272</v>
      </c>
      <c r="F36" s="243" t="s">
        <v>64</v>
      </c>
      <c r="G36" s="82"/>
      <c r="H36" s="243" t="s">
        <v>79</v>
      </c>
      <c r="I36" s="243" t="s">
        <v>193</v>
      </c>
      <c r="O36" s="285">
        <v>0.19</v>
      </c>
      <c r="P36" s="285">
        <v>0.19500000000000001</v>
      </c>
      <c r="Q36" s="285">
        <v>0.2</v>
      </c>
      <c r="R36" s="285">
        <v>0.21</v>
      </c>
      <c r="S36" s="285">
        <v>0.22</v>
      </c>
      <c r="U36" s="172" t="s">
        <v>497</v>
      </c>
      <c r="W36" s="172" t="s">
        <v>512</v>
      </c>
      <c r="X36" s="150"/>
      <c r="Y36" s="150"/>
      <c r="Z36" s="150"/>
      <c r="AA36" s="150"/>
      <c r="AB36" s="150"/>
      <c r="AC36" s="150"/>
      <c r="AD36" s="150"/>
      <c r="AE36" s="150"/>
      <c r="AF36" s="150"/>
      <c r="AG36" s="150"/>
      <c r="AH36" s="150"/>
    </row>
    <row r="37" spans="3:34" ht="12.75" x14ac:dyDescent="0.2">
      <c r="C37" s="169" t="s">
        <v>491</v>
      </c>
      <c r="D37" s="85" t="s">
        <v>244</v>
      </c>
      <c r="E37" s="243" t="s">
        <v>273</v>
      </c>
      <c r="F37" s="243" t="s">
        <v>64</v>
      </c>
      <c r="G37" s="82"/>
      <c r="H37" s="243" t="s">
        <v>79</v>
      </c>
      <c r="I37" s="243" t="s">
        <v>193</v>
      </c>
      <c r="O37" s="285">
        <v>0.05</v>
      </c>
      <c r="P37" s="285">
        <v>5.0500000000000003E-2</v>
      </c>
      <c r="Q37" s="285">
        <v>6.0199999999999997E-2</v>
      </c>
      <c r="R37" s="285">
        <v>7.0000000000000007E-2</v>
      </c>
      <c r="S37" s="285">
        <v>7.5999999999999998E-2</v>
      </c>
      <c r="U37" s="172" t="s">
        <v>498</v>
      </c>
      <c r="W37" s="172" t="s">
        <v>512</v>
      </c>
      <c r="X37" s="150"/>
      <c r="Y37" s="150"/>
      <c r="Z37" s="150"/>
      <c r="AA37" s="150"/>
      <c r="AB37" s="150"/>
      <c r="AC37" s="150"/>
      <c r="AD37" s="150"/>
      <c r="AE37" s="150"/>
      <c r="AF37" s="150"/>
      <c r="AG37" s="150"/>
      <c r="AH37" s="150"/>
    </row>
    <row r="38" spans="3:34" ht="12.75" x14ac:dyDescent="0.2">
      <c r="C38" s="169" t="s">
        <v>491</v>
      </c>
      <c r="D38" s="85" t="s">
        <v>244</v>
      </c>
      <c r="E38" s="243" t="s">
        <v>274</v>
      </c>
      <c r="F38" s="243" t="s">
        <v>64</v>
      </c>
      <c r="G38" s="82"/>
      <c r="H38" s="243" t="s">
        <v>79</v>
      </c>
      <c r="I38" s="243" t="s">
        <v>193</v>
      </c>
      <c r="O38" s="285">
        <v>0</v>
      </c>
      <c r="P38" s="285">
        <v>0</v>
      </c>
      <c r="Q38" s="285">
        <v>0</v>
      </c>
      <c r="R38" s="285">
        <v>0</v>
      </c>
      <c r="S38" s="285">
        <v>0</v>
      </c>
      <c r="U38" s="172" t="s">
        <v>499</v>
      </c>
      <c r="W38" s="172" t="s">
        <v>512</v>
      </c>
      <c r="X38" s="150"/>
      <c r="Y38" s="150"/>
      <c r="Z38" s="150"/>
      <c r="AA38" s="150"/>
      <c r="AB38" s="150"/>
      <c r="AC38" s="150"/>
      <c r="AD38" s="150"/>
      <c r="AE38" s="150"/>
      <c r="AF38" s="150"/>
      <c r="AG38" s="150"/>
      <c r="AH38" s="150"/>
    </row>
    <row r="39" spans="3:34" ht="12.75" x14ac:dyDescent="0.2">
      <c r="C39" s="169" t="s">
        <v>492</v>
      </c>
      <c r="D39" s="85" t="s">
        <v>245</v>
      </c>
      <c r="E39" s="243" t="s">
        <v>272</v>
      </c>
      <c r="F39" s="243" t="s">
        <v>64</v>
      </c>
      <c r="G39" s="82"/>
      <c r="H39" s="243" t="s">
        <v>79</v>
      </c>
      <c r="I39" s="243" t="s">
        <v>193</v>
      </c>
      <c r="O39" s="285">
        <v>0.25</v>
      </c>
      <c r="P39" s="285">
        <v>0.26</v>
      </c>
      <c r="Q39" s="285">
        <v>0.26500000000000001</v>
      </c>
      <c r="R39" s="285">
        <v>0.27</v>
      </c>
      <c r="S39" s="285">
        <v>0.27250000000000002</v>
      </c>
      <c r="U39" s="172" t="s">
        <v>497</v>
      </c>
      <c r="W39" s="172" t="s">
        <v>513</v>
      </c>
      <c r="X39" s="150"/>
      <c r="Y39" s="150"/>
      <c r="Z39" s="150"/>
      <c r="AA39" s="150"/>
      <c r="AB39" s="150"/>
      <c r="AC39" s="150"/>
      <c r="AD39" s="150"/>
      <c r="AE39" s="150"/>
      <c r="AF39" s="150"/>
      <c r="AG39" s="150"/>
      <c r="AH39" s="150"/>
    </row>
    <row r="40" spans="3:34" ht="12.75" x14ac:dyDescent="0.2">
      <c r="C40" s="169" t="s">
        <v>492</v>
      </c>
      <c r="D40" s="85" t="s">
        <v>245</v>
      </c>
      <c r="E40" s="243" t="s">
        <v>273</v>
      </c>
      <c r="F40" s="243" t="s">
        <v>64</v>
      </c>
      <c r="G40" s="82"/>
      <c r="H40" s="243" t="s">
        <v>79</v>
      </c>
      <c r="I40" s="243" t="s">
        <v>193</v>
      </c>
      <c r="O40" s="285">
        <v>5.7500000000000002E-2</v>
      </c>
      <c r="P40" s="285">
        <v>0.06</v>
      </c>
      <c r="Q40" s="285">
        <v>6.5549999999999997E-2</v>
      </c>
      <c r="R40" s="285">
        <v>7.0000000000000007E-2</v>
      </c>
      <c r="S40" s="285">
        <v>7.1999999999999995E-2</v>
      </c>
      <c r="U40" s="172" t="s">
        <v>498</v>
      </c>
      <c r="W40" s="172" t="s">
        <v>513</v>
      </c>
    </row>
    <row r="41" spans="3:34" ht="12.75" x14ac:dyDescent="0.2">
      <c r="C41" s="169" t="s">
        <v>492</v>
      </c>
      <c r="D41" s="85" t="s">
        <v>245</v>
      </c>
      <c r="E41" s="243" t="s">
        <v>274</v>
      </c>
      <c r="F41" s="243" t="s">
        <v>64</v>
      </c>
      <c r="G41" s="82"/>
      <c r="H41" s="243" t="s">
        <v>79</v>
      </c>
      <c r="I41" s="243" t="s">
        <v>193</v>
      </c>
      <c r="O41" s="285">
        <v>0</v>
      </c>
      <c r="P41" s="285">
        <v>0</v>
      </c>
      <c r="Q41" s="285">
        <v>0</v>
      </c>
      <c r="R41" s="285">
        <v>0</v>
      </c>
      <c r="S41" s="285">
        <v>0</v>
      </c>
      <c r="U41" s="172" t="s">
        <v>499</v>
      </c>
      <c r="W41" s="172" t="s">
        <v>513</v>
      </c>
    </row>
    <row r="42" spans="3:34" ht="12.75" x14ac:dyDescent="0.2">
      <c r="C42" s="169" t="s">
        <v>493</v>
      </c>
      <c r="D42" s="85" t="s">
        <v>246</v>
      </c>
      <c r="E42" s="243" t="s">
        <v>272</v>
      </c>
      <c r="F42" s="243" t="s">
        <v>64</v>
      </c>
      <c r="G42" s="82"/>
      <c r="H42" s="243" t="s">
        <v>79</v>
      </c>
      <c r="I42" s="243" t="s">
        <v>193</v>
      </c>
      <c r="O42" s="285">
        <v>0.3</v>
      </c>
      <c r="P42" s="285">
        <v>0.3175</v>
      </c>
      <c r="Q42" s="285">
        <v>0.32</v>
      </c>
      <c r="R42" s="285">
        <v>0.35249999999999998</v>
      </c>
      <c r="S42" s="285">
        <v>0.38100000000000001</v>
      </c>
      <c r="U42" s="172" t="s">
        <v>497</v>
      </c>
      <c r="W42" s="172" t="s">
        <v>513</v>
      </c>
    </row>
    <row r="43" spans="3:34" ht="12.75" x14ac:dyDescent="0.2">
      <c r="C43" s="169" t="s">
        <v>493</v>
      </c>
      <c r="D43" s="85" t="s">
        <v>246</v>
      </c>
      <c r="E43" s="243" t="s">
        <v>273</v>
      </c>
      <c r="F43" s="243" t="s">
        <v>64</v>
      </c>
      <c r="G43" s="82"/>
      <c r="H43" s="243" t="s">
        <v>79</v>
      </c>
      <c r="I43" s="243" t="s">
        <v>193</v>
      </c>
      <c r="O43" s="285">
        <v>0.08</v>
      </c>
      <c r="P43" s="285">
        <v>0.1</v>
      </c>
      <c r="Q43" s="285">
        <v>0.108</v>
      </c>
      <c r="R43" s="285">
        <v>0.115</v>
      </c>
      <c r="S43" s="285">
        <v>0.13831199999999999</v>
      </c>
      <c r="U43" s="172" t="s">
        <v>498</v>
      </c>
      <c r="W43" s="172" t="s">
        <v>513</v>
      </c>
    </row>
    <row r="44" spans="3:34" ht="12.75" x14ac:dyDescent="0.2">
      <c r="C44" s="169" t="s">
        <v>493</v>
      </c>
      <c r="D44" s="85" t="s">
        <v>246</v>
      </c>
      <c r="E44" s="243" t="s">
        <v>274</v>
      </c>
      <c r="F44" s="243" t="s">
        <v>64</v>
      </c>
      <c r="G44" s="82"/>
      <c r="H44" s="243" t="s">
        <v>79</v>
      </c>
      <c r="I44" s="243" t="s">
        <v>193</v>
      </c>
      <c r="O44" s="285">
        <v>0</v>
      </c>
      <c r="P44" s="285">
        <v>0</v>
      </c>
      <c r="Q44" s="285">
        <v>0</v>
      </c>
      <c r="R44" s="285">
        <v>0</v>
      </c>
      <c r="S44" s="285">
        <v>0</v>
      </c>
      <c r="U44" s="172" t="s">
        <v>499</v>
      </c>
      <c r="W44" s="172" t="s">
        <v>513</v>
      </c>
    </row>
    <row r="45" spans="3:34" ht="12.75" x14ac:dyDescent="0.2">
      <c r="C45" s="169">
        <v>4</v>
      </c>
      <c r="D45" s="85" t="s">
        <v>247</v>
      </c>
      <c r="E45" s="243" t="s">
        <v>275</v>
      </c>
      <c r="F45" s="243" t="s">
        <v>64</v>
      </c>
      <c r="G45" s="82"/>
      <c r="H45" s="243" t="s">
        <v>79</v>
      </c>
      <c r="I45" s="243" t="s">
        <v>193</v>
      </c>
      <c r="O45" s="285">
        <v>9.8144999999999996E-2</v>
      </c>
      <c r="P45" s="285">
        <v>0.14979400000000001</v>
      </c>
      <c r="Q45" s="285">
        <v>0.15987000000000001</v>
      </c>
      <c r="R45" s="285">
        <v>0.16364000000000001</v>
      </c>
      <c r="S45" s="285">
        <v>0.17554700000000001</v>
      </c>
      <c r="U45" s="172" t="s">
        <v>501</v>
      </c>
      <c r="W45" s="172" t="s">
        <v>501</v>
      </c>
    </row>
    <row r="46" spans="3:34" ht="12.75" x14ac:dyDescent="0.2">
      <c r="C46" s="169">
        <v>5</v>
      </c>
      <c r="D46" s="85" t="s">
        <v>248</v>
      </c>
      <c r="E46" s="243" t="s">
        <v>275</v>
      </c>
      <c r="F46" s="243" t="s">
        <v>70</v>
      </c>
      <c r="G46" s="82"/>
      <c r="H46" s="243" t="s">
        <v>79</v>
      </c>
      <c r="I46" s="243" t="s">
        <v>193</v>
      </c>
      <c r="O46" s="285">
        <v>2.5000000000000001E-2</v>
      </c>
      <c r="P46" s="285">
        <v>2.75E-2</v>
      </c>
      <c r="Q46" s="285">
        <v>0.03</v>
      </c>
      <c r="R46" s="285">
        <v>3.2500000000000001E-2</v>
      </c>
      <c r="S46" s="285">
        <v>3.5000000000000003E-2</v>
      </c>
      <c r="U46" s="172" t="s">
        <v>496</v>
      </c>
      <c r="W46" s="172" t="s">
        <v>514</v>
      </c>
    </row>
    <row r="47" spans="3:34" ht="12.75" x14ac:dyDescent="0.2">
      <c r="C47" s="169">
        <v>6</v>
      </c>
      <c r="D47" s="85" t="s">
        <v>249</v>
      </c>
      <c r="E47" s="243" t="s">
        <v>275</v>
      </c>
      <c r="F47" s="243" t="s">
        <v>69</v>
      </c>
      <c r="G47" s="82"/>
      <c r="H47" s="243" t="s">
        <v>79</v>
      </c>
      <c r="I47" s="243" t="s">
        <v>193</v>
      </c>
      <c r="O47" s="285">
        <v>0.03</v>
      </c>
      <c r="P47" s="285">
        <v>3.2500000000000001E-2</v>
      </c>
      <c r="Q47" s="285">
        <v>3.5000000000000003E-2</v>
      </c>
      <c r="R47" s="285">
        <v>3.7499999999999999E-2</v>
      </c>
      <c r="S47" s="285">
        <v>0.04</v>
      </c>
      <c r="U47" s="172" t="s">
        <v>496</v>
      </c>
      <c r="W47" s="172" t="s">
        <v>515</v>
      </c>
    </row>
    <row r="48" spans="3:34" ht="11.25" customHeight="1" x14ac:dyDescent="0.2"/>
    <row r="49" spans="2:23" ht="11.25" customHeight="1" x14ac:dyDescent="0.2"/>
    <row r="50" spans="2:23" s="8" customFormat="1" ht="15" x14ac:dyDescent="0.2">
      <c r="C50" s="8" t="s">
        <v>76</v>
      </c>
    </row>
    <row r="51" spans="2:23" ht="11.25" customHeight="1" x14ac:dyDescent="0.2"/>
    <row r="52" spans="2:23" ht="11.25" customHeight="1" x14ac:dyDescent="0.2">
      <c r="C52" s="170" t="s">
        <v>5</v>
      </c>
      <c r="D52" s="70" t="str">
        <f>D$9</f>
        <v>Tariff</v>
      </c>
      <c r="E52" s="54" t="str">
        <f>E$9</f>
        <v>Tariff Components</v>
      </c>
      <c r="F52" s="54" t="str">
        <f>F$9</f>
        <v>Tariff Class</v>
      </c>
      <c r="H52" s="54" t="str">
        <f>Lookup!E$19</f>
        <v>Source</v>
      </c>
      <c r="I52" s="54" t="str">
        <f>Lookup!F$19</f>
        <v>Unit</v>
      </c>
      <c r="O52" s="54" t="str">
        <f>O$9</f>
        <v>FY25</v>
      </c>
      <c r="P52" s="54" t="str">
        <f>P$9</f>
        <v>FY26</v>
      </c>
      <c r="Q52" s="54" t="str">
        <f>Q$9</f>
        <v>FY27</v>
      </c>
      <c r="R52" s="54" t="str">
        <f>R$9</f>
        <v>FY28</v>
      </c>
      <c r="S52" s="54" t="str">
        <f>S$9</f>
        <v>FY29</v>
      </c>
      <c r="U52" s="70" t="s">
        <v>510</v>
      </c>
      <c r="W52" s="70" t="s">
        <v>517</v>
      </c>
    </row>
    <row r="53" spans="2:23" ht="11.25" customHeight="1" x14ac:dyDescent="0.2">
      <c r="D53" s="1"/>
    </row>
    <row r="54" spans="2:23" ht="12.75" x14ac:dyDescent="0.2">
      <c r="C54" s="169">
        <v>5</v>
      </c>
      <c r="D54" s="85" t="s">
        <v>248</v>
      </c>
      <c r="E54" s="243" t="s">
        <v>276</v>
      </c>
      <c r="F54" s="243" t="s">
        <v>70</v>
      </c>
      <c r="G54" s="82"/>
      <c r="H54" s="243" t="s">
        <v>79</v>
      </c>
      <c r="I54" s="243" t="s">
        <v>77</v>
      </c>
      <c r="O54" s="285">
        <v>15</v>
      </c>
      <c r="P54" s="285">
        <v>16</v>
      </c>
      <c r="Q54" s="285">
        <v>17</v>
      </c>
      <c r="R54" s="285">
        <v>19</v>
      </c>
      <c r="S54" s="285">
        <v>20</v>
      </c>
      <c r="U54" s="172" t="s">
        <v>503</v>
      </c>
      <c r="W54" s="172" t="s">
        <v>514</v>
      </c>
    </row>
    <row r="55" spans="2:23" ht="12.75" x14ac:dyDescent="0.2">
      <c r="C55" s="169">
        <v>5</v>
      </c>
      <c r="D55" s="85" t="s">
        <v>248</v>
      </c>
      <c r="E55" s="243" t="s">
        <v>277</v>
      </c>
      <c r="F55" s="243" t="s">
        <v>70</v>
      </c>
      <c r="G55" s="82"/>
      <c r="H55" s="243" t="s">
        <v>79</v>
      </c>
      <c r="I55" s="243" t="s">
        <v>77</v>
      </c>
      <c r="O55" s="285">
        <v>2.2000000000000002</v>
      </c>
      <c r="P55" s="285">
        <v>3</v>
      </c>
      <c r="Q55" s="285">
        <v>4</v>
      </c>
      <c r="R55" s="285">
        <v>6</v>
      </c>
      <c r="S55" s="285">
        <v>7</v>
      </c>
      <c r="U55" s="172" t="s">
        <v>503</v>
      </c>
      <c r="W55" s="172" t="s">
        <v>514</v>
      </c>
    </row>
    <row r="56" spans="2:23" ht="12.75" x14ac:dyDescent="0.2">
      <c r="C56" s="169">
        <v>6</v>
      </c>
      <c r="D56" s="85" t="s">
        <v>249</v>
      </c>
      <c r="E56" s="243" t="s">
        <v>276</v>
      </c>
      <c r="F56" s="243" t="s">
        <v>69</v>
      </c>
      <c r="G56" s="82"/>
      <c r="H56" s="243" t="s">
        <v>79</v>
      </c>
      <c r="I56" s="243" t="s">
        <v>77</v>
      </c>
      <c r="O56" s="285">
        <v>6.5</v>
      </c>
      <c r="P56" s="285">
        <v>8</v>
      </c>
      <c r="Q56" s="285">
        <v>9</v>
      </c>
      <c r="R56" s="285">
        <v>11</v>
      </c>
      <c r="S56" s="285">
        <v>12</v>
      </c>
      <c r="U56" s="172" t="s">
        <v>503</v>
      </c>
      <c r="W56" s="172" t="s">
        <v>515</v>
      </c>
    </row>
    <row r="57" spans="2:23" ht="12.75" x14ac:dyDescent="0.2">
      <c r="C57" s="169">
        <v>6</v>
      </c>
      <c r="D57" s="85" t="s">
        <v>249</v>
      </c>
      <c r="E57" s="243" t="s">
        <v>277</v>
      </c>
      <c r="F57" s="243" t="s">
        <v>69</v>
      </c>
      <c r="G57" s="82"/>
      <c r="H57" s="243" t="s">
        <v>79</v>
      </c>
      <c r="I57" s="243" t="s">
        <v>77</v>
      </c>
      <c r="O57" s="285">
        <v>1.8291850000000001</v>
      </c>
      <c r="P57" s="285">
        <v>2.1884399999999999</v>
      </c>
      <c r="Q57" s="285">
        <v>2.6621700000000001</v>
      </c>
      <c r="R57" s="285">
        <v>4.0220549999999999</v>
      </c>
      <c r="S57" s="285">
        <v>4.99</v>
      </c>
      <c r="U57" s="172" t="s">
        <v>503</v>
      </c>
      <c r="W57" s="172" t="s">
        <v>515</v>
      </c>
    </row>
    <row r="58" spans="2:23" ht="11.25" customHeight="1" x14ac:dyDescent="0.2"/>
    <row r="59" spans="2:23" ht="11.25" customHeight="1" x14ac:dyDescent="0.2"/>
    <row r="60" spans="2:23" s="2" customFormat="1" ht="15.75" x14ac:dyDescent="0.2">
      <c r="B60" s="2" t="s">
        <v>20</v>
      </c>
    </row>
  </sheetData>
  <conditionalFormatting sqref="B2">
    <cfRule type="cellIs" dxfId="31" priority="1" operator="notEqual">
      <formula>"No Errors Found"</formula>
    </cfRule>
  </conditionalFormatting>
  <dataValidations disablePrompts="1" count="5">
    <dataValidation type="list" allowBlank="1" showInputMessage="1" showErrorMessage="1" sqref="I20:I27 I54:I57 I34:I47" xr:uid="{00000000-0002-0000-0200-000000000000}">
      <formula1>LU_Units</formula1>
    </dataValidation>
    <dataValidation type="list" allowBlank="1" showInputMessage="1" showErrorMessage="1" sqref="D54:D57 D20:D27 D34:D47" xr:uid="{00000000-0002-0000-0200-000001000000}">
      <formula1>LU_Tariffs</formula1>
    </dataValidation>
    <dataValidation type="list" allowBlank="1" showInputMessage="1" showErrorMessage="1" sqref="F20:F27 F54:F57 F34:F47" xr:uid="{00000000-0002-0000-0200-000002000000}">
      <formula1>LU_Tariff_Classes</formula1>
    </dataValidation>
    <dataValidation type="list" allowBlank="1" showInputMessage="1" showErrorMessage="1" sqref="K25:K27" xr:uid="{00000000-0002-0000-0200-000003000000}">
      <formula1>LU_Timing</formula1>
    </dataValidation>
    <dataValidation type="list" allowBlank="1" showInputMessage="1" showErrorMessage="1" sqref="J25:J27" xr:uid="{00000000-0002-0000-0200-000004000000}">
      <formula1>LU_Basis</formula1>
    </dataValidation>
  </dataValidations>
  <hyperlinks>
    <hyperlink ref="B3:E3" location="TOC!A1" display="TOC!A1" xr:uid="{00000000-0004-0000-02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5000000}">
          <x14:formula1>
            <xm:f>Output_RIN!$D$28:$D$40</xm:f>
          </x14:formula1>
          <xm:sqref>U34:U47 U54:U57 U20:U27</xm:sqref>
        </x14:dataValidation>
        <x14:dataValidation type="list" allowBlank="1" showInputMessage="1" showErrorMessage="1" xr:uid="{00000000-0002-0000-0200-000006000000}">
          <x14:formula1>
            <xm:f>Output_RIN!$D$51:$D$56</xm:f>
          </x14:formula1>
          <xm:sqref>W20:W27 W54:W57 W34:W47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59999389629810485"/>
  </sheetPr>
  <dimension ref="A1:Z60"/>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6640625" bestFit="1" customWidth="1"/>
    <col min="2" max="3" width="2.83203125" customWidth="1"/>
    <col min="4" max="4" width="34.1640625" bestFit="1" customWidth="1"/>
    <col min="5" max="5" width="23.1640625" bestFit="1" customWidth="1"/>
    <col min="6" max="6" width="14.6640625" bestFit="1" customWidth="1"/>
    <col min="7" max="7" width="2.33203125" customWidth="1"/>
    <col min="8" max="8" width="8.6640625" bestFit="1" customWidth="1"/>
    <col min="9" max="9" width="10.1640625" bestFit="1" customWidth="1"/>
    <col min="10" max="10" width="3.33203125" customWidth="1"/>
    <col min="11" max="11" width="10.33203125" customWidth="1"/>
    <col min="12" max="14" width="2.33203125" customWidth="1"/>
    <col min="15" max="19" width="16.33203125" customWidth="1"/>
    <col min="20" max="20" width="4" customWidth="1"/>
    <col min="21" max="21" width="55.1640625" bestFit="1" customWidth="1"/>
    <col min="22" max="22" width="4" customWidth="1"/>
    <col min="23" max="23" width="70.1640625" bestFit="1" customWidth="1"/>
    <col min="24" max="24" width="10.83203125" customWidth="1"/>
    <col min="26" max="26" width="12.5" bestFit="1" customWidth="1"/>
  </cols>
  <sheetData>
    <row r="1" spans="1:21" ht="19.5" x14ac:dyDescent="0.2">
      <c r="A1" s="59">
        <f>IF(SUM($A6:$A60)&gt;0,1,0)</f>
        <v>0</v>
      </c>
      <c r="B1" s="3" t="s">
        <v>91</v>
      </c>
      <c r="O1" s="259" t="s">
        <v>809</v>
      </c>
      <c r="P1" s="286"/>
    </row>
    <row r="2" spans="1:21" x14ac:dyDescent="0.2">
      <c r="B2" s="13" t="str">
        <f ca="1">Title_Msg</f>
        <v>No Errors Found</v>
      </c>
    </row>
    <row r="3" spans="1:21" x14ac:dyDescent="0.2">
      <c r="B3" s="46" t="str">
        <f>TOC!B1</f>
        <v>Table of contents</v>
      </c>
      <c r="C3" s="42"/>
      <c r="D3" s="42"/>
      <c r="E3" s="42"/>
    </row>
    <row r="4" spans="1:21" ht="12.75" x14ac:dyDescent="0.2">
      <c r="B4" s="40" t="str">
        <f>Model_Name</f>
        <v>Pricing Model - Power and Water Corporation</v>
      </c>
    </row>
    <row r="5" spans="1:21" ht="12.75" hidden="1" outlineLevel="1" x14ac:dyDescent="0.2">
      <c r="B5" s="10"/>
      <c r="J5" s="51"/>
      <c r="K5" s="51"/>
      <c r="L5" s="51"/>
      <c r="M5" s="51"/>
      <c r="N5" s="51"/>
      <c r="O5" s="51"/>
      <c r="P5" s="51"/>
      <c r="Q5" s="51"/>
      <c r="R5" s="51"/>
      <c r="S5" s="51"/>
    </row>
    <row r="6" spans="1:21" ht="12.75" hidden="1" outlineLevel="1" x14ac:dyDescent="0.2">
      <c r="B6" s="10"/>
      <c r="J6" s="51"/>
      <c r="K6" s="51"/>
      <c r="L6" s="51"/>
      <c r="M6" s="51"/>
      <c r="N6" s="51"/>
      <c r="O6" s="51"/>
      <c r="P6" s="51"/>
      <c r="Q6" s="51"/>
      <c r="R6" s="51"/>
      <c r="S6" s="51"/>
    </row>
    <row r="7" spans="1:21" ht="12.75" hidden="1" outlineLevel="1" x14ac:dyDescent="0.2">
      <c r="B7" s="10"/>
      <c r="J7" s="52"/>
      <c r="K7" s="52"/>
      <c r="L7" s="52"/>
      <c r="M7" s="52"/>
      <c r="N7" s="52"/>
      <c r="O7" s="52"/>
      <c r="P7" s="52"/>
      <c r="Q7" s="52"/>
      <c r="R7" s="52"/>
      <c r="S7" s="52"/>
    </row>
    <row r="8" spans="1:21" ht="12.75" hidden="1" outlineLevel="1" x14ac:dyDescent="0.2">
      <c r="B8" s="10"/>
      <c r="J8" s="53"/>
      <c r="K8" s="53"/>
      <c r="L8" s="53"/>
      <c r="M8" s="53"/>
      <c r="N8" s="53"/>
      <c r="O8" s="53"/>
      <c r="P8" s="53"/>
      <c r="Q8" s="53"/>
      <c r="R8" s="53"/>
      <c r="S8" s="53"/>
    </row>
    <row r="9" spans="1:21" ht="12.75" collapsed="1" x14ac:dyDescent="0.2">
      <c r="B9" s="5" t="str">
        <f>Lookup!B19</f>
        <v>FY</v>
      </c>
      <c r="D9" s="244" t="s">
        <v>118</v>
      </c>
      <c r="E9" s="50" t="s">
        <v>61</v>
      </c>
      <c r="F9" s="50" t="s">
        <v>62</v>
      </c>
      <c r="H9" s="50" t="str">
        <f>Lookup!E19</f>
        <v>Source</v>
      </c>
      <c r="I9" s="50" t="str">
        <f>Lookup!F19</f>
        <v>Unit</v>
      </c>
      <c r="J9" s="50"/>
      <c r="K9" s="50"/>
      <c r="L9" s="50"/>
      <c r="M9" s="50"/>
      <c r="N9" s="50"/>
      <c r="O9" s="50" t="str">
        <f>Lookup!O19</f>
        <v>FY25</v>
      </c>
      <c r="P9" s="50" t="str">
        <f>Lookup!P19</f>
        <v>FY26</v>
      </c>
      <c r="Q9" s="50" t="str">
        <f>Lookup!Q19</f>
        <v>FY27</v>
      </c>
      <c r="R9" s="50" t="str">
        <f>Lookup!R19</f>
        <v>FY28</v>
      </c>
      <c r="S9" s="50" t="str">
        <f>Lookup!S19</f>
        <v>FY29</v>
      </c>
      <c r="U9" s="60"/>
    </row>
    <row r="11" spans="1:21" s="2" customFormat="1" ht="15.75" x14ac:dyDescent="0.2">
      <c r="B11" s="2" t="s">
        <v>678</v>
      </c>
    </row>
    <row r="12" spans="1:21" ht="11.25" customHeight="1" x14ac:dyDescent="0.2"/>
    <row r="13" spans="1:21" ht="11.25" customHeight="1" x14ac:dyDescent="0.2">
      <c r="D13" s="105" t="s">
        <v>214</v>
      </c>
    </row>
    <row r="14" spans="1:21" ht="11.25" customHeight="1" x14ac:dyDescent="0.2"/>
    <row r="15" spans="1:21" ht="11.25" customHeight="1" x14ac:dyDescent="0.2"/>
    <row r="16" spans="1:21" s="8" customFormat="1" ht="15" x14ac:dyDescent="0.2">
      <c r="C16" s="8" t="str">
        <f>Inputs_Prices!C16</f>
        <v>System access charge</v>
      </c>
    </row>
    <row r="17" spans="3:26" ht="11.25" customHeight="1" x14ac:dyDescent="0.2"/>
    <row r="18" spans="3:26" ht="11.25" customHeight="1" x14ac:dyDescent="0.2">
      <c r="C18" s="170" t="s">
        <v>5</v>
      </c>
      <c r="D18" s="70" t="str">
        <f>D$9</f>
        <v>Tariff</v>
      </c>
      <c r="E18" s="54" t="str">
        <f>E$9</f>
        <v>Tariff Components</v>
      </c>
      <c r="F18" s="54" t="str">
        <f>F$9</f>
        <v>Tariff Class</v>
      </c>
      <c r="H18" s="54" t="str">
        <f>Lookup!E$19</f>
        <v>Source</v>
      </c>
      <c r="I18" s="54" t="str">
        <f>Lookup!F$19</f>
        <v>Unit</v>
      </c>
      <c r="M18" s="130"/>
      <c r="N18" s="130"/>
      <c r="O18" s="54" t="str">
        <f>O$9</f>
        <v>FY25</v>
      </c>
      <c r="P18" s="54" t="str">
        <f>P$9</f>
        <v>FY26</v>
      </c>
      <c r="Q18" s="54" t="str">
        <f>Q$9</f>
        <v>FY27</v>
      </c>
      <c r="R18" s="54" t="str">
        <f>R$9</f>
        <v>FY28</v>
      </c>
      <c r="S18" s="54" t="str">
        <f>S$9</f>
        <v>FY29</v>
      </c>
    </row>
    <row r="19" spans="3:26" ht="11.25" customHeight="1" x14ac:dyDescent="0.2">
      <c r="D19" s="1"/>
      <c r="M19" s="130"/>
    </row>
    <row r="20" spans="3:26" ht="12.75" x14ac:dyDescent="0.2">
      <c r="C20" s="169">
        <f>Inputs_Prices!C20</f>
        <v>1</v>
      </c>
      <c r="D20" s="76" t="str">
        <f>Inputs_Prices!D20</f>
        <v>Residential Accumulation</v>
      </c>
      <c r="E20" s="243" t="s">
        <v>105</v>
      </c>
      <c r="F20" s="243" t="str">
        <f>Inputs_Prices!F20</f>
        <v>LV &lt;750MWh</v>
      </c>
      <c r="H20" s="243" t="s">
        <v>79</v>
      </c>
      <c r="I20" s="243" t="s">
        <v>80</v>
      </c>
      <c r="J20" s="78"/>
      <c r="K20" s="78"/>
      <c r="M20" s="130"/>
      <c r="O20" s="258">
        <v>14979395.436498666</v>
      </c>
      <c r="P20" s="258">
        <v>11262886.757197456</v>
      </c>
      <c r="Q20" s="258">
        <v>7544708.76612393</v>
      </c>
      <c r="R20" s="258">
        <v>3834968.9159339061</v>
      </c>
      <c r="S20" s="258">
        <v>3285027.4118775916</v>
      </c>
    </row>
    <row r="21" spans="3:26" ht="12.75" x14ac:dyDescent="0.2">
      <c r="C21" s="169">
        <f>Inputs_Prices!C21</f>
        <v>2</v>
      </c>
      <c r="D21" s="76" t="str">
        <f>Inputs_Prices!D21</f>
        <v>Non-Residential Accumulation</v>
      </c>
      <c r="E21" s="243" t="s">
        <v>105</v>
      </c>
      <c r="F21" s="243" t="str">
        <f>Inputs_Prices!F21</f>
        <v>LV &lt;750MWh</v>
      </c>
      <c r="H21" s="243" t="s">
        <v>79</v>
      </c>
      <c r="I21" s="243" t="s">
        <v>80</v>
      </c>
      <c r="J21" s="78"/>
      <c r="K21" s="78"/>
      <c r="M21" s="130"/>
      <c r="O21" s="258">
        <v>687166.99587346055</v>
      </c>
      <c r="P21" s="258">
        <v>506974.06733770017</v>
      </c>
      <c r="Q21" s="258">
        <v>326176.16509688838</v>
      </c>
      <c r="R21" s="258">
        <v>145167.89161621436</v>
      </c>
      <c r="S21" s="258">
        <v>0</v>
      </c>
    </row>
    <row r="22" spans="3:26" ht="12.75" x14ac:dyDescent="0.2">
      <c r="C22" s="169" t="str">
        <f>Inputs_Prices!C22</f>
        <v>3a</v>
      </c>
      <c r="D22" s="76" t="str">
        <f>Inputs_Prices!D22</f>
        <v>LV Smart Meter - Res</v>
      </c>
      <c r="E22" s="243" t="s">
        <v>105</v>
      </c>
      <c r="F22" s="243" t="str">
        <f>Inputs_Prices!F22</f>
        <v>LV &lt;750MWh</v>
      </c>
      <c r="H22" s="243" t="s">
        <v>79</v>
      </c>
      <c r="I22" s="243" t="s">
        <v>80</v>
      </c>
      <c r="J22" s="78"/>
      <c r="K22" s="78"/>
      <c r="M22" s="130"/>
      <c r="O22" s="258">
        <v>11963240</v>
      </c>
      <c r="P22" s="258">
        <v>15780045</v>
      </c>
      <c r="Q22" s="258">
        <v>19599040</v>
      </c>
      <c r="R22" s="258">
        <v>23484024</v>
      </c>
      <c r="S22" s="258">
        <v>24023570</v>
      </c>
    </row>
    <row r="23" spans="3:26" ht="12.75" x14ac:dyDescent="0.2">
      <c r="C23" s="169" t="str">
        <f>Inputs_Prices!C23</f>
        <v>3b</v>
      </c>
      <c r="D23" s="76" t="str">
        <f>Inputs_Prices!D23</f>
        <v>LV Smart Meter - Small Comm</v>
      </c>
      <c r="E23" s="243" t="s">
        <v>105</v>
      </c>
      <c r="F23" s="243" t="str">
        <f>Inputs_Prices!F23</f>
        <v>LV &lt;750MWh</v>
      </c>
      <c r="H23" s="243" t="s">
        <v>79</v>
      </c>
      <c r="I23" s="243" t="s">
        <v>80</v>
      </c>
      <c r="J23" s="78"/>
      <c r="K23" s="78"/>
      <c r="M23" s="130"/>
      <c r="O23" s="258">
        <v>3399975</v>
      </c>
      <c r="P23" s="258">
        <v>3569700</v>
      </c>
      <c r="Q23" s="258">
        <v>3740155</v>
      </c>
      <c r="R23" s="258">
        <v>3921690</v>
      </c>
      <c r="S23" s="258">
        <v>4082525</v>
      </c>
    </row>
    <row r="24" spans="3:26" ht="12.75" x14ac:dyDescent="0.2">
      <c r="C24" s="169" t="str">
        <f>Inputs_Prices!C24</f>
        <v>3c</v>
      </c>
      <c r="D24" s="76" t="str">
        <f>Inputs_Prices!D24</f>
        <v>LV Smart Meter - Med Comm</v>
      </c>
      <c r="E24" s="243" t="s">
        <v>105</v>
      </c>
      <c r="F24" s="243" t="str">
        <f>Inputs_Prices!F24</f>
        <v>LV &lt;750MWh</v>
      </c>
      <c r="H24" s="243" t="s">
        <v>79</v>
      </c>
      <c r="I24" s="243" t="s">
        <v>80</v>
      </c>
      <c r="J24" s="78"/>
      <c r="K24" s="78"/>
      <c r="M24" s="130"/>
      <c r="O24" s="258">
        <v>308790</v>
      </c>
      <c r="P24" s="258">
        <v>324120</v>
      </c>
      <c r="Q24" s="258">
        <v>339450</v>
      </c>
      <c r="R24" s="258">
        <v>356118</v>
      </c>
      <c r="S24" s="258">
        <v>370475</v>
      </c>
    </row>
    <row r="25" spans="3:26" ht="12.75" x14ac:dyDescent="0.2">
      <c r="C25" s="169">
        <f>Inputs_Prices!C25</f>
        <v>4</v>
      </c>
      <c r="D25" s="76" t="str">
        <f>Inputs_Prices!D25</f>
        <v>Unmetered</v>
      </c>
      <c r="E25" s="243" t="s">
        <v>105</v>
      </c>
      <c r="F25" s="243" t="str">
        <f>Inputs_Prices!F25</f>
        <v>LV &lt;750MWh</v>
      </c>
      <c r="H25" s="243" t="s">
        <v>79</v>
      </c>
      <c r="I25" s="243" t="s">
        <v>80</v>
      </c>
      <c r="J25" s="78"/>
      <c r="K25" s="78"/>
      <c r="M25" s="130"/>
      <c r="O25" s="258">
        <v>0</v>
      </c>
      <c r="P25" s="258">
        <v>0</v>
      </c>
      <c r="Q25" s="258">
        <v>0</v>
      </c>
      <c r="R25" s="258">
        <v>0</v>
      </c>
      <c r="S25" s="258">
        <v>0</v>
      </c>
    </row>
    <row r="26" spans="3:26" ht="12.75" x14ac:dyDescent="0.2">
      <c r="C26" s="169">
        <f>Inputs_Prices!C26</f>
        <v>5</v>
      </c>
      <c r="D26" s="76" t="str">
        <f>Inputs_Prices!D26</f>
        <v>LV Majors</v>
      </c>
      <c r="E26" s="243" t="s">
        <v>105</v>
      </c>
      <c r="F26" s="243" t="str">
        <f>Inputs_Prices!F26</f>
        <v>LV &gt;750MWh</v>
      </c>
      <c r="H26" s="243" t="s">
        <v>79</v>
      </c>
      <c r="I26" s="243" t="s">
        <v>80</v>
      </c>
      <c r="J26" s="78"/>
      <c r="K26" s="78"/>
      <c r="M26" s="130"/>
      <c r="O26" s="258">
        <v>57690.433713430117</v>
      </c>
      <c r="P26" s="258">
        <v>57884.121643990111</v>
      </c>
      <c r="Q26" s="258">
        <v>58078.459855923116</v>
      </c>
      <c r="R26" s="258">
        <v>58433.103821592063</v>
      </c>
      <c r="S26" s="258">
        <v>58469.095864169693</v>
      </c>
    </row>
    <row r="27" spans="3:26" ht="12.75" x14ac:dyDescent="0.2">
      <c r="C27" s="169">
        <f>Inputs_Prices!C27</f>
        <v>6</v>
      </c>
      <c r="D27" s="76" t="str">
        <f>Inputs_Prices!D27</f>
        <v>HV Smart Meters</v>
      </c>
      <c r="E27" s="243" t="s">
        <v>105</v>
      </c>
      <c r="F27" s="243" t="str">
        <f>Inputs_Prices!F27</f>
        <v>HV</v>
      </c>
      <c r="H27" s="243" t="s">
        <v>79</v>
      </c>
      <c r="I27" s="243" t="s">
        <v>80</v>
      </c>
      <c r="J27" s="78"/>
      <c r="K27" s="78"/>
      <c r="M27" s="130"/>
      <c r="O27" s="258">
        <v>24455</v>
      </c>
      <c r="P27" s="258">
        <v>24519.948255291252</v>
      </c>
      <c r="Q27" s="258">
        <v>24585.114565680229</v>
      </c>
      <c r="R27" s="258">
        <v>24718.035278773586</v>
      </c>
      <c r="S27" s="258">
        <v>24716.104282572775</v>
      </c>
    </row>
    <row r="28" spans="3:26" ht="11.25" customHeight="1" x14ac:dyDescent="0.2"/>
    <row r="29" spans="3:26" ht="11.25" customHeight="1" x14ac:dyDescent="0.2"/>
    <row r="30" spans="3:26" s="8" customFormat="1" ht="15" x14ac:dyDescent="0.2">
      <c r="C30" s="8" t="str">
        <f>Inputs_Prices!C30</f>
        <v>Consumption</v>
      </c>
    </row>
    <row r="31" spans="3:26" ht="11.25" customHeight="1" x14ac:dyDescent="0.2">
      <c r="P31" s="288"/>
      <c r="Q31" s="288"/>
      <c r="R31" s="288"/>
      <c r="S31" s="288"/>
    </row>
    <row r="32" spans="3:26" ht="11.25" customHeight="1" x14ac:dyDescent="0.2">
      <c r="C32" s="170" t="s">
        <v>5</v>
      </c>
      <c r="D32" s="70" t="str">
        <f>D$9</f>
        <v>Tariff</v>
      </c>
      <c r="E32" s="54" t="str">
        <f>E$9</f>
        <v>Tariff Components</v>
      </c>
      <c r="F32" s="54" t="str">
        <f>F$9</f>
        <v>Tariff Class</v>
      </c>
      <c r="H32" s="54" t="str">
        <f>Lookup!E$19</f>
        <v>Source</v>
      </c>
      <c r="I32" s="54" t="str">
        <f>Lookup!F$19</f>
        <v>Unit</v>
      </c>
      <c r="M32" s="130"/>
      <c r="N32" s="130"/>
      <c r="O32" s="54" t="str">
        <f>O$9</f>
        <v>FY25</v>
      </c>
      <c r="P32" s="54" t="str">
        <f>P$9</f>
        <v>FY26</v>
      </c>
      <c r="Q32" s="54" t="str">
        <f>Q$9</f>
        <v>FY27</v>
      </c>
      <c r="R32" s="54" t="str">
        <f>R$9</f>
        <v>FY28</v>
      </c>
      <c r="S32" s="54" t="str">
        <f>S$9</f>
        <v>FY29</v>
      </c>
      <c r="U32" s="70" t="s">
        <v>527</v>
      </c>
      <c r="W32" s="70" t="s">
        <v>535</v>
      </c>
      <c r="Z32" s="70" t="s">
        <v>810</v>
      </c>
    </row>
    <row r="33" spans="3:26" ht="11.25" customHeight="1" x14ac:dyDescent="0.2">
      <c r="D33" s="1"/>
      <c r="M33" s="130"/>
      <c r="N33" s="130"/>
      <c r="O33" s="130"/>
      <c r="P33" s="130"/>
      <c r="Q33" s="130"/>
      <c r="R33" s="130"/>
      <c r="S33" s="130"/>
      <c r="U33" s="1"/>
    </row>
    <row r="34" spans="3:26" ht="12.75" x14ac:dyDescent="0.2">
      <c r="C34" s="169">
        <f>Inputs_Prices!C34</f>
        <v>1</v>
      </c>
      <c r="D34" s="76" t="str">
        <f>Inputs_Prices!D34</f>
        <v>Residential Accumulation</v>
      </c>
      <c r="E34" s="243" t="str">
        <f>Inputs_Prices!E34</f>
        <v>Anytime Energy</v>
      </c>
      <c r="F34" s="243" t="str">
        <f>Inputs_Prices!F34</f>
        <v>LV &lt;750MWh</v>
      </c>
      <c r="H34" s="243" t="s">
        <v>79</v>
      </c>
      <c r="I34" s="243" t="s">
        <v>82</v>
      </c>
      <c r="M34" s="130"/>
      <c r="N34" s="130"/>
      <c r="O34" s="258">
        <v>393692061.64295679</v>
      </c>
      <c r="P34" s="258">
        <v>292062115.31481612</v>
      </c>
      <c r="Q34" s="258">
        <v>194722190.23922795</v>
      </c>
      <c r="R34" s="258">
        <v>191372180.80720237</v>
      </c>
      <c r="S34" s="258">
        <v>83694208.006087393</v>
      </c>
      <c r="U34" s="172" t="s">
        <v>519</v>
      </c>
      <c r="W34" s="172" t="s">
        <v>530</v>
      </c>
    </row>
    <row r="35" spans="3:26" ht="12.75" x14ac:dyDescent="0.2">
      <c r="C35" s="169">
        <f>Inputs_Prices!C35</f>
        <v>2</v>
      </c>
      <c r="D35" s="76" t="str">
        <f>Inputs_Prices!D35</f>
        <v>Non-Residential Accumulation</v>
      </c>
      <c r="E35" s="243" t="str">
        <f>Inputs_Prices!E35</f>
        <v>Anytime Energy</v>
      </c>
      <c r="F35" s="243" t="str">
        <f>Inputs_Prices!F35</f>
        <v>LV &lt;750MWh</v>
      </c>
      <c r="H35" s="243" t="s">
        <v>79</v>
      </c>
      <c r="I35" s="243" t="s">
        <v>82</v>
      </c>
      <c r="M35" s="130"/>
      <c r="N35" s="130"/>
      <c r="O35" s="258">
        <v>30798387.472991213</v>
      </c>
      <c r="P35" s="258">
        <v>22418950.006148253</v>
      </c>
      <c r="Q35" s="258">
        <v>14355975.55290366</v>
      </c>
      <c r="R35" s="258">
        <v>6320965.1115470063</v>
      </c>
      <c r="S35" s="258">
        <v>0</v>
      </c>
      <c r="U35" s="172" t="s">
        <v>519</v>
      </c>
      <c r="W35" s="172" t="s">
        <v>531</v>
      </c>
    </row>
    <row r="36" spans="3:26" ht="12.75" x14ac:dyDescent="0.2">
      <c r="C36" s="169" t="str">
        <f>Inputs_Prices!C36</f>
        <v>3a</v>
      </c>
      <c r="D36" s="76" t="str">
        <f>Inputs_Prices!D36</f>
        <v>LV Smart Meter - Res</v>
      </c>
      <c r="E36" s="243" t="str">
        <f>Inputs_Prices!E36</f>
        <v>Peak Energy</v>
      </c>
      <c r="F36" s="243" t="str">
        <f>Inputs_Prices!F36</f>
        <v>LV &lt;750MWh</v>
      </c>
      <c r="H36" s="243" t="s">
        <v>79</v>
      </c>
      <c r="I36" s="243" t="s">
        <v>82</v>
      </c>
      <c r="J36" s="78"/>
      <c r="K36" s="78"/>
      <c r="M36" s="130"/>
      <c r="N36" s="130"/>
      <c r="O36" s="258">
        <v>29084125.770122297</v>
      </c>
      <c r="P36" s="258">
        <v>41680009.882786699</v>
      </c>
      <c r="Q36" s="258">
        <v>54412177.113728061</v>
      </c>
      <c r="R36" s="258">
        <v>53876984.282709278</v>
      </c>
      <c r="S36" s="258">
        <v>67902129.630117893</v>
      </c>
      <c r="U36" s="172" t="s">
        <v>520</v>
      </c>
      <c r="W36" s="172" t="s">
        <v>530</v>
      </c>
      <c r="Z36" s="260">
        <v>0.13836471858391283</v>
      </c>
    </row>
    <row r="37" spans="3:26" ht="12.75" x14ac:dyDescent="0.2">
      <c r="C37" s="169" t="str">
        <f>Inputs_Prices!C37</f>
        <v>3a</v>
      </c>
      <c r="D37" s="76" t="str">
        <f>Inputs_Prices!D37</f>
        <v>LV Smart Meter - Res</v>
      </c>
      <c r="E37" s="243" t="str">
        <f>Inputs_Prices!E37</f>
        <v>Off-peak Energy</v>
      </c>
      <c r="F37" s="243" t="str">
        <f>Inputs_Prices!F37</f>
        <v>LV &lt;750MWh</v>
      </c>
      <c r="H37" s="243" t="s">
        <v>79</v>
      </c>
      <c r="I37" s="243" t="s">
        <v>82</v>
      </c>
      <c r="J37" s="78"/>
      <c r="K37" s="78"/>
      <c r="M37" s="130"/>
      <c r="N37" s="130"/>
      <c r="O37" s="258">
        <v>137360511.65824035</v>
      </c>
      <c r="P37" s="258">
        <v>196849220.38473296</v>
      </c>
      <c r="Q37" s="258">
        <v>256981576.40545279</v>
      </c>
      <c r="R37" s="258">
        <v>254453930.85455635</v>
      </c>
      <c r="S37" s="258">
        <v>320692852.94656241</v>
      </c>
      <c r="U37" s="172" t="s">
        <v>521</v>
      </c>
      <c r="W37" s="172" t="s">
        <v>530</v>
      </c>
      <c r="Z37" s="260">
        <v>0.65347841947716845</v>
      </c>
    </row>
    <row r="38" spans="3:26" ht="12.75" x14ac:dyDescent="0.2">
      <c r="C38" s="169" t="str">
        <f>Inputs_Prices!C38</f>
        <v>3a</v>
      </c>
      <c r="D38" s="76" t="str">
        <f>Inputs_Prices!D38</f>
        <v>LV Smart Meter - Res</v>
      </c>
      <c r="E38" s="243" t="str">
        <f>Inputs_Prices!E38</f>
        <v>Super Off-peak Energy</v>
      </c>
      <c r="F38" s="243" t="str">
        <f>Inputs_Prices!F38</f>
        <v>LV &lt;750MWh</v>
      </c>
      <c r="H38" s="243" t="s">
        <v>79</v>
      </c>
      <c r="I38" s="243" t="s">
        <v>82</v>
      </c>
      <c r="J38" s="78"/>
      <c r="K38" s="78"/>
      <c r="M38" s="130"/>
      <c r="N38" s="130"/>
      <c r="O38" s="258">
        <v>43754364.656723835</v>
      </c>
      <c r="P38" s="258">
        <v>62703701.865460411</v>
      </c>
      <c r="Q38" s="258">
        <v>81858064.361901224</v>
      </c>
      <c r="R38" s="258">
        <v>81052916.478992671</v>
      </c>
      <c r="S38" s="258">
        <v>102152444.40513289</v>
      </c>
      <c r="U38" s="172" t="s">
        <v>522</v>
      </c>
      <c r="W38" s="172" t="s">
        <v>530</v>
      </c>
      <c r="Z38" s="260">
        <v>0.20815686193891875</v>
      </c>
    </row>
    <row r="39" spans="3:26" ht="12.75" x14ac:dyDescent="0.2">
      <c r="C39" s="169" t="str">
        <f>Inputs_Prices!C39</f>
        <v>3b</v>
      </c>
      <c r="D39" s="76" t="str">
        <f>Inputs_Prices!D39</f>
        <v>LV Smart Meter - Small Comm</v>
      </c>
      <c r="E39" s="243" t="str">
        <f>Inputs_Prices!E39</f>
        <v>Peak Energy</v>
      </c>
      <c r="F39" s="243" t="str">
        <f>Inputs_Prices!F39</f>
        <v>LV &lt;750MWh</v>
      </c>
      <c r="H39" s="243" t="s">
        <v>79</v>
      </c>
      <c r="I39" s="243" t="s">
        <v>82</v>
      </c>
      <c r="J39" s="78"/>
      <c r="K39" s="78"/>
      <c r="M39" s="130"/>
      <c r="N39" s="130"/>
      <c r="O39" s="258">
        <v>32030550.470951375</v>
      </c>
      <c r="P39" s="258">
        <v>33180600.036527187</v>
      </c>
      <c r="Q39" s="258">
        <v>34601352.997900955</v>
      </c>
      <c r="R39" s="258">
        <v>35892943.67628286</v>
      </c>
      <c r="S39" s="258">
        <v>37283293.515465498</v>
      </c>
      <c r="U39" s="172" t="s">
        <v>520</v>
      </c>
      <c r="W39" s="172" t="s">
        <v>532</v>
      </c>
      <c r="Z39" s="260">
        <v>0.13376700546871495</v>
      </c>
    </row>
    <row r="40" spans="3:26" ht="12.75" x14ac:dyDescent="0.2">
      <c r="C40" s="169" t="str">
        <f>Inputs_Prices!C40</f>
        <v>3b</v>
      </c>
      <c r="D40" s="76" t="str">
        <f>Inputs_Prices!D40</f>
        <v>LV Smart Meter - Small Comm</v>
      </c>
      <c r="E40" s="243" t="str">
        <f>Inputs_Prices!E40</f>
        <v>Off-peak Energy</v>
      </c>
      <c r="F40" s="243" t="str">
        <f>Inputs_Prices!F40</f>
        <v>LV &lt;750MWh</v>
      </c>
      <c r="H40" s="243" t="s">
        <v>79</v>
      </c>
      <c r="I40" s="243" t="s">
        <v>82</v>
      </c>
      <c r="J40" s="78"/>
      <c r="K40" s="78"/>
      <c r="M40" s="130"/>
      <c r="N40" s="130"/>
      <c r="O40" s="258">
        <v>129509881.04333057</v>
      </c>
      <c r="P40" s="258">
        <v>134159903.6074677</v>
      </c>
      <c r="Q40" s="258">
        <v>139904467.60384199</v>
      </c>
      <c r="R40" s="258">
        <v>145126786.6915397</v>
      </c>
      <c r="S40" s="258">
        <v>150748421.02606225</v>
      </c>
      <c r="U40" s="172" t="s">
        <v>521</v>
      </c>
      <c r="W40" s="172" t="s">
        <v>532</v>
      </c>
      <c r="Z40" s="260">
        <v>0.54086329179659764</v>
      </c>
    </row>
    <row r="41" spans="3:26" ht="12.75" x14ac:dyDescent="0.2">
      <c r="C41" s="169" t="str">
        <f>Inputs_Prices!C41</f>
        <v>3b</v>
      </c>
      <c r="D41" s="76" t="str">
        <f>Inputs_Prices!D41</f>
        <v>LV Smart Meter - Small Comm</v>
      </c>
      <c r="E41" s="243" t="str">
        <f>Inputs_Prices!E41</f>
        <v>Super Off-peak Energy</v>
      </c>
      <c r="F41" s="243" t="str">
        <f>Inputs_Prices!F41</f>
        <v>LV &lt;750MWh</v>
      </c>
      <c r="H41" s="243" t="s">
        <v>79</v>
      </c>
      <c r="I41" s="243" t="s">
        <v>82</v>
      </c>
      <c r="J41" s="78"/>
      <c r="K41" s="78"/>
      <c r="M41" s="130"/>
      <c r="N41" s="130"/>
      <c r="O41" s="258">
        <v>77909875.074532226</v>
      </c>
      <c r="P41" s="258">
        <v>80707211.263455674</v>
      </c>
      <c r="Q41" s="258">
        <v>84162995.947293326</v>
      </c>
      <c r="R41" s="258">
        <v>87304611.277676851</v>
      </c>
      <c r="S41" s="258">
        <v>90686444.580193862</v>
      </c>
      <c r="U41" s="172" t="s">
        <v>522</v>
      </c>
      <c r="W41" s="172" t="s">
        <v>532</v>
      </c>
      <c r="Z41" s="260">
        <v>0.3253697027346874</v>
      </c>
    </row>
    <row r="42" spans="3:26" ht="12.75" x14ac:dyDescent="0.2">
      <c r="C42" s="169" t="str">
        <f>Inputs_Prices!C42</f>
        <v>3c</v>
      </c>
      <c r="D42" s="76" t="str">
        <f>Inputs_Prices!D42</f>
        <v>LV Smart Meter - Med Comm</v>
      </c>
      <c r="E42" s="243" t="str">
        <f>Inputs_Prices!E42</f>
        <v>Peak Energy</v>
      </c>
      <c r="F42" s="243" t="str">
        <f>Inputs_Prices!F42</f>
        <v>LV &lt;750MWh</v>
      </c>
      <c r="H42" s="243" t="s">
        <v>79</v>
      </c>
      <c r="I42" s="243" t="s">
        <v>82</v>
      </c>
      <c r="J42" s="78"/>
      <c r="K42" s="78"/>
      <c r="M42" s="130"/>
      <c r="N42" s="130"/>
      <c r="O42" s="258">
        <v>26088395.772456251</v>
      </c>
      <c r="P42" s="258">
        <v>27018038.397780463</v>
      </c>
      <c r="Q42" s="258">
        <v>28162730.645267855</v>
      </c>
      <c r="R42" s="258">
        <v>29229757.36994363</v>
      </c>
      <c r="S42" s="258">
        <v>30341691.739173315</v>
      </c>
      <c r="U42" s="172" t="s">
        <v>520</v>
      </c>
      <c r="W42" s="172" t="s">
        <v>532</v>
      </c>
      <c r="Z42" s="260">
        <v>0.12521670657031031</v>
      </c>
    </row>
    <row r="43" spans="3:26" ht="12.75" x14ac:dyDescent="0.2">
      <c r="C43" s="169" t="str">
        <f>Inputs_Prices!C43</f>
        <v>3c</v>
      </c>
      <c r="D43" s="76" t="str">
        <f>Inputs_Prices!D43</f>
        <v>LV Smart Meter - Med Comm</v>
      </c>
      <c r="E43" s="243" t="str">
        <f>Inputs_Prices!E43</f>
        <v>Off-peak Energy</v>
      </c>
      <c r="F43" s="243" t="str">
        <f>Inputs_Prices!F43</f>
        <v>LV &lt;750MWh</v>
      </c>
      <c r="H43" s="243" t="s">
        <v>79</v>
      </c>
      <c r="I43" s="243" t="s">
        <v>82</v>
      </c>
      <c r="J43" s="78"/>
      <c r="K43" s="78"/>
      <c r="M43" s="130"/>
      <c r="N43" s="130"/>
      <c r="O43" s="258">
        <v>124041770.82983905</v>
      </c>
      <c r="P43" s="258">
        <v>128461916.8016302</v>
      </c>
      <c r="Q43" s="258">
        <v>133904553.23937678</v>
      </c>
      <c r="R43" s="258">
        <v>138977915.57280496</v>
      </c>
      <c r="S43" s="258">
        <v>144264799.03657973</v>
      </c>
      <c r="U43" s="172" t="s">
        <v>521</v>
      </c>
      <c r="W43" s="172" t="s">
        <v>532</v>
      </c>
      <c r="Z43" s="260">
        <v>0.59536439710333589</v>
      </c>
    </row>
    <row r="44" spans="3:26" ht="12.75" x14ac:dyDescent="0.2">
      <c r="C44" s="169" t="str">
        <f>Inputs_Prices!C44</f>
        <v>3c</v>
      </c>
      <c r="D44" s="76" t="str">
        <f>Inputs_Prices!D44</f>
        <v>LV Smart Meter - Med Comm</v>
      </c>
      <c r="E44" s="243" t="str">
        <f>Inputs_Prices!E44</f>
        <v>Super Off-peak Energy</v>
      </c>
      <c r="F44" s="243" t="str">
        <f>Inputs_Prices!F44</f>
        <v>LV &lt;750MWh</v>
      </c>
      <c r="H44" s="243" t="s">
        <v>79</v>
      </c>
      <c r="I44" s="243" t="s">
        <v>82</v>
      </c>
      <c r="J44" s="78"/>
      <c r="K44" s="78"/>
      <c r="M44" s="130"/>
      <c r="N44" s="130"/>
      <c r="O44" s="258">
        <v>58215800.058370583</v>
      </c>
      <c r="P44" s="258">
        <v>60290281.359315582</v>
      </c>
      <c r="Q44" s="258">
        <v>62844642.140611663</v>
      </c>
      <c r="R44" s="258">
        <v>65225693.662616178</v>
      </c>
      <c r="S44" s="258">
        <v>67706955.810036108</v>
      </c>
      <c r="U44" s="172" t="s">
        <v>522</v>
      </c>
      <c r="W44" s="172" t="s">
        <v>532</v>
      </c>
      <c r="Z44" s="260">
        <v>0.27941889632635392</v>
      </c>
    </row>
    <row r="45" spans="3:26" ht="12.75" x14ac:dyDescent="0.2">
      <c r="C45" s="169">
        <f>Inputs_Prices!C45</f>
        <v>4</v>
      </c>
      <c r="D45" s="76" t="str">
        <f>Inputs_Prices!D45</f>
        <v>Unmetered</v>
      </c>
      <c r="E45" s="243" t="str">
        <f>Inputs_Prices!E45</f>
        <v>Anytime Energy</v>
      </c>
      <c r="F45" s="243" t="str">
        <f>Inputs_Prices!F45</f>
        <v>LV &lt;750MWh</v>
      </c>
      <c r="H45" s="243" t="s">
        <v>79</v>
      </c>
      <c r="I45" s="243" t="s">
        <v>82</v>
      </c>
      <c r="J45" s="78"/>
      <c r="K45" s="78"/>
      <c r="M45" s="130"/>
      <c r="N45" s="130"/>
      <c r="O45" s="258">
        <v>15740002.447825788</v>
      </c>
      <c r="P45" s="258">
        <v>15824967.147750689</v>
      </c>
      <c r="Q45" s="258">
        <v>15835500.809565751</v>
      </c>
      <c r="R45" s="258">
        <v>15719594.747155443</v>
      </c>
      <c r="S45" s="258">
        <v>15527883.640118232</v>
      </c>
      <c r="U45" s="172" t="s">
        <v>524</v>
      </c>
      <c r="W45" s="172" t="s">
        <v>534</v>
      </c>
    </row>
    <row r="46" spans="3:26" ht="12.75" x14ac:dyDescent="0.2">
      <c r="C46" s="169">
        <f>Inputs_Prices!C46</f>
        <v>5</v>
      </c>
      <c r="D46" s="76" t="str">
        <f>Inputs_Prices!D46</f>
        <v>LV Majors</v>
      </c>
      <c r="E46" s="243" t="str">
        <f>Inputs_Prices!E46</f>
        <v>Anytime Energy</v>
      </c>
      <c r="F46" s="243" t="str">
        <f>Inputs_Prices!F46</f>
        <v>LV &gt;750MWh</v>
      </c>
      <c r="H46" s="243" t="s">
        <v>79</v>
      </c>
      <c r="I46" s="243" t="s">
        <v>82</v>
      </c>
      <c r="J46" s="78"/>
      <c r="K46" s="78"/>
      <c r="M46" s="130"/>
      <c r="N46" s="130"/>
      <c r="O46" s="258">
        <v>245469769.54939294</v>
      </c>
      <c r="P46" s="258">
        <v>243006279.31697118</v>
      </c>
      <c r="Q46" s="258">
        <v>242674477.76312637</v>
      </c>
      <c r="R46" s="258">
        <v>241546252.7538569</v>
      </c>
      <c r="S46" s="258">
        <v>241166692.55864429</v>
      </c>
      <c r="U46" s="172" t="s">
        <v>519</v>
      </c>
      <c r="W46" s="172" t="s">
        <v>532</v>
      </c>
    </row>
    <row r="47" spans="3:26" ht="12.75" x14ac:dyDescent="0.2">
      <c r="C47" s="169">
        <f>Inputs_Prices!C47</f>
        <v>6</v>
      </c>
      <c r="D47" s="76" t="str">
        <f>Inputs_Prices!D47</f>
        <v>HV Smart Meters</v>
      </c>
      <c r="E47" s="243" t="str">
        <f>Inputs_Prices!E47</f>
        <v>Anytime Energy</v>
      </c>
      <c r="F47" s="243" t="str">
        <f>Inputs_Prices!F47</f>
        <v>HV</v>
      </c>
      <c r="H47" s="243" t="s">
        <v>79</v>
      </c>
      <c r="I47" s="243" t="s">
        <v>82</v>
      </c>
      <c r="J47" s="78"/>
      <c r="K47" s="78"/>
      <c r="M47" s="130"/>
      <c r="N47" s="130"/>
      <c r="O47" s="258">
        <v>361144292.95880222</v>
      </c>
      <c r="P47" s="258">
        <v>378528519.70575869</v>
      </c>
      <c r="Q47" s="258">
        <v>377300162.71194649</v>
      </c>
      <c r="R47" s="258">
        <v>375045999.69464791</v>
      </c>
      <c r="S47" s="258">
        <v>373768254.79088336</v>
      </c>
      <c r="U47" s="172" t="s">
        <v>519</v>
      </c>
      <c r="W47" s="172" t="s">
        <v>533</v>
      </c>
    </row>
    <row r="48" spans="3:26" ht="11.25" customHeight="1" x14ac:dyDescent="0.2">
      <c r="M48" s="130"/>
      <c r="N48" s="130"/>
      <c r="O48" s="130"/>
      <c r="P48" s="130"/>
      <c r="Q48" s="130"/>
      <c r="R48" s="130"/>
      <c r="S48" s="130"/>
    </row>
    <row r="49" spans="2:19" ht="11.25" customHeight="1" x14ac:dyDescent="0.2">
      <c r="M49" s="130"/>
      <c r="N49" s="130"/>
      <c r="O49" s="130"/>
      <c r="P49" s="130"/>
      <c r="Q49" s="130"/>
      <c r="R49" s="130"/>
      <c r="S49" s="130"/>
    </row>
    <row r="50" spans="2:19" s="8" customFormat="1" ht="15" x14ac:dyDescent="0.2">
      <c r="C50" s="8" t="str">
        <f>Inputs_Prices!C50</f>
        <v>Demand</v>
      </c>
    </row>
    <row r="51" spans="2:19" ht="11.25" customHeight="1" x14ac:dyDescent="0.2">
      <c r="M51" s="130"/>
      <c r="N51" s="130"/>
    </row>
    <row r="52" spans="2:19" ht="11.25" customHeight="1" x14ac:dyDescent="0.2">
      <c r="C52" s="170" t="s">
        <v>5</v>
      </c>
      <c r="D52" s="70" t="str">
        <f>D$9</f>
        <v>Tariff</v>
      </c>
      <c r="E52" s="54" t="str">
        <f>E$9</f>
        <v>Tariff Components</v>
      </c>
      <c r="F52" s="54" t="str">
        <f>F$9</f>
        <v>Tariff Class</v>
      </c>
      <c r="H52" s="54" t="str">
        <f>Lookup!E$19</f>
        <v>Source</v>
      </c>
      <c r="I52" s="54" t="str">
        <f>Lookup!F$19</f>
        <v>Unit</v>
      </c>
      <c r="K52" s="54" t="s">
        <v>106</v>
      </c>
      <c r="M52" s="130"/>
      <c r="N52" s="130"/>
      <c r="O52" s="54" t="str">
        <f>O$9</f>
        <v>FY25</v>
      </c>
      <c r="P52" s="54" t="str">
        <f>P$9</f>
        <v>FY26</v>
      </c>
      <c r="Q52" s="54" t="str">
        <f>Q$9</f>
        <v>FY27</v>
      </c>
      <c r="R52" s="54" t="str">
        <f>R$9</f>
        <v>FY28</v>
      </c>
      <c r="S52" s="54" t="str">
        <f>S$9</f>
        <v>FY29</v>
      </c>
    </row>
    <row r="53" spans="2:19" ht="11.25" customHeight="1" x14ac:dyDescent="0.2">
      <c r="D53" s="1"/>
      <c r="M53" s="130"/>
      <c r="N53" s="130"/>
      <c r="O53" s="130"/>
      <c r="P53" s="130"/>
      <c r="Q53" s="130"/>
      <c r="R53" s="130"/>
      <c r="S53" s="130"/>
    </row>
    <row r="54" spans="2:19" ht="12.75" x14ac:dyDescent="0.2">
      <c r="C54" s="169">
        <f>Inputs_Prices!C54</f>
        <v>5</v>
      </c>
      <c r="D54" s="76" t="str">
        <f>Inputs_Prices!D54</f>
        <v>LV Majors</v>
      </c>
      <c r="E54" s="243" t="str">
        <f>Inputs_Prices!E54</f>
        <v>On-Season Demand</v>
      </c>
      <c r="F54" s="243" t="str">
        <f>Inputs_Prices!F54</f>
        <v>LV &gt;750MWh</v>
      </c>
      <c r="H54" s="243" t="s">
        <v>79</v>
      </c>
      <c r="I54" s="243" t="s">
        <v>83</v>
      </c>
      <c r="J54" s="243"/>
      <c r="K54" s="243" t="s">
        <v>4</v>
      </c>
      <c r="M54" s="130"/>
      <c r="N54" s="130"/>
      <c r="O54" s="258">
        <v>367069.38500000001</v>
      </c>
      <c r="P54" s="258">
        <v>366151.71153750003</v>
      </c>
      <c r="Q54" s="258">
        <v>365236.33225865627</v>
      </c>
      <c r="R54" s="258">
        <v>364323.24142800964</v>
      </c>
      <c r="S54" s="258">
        <v>363412.43332443963</v>
      </c>
    </row>
    <row r="55" spans="2:19" ht="12.75" x14ac:dyDescent="0.2">
      <c r="C55" s="169">
        <f>Inputs_Prices!C55</f>
        <v>5</v>
      </c>
      <c r="D55" s="76" t="str">
        <f>Inputs_Prices!D55</f>
        <v>LV Majors</v>
      </c>
      <c r="E55" s="243" t="str">
        <f>Inputs_Prices!E55</f>
        <v>Off-Season Demand</v>
      </c>
      <c r="F55" s="243" t="str">
        <f>Inputs_Prices!F55</f>
        <v>LV &gt;750MWh</v>
      </c>
      <c r="H55" s="243" t="s">
        <v>79</v>
      </c>
      <c r="I55" s="243" t="s">
        <v>83</v>
      </c>
      <c r="J55" s="243"/>
      <c r="K55" s="243" t="s">
        <v>4</v>
      </c>
      <c r="M55" s="130"/>
      <c r="N55" s="130"/>
      <c r="O55" s="258">
        <v>334823.67999999999</v>
      </c>
      <c r="P55" s="258">
        <v>333986.62079999998</v>
      </c>
      <c r="Q55" s="258">
        <v>333151.65424799995</v>
      </c>
      <c r="R55" s="258">
        <v>332318.77511237992</v>
      </c>
      <c r="S55" s="258">
        <v>331487.97817459895</v>
      </c>
    </row>
    <row r="56" spans="2:19" ht="12.75" x14ac:dyDescent="0.2">
      <c r="C56" s="169">
        <f>Inputs_Prices!C56</f>
        <v>6</v>
      </c>
      <c r="D56" s="76" t="str">
        <f>Inputs_Prices!D56</f>
        <v>HV Smart Meters</v>
      </c>
      <c r="E56" s="243" t="str">
        <f>Inputs_Prices!E56</f>
        <v>On-Season Demand</v>
      </c>
      <c r="F56" s="243" t="str">
        <f>Inputs_Prices!F56</f>
        <v>HV</v>
      </c>
      <c r="H56" s="243" t="s">
        <v>79</v>
      </c>
      <c r="I56" s="243" t="s">
        <v>83</v>
      </c>
      <c r="J56" s="243"/>
      <c r="K56" s="243" t="s">
        <v>4</v>
      </c>
      <c r="M56" s="130"/>
      <c r="N56" s="130"/>
      <c r="O56" s="258">
        <v>382823.73359879991</v>
      </c>
      <c r="P56" s="258">
        <v>384890.22016747546</v>
      </c>
      <c r="Q56" s="258">
        <v>385146.4168077159</v>
      </c>
      <c r="R56" s="258">
        <v>382327.38347492384</v>
      </c>
      <c r="S56" s="258">
        <v>377664.64202925895</v>
      </c>
    </row>
    <row r="57" spans="2:19" ht="12.75" x14ac:dyDescent="0.2">
      <c r="C57" s="169">
        <f>Inputs_Prices!C57</f>
        <v>6</v>
      </c>
      <c r="D57" s="76" t="str">
        <f>Inputs_Prices!D57</f>
        <v>HV Smart Meters</v>
      </c>
      <c r="E57" s="243" t="str">
        <f>Inputs_Prices!E57</f>
        <v>Off-Season Demand</v>
      </c>
      <c r="F57" s="243" t="str">
        <f>Inputs_Prices!F57</f>
        <v>HV</v>
      </c>
      <c r="H57" s="243" t="s">
        <v>79</v>
      </c>
      <c r="I57" s="243" t="s">
        <v>83</v>
      </c>
      <c r="J57" s="243"/>
      <c r="K57" s="243" t="s">
        <v>4</v>
      </c>
      <c r="M57" s="130"/>
      <c r="N57" s="130"/>
      <c r="O57" s="258">
        <v>353375.75409119989</v>
      </c>
      <c r="P57" s="258">
        <v>355283.28015459271</v>
      </c>
      <c r="Q57" s="258">
        <v>355519.76936096849</v>
      </c>
      <c r="R57" s="258">
        <v>352917.58474608354</v>
      </c>
      <c r="S57" s="258">
        <v>348613.51571931591</v>
      </c>
    </row>
    <row r="58" spans="2:19" ht="11.25" customHeight="1" x14ac:dyDescent="0.2">
      <c r="M58" s="130"/>
      <c r="N58" s="130"/>
      <c r="O58" s="130"/>
      <c r="P58" s="130"/>
      <c r="Q58" s="130"/>
      <c r="R58" s="130"/>
      <c r="S58" s="130"/>
    </row>
    <row r="59" spans="2:19" ht="11.25" customHeight="1" x14ac:dyDescent="0.2">
      <c r="M59" s="130"/>
      <c r="N59" s="130"/>
      <c r="O59" s="130"/>
      <c r="P59" s="130"/>
      <c r="Q59" s="130"/>
      <c r="R59" s="130"/>
      <c r="S59" s="130"/>
    </row>
    <row r="60" spans="2:19" s="2" customFormat="1" ht="15.75" x14ac:dyDescent="0.2">
      <c r="B60" s="2" t="s">
        <v>20</v>
      </c>
    </row>
  </sheetData>
  <conditionalFormatting sqref="B2">
    <cfRule type="cellIs" dxfId="30" priority="1" operator="notEqual">
      <formula>"No Errors Found"</formula>
    </cfRule>
  </conditionalFormatting>
  <dataValidations count="4">
    <dataValidation type="list" allowBlank="1" showInputMessage="1" showErrorMessage="1" sqref="J20:J27 J36:J47" xr:uid="{00000000-0002-0000-0300-000000000000}">
      <formula1>LU_Basis</formula1>
    </dataValidation>
    <dataValidation type="list" allowBlank="1" showInputMessage="1" showErrorMessage="1" sqref="I34:I47 I54:I57 I20:I27" xr:uid="{00000000-0002-0000-0300-000001000000}">
      <formula1>LU_Units</formula1>
    </dataValidation>
    <dataValidation type="list" allowBlank="1" showInputMessage="1" showErrorMessage="1" sqref="K20:K27 K36:K47" xr:uid="{00000000-0002-0000-0300-000002000000}">
      <formula1>LU_Timing</formula1>
    </dataValidation>
    <dataValidation type="list" allowBlank="1" showInputMessage="1" showErrorMessage="1" sqref="K54:K57" xr:uid="{00000000-0002-0000-0300-000003000000}">
      <formula1>Yes_No</formula1>
    </dataValidation>
  </dataValidations>
  <hyperlinks>
    <hyperlink ref="B3:E3" location="TOC!A1" display="TOC!A1"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Output_RIN!$D$69:$D$74</xm:f>
          </x14:formula1>
          <xm:sqref>U34:U47</xm:sqref>
        </x14:dataValidation>
        <x14:dataValidation type="list" allowBlank="1" showInputMessage="1" showErrorMessage="1" xr:uid="{00000000-0002-0000-0300-000005000000}">
          <x14:formula1>
            <xm:f>Output_RIN!$D$85:$D$89</xm:f>
          </x14:formula1>
          <xm:sqref>W34:W47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59999389629810485"/>
  </sheetPr>
  <dimension ref="A1:AI252"/>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1640625" customWidth="1"/>
    <col min="2" max="3" width="2.83203125" customWidth="1"/>
    <col min="4" max="4" width="40" customWidth="1"/>
    <col min="5" max="5" width="39.6640625" bestFit="1" customWidth="1"/>
    <col min="6" max="6" width="14.33203125" bestFit="1" customWidth="1"/>
    <col min="7" max="7" width="2.33203125" customWidth="1"/>
    <col min="8" max="8" width="17" bestFit="1" customWidth="1"/>
    <col min="9" max="9" width="10.83203125" customWidth="1"/>
    <col min="10" max="18" width="12.83203125" customWidth="1"/>
    <col min="19" max="35" width="12.6640625" customWidth="1"/>
  </cols>
  <sheetData>
    <row r="1" spans="1:35" ht="19.5" x14ac:dyDescent="0.2">
      <c r="A1" s="59">
        <f>IF(SUM($A10:$A252)&gt;0,1,0)</f>
        <v>0</v>
      </c>
      <c r="B1" s="3" t="s">
        <v>304</v>
      </c>
      <c r="M1" s="259" t="s">
        <v>809</v>
      </c>
      <c r="N1" s="286"/>
      <c r="O1" s="286"/>
    </row>
    <row r="2" spans="1:35" x14ac:dyDescent="0.2">
      <c r="B2" s="13" t="str">
        <f ca="1">Title_Msg</f>
        <v>No Errors Found</v>
      </c>
    </row>
    <row r="3" spans="1:35" x14ac:dyDescent="0.2">
      <c r="B3" s="46" t="str">
        <f>TOC!B1</f>
        <v>Table of contents</v>
      </c>
      <c r="C3" s="42"/>
      <c r="D3" s="42"/>
      <c r="E3" s="42"/>
    </row>
    <row r="4" spans="1:35" ht="12.75" x14ac:dyDescent="0.2">
      <c r="B4" s="40" t="str">
        <f>Model_Name</f>
        <v>Pricing Model - Power and Water Corporation</v>
      </c>
    </row>
    <row r="5" spans="1:35" ht="12.75" hidden="1" outlineLevel="1" x14ac:dyDescent="0.2">
      <c r="B5" s="10"/>
      <c r="J5" s="51"/>
      <c r="K5" s="51"/>
      <c r="L5" s="51"/>
      <c r="M5" s="51"/>
      <c r="N5" s="51"/>
      <c r="O5" s="51"/>
      <c r="P5" s="51"/>
      <c r="Q5" s="51"/>
      <c r="R5" s="51"/>
      <c r="S5" s="51"/>
    </row>
    <row r="6" spans="1:35" ht="12.75" hidden="1" outlineLevel="1" x14ac:dyDescent="0.2">
      <c r="B6" s="10"/>
      <c r="J6" s="51"/>
      <c r="K6" s="51"/>
      <c r="L6" s="51"/>
      <c r="M6" s="51"/>
      <c r="N6" s="51"/>
      <c r="O6" s="51"/>
      <c r="P6" s="51"/>
      <c r="Q6" s="51"/>
      <c r="R6" s="51"/>
      <c r="S6" s="51"/>
    </row>
    <row r="7" spans="1:35" ht="12.75" hidden="1" outlineLevel="1" x14ac:dyDescent="0.2">
      <c r="B7" s="10"/>
      <c r="J7" s="52"/>
      <c r="K7" s="52"/>
      <c r="L7" s="52"/>
      <c r="M7" s="52"/>
      <c r="N7" s="52"/>
      <c r="O7" s="52"/>
      <c r="P7" s="52"/>
      <c r="Q7" s="52"/>
      <c r="R7" s="52"/>
      <c r="S7" s="52"/>
    </row>
    <row r="8" spans="1:35" ht="12.75" hidden="1" outlineLevel="1" x14ac:dyDescent="0.2">
      <c r="B8" s="10"/>
      <c r="J8" s="53"/>
      <c r="K8" s="53"/>
      <c r="L8" s="53"/>
      <c r="M8" s="53"/>
      <c r="N8" s="53"/>
      <c r="O8" s="53"/>
      <c r="P8" s="53"/>
      <c r="Q8" s="53"/>
      <c r="R8" s="53"/>
      <c r="S8" s="53"/>
    </row>
    <row r="9" spans="1:35" ht="12.75" collapsed="1" x14ac:dyDescent="0.2">
      <c r="B9" s="5" t="str">
        <f>Lookup!B19</f>
        <v>FY</v>
      </c>
      <c r="D9" s="50"/>
      <c r="E9" s="50"/>
      <c r="F9" s="50"/>
      <c r="H9" s="50" t="str">
        <f>Lookup!E19</f>
        <v>Source</v>
      </c>
      <c r="I9" s="50" t="str">
        <f>Lookup!F19</f>
        <v>Unit</v>
      </c>
      <c r="J9" s="50" t="str">
        <f>Lookup!G19</f>
        <v>Basis</v>
      </c>
      <c r="K9" s="50"/>
      <c r="L9" s="50" t="str">
        <f>Lookup!L19</f>
        <v>FY22</v>
      </c>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75" x14ac:dyDescent="0.2">
      <c r="B11" s="2" t="s">
        <v>679</v>
      </c>
    </row>
    <row r="12" spans="1:35" ht="11.25" customHeight="1" x14ac:dyDescent="0.2"/>
    <row r="13" spans="1:35" ht="11.25" customHeight="1" x14ac:dyDescent="0.2">
      <c r="D13" s="105" t="s">
        <v>305</v>
      </c>
    </row>
    <row r="14" spans="1:35" ht="11.25" customHeight="1" x14ac:dyDescent="0.2"/>
    <row r="15" spans="1:35" ht="11.25" customHeight="1" x14ac:dyDescent="0.2"/>
    <row r="16" spans="1:35" s="2" customFormat="1" ht="15.75" x14ac:dyDescent="0.2">
      <c r="B16" s="2" t="s">
        <v>472</v>
      </c>
    </row>
    <row r="17" spans="2:14" ht="11.25" customHeight="1" x14ac:dyDescent="0.2"/>
    <row r="18" spans="2:14" ht="11.25" customHeight="1" x14ac:dyDescent="0.2">
      <c r="D18" s="105" t="s">
        <v>473</v>
      </c>
    </row>
    <row r="19" spans="2:14" ht="11.25" customHeight="1" x14ac:dyDescent="0.2"/>
    <row r="20" spans="2:14" ht="11.25" customHeight="1" x14ac:dyDescent="0.2"/>
    <row r="21" spans="2:14" s="8" customFormat="1" ht="15" x14ac:dyDescent="0.2">
      <c r="C21" s="8" t="s">
        <v>8</v>
      </c>
    </row>
    <row r="22" spans="2:14" ht="11.25" customHeight="1" x14ac:dyDescent="0.2"/>
    <row r="23" spans="2:14" ht="11.25" customHeight="1" x14ac:dyDescent="0.2">
      <c r="D23" s="70" t="s">
        <v>226</v>
      </c>
      <c r="H23" s="54" t="str">
        <f>Lookup!E$19</f>
        <v>Source</v>
      </c>
      <c r="I23" s="54" t="str">
        <f>Lookup!F$19</f>
        <v>Unit</v>
      </c>
      <c r="J23" s="54" t="str">
        <f>Lookup!G$19</f>
        <v>Basis</v>
      </c>
      <c r="M23" s="61" t="s">
        <v>202</v>
      </c>
    </row>
    <row r="24" spans="2:14" ht="11.25" customHeight="1" x14ac:dyDescent="0.2"/>
    <row r="25" spans="2:14" ht="12.75" x14ac:dyDescent="0.2">
      <c r="D25" s="75" t="s">
        <v>474</v>
      </c>
      <c r="H25" s="243" t="s">
        <v>79</v>
      </c>
      <c r="I25" s="243" t="s">
        <v>475</v>
      </c>
      <c r="J25" s="243" t="s">
        <v>21</v>
      </c>
      <c r="M25" s="64">
        <v>20</v>
      </c>
    </row>
    <row r="26" spans="2:14" ht="12.75" x14ac:dyDescent="0.2">
      <c r="D26" s="75" t="s">
        <v>476</v>
      </c>
      <c r="H26" s="243" t="s">
        <v>79</v>
      </c>
      <c r="I26" s="243" t="s">
        <v>475</v>
      </c>
      <c r="J26" s="243" t="s">
        <v>21</v>
      </c>
      <c r="M26" s="64">
        <v>40</v>
      </c>
    </row>
    <row r="27" spans="2:14" ht="12.75" x14ac:dyDescent="0.2">
      <c r="D27" s="75" t="s">
        <v>477</v>
      </c>
      <c r="H27" s="243" t="s">
        <v>79</v>
      </c>
      <c r="I27" s="243" t="s">
        <v>475</v>
      </c>
      <c r="J27" s="243" t="s">
        <v>21</v>
      </c>
      <c r="M27" s="167">
        <f>AVERAGE(Inputs_Other!O56:S56)</f>
        <v>2.9925093666902391E-2</v>
      </c>
      <c r="N27" s="107" t="s">
        <v>482</v>
      </c>
    </row>
    <row r="28" spans="2:14" ht="11.25" customHeight="1" x14ac:dyDescent="0.2"/>
    <row r="29" spans="2:14" ht="11.25" customHeight="1" x14ac:dyDescent="0.2"/>
    <row r="30" spans="2:14" ht="11.25" customHeight="1" x14ac:dyDescent="0.2"/>
    <row r="31" spans="2:14" s="2" customFormat="1" ht="15.75" x14ac:dyDescent="0.2">
      <c r="B31" s="2" t="s">
        <v>306</v>
      </c>
    </row>
    <row r="32" spans="2:14" ht="11.25" customHeight="1" x14ac:dyDescent="0.2"/>
    <row r="33" spans="3:21" ht="11.25" customHeight="1" x14ac:dyDescent="0.2">
      <c r="D33" s="105" t="s">
        <v>307</v>
      </c>
    </row>
    <row r="34" spans="3:21" ht="11.25" customHeight="1" x14ac:dyDescent="0.2"/>
    <row r="35" spans="3:21" ht="11.25" customHeight="1" x14ac:dyDescent="0.2"/>
    <row r="36" spans="3:21" s="8" customFormat="1" ht="15" x14ac:dyDescent="0.2">
      <c r="C36" s="8" t="s">
        <v>680</v>
      </c>
    </row>
    <row r="37" spans="3:21" ht="11.25" customHeight="1" x14ac:dyDescent="0.2"/>
    <row r="38" spans="3:21" ht="38.25" x14ac:dyDescent="0.2">
      <c r="D38" s="70" t="s">
        <v>254</v>
      </c>
      <c r="H38" s="54" t="str">
        <f>Lookup!E$19</f>
        <v>Source</v>
      </c>
      <c r="I38" s="54" t="str">
        <f>Lookup!F$19</f>
        <v>Unit</v>
      </c>
      <c r="J38" s="54" t="str">
        <f>Lookup!G$19</f>
        <v>Basis</v>
      </c>
      <c r="M38" s="61" t="s">
        <v>471</v>
      </c>
      <c r="O38" s="61" t="s">
        <v>470</v>
      </c>
      <c r="Q38" s="61" t="s">
        <v>258</v>
      </c>
    </row>
    <row r="39" spans="3:21" ht="11.25" customHeight="1" x14ac:dyDescent="0.2"/>
    <row r="40" spans="3:21" ht="12.75" x14ac:dyDescent="0.2">
      <c r="D40" s="75" t="s">
        <v>256</v>
      </c>
      <c r="H40" s="243" t="s">
        <v>79</v>
      </c>
      <c r="I40" s="243" t="s">
        <v>43</v>
      </c>
      <c r="J40" s="243" t="s">
        <v>21</v>
      </c>
      <c r="M40" s="94">
        <v>0.35</v>
      </c>
      <c r="O40" s="94">
        <v>2.3E-2</v>
      </c>
      <c r="Q40" s="94">
        <v>0.93850000000000022</v>
      </c>
      <c r="R40" s="107" t="s">
        <v>479</v>
      </c>
    </row>
    <row r="41" spans="3:21" ht="12.75" x14ac:dyDescent="0.2">
      <c r="D41" s="75" t="s">
        <v>69</v>
      </c>
      <c r="H41" s="243" t="s">
        <v>79</v>
      </c>
      <c r="I41" s="243" t="s">
        <v>43</v>
      </c>
      <c r="J41" s="243" t="s">
        <v>21</v>
      </c>
      <c r="M41" s="94">
        <v>0.35</v>
      </c>
      <c r="O41" s="94">
        <v>2.3E-2</v>
      </c>
      <c r="Q41" s="94">
        <v>0.97991949999999983</v>
      </c>
    </row>
    <row r="42" spans="3:21" ht="12.75" x14ac:dyDescent="0.2">
      <c r="D42" s="75" t="s">
        <v>255</v>
      </c>
      <c r="H42" s="243" t="s">
        <v>79</v>
      </c>
      <c r="I42" s="243" t="s">
        <v>43</v>
      </c>
      <c r="J42" s="243" t="s">
        <v>21</v>
      </c>
      <c r="M42" s="94">
        <v>0.35</v>
      </c>
      <c r="O42" s="94">
        <v>2.3E-2</v>
      </c>
      <c r="Q42" s="94">
        <v>1</v>
      </c>
    </row>
    <row r="43" spans="3:21" ht="11.25" customHeight="1" x14ac:dyDescent="0.2"/>
    <row r="44" spans="3:21" ht="11.25" customHeight="1" x14ac:dyDescent="0.2"/>
    <row r="45" spans="3:21" s="8" customFormat="1" ht="15" x14ac:dyDescent="0.2">
      <c r="C45" s="8" t="s">
        <v>681</v>
      </c>
    </row>
    <row r="46" spans="3:21" ht="11.25" customHeight="1" x14ac:dyDescent="0.2"/>
    <row r="47" spans="3:21" ht="11.25" customHeight="1" x14ac:dyDescent="0.2">
      <c r="D47" s="70" t="s">
        <v>336</v>
      </c>
      <c r="H47" s="54" t="str">
        <f>Lookup!E$19</f>
        <v>Source</v>
      </c>
      <c r="I47" s="54" t="str">
        <f>Lookup!F$19</f>
        <v>Unit</v>
      </c>
      <c r="J47" s="54" t="str">
        <f>Lookup!G$19</f>
        <v>Basis</v>
      </c>
      <c r="M47" s="54" t="str">
        <f t="shared" ref="M47:S47" si="0">M$9</f>
        <v>FY23</v>
      </c>
      <c r="N47" s="54" t="str">
        <f t="shared" si="0"/>
        <v>FY24</v>
      </c>
      <c r="O47" s="54" t="str">
        <f t="shared" si="0"/>
        <v>FY25</v>
      </c>
      <c r="P47" s="54" t="str">
        <f t="shared" si="0"/>
        <v>FY26</v>
      </c>
      <c r="Q47" s="54" t="str">
        <f t="shared" si="0"/>
        <v>FY27</v>
      </c>
      <c r="R47" s="54" t="str">
        <f t="shared" si="0"/>
        <v>FY28</v>
      </c>
      <c r="S47" s="54" t="str">
        <f t="shared" si="0"/>
        <v>FY29</v>
      </c>
      <c r="U47" s="54" t="s">
        <v>316</v>
      </c>
    </row>
    <row r="48" spans="3:21" ht="11.25" customHeight="1" x14ac:dyDescent="0.2"/>
    <row r="49" spans="4:23" ht="12.75" x14ac:dyDescent="0.2">
      <c r="D49" s="75" t="s">
        <v>308</v>
      </c>
      <c r="H49" s="243" t="s">
        <v>79</v>
      </c>
      <c r="I49" s="243" t="s">
        <v>47</v>
      </c>
      <c r="J49" s="243" t="s">
        <v>238</v>
      </c>
      <c r="M49" s="261">
        <v>1190.9963039578267</v>
      </c>
      <c r="N49" s="67">
        <v>5599.2537296643313</v>
      </c>
      <c r="O49" s="67">
        <v>5052.8201487478163</v>
      </c>
      <c r="P49" s="67">
        <v>1718.9178364476254</v>
      </c>
      <c r="Q49" s="67">
        <v>705.10692373108122</v>
      </c>
      <c r="R49" s="67">
        <v>707.28150088742143</v>
      </c>
      <c r="S49" s="67">
        <v>711.19698933327766</v>
      </c>
      <c r="U49" s="67" t="s">
        <v>334</v>
      </c>
      <c r="V49" s="107" t="s">
        <v>338</v>
      </c>
      <c r="W49" s="107"/>
    </row>
    <row r="50" spans="4:23" ht="12.75" x14ac:dyDescent="0.2">
      <c r="D50" s="75" t="s">
        <v>309</v>
      </c>
      <c r="H50" s="243" t="s">
        <v>79</v>
      </c>
      <c r="I50" s="243" t="s">
        <v>47</v>
      </c>
      <c r="J50" s="243" t="s">
        <v>238</v>
      </c>
      <c r="M50" s="261">
        <v>755.06509446856967</v>
      </c>
      <c r="N50" s="67">
        <v>1549.2006366660203</v>
      </c>
      <c r="O50" s="67">
        <v>1073.1653413269698</v>
      </c>
      <c r="P50" s="67">
        <v>1085.6323177563952</v>
      </c>
      <c r="Q50" s="67">
        <v>1091.7784625513516</v>
      </c>
      <c r="R50" s="67">
        <v>1095.1455497611689</v>
      </c>
      <c r="S50" s="67">
        <v>1101.2082415483012</v>
      </c>
      <c r="U50" s="67" t="s">
        <v>256</v>
      </c>
    </row>
    <row r="51" spans="4:23" ht="12.75" x14ac:dyDescent="0.2">
      <c r="D51" s="75" t="s">
        <v>310</v>
      </c>
      <c r="H51" s="243" t="s">
        <v>79</v>
      </c>
      <c r="I51" s="243" t="s">
        <v>47</v>
      </c>
      <c r="J51" s="243" t="s">
        <v>238</v>
      </c>
      <c r="M51" s="261">
        <v>3565.8802803093554</v>
      </c>
      <c r="N51" s="67">
        <v>4784.9285418088029</v>
      </c>
      <c r="O51" s="67">
        <v>1317.262554174685</v>
      </c>
      <c r="P51" s="67">
        <v>1332.5652112600826</v>
      </c>
      <c r="Q51" s="67">
        <v>1340.1093296537317</v>
      </c>
      <c r="R51" s="67">
        <v>1344.2422789089217</v>
      </c>
      <c r="S51" s="67">
        <v>1351.6839624605138</v>
      </c>
      <c r="U51" s="67" t="s">
        <v>69</v>
      </c>
    </row>
    <row r="52" spans="4:23" ht="12.75" x14ac:dyDescent="0.2">
      <c r="D52" s="75" t="s">
        <v>311</v>
      </c>
      <c r="H52" s="243" t="s">
        <v>79</v>
      </c>
      <c r="I52" s="243" t="s">
        <v>47</v>
      </c>
      <c r="J52" s="243" t="s">
        <v>238</v>
      </c>
      <c r="M52" s="261">
        <v>0</v>
      </c>
      <c r="N52" s="67">
        <v>91.189736738073094</v>
      </c>
      <c r="O52" s="67">
        <v>92.121655954245227</v>
      </c>
      <c r="P52" s="67">
        <v>93.191834489829603</v>
      </c>
      <c r="Q52" s="67">
        <v>93.719426105438316</v>
      </c>
      <c r="R52" s="67">
        <v>94.00846045789622</v>
      </c>
      <c r="S52" s="67">
        <v>94.528888378425449</v>
      </c>
      <c r="U52" s="67" t="s">
        <v>69</v>
      </c>
    </row>
    <row r="53" spans="4:23" ht="12.75" x14ac:dyDescent="0.2">
      <c r="D53" s="75" t="s">
        <v>99</v>
      </c>
      <c r="H53" s="243" t="s">
        <v>79</v>
      </c>
      <c r="I53" s="243" t="s">
        <v>47</v>
      </c>
      <c r="J53" s="243" t="s">
        <v>238</v>
      </c>
      <c r="M53" s="261">
        <v>2052.7233017767862</v>
      </c>
      <c r="N53" s="67">
        <v>61.923371902483993</v>
      </c>
      <c r="O53" s="67">
        <v>226.43193737978177</v>
      </c>
      <c r="P53" s="67">
        <v>229.06240028933891</v>
      </c>
      <c r="Q53" s="67">
        <v>230.35920276678178</v>
      </c>
      <c r="R53" s="67">
        <v>231.06963950088547</v>
      </c>
      <c r="S53" s="67">
        <v>232.3488338563418</v>
      </c>
      <c r="U53" s="67" t="s">
        <v>255</v>
      </c>
    </row>
    <row r="54" spans="4:23" ht="12.75" x14ac:dyDescent="0.2">
      <c r="D54" s="75" t="s">
        <v>312</v>
      </c>
      <c r="H54" s="243" t="s">
        <v>79</v>
      </c>
      <c r="I54" s="243" t="s">
        <v>47</v>
      </c>
      <c r="J54" s="243" t="s">
        <v>238</v>
      </c>
      <c r="M54" s="261">
        <v>0</v>
      </c>
      <c r="N54" s="67">
        <v>0</v>
      </c>
      <c r="O54" s="67">
        <v>0</v>
      </c>
      <c r="P54" s="67">
        <v>0</v>
      </c>
      <c r="Q54" s="67">
        <v>0</v>
      </c>
      <c r="R54" s="67">
        <v>0</v>
      </c>
      <c r="S54" s="67">
        <v>0</v>
      </c>
      <c r="U54" s="67" t="s">
        <v>69</v>
      </c>
    </row>
    <row r="55" spans="4:23" ht="12.75" x14ac:dyDescent="0.2">
      <c r="D55" s="75" t="s">
        <v>313</v>
      </c>
      <c r="H55" s="243" t="s">
        <v>79</v>
      </c>
      <c r="I55" s="243" t="s">
        <v>47</v>
      </c>
      <c r="J55" s="243" t="s">
        <v>238</v>
      </c>
      <c r="M55" s="261">
        <v>63.817696627076231</v>
      </c>
      <c r="N55" s="67">
        <v>1064.3465879869357</v>
      </c>
      <c r="O55" s="67">
        <v>1088.930057693168</v>
      </c>
      <c r="P55" s="67">
        <v>1101.5801730479625</v>
      </c>
      <c r="Q55" s="67">
        <v>1107.8166042374814</v>
      </c>
      <c r="R55" s="67">
        <v>1111.2331536995716</v>
      </c>
      <c r="S55" s="67">
        <v>1117.384905962997</v>
      </c>
      <c r="U55" s="67" t="s">
        <v>255</v>
      </c>
    </row>
    <row r="56" spans="4:23" ht="12.75" x14ac:dyDescent="0.2">
      <c r="D56" s="75" t="s">
        <v>314</v>
      </c>
      <c r="H56" s="243" t="s">
        <v>79</v>
      </c>
      <c r="I56" s="243" t="s">
        <v>47</v>
      </c>
      <c r="J56" s="243" t="s">
        <v>238</v>
      </c>
      <c r="M56" s="261">
        <v>0</v>
      </c>
      <c r="N56" s="67">
        <v>0</v>
      </c>
      <c r="O56" s="67">
        <v>0</v>
      </c>
      <c r="P56" s="67">
        <v>0</v>
      </c>
      <c r="Q56" s="67">
        <v>0</v>
      </c>
      <c r="R56" s="67">
        <v>0</v>
      </c>
      <c r="S56" s="67">
        <v>0</v>
      </c>
      <c r="U56" s="67" t="s">
        <v>255</v>
      </c>
    </row>
    <row r="57" spans="4:23" ht="12.75" x14ac:dyDescent="0.2">
      <c r="D57" s="75" t="s">
        <v>315</v>
      </c>
      <c r="H57" s="243" t="s">
        <v>79</v>
      </c>
      <c r="I57" s="243" t="s">
        <v>47</v>
      </c>
      <c r="J57" s="243" t="s">
        <v>238</v>
      </c>
      <c r="M57" s="261">
        <v>4039.3934066110137</v>
      </c>
      <c r="N57" s="67">
        <v>303.09211169028725</v>
      </c>
      <c r="O57" s="67">
        <v>634.44456103390439</v>
      </c>
      <c r="P57" s="67">
        <v>506.1108724462751</v>
      </c>
      <c r="Q57" s="67">
        <v>2719.7843137968644</v>
      </c>
      <c r="R57" s="67">
        <v>818.55553143869201</v>
      </c>
      <c r="S57" s="67">
        <v>364.25026215366648</v>
      </c>
      <c r="U57" s="67" t="s">
        <v>317</v>
      </c>
    </row>
    <row r="58" spans="4:23" ht="11.25" customHeight="1" x14ac:dyDescent="0.2"/>
    <row r="59" spans="4:23" ht="11.25" customHeight="1" x14ac:dyDescent="0.2">
      <c r="D59" s="62" t="s">
        <v>51</v>
      </c>
      <c r="H59" s="56" t="s">
        <v>52</v>
      </c>
      <c r="I59" s="56" t="s">
        <v>47</v>
      </c>
      <c r="J59" s="56" t="s">
        <v>238</v>
      </c>
      <c r="M59" s="68">
        <f t="shared" ref="M59:S59" si="1">SUM(M49:M57)</f>
        <v>11667.876083750629</v>
      </c>
      <c r="N59" s="68">
        <f t="shared" si="1"/>
        <v>13453.934716456935</v>
      </c>
      <c r="O59" s="68">
        <f t="shared" si="1"/>
        <v>9485.1762563105694</v>
      </c>
      <c r="P59" s="68">
        <f t="shared" si="1"/>
        <v>6067.0606457375088</v>
      </c>
      <c r="Q59" s="68">
        <f t="shared" si="1"/>
        <v>7288.674262842731</v>
      </c>
      <c r="R59" s="68">
        <f t="shared" si="1"/>
        <v>5401.5361146545574</v>
      </c>
      <c r="S59" s="68">
        <f t="shared" si="1"/>
        <v>4972.6020836935231</v>
      </c>
    </row>
    <row r="60" spans="4:23" ht="11.25" customHeight="1" x14ac:dyDescent="0.2"/>
    <row r="61" spans="4:23" ht="11.25" customHeight="1" x14ac:dyDescent="0.2"/>
    <row r="62" spans="4:23" ht="11.25" customHeight="1" x14ac:dyDescent="0.2"/>
    <row r="63" spans="4:23" ht="11.25" customHeight="1" x14ac:dyDescent="0.2">
      <c r="D63" s="70" t="s">
        <v>337</v>
      </c>
      <c r="F63" s="54" t="s">
        <v>332</v>
      </c>
      <c r="H63" s="54" t="str">
        <f>Lookup!E$19</f>
        <v>Source</v>
      </c>
      <c r="I63" s="54" t="str">
        <f>Lookup!F$19</f>
        <v>Unit</v>
      </c>
      <c r="J63" s="54" t="str">
        <f>Lookup!G$19</f>
        <v>Basis</v>
      </c>
      <c r="M63" s="54" t="str">
        <f t="shared" ref="M63:S63" si="2">M$9</f>
        <v>FY23</v>
      </c>
      <c r="N63" s="54" t="str">
        <f t="shared" si="2"/>
        <v>FY24</v>
      </c>
      <c r="O63" s="54" t="str">
        <f t="shared" si="2"/>
        <v>FY25</v>
      </c>
      <c r="P63" s="54" t="str">
        <f t="shared" si="2"/>
        <v>FY26</v>
      </c>
      <c r="Q63" s="54" t="str">
        <f t="shared" si="2"/>
        <v>FY27</v>
      </c>
      <c r="R63" s="54" t="str">
        <f t="shared" si="2"/>
        <v>FY28</v>
      </c>
      <c r="S63" s="54" t="str">
        <f t="shared" si="2"/>
        <v>FY29</v>
      </c>
      <c r="U63" s="54" t="s">
        <v>316</v>
      </c>
    </row>
    <row r="64" spans="4:23" ht="11.25" customHeight="1" x14ac:dyDescent="0.2"/>
    <row r="65" spans="3:22" ht="12.75" x14ac:dyDescent="0.2">
      <c r="D65" s="75" t="s">
        <v>320</v>
      </c>
      <c r="F65" s="243" t="s">
        <v>326</v>
      </c>
      <c r="H65" s="243" t="s">
        <v>79</v>
      </c>
      <c r="I65" s="243" t="s">
        <v>47</v>
      </c>
      <c r="J65" s="243" t="s">
        <v>236</v>
      </c>
      <c r="M65" s="67">
        <v>320</v>
      </c>
      <c r="N65" s="67">
        <v>320</v>
      </c>
      <c r="O65" s="67">
        <v>370</v>
      </c>
      <c r="P65" s="67">
        <v>370</v>
      </c>
      <c r="Q65" s="67">
        <v>370</v>
      </c>
      <c r="R65" s="67">
        <v>370</v>
      </c>
      <c r="S65" s="67">
        <v>370</v>
      </c>
      <c r="U65" s="67" t="s">
        <v>256</v>
      </c>
      <c r="V65" s="107" t="s">
        <v>333</v>
      </c>
    </row>
    <row r="66" spans="3:22" ht="12.75" x14ac:dyDescent="0.2">
      <c r="D66" s="75" t="s">
        <v>329</v>
      </c>
      <c r="F66" s="243" t="s">
        <v>323</v>
      </c>
      <c r="H66" s="243" t="s">
        <v>79</v>
      </c>
      <c r="I66" s="243" t="s">
        <v>47</v>
      </c>
      <c r="J66" s="243" t="s">
        <v>236</v>
      </c>
      <c r="M66" s="67">
        <v>760</v>
      </c>
      <c r="N66" s="67">
        <v>0</v>
      </c>
      <c r="O66" s="67">
        <v>0</v>
      </c>
      <c r="P66" s="67">
        <v>0</v>
      </c>
      <c r="Q66" s="67">
        <v>0</v>
      </c>
      <c r="R66" s="67">
        <v>0</v>
      </c>
      <c r="S66" s="67">
        <v>0</v>
      </c>
      <c r="U66" s="67" t="s">
        <v>69</v>
      </c>
    </row>
    <row r="67" spans="3:22" ht="12.75" x14ac:dyDescent="0.2">
      <c r="D67" s="75" t="s">
        <v>318</v>
      </c>
      <c r="F67" s="243" t="s">
        <v>324</v>
      </c>
      <c r="H67" s="243" t="s">
        <v>79</v>
      </c>
      <c r="I67" s="243" t="s">
        <v>47</v>
      </c>
      <c r="J67" s="243" t="s">
        <v>236</v>
      </c>
      <c r="M67" s="67">
        <v>600</v>
      </c>
      <c r="N67" s="67">
        <v>1339.9999999999998</v>
      </c>
      <c r="O67" s="67">
        <v>0</v>
      </c>
      <c r="P67" s="67">
        <v>0</v>
      </c>
      <c r="Q67" s="67">
        <v>0</v>
      </c>
      <c r="R67" s="67">
        <v>0</v>
      </c>
      <c r="S67" s="67">
        <v>0</v>
      </c>
      <c r="U67" s="67" t="s">
        <v>256</v>
      </c>
    </row>
    <row r="68" spans="3:22" ht="12.75" x14ac:dyDescent="0.2">
      <c r="D68" s="75" t="s">
        <v>319</v>
      </c>
      <c r="F68" s="243" t="s">
        <v>325</v>
      </c>
      <c r="H68" s="243" t="s">
        <v>79</v>
      </c>
      <c r="I68" s="243" t="s">
        <v>47</v>
      </c>
      <c r="J68" s="243" t="s">
        <v>236</v>
      </c>
      <c r="M68" s="67">
        <v>0</v>
      </c>
      <c r="N68" s="67">
        <v>300</v>
      </c>
      <c r="O68" s="67">
        <v>800</v>
      </c>
      <c r="P68" s="67">
        <v>900</v>
      </c>
      <c r="Q68" s="67">
        <v>0</v>
      </c>
      <c r="R68" s="67">
        <v>0</v>
      </c>
      <c r="S68" s="67">
        <v>0</v>
      </c>
      <c r="U68" s="67" t="s">
        <v>69</v>
      </c>
    </row>
    <row r="69" spans="3:22" ht="12.75" x14ac:dyDescent="0.2">
      <c r="D69" s="75" t="s">
        <v>331</v>
      </c>
      <c r="F69" s="243" t="s">
        <v>330</v>
      </c>
      <c r="H69" s="243" t="s">
        <v>79</v>
      </c>
      <c r="I69" s="243" t="s">
        <v>47</v>
      </c>
      <c r="J69" s="243" t="s">
        <v>236</v>
      </c>
      <c r="M69" s="67">
        <v>700</v>
      </c>
      <c r="N69" s="67">
        <v>3100</v>
      </c>
      <c r="O69" s="67">
        <v>3100</v>
      </c>
      <c r="P69" s="67">
        <v>0</v>
      </c>
      <c r="Q69" s="67">
        <v>0</v>
      </c>
      <c r="R69" s="67">
        <v>0</v>
      </c>
      <c r="S69" s="67">
        <v>0</v>
      </c>
      <c r="U69" s="67" t="s">
        <v>69</v>
      </c>
    </row>
    <row r="70" spans="3:22" ht="12.75" x14ac:dyDescent="0.2">
      <c r="D70" s="75" t="s">
        <v>321</v>
      </c>
      <c r="F70" s="243" t="s">
        <v>327</v>
      </c>
      <c r="H70" s="243" t="s">
        <v>79</v>
      </c>
      <c r="I70" s="243" t="s">
        <v>47</v>
      </c>
      <c r="J70" s="243" t="s">
        <v>236</v>
      </c>
      <c r="M70" s="67">
        <v>422.8</v>
      </c>
      <c r="N70" s="67">
        <v>0</v>
      </c>
      <c r="O70" s="67">
        <v>0</v>
      </c>
      <c r="P70" s="67">
        <v>0</v>
      </c>
      <c r="Q70" s="67">
        <v>0</v>
      </c>
      <c r="R70" s="67">
        <v>0</v>
      </c>
      <c r="S70" s="67">
        <v>0</v>
      </c>
      <c r="U70" s="67" t="s">
        <v>69</v>
      </c>
    </row>
    <row r="71" spans="3:22" ht="12.75" x14ac:dyDescent="0.2">
      <c r="D71" s="75" t="s">
        <v>322</v>
      </c>
      <c r="F71" s="243" t="s">
        <v>328</v>
      </c>
      <c r="H71" s="243" t="s">
        <v>79</v>
      </c>
      <c r="I71" s="243" t="s">
        <v>47</v>
      </c>
      <c r="J71" s="243" t="s">
        <v>236</v>
      </c>
      <c r="M71" s="67">
        <v>0</v>
      </c>
      <c r="N71" s="67">
        <v>0</v>
      </c>
      <c r="O71" s="67">
        <v>250</v>
      </c>
      <c r="P71" s="67">
        <v>250</v>
      </c>
      <c r="Q71" s="67">
        <v>250</v>
      </c>
      <c r="R71" s="67">
        <v>250</v>
      </c>
      <c r="S71" s="67">
        <v>250</v>
      </c>
      <c r="U71" s="67" t="s">
        <v>69</v>
      </c>
    </row>
    <row r="72" spans="3:22" ht="11.25" customHeight="1" x14ac:dyDescent="0.2"/>
    <row r="73" spans="3:22" ht="11.25" customHeight="1" x14ac:dyDescent="0.2">
      <c r="D73" s="62" t="s">
        <v>51</v>
      </c>
      <c r="H73" s="56" t="s">
        <v>52</v>
      </c>
      <c r="I73" s="56" t="s">
        <v>47</v>
      </c>
      <c r="J73" s="56" t="s">
        <v>236</v>
      </c>
      <c r="M73" s="68">
        <f t="shared" ref="M73:S73" si="3">SUM(M65:M71)</f>
        <v>2802.8</v>
      </c>
      <c r="N73" s="68">
        <f t="shared" si="3"/>
        <v>5060</v>
      </c>
      <c r="O73" s="68">
        <f t="shared" si="3"/>
        <v>4520</v>
      </c>
      <c r="P73" s="68">
        <f t="shared" si="3"/>
        <v>1520</v>
      </c>
      <c r="Q73" s="68">
        <f t="shared" si="3"/>
        <v>620</v>
      </c>
      <c r="R73" s="68">
        <f t="shared" si="3"/>
        <v>620</v>
      </c>
      <c r="S73" s="68">
        <f t="shared" si="3"/>
        <v>620</v>
      </c>
    </row>
    <row r="74" spans="3:22" ht="11.25" customHeight="1" x14ac:dyDescent="0.2"/>
    <row r="75" spans="3:22" ht="11.25" customHeight="1" x14ac:dyDescent="0.2"/>
    <row r="76" spans="3:22" s="8" customFormat="1" ht="15" x14ac:dyDescent="0.2">
      <c r="C76" s="8" t="s">
        <v>641</v>
      </c>
    </row>
    <row r="77" spans="3:22" ht="11.25" customHeight="1" x14ac:dyDescent="0.2"/>
    <row r="78" spans="3:22" ht="11.25" customHeight="1" x14ac:dyDescent="0.2">
      <c r="D78" s="70" t="s">
        <v>339</v>
      </c>
      <c r="E78" s="54" t="s">
        <v>340</v>
      </c>
      <c r="H78" s="54" t="str">
        <f>Lookup!E$19</f>
        <v>Source</v>
      </c>
      <c r="I78" s="54" t="str">
        <f>Lookup!F$19</f>
        <v>Unit</v>
      </c>
      <c r="J78" s="54" t="str">
        <f>Lookup!G$19</f>
        <v>Basis</v>
      </c>
      <c r="M78" s="54" t="str">
        <f t="shared" ref="M78:S78" si="4">M$9</f>
        <v>FY23</v>
      </c>
      <c r="N78" s="54" t="str">
        <f t="shared" si="4"/>
        <v>FY24</v>
      </c>
      <c r="O78" s="54" t="str">
        <f t="shared" si="4"/>
        <v>FY25</v>
      </c>
      <c r="P78" s="54" t="str">
        <f t="shared" si="4"/>
        <v>FY26</v>
      </c>
      <c r="Q78" s="54" t="str">
        <f t="shared" si="4"/>
        <v>FY27</v>
      </c>
      <c r="R78" s="54" t="str">
        <f t="shared" si="4"/>
        <v>FY28</v>
      </c>
      <c r="S78" s="54" t="str">
        <f t="shared" si="4"/>
        <v>FY29</v>
      </c>
      <c r="U78" s="54" t="s">
        <v>316</v>
      </c>
    </row>
    <row r="79" spans="3:22" ht="11.25" customHeight="1" x14ac:dyDescent="0.2"/>
    <row r="80" spans="3:22" ht="12.75" x14ac:dyDescent="0.2">
      <c r="D80" s="75" t="s">
        <v>341</v>
      </c>
      <c r="E80" s="243" t="s">
        <v>342</v>
      </c>
      <c r="H80" s="243" t="s">
        <v>79</v>
      </c>
      <c r="I80" s="243" t="s">
        <v>47</v>
      </c>
      <c r="J80" s="243" t="s">
        <v>238</v>
      </c>
      <c r="M80" s="261">
        <v>0</v>
      </c>
      <c r="N80" s="67">
        <v>0</v>
      </c>
      <c r="O80" s="67">
        <v>0</v>
      </c>
      <c r="P80" s="67">
        <v>0</v>
      </c>
      <c r="Q80" s="67">
        <v>0</v>
      </c>
      <c r="R80" s="67">
        <v>0</v>
      </c>
      <c r="S80" s="67">
        <v>0</v>
      </c>
      <c r="U80" s="67" t="s">
        <v>255</v>
      </c>
    </row>
    <row r="81" spans="4:21" ht="12.75" x14ac:dyDescent="0.2">
      <c r="D81" s="75" t="s">
        <v>341</v>
      </c>
      <c r="E81" s="243" t="s">
        <v>343</v>
      </c>
      <c r="H81" s="243" t="s">
        <v>79</v>
      </c>
      <c r="I81" s="243" t="s">
        <v>47</v>
      </c>
      <c r="J81" s="243" t="s">
        <v>238</v>
      </c>
      <c r="M81" s="261">
        <v>0</v>
      </c>
      <c r="N81" s="67">
        <v>0</v>
      </c>
      <c r="O81" s="67">
        <v>0</v>
      </c>
      <c r="P81" s="67">
        <v>0</v>
      </c>
      <c r="Q81" s="67">
        <v>0</v>
      </c>
      <c r="R81" s="67">
        <v>0</v>
      </c>
      <c r="S81" s="67">
        <v>0</v>
      </c>
      <c r="U81" s="67" t="s">
        <v>255</v>
      </c>
    </row>
    <row r="82" spans="4:21" ht="12.75" x14ac:dyDescent="0.2">
      <c r="D82" s="75" t="s">
        <v>341</v>
      </c>
      <c r="E82" s="243" t="s">
        <v>344</v>
      </c>
      <c r="H82" s="243" t="s">
        <v>79</v>
      </c>
      <c r="I82" s="243" t="s">
        <v>47</v>
      </c>
      <c r="J82" s="243" t="s">
        <v>238</v>
      </c>
      <c r="M82" s="261">
        <v>0</v>
      </c>
      <c r="N82" s="67">
        <v>0</v>
      </c>
      <c r="O82" s="67">
        <v>0</v>
      </c>
      <c r="P82" s="67">
        <v>0</v>
      </c>
      <c r="Q82" s="67">
        <v>0</v>
      </c>
      <c r="R82" s="67">
        <v>0</v>
      </c>
      <c r="S82" s="67">
        <v>0</v>
      </c>
      <c r="U82" s="67" t="s">
        <v>69</v>
      </c>
    </row>
    <row r="83" spans="4:21" ht="12.75" x14ac:dyDescent="0.2">
      <c r="D83" s="75" t="s">
        <v>341</v>
      </c>
      <c r="E83" s="243" t="s">
        <v>345</v>
      </c>
      <c r="H83" s="243" t="s">
        <v>79</v>
      </c>
      <c r="I83" s="243" t="s">
        <v>47</v>
      </c>
      <c r="J83" s="243" t="s">
        <v>238</v>
      </c>
      <c r="M83" s="261">
        <v>0</v>
      </c>
      <c r="N83" s="67">
        <v>0</v>
      </c>
      <c r="O83" s="67">
        <v>0</v>
      </c>
      <c r="P83" s="67">
        <v>0</v>
      </c>
      <c r="Q83" s="67">
        <v>0</v>
      </c>
      <c r="R83" s="67">
        <v>0</v>
      </c>
      <c r="S83" s="67">
        <v>0</v>
      </c>
      <c r="U83" s="67" t="s">
        <v>256</v>
      </c>
    </row>
    <row r="84" spans="4:21" ht="12.75" x14ac:dyDescent="0.2">
      <c r="D84" s="75" t="s">
        <v>341</v>
      </c>
      <c r="E84" s="243" t="s">
        <v>346</v>
      </c>
      <c r="H84" s="243" t="s">
        <v>79</v>
      </c>
      <c r="I84" s="243" t="s">
        <v>47</v>
      </c>
      <c r="J84" s="243" t="s">
        <v>238</v>
      </c>
      <c r="M84" s="261">
        <v>0</v>
      </c>
      <c r="N84" s="67">
        <v>0</v>
      </c>
      <c r="O84" s="67">
        <v>0</v>
      </c>
      <c r="P84" s="67">
        <v>0</v>
      </c>
      <c r="Q84" s="67">
        <v>0</v>
      </c>
      <c r="R84" s="67">
        <v>0</v>
      </c>
      <c r="S84" s="67">
        <v>0</v>
      </c>
      <c r="U84" s="67" t="s">
        <v>256</v>
      </c>
    </row>
    <row r="85" spans="4:21" ht="12.75" x14ac:dyDescent="0.2">
      <c r="D85" s="75" t="s">
        <v>341</v>
      </c>
      <c r="E85" s="243" t="s">
        <v>347</v>
      </c>
      <c r="H85" s="243" t="s">
        <v>79</v>
      </c>
      <c r="I85" s="243" t="s">
        <v>47</v>
      </c>
      <c r="J85" s="243" t="s">
        <v>238</v>
      </c>
      <c r="M85" s="261">
        <v>0</v>
      </c>
      <c r="N85" s="67">
        <v>0</v>
      </c>
      <c r="O85" s="67">
        <v>0</v>
      </c>
      <c r="P85" s="67">
        <v>0</v>
      </c>
      <c r="Q85" s="67">
        <v>0</v>
      </c>
      <c r="R85" s="67">
        <v>0</v>
      </c>
      <c r="S85" s="67">
        <v>0</v>
      </c>
      <c r="U85" s="67" t="s">
        <v>256</v>
      </c>
    </row>
    <row r="86" spans="4:21" ht="12.75" x14ac:dyDescent="0.2">
      <c r="D86" s="75" t="s">
        <v>341</v>
      </c>
      <c r="E86" s="243" t="s">
        <v>348</v>
      </c>
      <c r="H86" s="243" t="s">
        <v>79</v>
      </c>
      <c r="I86" s="243" t="s">
        <v>47</v>
      </c>
      <c r="J86" s="243" t="s">
        <v>238</v>
      </c>
      <c r="M86" s="261">
        <v>0</v>
      </c>
      <c r="N86" s="67">
        <v>0</v>
      </c>
      <c r="O86" s="67">
        <v>0</v>
      </c>
      <c r="P86" s="67">
        <v>0</v>
      </c>
      <c r="Q86" s="67">
        <v>0</v>
      </c>
      <c r="R86" s="67">
        <v>0</v>
      </c>
      <c r="S86" s="67">
        <v>0</v>
      </c>
      <c r="U86" s="67" t="s">
        <v>255</v>
      </c>
    </row>
    <row r="87" spans="4:21" ht="12.75" x14ac:dyDescent="0.2">
      <c r="D87" s="75" t="s">
        <v>341</v>
      </c>
      <c r="E87" s="243" t="s">
        <v>349</v>
      </c>
      <c r="H87" s="243" t="s">
        <v>79</v>
      </c>
      <c r="I87" s="243" t="s">
        <v>47</v>
      </c>
      <c r="J87" s="243" t="s">
        <v>238</v>
      </c>
      <c r="M87" s="261">
        <v>0</v>
      </c>
      <c r="N87" s="67">
        <v>0</v>
      </c>
      <c r="O87" s="67">
        <v>0</v>
      </c>
      <c r="P87" s="67">
        <v>0</v>
      </c>
      <c r="Q87" s="67">
        <v>0</v>
      </c>
      <c r="R87" s="67">
        <v>0</v>
      </c>
      <c r="S87" s="67">
        <v>0</v>
      </c>
      <c r="U87" s="67" t="s">
        <v>255</v>
      </c>
    </row>
    <row r="88" spans="4:21" ht="12.75" x14ac:dyDescent="0.2">
      <c r="D88" s="75" t="s">
        <v>341</v>
      </c>
      <c r="E88" s="243" t="s">
        <v>350</v>
      </c>
      <c r="H88" s="243" t="s">
        <v>79</v>
      </c>
      <c r="I88" s="243" t="s">
        <v>47</v>
      </c>
      <c r="J88" s="243" t="s">
        <v>238</v>
      </c>
      <c r="M88" s="261">
        <v>0</v>
      </c>
      <c r="N88" s="67">
        <v>0</v>
      </c>
      <c r="O88" s="67">
        <v>0</v>
      </c>
      <c r="P88" s="67">
        <v>0</v>
      </c>
      <c r="Q88" s="67">
        <v>0</v>
      </c>
      <c r="R88" s="67">
        <v>0</v>
      </c>
      <c r="S88" s="67">
        <v>0</v>
      </c>
      <c r="U88" s="67" t="s">
        <v>69</v>
      </c>
    </row>
    <row r="89" spans="4:21" ht="12.75" x14ac:dyDescent="0.2">
      <c r="D89" s="75" t="s">
        <v>341</v>
      </c>
      <c r="E89" s="243" t="s">
        <v>351</v>
      </c>
      <c r="H89" s="243" t="s">
        <v>79</v>
      </c>
      <c r="I89" s="243" t="s">
        <v>47</v>
      </c>
      <c r="J89" s="243" t="s">
        <v>238</v>
      </c>
      <c r="M89" s="261">
        <v>0</v>
      </c>
      <c r="N89" s="67">
        <v>0</v>
      </c>
      <c r="O89" s="67">
        <v>0</v>
      </c>
      <c r="P89" s="67">
        <v>0</v>
      </c>
      <c r="Q89" s="67">
        <v>0</v>
      </c>
      <c r="R89" s="67">
        <v>0</v>
      </c>
      <c r="S89" s="67">
        <v>0</v>
      </c>
      <c r="U89" s="67" t="s">
        <v>256</v>
      </c>
    </row>
    <row r="90" spans="4:21" ht="12.75" x14ac:dyDescent="0.2">
      <c r="D90" s="75" t="s">
        <v>341</v>
      </c>
      <c r="E90" s="243" t="s">
        <v>352</v>
      </c>
      <c r="H90" s="243" t="s">
        <v>79</v>
      </c>
      <c r="I90" s="243" t="s">
        <v>47</v>
      </c>
      <c r="J90" s="243" t="s">
        <v>238</v>
      </c>
      <c r="M90" s="261">
        <v>0</v>
      </c>
      <c r="N90" s="67">
        <v>0</v>
      </c>
      <c r="O90" s="67">
        <v>0</v>
      </c>
      <c r="P90" s="67">
        <v>0</v>
      </c>
      <c r="Q90" s="67">
        <v>0</v>
      </c>
      <c r="R90" s="67">
        <v>0</v>
      </c>
      <c r="S90" s="67">
        <v>0</v>
      </c>
      <c r="U90" s="67" t="s">
        <v>256</v>
      </c>
    </row>
    <row r="91" spans="4:21" ht="12.75" x14ac:dyDescent="0.2">
      <c r="D91" s="75" t="s">
        <v>341</v>
      </c>
      <c r="E91" s="243" t="s">
        <v>353</v>
      </c>
      <c r="H91" s="243" t="s">
        <v>79</v>
      </c>
      <c r="I91" s="243" t="s">
        <v>47</v>
      </c>
      <c r="J91" s="243" t="s">
        <v>238</v>
      </c>
      <c r="M91" s="261">
        <v>0</v>
      </c>
      <c r="N91" s="67">
        <v>0</v>
      </c>
      <c r="O91" s="67">
        <v>0</v>
      </c>
      <c r="P91" s="67">
        <v>0</v>
      </c>
      <c r="Q91" s="67">
        <v>0</v>
      </c>
      <c r="R91" s="67">
        <v>0</v>
      </c>
      <c r="S91" s="67">
        <v>0</v>
      </c>
      <c r="U91" s="67" t="s">
        <v>256</v>
      </c>
    </row>
    <row r="92" spans="4:21" ht="12.75" x14ac:dyDescent="0.2">
      <c r="D92" s="75" t="s">
        <v>341</v>
      </c>
      <c r="E92" s="243" t="s">
        <v>354</v>
      </c>
      <c r="H92" s="243" t="s">
        <v>79</v>
      </c>
      <c r="I92" s="243" t="s">
        <v>47</v>
      </c>
      <c r="J92" s="243" t="s">
        <v>238</v>
      </c>
      <c r="M92" s="261">
        <v>406.83835649575298</v>
      </c>
      <c r="N92" s="67">
        <v>0</v>
      </c>
      <c r="O92" s="67">
        <v>0</v>
      </c>
      <c r="P92" s="67">
        <v>0</v>
      </c>
      <c r="Q92" s="67">
        <v>0</v>
      </c>
      <c r="R92" s="67">
        <v>0</v>
      </c>
      <c r="S92" s="67">
        <v>0</v>
      </c>
      <c r="U92" s="67" t="s">
        <v>255</v>
      </c>
    </row>
    <row r="93" spans="4:21" ht="12.75" x14ac:dyDescent="0.2">
      <c r="D93" s="75" t="s">
        <v>341</v>
      </c>
      <c r="E93" s="243" t="s">
        <v>355</v>
      </c>
      <c r="H93" s="243" t="s">
        <v>79</v>
      </c>
      <c r="I93" s="243" t="s">
        <v>47</v>
      </c>
      <c r="J93" s="243" t="s">
        <v>238</v>
      </c>
      <c r="M93" s="261">
        <v>176.44778046188378</v>
      </c>
      <c r="N93" s="67">
        <v>131.21910690496094</v>
      </c>
      <c r="O93" s="67">
        <v>165.96525710748335</v>
      </c>
      <c r="P93" s="67">
        <v>179.91976975520299</v>
      </c>
      <c r="Q93" s="67">
        <v>193.69312397294374</v>
      </c>
      <c r="R93" s="67">
        <v>207.82860508986704</v>
      </c>
      <c r="S93" s="67">
        <v>223.22977305088207</v>
      </c>
      <c r="U93" s="67" t="s">
        <v>255</v>
      </c>
    </row>
    <row r="94" spans="4:21" ht="12.75" x14ac:dyDescent="0.2">
      <c r="D94" s="75" t="s">
        <v>341</v>
      </c>
      <c r="E94" s="243" t="s">
        <v>356</v>
      </c>
      <c r="H94" s="243" t="s">
        <v>79</v>
      </c>
      <c r="I94" s="243" t="s">
        <v>47</v>
      </c>
      <c r="J94" s="243" t="s">
        <v>238</v>
      </c>
      <c r="M94" s="261">
        <v>205.48550264489964</v>
      </c>
      <c r="N94" s="67">
        <v>145.65614575120802</v>
      </c>
      <c r="O94" s="67">
        <v>183.92457577584051</v>
      </c>
      <c r="P94" s="67">
        <v>199.04524286201573</v>
      </c>
      <c r="Q94" s="67">
        <v>213.89379030549344</v>
      </c>
      <c r="R94" s="67">
        <v>229.0667674976597</v>
      </c>
      <c r="S94" s="67">
        <v>245.55241839705127</v>
      </c>
      <c r="U94" s="67" t="s">
        <v>69</v>
      </c>
    </row>
    <row r="95" spans="4:21" ht="12.75" x14ac:dyDescent="0.2">
      <c r="D95" s="75" t="s">
        <v>341</v>
      </c>
      <c r="E95" s="243" t="s">
        <v>357</v>
      </c>
      <c r="H95" s="243" t="s">
        <v>79</v>
      </c>
      <c r="I95" s="243" t="s">
        <v>47</v>
      </c>
      <c r="J95" s="243" t="s">
        <v>238</v>
      </c>
      <c r="M95" s="261">
        <v>38.051069199693131</v>
      </c>
      <c r="N95" s="67">
        <v>574.56255239966015</v>
      </c>
      <c r="O95" s="67">
        <v>1213.261675262899</v>
      </c>
      <c r="P95" s="67">
        <v>1989.1866914699513</v>
      </c>
      <c r="Q95" s="67">
        <v>2160.875302873987</v>
      </c>
      <c r="R95" s="67">
        <v>302.16857108949495</v>
      </c>
      <c r="S95" s="67">
        <v>325.81461231656806</v>
      </c>
      <c r="U95" s="67" t="s">
        <v>256</v>
      </c>
    </row>
    <row r="96" spans="4:21" ht="12.75" x14ac:dyDescent="0.2">
      <c r="D96" s="75" t="s">
        <v>341</v>
      </c>
      <c r="E96" s="243" t="s">
        <v>358</v>
      </c>
      <c r="H96" s="243" t="s">
        <v>79</v>
      </c>
      <c r="I96" s="243" t="s">
        <v>47</v>
      </c>
      <c r="J96" s="243" t="s">
        <v>238</v>
      </c>
      <c r="M96" s="261">
        <v>0</v>
      </c>
      <c r="N96" s="67">
        <v>1337.7011053484941</v>
      </c>
      <c r="O96" s="67">
        <v>1021.0960306243365</v>
      </c>
      <c r="P96" s="67">
        <v>2752.8245289533616</v>
      </c>
      <c r="Q96" s="67">
        <v>0</v>
      </c>
      <c r="R96" s="67">
        <v>0</v>
      </c>
      <c r="S96" s="67">
        <v>0</v>
      </c>
      <c r="U96" s="67" t="s">
        <v>256</v>
      </c>
    </row>
    <row r="97" spans="4:21" ht="12.75" x14ac:dyDescent="0.2">
      <c r="D97" s="75" t="s">
        <v>341</v>
      </c>
      <c r="E97" s="243" t="s">
        <v>359</v>
      </c>
      <c r="H97" s="243" t="s">
        <v>79</v>
      </c>
      <c r="I97" s="243" t="s">
        <v>47</v>
      </c>
      <c r="J97" s="243" t="s">
        <v>238</v>
      </c>
      <c r="M97" s="261">
        <v>0</v>
      </c>
      <c r="N97" s="67">
        <v>632.8263061804148</v>
      </c>
      <c r="O97" s="67">
        <v>0</v>
      </c>
      <c r="P97" s="67">
        <v>0</v>
      </c>
      <c r="Q97" s="67">
        <v>0</v>
      </c>
      <c r="R97" s="67">
        <v>0</v>
      </c>
      <c r="S97" s="67">
        <v>0</v>
      </c>
      <c r="U97" s="67" t="s">
        <v>256</v>
      </c>
    </row>
    <row r="98" spans="4:21" ht="12.75" x14ac:dyDescent="0.2">
      <c r="D98" s="75" t="s">
        <v>341</v>
      </c>
      <c r="E98" s="243" t="s">
        <v>317</v>
      </c>
      <c r="H98" s="243" t="s">
        <v>79</v>
      </c>
      <c r="I98" s="243" t="s">
        <v>47</v>
      </c>
      <c r="J98" s="243" t="s">
        <v>238</v>
      </c>
      <c r="M98" s="261">
        <v>0</v>
      </c>
      <c r="N98" s="67">
        <v>0</v>
      </c>
      <c r="O98" s="67">
        <v>0</v>
      </c>
      <c r="P98" s="67">
        <v>0</v>
      </c>
      <c r="Q98" s="67">
        <v>0</v>
      </c>
      <c r="R98" s="67">
        <v>0</v>
      </c>
      <c r="S98" s="67">
        <v>0</v>
      </c>
      <c r="U98" s="67" t="s">
        <v>317</v>
      </c>
    </row>
    <row r="99" spans="4:21" ht="12.75" x14ac:dyDescent="0.2">
      <c r="D99" s="75" t="s">
        <v>360</v>
      </c>
      <c r="E99" s="243" t="s">
        <v>361</v>
      </c>
      <c r="H99" s="243" t="s">
        <v>79</v>
      </c>
      <c r="I99" s="243" t="s">
        <v>47</v>
      </c>
      <c r="J99" s="243" t="s">
        <v>238</v>
      </c>
      <c r="M99" s="261">
        <v>178.62490697802534</v>
      </c>
      <c r="N99" s="67">
        <v>0</v>
      </c>
      <c r="O99" s="67">
        <v>0</v>
      </c>
      <c r="P99" s="67">
        <v>0</v>
      </c>
      <c r="Q99" s="67">
        <v>0</v>
      </c>
      <c r="R99" s="67">
        <v>0</v>
      </c>
      <c r="S99" s="67">
        <v>0</v>
      </c>
      <c r="U99" s="67" t="s">
        <v>255</v>
      </c>
    </row>
    <row r="100" spans="4:21" ht="12.75" x14ac:dyDescent="0.2">
      <c r="D100" s="75" t="s">
        <v>360</v>
      </c>
      <c r="E100" s="243" t="s">
        <v>362</v>
      </c>
      <c r="H100" s="243" t="s">
        <v>79</v>
      </c>
      <c r="I100" s="243" t="s">
        <v>47</v>
      </c>
      <c r="J100" s="243" t="s">
        <v>238</v>
      </c>
      <c r="M100" s="261">
        <v>252.64612753055334</v>
      </c>
      <c r="N100" s="67">
        <v>77.56435566093127</v>
      </c>
      <c r="O100" s="67">
        <v>98.132491405690146</v>
      </c>
      <c r="P100" s="67">
        <v>106.41729756038596</v>
      </c>
      <c r="Q100" s="67">
        <v>114.60214845634057</v>
      </c>
      <c r="R100" s="67">
        <v>123.00902343607714</v>
      </c>
      <c r="S100" s="67">
        <v>132.17371467243726</v>
      </c>
      <c r="U100" s="67" t="s">
        <v>255</v>
      </c>
    </row>
    <row r="101" spans="4:21" ht="12.75" x14ac:dyDescent="0.2">
      <c r="D101" s="75" t="s">
        <v>360</v>
      </c>
      <c r="E101" s="243" t="s">
        <v>363</v>
      </c>
      <c r="H101" s="243" t="s">
        <v>79</v>
      </c>
      <c r="I101" s="243" t="s">
        <v>47</v>
      </c>
      <c r="J101" s="243" t="s">
        <v>238</v>
      </c>
      <c r="M101" s="261">
        <v>0</v>
      </c>
      <c r="N101" s="67">
        <v>628.06595746328674</v>
      </c>
      <c r="O101" s="67">
        <v>192.26365477795426</v>
      </c>
      <c r="P101" s="67">
        <v>207.24344652191755</v>
      </c>
      <c r="Q101" s="67">
        <v>221.76524931084367</v>
      </c>
      <c r="R101" s="67">
        <v>236.43600483510465</v>
      </c>
      <c r="S101" s="67">
        <v>252.2533422247748</v>
      </c>
      <c r="U101" s="67" t="s">
        <v>69</v>
      </c>
    </row>
    <row r="102" spans="4:21" ht="12.75" x14ac:dyDescent="0.2">
      <c r="D102" s="75" t="s">
        <v>360</v>
      </c>
      <c r="E102" s="243" t="s">
        <v>364</v>
      </c>
      <c r="H102" s="243" t="s">
        <v>79</v>
      </c>
      <c r="I102" s="243" t="s">
        <v>47</v>
      </c>
      <c r="J102" s="243" t="s">
        <v>238</v>
      </c>
      <c r="M102" s="261">
        <v>380.77445509024733</v>
      </c>
      <c r="N102" s="67">
        <v>625.30225329037182</v>
      </c>
      <c r="O102" s="67">
        <v>655.46104820956748</v>
      </c>
      <c r="P102" s="67">
        <v>855.11832538840872</v>
      </c>
      <c r="Q102" s="67">
        <v>926.61003612822947</v>
      </c>
      <c r="R102" s="67">
        <v>554.20642948853424</v>
      </c>
      <c r="S102" s="67">
        <v>594.74398272945234</v>
      </c>
      <c r="U102" s="67" t="s">
        <v>256</v>
      </c>
    </row>
    <row r="103" spans="4:21" ht="12.75" x14ac:dyDescent="0.2">
      <c r="D103" s="75" t="s">
        <v>360</v>
      </c>
      <c r="E103" s="243" t="s">
        <v>365</v>
      </c>
      <c r="H103" s="243" t="s">
        <v>79</v>
      </c>
      <c r="I103" s="243" t="s">
        <v>47</v>
      </c>
      <c r="J103" s="243" t="s">
        <v>238</v>
      </c>
      <c r="M103" s="261">
        <v>-8.068556264389473</v>
      </c>
      <c r="N103" s="67">
        <v>263.46918755653184</v>
      </c>
      <c r="O103" s="67">
        <v>164.2756910854894</v>
      </c>
      <c r="P103" s="67">
        <v>297.29083471534932</v>
      </c>
      <c r="Q103" s="67">
        <v>298.87026987915567</v>
      </c>
      <c r="R103" s="67">
        <v>167.51076653304472</v>
      </c>
      <c r="S103" s="67">
        <v>168.45199622255896</v>
      </c>
      <c r="U103" s="67" t="s">
        <v>256</v>
      </c>
    </row>
    <row r="104" spans="4:21" ht="12.75" x14ac:dyDescent="0.2">
      <c r="D104" s="75" t="s">
        <v>360</v>
      </c>
      <c r="E104" s="243" t="s">
        <v>366</v>
      </c>
      <c r="H104" s="243" t="s">
        <v>79</v>
      </c>
      <c r="I104" s="243" t="s">
        <v>47</v>
      </c>
      <c r="J104" s="243" t="s">
        <v>238</v>
      </c>
      <c r="M104" s="261">
        <v>0</v>
      </c>
      <c r="N104" s="67">
        <v>353.27451196585753</v>
      </c>
      <c r="O104" s="67">
        <v>224.67150002614878</v>
      </c>
      <c r="P104" s="67">
        <v>820.15270313304666</v>
      </c>
      <c r="Q104" s="67">
        <v>824.50997845994846</v>
      </c>
      <c r="R104" s="67">
        <v>229.09594802997287</v>
      </c>
      <c r="S104" s="67">
        <v>230.38321996177842</v>
      </c>
      <c r="U104" s="67" t="s">
        <v>256</v>
      </c>
    </row>
    <row r="105" spans="4:21" ht="12.75" x14ac:dyDescent="0.2">
      <c r="D105" s="75" t="s">
        <v>360</v>
      </c>
      <c r="E105" s="243" t="s">
        <v>317</v>
      </c>
      <c r="H105" s="243" t="s">
        <v>79</v>
      </c>
      <c r="I105" s="243" t="s">
        <v>47</v>
      </c>
      <c r="J105" s="243" t="s">
        <v>238</v>
      </c>
      <c r="M105" s="261">
        <v>0</v>
      </c>
      <c r="N105" s="67">
        <v>0</v>
      </c>
      <c r="O105" s="67">
        <v>0</v>
      </c>
      <c r="P105" s="67">
        <v>0</v>
      </c>
      <c r="Q105" s="67">
        <v>0</v>
      </c>
      <c r="R105" s="67">
        <v>0</v>
      </c>
      <c r="S105" s="67">
        <v>0</v>
      </c>
      <c r="U105" s="67" t="s">
        <v>317</v>
      </c>
    </row>
    <row r="106" spans="4:21" ht="12.75" x14ac:dyDescent="0.2">
      <c r="D106" s="75" t="s">
        <v>367</v>
      </c>
      <c r="E106" s="243" t="s">
        <v>368</v>
      </c>
      <c r="H106" s="243" t="s">
        <v>79</v>
      </c>
      <c r="I106" s="243" t="s">
        <v>47</v>
      </c>
      <c r="J106" s="243" t="s">
        <v>238</v>
      </c>
      <c r="M106" s="261">
        <v>0</v>
      </c>
      <c r="N106" s="67">
        <v>0</v>
      </c>
      <c r="O106" s="67">
        <v>0</v>
      </c>
      <c r="P106" s="67">
        <v>0</v>
      </c>
      <c r="Q106" s="67">
        <v>0</v>
      </c>
      <c r="R106" s="67">
        <v>0</v>
      </c>
      <c r="S106" s="67">
        <v>0</v>
      </c>
      <c r="U106" s="67" t="s">
        <v>255</v>
      </c>
    </row>
    <row r="107" spans="4:21" ht="12.75" x14ac:dyDescent="0.2">
      <c r="D107" s="75" t="s">
        <v>367</v>
      </c>
      <c r="E107" s="243" t="s">
        <v>362</v>
      </c>
      <c r="H107" s="243" t="s">
        <v>79</v>
      </c>
      <c r="I107" s="243" t="s">
        <v>47</v>
      </c>
      <c r="J107" s="243" t="s">
        <v>238</v>
      </c>
      <c r="M107" s="261">
        <v>0</v>
      </c>
      <c r="N107" s="67">
        <v>0</v>
      </c>
      <c r="O107" s="67">
        <v>0</v>
      </c>
      <c r="P107" s="67">
        <v>0</v>
      </c>
      <c r="Q107" s="67">
        <v>0</v>
      </c>
      <c r="R107" s="67">
        <v>0</v>
      </c>
      <c r="S107" s="67">
        <v>0</v>
      </c>
      <c r="U107" s="67" t="s">
        <v>255</v>
      </c>
    </row>
    <row r="108" spans="4:21" ht="12.75" x14ac:dyDescent="0.2">
      <c r="D108" s="75" t="s">
        <v>367</v>
      </c>
      <c r="E108" s="243" t="s">
        <v>363</v>
      </c>
      <c r="H108" s="243" t="s">
        <v>79</v>
      </c>
      <c r="I108" s="243" t="s">
        <v>47</v>
      </c>
      <c r="J108" s="243" t="s">
        <v>238</v>
      </c>
      <c r="M108" s="261">
        <v>0</v>
      </c>
      <c r="N108" s="67">
        <v>0</v>
      </c>
      <c r="O108" s="67">
        <v>0</v>
      </c>
      <c r="P108" s="67">
        <v>0</v>
      </c>
      <c r="Q108" s="67">
        <v>0</v>
      </c>
      <c r="R108" s="67">
        <v>0</v>
      </c>
      <c r="S108" s="67">
        <v>0</v>
      </c>
      <c r="U108" s="67" t="s">
        <v>69</v>
      </c>
    </row>
    <row r="109" spans="4:21" ht="12.75" x14ac:dyDescent="0.2">
      <c r="D109" s="75" t="s">
        <v>367</v>
      </c>
      <c r="E109" s="243" t="s">
        <v>364</v>
      </c>
      <c r="H109" s="243" t="s">
        <v>79</v>
      </c>
      <c r="I109" s="243" t="s">
        <v>47</v>
      </c>
      <c r="J109" s="243" t="s">
        <v>238</v>
      </c>
      <c r="M109" s="261">
        <v>0</v>
      </c>
      <c r="N109" s="67">
        <v>0</v>
      </c>
      <c r="O109" s="67">
        <v>0</v>
      </c>
      <c r="P109" s="67">
        <v>0</v>
      </c>
      <c r="Q109" s="67">
        <v>0</v>
      </c>
      <c r="R109" s="67">
        <v>0</v>
      </c>
      <c r="S109" s="67">
        <v>0</v>
      </c>
      <c r="U109" s="67" t="s">
        <v>256</v>
      </c>
    </row>
    <row r="110" spans="4:21" ht="12.75" x14ac:dyDescent="0.2">
      <c r="D110" s="75" t="s">
        <v>367</v>
      </c>
      <c r="E110" s="243" t="s">
        <v>365</v>
      </c>
      <c r="H110" s="243" t="s">
        <v>79</v>
      </c>
      <c r="I110" s="243" t="s">
        <v>47</v>
      </c>
      <c r="J110" s="243" t="s">
        <v>238</v>
      </c>
      <c r="M110" s="261">
        <v>0</v>
      </c>
      <c r="N110" s="67">
        <v>0</v>
      </c>
      <c r="O110" s="67">
        <v>0</v>
      </c>
      <c r="P110" s="67">
        <v>0</v>
      </c>
      <c r="Q110" s="67">
        <v>0</v>
      </c>
      <c r="R110" s="67">
        <v>0</v>
      </c>
      <c r="S110" s="67">
        <v>0</v>
      </c>
      <c r="U110" s="67" t="s">
        <v>256</v>
      </c>
    </row>
    <row r="111" spans="4:21" ht="12.75" x14ac:dyDescent="0.2">
      <c r="D111" s="75" t="s">
        <v>367</v>
      </c>
      <c r="E111" s="243" t="s">
        <v>366</v>
      </c>
      <c r="H111" s="243" t="s">
        <v>79</v>
      </c>
      <c r="I111" s="243" t="s">
        <v>47</v>
      </c>
      <c r="J111" s="243" t="s">
        <v>238</v>
      </c>
      <c r="M111" s="261">
        <v>0</v>
      </c>
      <c r="N111" s="67">
        <v>0</v>
      </c>
      <c r="O111" s="67">
        <v>0</v>
      </c>
      <c r="P111" s="67">
        <v>0</v>
      </c>
      <c r="Q111" s="67">
        <v>0</v>
      </c>
      <c r="R111" s="67">
        <v>0</v>
      </c>
      <c r="S111" s="67">
        <v>0</v>
      </c>
      <c r="U111" s="67" t="s">
        <v>256</v>
      </c>
    </row>
    <row r="112" spans="4:21" ht="12.75" x14ac:dyDescent="0.2">
      <c r="D112" s="75" t="s">
        <v>369</v>
      </c>
      <c r="E112" s="243" t="s">
        <v>361</v>
      </c>
      <c r="H112" s="243" t="s">
        <v>79</v>
      </c>
      <c r="I112" s="243" t="s">
        <v>47</v>
      </c>
      <c r="J112" s="243" t="s">
        <v>238</v>
      </c>
      <c r="M112" s="261">
        <v>177.49202287230719</v>
      </c>
      <c r="N112" s="67">
        <v>0</v>
      </c>
      <c r="O112" s="67">
        <v>0</v>
      </c>
      <c r="P112" s="67">
        <v>0</v>
      </c>
      <c r="Q112" s="67">
        <v>0</v>
      </c>
      <c r="R112" s="67">
        <v>0</v>
      </c>
      <c r="S112" s="67">
        <v>0</v>
      </c>
      <c r="U112" s="67" t="s">
        <v>255</v>
      </c>
    </row>
    <row r="113" spans="4:21" ht="12.75" x14ac:dyDescent="0.2">
      <c r="D113" s="75" t="s">
        <v>369</v>
      </c>
      <c r="E113" s="243" t="s">
        <v>362</v>
      </c>
      <c r="H113" s="243" t="s">
        <v>79</v>
      </c>
      <c r="I113" s="243" t="s">
        <v>47</v>
      </c>
      <c r="J113" s="243" t="s">
        <v>238</v>
      </c>
      <c r="M113" s="261">
        <v>0</v>
      </c>
      <c r="N113" s="67">
        <v>12.583539518190365</v>
      </c>
      <c r="O113" s="67">
        <v>14.993649307974007</v>
      </c>
      <c r="P113" s="67">
        <v>15.324660818380915</v>
      </c>
      <c r="Q113" s="67">
        <v>15.563033650062581</v>
      </c>
      <c r="R113" s="67">
        <v>15.758382724193824</v>
      </c>
      <c r="S113" s="67">
        <v>15.9786423406987</v>
      </c>
      <c r="U113" s="67" t="s">
        <v>255</v>
      </c>
    </row>
    <row r="114" spans="4:21" ht="12.75" x14ac:dyDescent="0.2">
      <c r="D114" s="75" t="s">
        <v>369</v>
      </c>
      <c r="E114" s="243" t="s">
        <v>370</v>
      </c>
      <c r="H114" s="243" t="s">
        <v>79</v>
      </c>
      <c r="I114" s="243" t="s">
        <v>47</v>
      </c>
      <c r="J114" s="243" t="s">
        <v>238</v>
      </c>
      <c r="M114" s="261">
        <v>0</v>
      </c>
      <c r="N114" s="67">
        <v>11.092519707285883</v>
      </c>
      <c r="O114" s="67">
        <v>13.13524082720906</v>
      </c>
      <c r="P114" s="67">
        <v>13.343699938840771</v>
      </c>
      <c r="Q114" s="67">
        <v>13.469842942350537</v>
      </c>
      <c r="R114" s="67">
        <v>13.557097790093621</v>
      </c>
      <c r="S114" s="67">
        <v>13.664190317942133</v>
      </c>
      <c r="U114" s="67" t="s">
        <v>69</v>
      </c>
    </row>
    <row r="115" spans="4:21" ht="12.75" x14ac:dyDescent="0.2">
      <c r="D115" s="75" t="s">
        <v>369</v>
      </c>
      <c r="E115" s="243" t="s">
        <v>371</v>
      </c>
      <c r="H115" s="243" t="s">
        <v>79</v>
      </c>
      <c r="I115" s="243" t="s">
        <v>47</v>
      </c>
      <c r="J115" s="243" t="s">
        <v>238</v>
      </c>
      <c r="M115" s="261">
        <v>0</v>
      </c>
      <c r="N115" s="67">
        <v>0.13542664465915616</v>
      </c>
      <c r="O115" s="67">
        <v>0.16241380549857595</v>
      </c>
      <c r="P115" s="67">
        <v>0.16694150748631045</v>
      </c>
      <c r="Q115" s="67">
        <v>0.17033609722651682</v>
      </c>
      <c r="R115" s="67">
        <v>0.17309491531724328</v>
      </c>
      <c r="S115" s="67">
        <v>0.17596232064901834</v>
      </c>
      <c r="U115" s="67" t="s">
        <v>69</v>
      </c>
    </row>
    <row r="116" spans="4:21" ht="12.75" x14ac:dyDescent="0.2">
      <c r="D116" s="75" t="s">
        <v>369</v>
      </c>
      <c r="E116" s="243" t="s">
        <v>372</v>
      </c>
      <c r="H116" s="243" t="s">
        <v>79</v>
      </c>
      <c r="I116" s="243" t="s">
        <v>47</v>
      </c>
      <c r="J116" s="243" t="s">
        <v>238</v>
      </c>
      <c r="M116" s="261">
        <v>0</v>
      </c>
      <c r="N116" s="67">
        <v>0</v>
      </c>
      <c r="O116" s="67">
        <v>0</v>
      </c>
      <c r="P116" s="67">
        <v>0</v>
      </c>
      <c r="Q116" s="67">
        <v>0</v>
      </c>
      <c r="R116" s="67">
        <v>0</v>
      </c>
      <c r="S116" s="67">
        <v>0</v>
      </c>
      <c r="U116" s="67" t="s">
        <v>69</v>
      </c>
    </row>
    <row r="117" spans="4:21" ht="12.75" x14ac:dyDescent="0.2">
      <c r="D117" s="75" t="s">
        <v>369</v>
      </c>
      <c r="E117" s="243" t="s">
        <v>364</v>
      </c>
      <c r="H117" s="243" t="s">
        <v>79</v>
      </c>
      <c r="I117" s="243" t="s">
        <v>47</v>
      </c>
      <c r="J117" s="243" t="s">
        <v>238</v>
      </c>
      <c r="M117" s="261">
        <v>1.5296097419763004</v>
      </c>
      <c r="N117" s="67">
        <v>141.465336233258</v>
      </c>
      <c r="O117" s="67">
        <v>41.403757802000726</v>
      </c>
      <c r="P117" s="67">
        <v>49.520247456755847</v>
      </c>
      <c r="Q117" s="67">
        <v>51.69806671739277</v>
      </c>
      <c r="R117" s="67">
        <v>34.479025501780171</v>
      </c>
      <c r="S117" s="67">
        <v>35.162508791845575</v>
      </c>
      <c r="U117" s="67" t="s">
        <v>256</v>
      </c>
    </row>
    <row r="118" spans="4:21" ht="12.75" x14ac:dyDescent="0.2">
      <c r="D118" s="75" t="s">
        <v>369</v>
      </c>
      <c r="E118" s="243" t="s">
        <v>365</v>
      </c>
      <c r="H118" s="243" t="s">
        <v>79</v>
      </c>
      <c r="I118" s="243" t="s">
        <v>47</v>
      </c>
      <c r="J118" s="243" t="s">
        <v>238</v>
      </c>
      <c r="M118" s="261">
        <v>0</v>
      </c>
      <c r="N118" s="67">
        <v>218.06052504510225</v>
      </c>
      <c r="O118" s="67">
        <v>132.65352846888814</v>
      </c>
      <c r="P118" s="67">
        <v>357.47847725983951</v>
      </c>
      <c r="Q118" s="67">
        <v>9.7134838071342336E-2</v>
      </c>
      <c r="R118" s="67">
        <v>0.10027908061418965</v>
      </c>
      <c r="S118" s="67">
        <v>0.10368230141632051</v>
      </c>
      <c r="U118" s="67" t="s">
        <v>256</v>
      </c>
    </row>
    <row r="119" spans="4:21" ht="12.75" x14ac:dyDescent="0.2">
      <c r="D119" s="75" t="s">
        <v>369</v>
      </c>
      <c r="E119" s="243" t="s">
        <v>366</v>
      </c>
      <c r="H119" s="243" t="s">
        <v>79</v>
      </c>
      <c r="I119" s="243" t="s">
        <v>47</v>
      </c>
      <c r="J119" s="243" t="s">
        <v>238</v>
      </c>
      <c r="M119" s="261">
        <v>0</v>
      </c>
      <c r="N119" s="67">
        <v>7.3870127960746962E-2</v>
      </c>
      <c r="O119" s="67">
        <v>8.9515500283614338E-2</v>
      </c>
      <c r="P119" s="67">
        <v>9.3031002682593095E-2</v>
      </c>
      <c r="Q119" s="67">
        <v>9.6070371802797649E-2</v>
      </c>
      <c r="R119" s="67">
        <v>9.8938593814379736E-2</v>
      </c>
      <c r="S119" s="67">
        <v>0.1020603014317954</v>
      </c>
      <c r="U119" s="67" t="s">
        <v>256</v>
      </c>
    </row>
    <row r="120" spans="4:21" ht="12.75" x14ac:dyDescent="0.2">
      <c r="D120" s="75" t="s">
        <v>369</v>
      </c>
      <c r="E120" s="243" t="s">
        <v>317</v>
      </c>
      <c r="H120" s="243" t="s">
        <v>79</v>
      </c>
      <c r="I120" s="243" t="s">
        <v>47</v>
      </c>
      <c r="J120" s="243" t="s">
        <v>238</v>
      </c>
      <c r="M120" s="261">
        <v>0</v>
      </c>
      <c r="N120" s="67">
        <v>0</v>
      </c>
      <c r="O120" s="67">
        <v>0</v>
      </c>
      <c r="P120" s="67">
        <v>0</v>
      </c>
      <c r="Q120" s="67">
        <v>0</v>
      </c>
      <c r="R120" s="67">
        <v>0</v>
      </c>
      <c r="S120" s="67">
        <v>0</v>
      </c>
      <c r="U120" s="67" t="s">
        <v>317</v>
      </c>
    </row>
    <row r="121" spans="4:21" ht="12.75" x14ac:dyDescent="0.2">
      <c r="D121" s="75" t="s">
        <v>373</v>
      </c>
      <c r="E121" s="243" t="s">
        <v>361</v>
      </c>
      <c r="H121" s="243" t="s">
        <v>79</v>
      </c>
      <c r="I121" s="243" t="s">
        <v>47</v>
      </c>
      <c r="J121" s="243" t="s">
        <v>238</v>
      </c>
      <c r="M121" s="261">
        <v>493.96665699277759</v>
      </c>
      <c r="N121" s="67">
        <v>0</v>
      </c>
      <c r="O121" s="67">
        <v>0</v>
      </c>
      <c r="P121" s="67">
        <v>0</v>
      </c>
      <c r="Q121" s="67">
        <v>0</v>
      </c>
      <c r="R121" s="67">
        <v>0</v>
      </c>
      <c r="S121" s="67">
        <v>0</v>
      </c>
      <c r="U121" s="67" t="s">
        <v>255</v>
      </c>
    </row>
    <row r="122" spans="4:21" ht="12.75" x14ac:dyDescent="0.2">
      <c r="D122" s="75" t="s">
        <v>373</v>
      </c>
      <c r="E122" s="243" t="s">
        <v>362</v>
      </c>
      <c r="H122" s="243" t="s">
        <v>79</v>
      </c>
      <c r="I122" s="243" t="s">
        <v>47</v>
      </c>
      <c r="J122" s="243" t="s">
        <v>238</v>
      </c>
      <c r="M122" s="261">
        <v>9912.9953641418724</v>
      </c>
      <c r="N122" s="67">
        <v>1513.8586632563201</v>
      </c>
      <c r="O122" s="67">
        <v>1555.7836031432391</v>
      </c>
      <c r="P122" s="67">
        <v>1579.0142109767303</v>
      </c>
      <c r="Q122" s="67">
        <v>1593.0354241275916</v>
      </c>
      <c r="R122" s="67">
        <v>1603.1800213265658</v>
      </c>
      <c r="S122" s="67">
        <v>1616.3848992718913</v>
      </c>
      <c r="U122" s="67" t="s">
        <v>255</v>
      </c>
    </row>
    <row r="123" spans="4:21" ht="12.75" x14ac:dyDescent="0.2">
      <c r="D123" s="75" t="s">
        <v>373</v>
      </c>
      <c r="E123" s="243" t="s">
        <v>374</v>
      </c>
      <c r="H123" s="243" t="s">
        <v>79</v>
      </c>
      <c r="I123" s="243" t="s">
        <v>47</v>
      </c>
      <c r="J123" s="243" t="s">
        <v>238</v>
      </c>
      <c r="M123" s="261">
        <v>41.29081506308745</v>
      </c>
      <c r="N123" s="67">
        <v>5595.6644572389687</v>
      </c>
      <c r="O123" s="67">
        <v>6812.5923438410782</v>
      </c>
      <c r="P123" s="67">
        <v>9574.9194517423894</v>
      </c>
      <c r="Q123" s="67">
        <v>5806.3425470375432</v>
      </c>
      <c r="R123" s="67">
        <v>5827.9311592768654</v>
      </c>
      <c r="S123" s="67">
        <v>5863.1730946257712</v>
      </c>
      <c r="U123" s="67" t="s">
        <v>69</v>
      </c>
    </row>
    <row r="124" spans="4:21" ht="12.75" x14ac:dyDescent="0.2">
      <c r="D124" s="75" t="s">
        <v>373</v>
      </c>
      <c r="E124" s="243" t="s">
        <v>375</v>
      </c>
      <c r="H124" s="243" t="s">
        <v>79</v>
      </c>
      <c r="I124" s="243" t="s">
        <v>47</v>
      </c>
      <c r="J124" s="243" t="s">
        <v>238</v>
      </c>
      <c r="M124" s="261">
        <v>0</v>
      </c>
      <c r="N124" s="67">
        <v>6642.6750575595961</v>
      </c>
      <c r="O124" s="67">
        <v>49.721273147143293</v>
      </c>
      <c r="P124" s="67">
        <v>51.986457425031631</v>
      </c>
      <c r="Q124" s="67">
        <v>53.924577560409212</v>
      </c>
      <c r="R124" s="67">
        <v>55.680969365907835</v>
      </c>
      <c r="S124" s="67">
        <v>57.49115493273586</v>
      </c>
      <c r="U124" s="67" t="s">
        <v>256</v>
      </c>
    </row>
    <row r="125" spans="4:21" ht="12.75" x14ac:dyDescent="0.2">
      <c r="D125" s="75" t="s">
        <v>373</v>
      </c>
      <c r="E125" s="243" t="s">
        <v>376</v>
      </c>
      <c r="H125" s="243" t="s">
        <v>79</v>
      </c>
      <c r="I125" s="243" t="s">
        <v>47</v>
      </c>
      <c r="J125" s="243" t="s">
        <v>238</v>
      </c>
      <c r="M125" s="261">
        <v>0</v>
      </c>
      <c r="N125" s="67">
        <v>0</v>
      </c>
      <c r="O125" s="67">
        <v>0</v>
      </c>
      <c r="P125" s="67">
        <v>0</v>
      </c>
      <c r="Q125" s="67">
        <v>0</v>
      </c>
      <c r="R125" s="67">
        <v>0</v>
      </c>
      <c r="S125" s="67">
        <v>0</v>
      </c>
      <c r="U125" s="67" t="s">
        <v>256</v>
      </c>
    </row>
    <row r="126" spans="4:21" ht="12.75" x14ac:dyDescent="0.2">
      <c r="D126" s="75" t="s">
        <v>373</v>
      </c>
      <c r="E126" s="243" t="s">
        <v>365</v>
      </c>
      <c r="H126" s="243" t="s">
        <v>79</v>
      </c>
      <c r="I126" s="243" t="s">
        <v>47</v>
      </c>
      <c r="J126" s="243" t="s">
        <v>238</v>
      </c>
      <c r="M126" s="261">
        <v>0</v>
      </c>
      <c r="N126" s="67">
        <v>0.36181781175733596</v>
      </c>
      <c r="O126" s="67">
        <v>0.45241867247752432</v>
      </c>
      <c r="P126" s="67">
        <v>0.48389691680860109</v>
      </c>
      <c r="Q126" s="67">
        <v>0.51309248618493508</v>
      </c>
      <c r="R126" s="67">
        <v>0.54145876964209949</v>
      </c>
      <c r="S126" s="67">
        <v>0.57129699620170438</v>
      </c>
      <c r="U126" s="67" t="s">
        <v>256</v>
      </c>
    </row>
    <row r="127" spans="4:21" ht="12.75" x14ac:dyDescent="0.2">
      <c r="D127" s="75" t="s">
        <v>373</v>
      </c>
      <c r="E127" s="243" t="s">
        <v>377</v>
      </c>
      <c r="H127" s="243" t="s">
        <v>79</v>
      </c>
      <c r="I127" s="243" t="s">
        <v>47</v>
      </c>
      <c r="J127" s="243" t="s">
        <v>238</v>
      </c>
      <c r="M127" s="261">
        <v>0</v>
      </c>
      <c r="N127" s="67">
        <v>0</v>
      </c>
      <c r="O127" s="67">
        <v>0</v>
      </c>
      <c r="P127" s="67">
        <v>0</v>
      </c>
      <c r="Q127" s="67">
        <v>0</v>
      </c>
      <c r="R127" s="67">
        <v>0</v>
      </c>
      <c r="S127" s="67">
        <v>0</v>
      </c>
      <c r="U127" s="67" t="s">
        <v>256</v>
      </c>
    </row>
    <row r="128" spans="4:21" ht="12.75" x14ac:dyDescent="0.2">
      <c r="D128" s="75" t="s">
        <v>373</v>
      </c>
      <c r="E128" s="243" t="s">
        <v>317</v>
      </c>
      <c r="H128" s="243" t="s">
        <v>79</v>
      </c>
      <c r="I128" s="243" t="s">
        <v>47</v>
      </c>
      <c r="J128" s="243" t="s">
        <v>238</v>
      </c>
      <c r="M128" s="261">
        <v>0</v>
      </c>
      <c r="N128" s="67">
        <v>0</v>
      </c>
      <c r="O128" s="67">
        <v>0</v>
      </c>
      <c r="P128" s="67">
        <v>0</v>
      </c>
      <c r="Q128" s="67">
        <v>0</v>
      </c>
      <c r="R128" s="67">
        <v>0</v>
      </c>
      <c r="S128" s="67">
        <v>0</v>
      </c>
      <c r="U128" s="67" t="s">
        <v>317</v>
      </c>
    </row>
    <row r="129" spans="4:21" ht="12.75" x14ac:dyDescent="0.2">
      <c r="D129" s="75" t="s">
        <v>378</v>
      </c>
      <c r="E129" s="243" t="s">
        <v>379</v>
      </c>
      <c r="H129" s="243" t="s">
        <v>79</v>
      </c>
      <c r="I129" s="243" t="s">
        <v>47</v>
      </c>
      <c r="J129" s="243" t="s">
        <v>238</v>
      </c>
      <c r="M129" s="261">
        <v>515.07419043576647</v>
      </c>
      <c r="N129" s="67">
        <v>0</v>
      </c>
      <c r="O129" s="67">
        <v>0</v>
      </c>
      <c r="P129" s="67">
        <v>0</v>
      </c>
      <c r="Q129" s="67">
        <v>0</v>
      </c>
      <c r="R129" s="67">
        <v>0</v>
      </c>
      <c r="S129" s="67">
        <v>0</v>
      </c>
      <c r="U129" s="67" t="s">
        <v>255</v>
      </c>
    </row>
    <row r="130" spans="4:21" ht="12.75" x14ac:dyDescent="0.2">
      <c r="D130" s="75" t="s">
        <v>378</v>
      </c>
      <c r="E130" s="243" t="s">
        <v>380</v>
      </c>
      <c r="H130" s="243" t="s">
        <v>79</v>
      </c>
      <c r="I130" s="243" t="s">
        <v>47</v>
      </c>
      <c r="J130" s="243" t="s">
        <v>238</v>
      </c>
      <c r="M130" s="261">
        <v>0</v>
      </c>
      <c r="N130" s="67">
        <v>18.989169600545125</v>
      </c>
      <c r="O130" s="67">
        <v>1855.1247774785779</v>
      </c>
      <c r="P130" s="67">
        <v>1876.3613106981061</v>
      </c>
      <c r="Q130" s="67">
        <v>1887.1974680055462</v>
      </c>
      <c r="R130" s="67">
        <v>1894.2683579457118</v>
      </c>
      <c r="S130" s="67">
        <v>1905.7833501972598</v>
      </c>
      <c r="U130" s="67" t="s">
        <v>255</v>
      </c>
    </row>
    <row r="131" spans="4:21" ht="12.75" x14ac:dyDescent="0.2">
      <c r="D131" s="75" t="s">
        <v>378</v>
      </c>
      <c r="E131" s="243" t="s">
        <v>381</v>
      </c>
      <c r="H131" s="243" t="s">
        <v>79</v>
      </c>
      <c r="I131" s="243" t="s">
        <v>47</v>
      </c>
      <c r="J131" s="243" t="s">
        <v>238</v>
      </c>
      <c r="M131" s="261">
        <v>0</v>
      </c>
      <c r="N131" s="67">
        <v>0</v>
      </c>
      <c r="O131" s="67">
        <v>0</v>
      </c>
      <c r="P131" s="67">
        <v>0</v>
      </c>
      <c r="Q131" s="67">
        <v>0</v>
      </c>
      <c r="R131" s="67">
        <v>0</v>
      </c>
      <c r="S131" s="67">
        <v>0</v>
      </c>
      <c r="U131" s="67" t="s">
        <v>255</v>
      </c>
    </row>
    <row r="132" spans="4:21" ht="12.75" x14ac:dyDescent="0.2">
      <c r="D132" s="75" t="s">
        <v>378</v>
      </c>
      <c r="E132" s="243" t="s">
        <v>382</v>
      </c>
      <c r="H132" s="243" t="s">
        <v>79</v>
      </c>
      <c r="I132" s="243" t="s">
        <v>47</v>
      </c>
      <c r="J132" s="243" t="s">
        <v>238</v>
      </c>
      <c r="M132" s="261">
        <v>0</v>
      </c>
      <c r="N132" s="67">
        <v>0</v>
      </c>
      <c r="O132" s="67">
        <v>0</v>
      </c>
      <c r="P132" s="67">
        <v>0</v>
      </c>
      <c r="Q132" s="67">
        <v>0</v>
      </c>
      <c r="R132" s="67">
        <v>0</v>
      </c>
      <c r="S132" s="67">
        <v>0</v>
      </c>
      <c r="U132" s="67" t="s">
        <v>255</v>
      </c>
    </row>
    <row r="133" spans="4:21" ht="12.75" x14ac:dyDescent="0.2">
      <c r="D133" s="75" t="s">
        <v>378</v>
      </c>
      <c r="E133" s="243" t="s">
        <v>383</v>
      </c>
      <c r="H133" s="243" t="s">
        <v>79</v>
      </c>
      <c r="I133" s="243" t="s">
        <v>47</v>
      </c>
      <c r="J133" s="243" t="s">
        <v>238</v>
      </c>
      <c r="M133" s="261">
        <v>0</v>
      </c>
      <c r="N133" s="67">
        <v>0</v>
      </c>
      <c r="O133" s="67">
        <v>0</v>
      </c>
      <c r="P133" s="67">
        <v>0</v>
      </c>
      <c r="Q133" s="67">
        <v>0</v>
      </c>
      <c r="R133" s="67">
        <v>0</v>
      </c>
      <c r="S133" s="67">
        <v>0</v>
      </c>
      <c r="U133" s="67" t="s">
        <v>255</v>
      </c>
    </row>
    <row r="134" spans="4:21" ht="12.75" x14ac:dyDescent="0.2">
      <c r="D134" s="75" t="s">
        <v>378</v>
      </c>
      <c r="E134" s="243" t="s">
        <v>384</v>
      </c>
      <c r="H134" s="243" t="s">
        <v>79</v>
      </c>
      <c r="I134" s="243" t="s">
        <v>47</v>
      </c>
      <c r="J134" s="243" t="s">
        <v>238</v>
      </c>
      <c r="M134" s="261">
        <v>0</v>
      </c>
      <c r="N134" s="67">
        <v>0</v>
      </c>
      <c r="O134" s="67">
        <v>0</v>
      </c>
      <c r="P134" s="67">
        <v>0</v>
      </c>
      <c r="Q134" s="67">
        <v>0</v>
      </c>
      <c r="R134" s="67">
        <v>0</v>
      </c>
      <c r="S134" s="67">
        <v>0</v>
      </c>
      <c r="U134" s="67" t="s">
        <v>69</v>
      </c>
    </row>
    <row r="135" spans="4:21" ht="12.75" x14ac:dyDescent="0.2">
      <c r="D135" s="75" t="s">
        <v>378</v>
      </c>
      <c r="E135" s="243" t="s">
        <v>385</v>
      </c>
      <c r="H135" s="243" t="s">
        <v>79</v>
      </c>
      <c r="I135" s="243" t="s">
        <v>47</v>
      </c>
      <c r="J135" s="243" t="s">
        <v>238</v>
      </c>
      <c r="M135" s="261">
        <v>0</v>
      </c>
      <c r="N135" s="67">
        <v>0</v>
      </c>
      <c r="O135" s="67">
        <v>0</v>
      </c>
      <c r="P135" s="67">
        <v>0</v>
      </c>
      <c r="Q135" s="67">
        <v>0</v>
      </c>
      <c r="R135" s="67">
        <v>0</v>
      </c>
      <c r="S135" s="67">
        <v>0</v>
      </c>
      <c r="U135" s="67" t="s">
        <v>69</v>
      </c>
    </row>
    <row r="136" spans="4:21" ht="12.75" x14ac:dyDescent="0.2">
      <c r="D136" s="75" t="s">
        <v>378</v>
      </c>
      <c r="E136" s="243" t="s">
        <v>386</v>
      </c>
      <c r="H136" s="243" t="s">
        <v>79</v>
      </c>
      <c r="I136" s="243" t="s">
        <v>47</v>
      </c>
      <c r="J136" s="243" t="s">
        <v>238</v>
      </c>
      <c r="M136" s="261">
        <v>0</v>
      </c>
      <c r="N136" s="67">
        <v>0</v>
      </c>
      <c r="O136" s="67">
        <v>0</v>
      </c>
      <c r="P136" s="67">
        <v>0</v>
      </c>
      <c r="Q136" s="67">
        <v>0</v>
      </c>
      <c r="R136" s="67">
        <v>0</v>
      </c>
      <c r="S136" s="67">
        <v>0</v>
      </c>
      <c r="U136" s="67" t="s">
        <v>256</v>
      </c>
    </row>
    <row r="137" spans="4:21" ht="12.75" x14ac:dyDescent="0.2">
      <c r="D137" s="75" t="s">
        <v>378</v>
      </c>
      <c r="E137" s="243" t="s">
        <v>387</v>
      </c>
      <c r="H137" s="243" t="s">
        <v>79</v>
      </c>
      <c r="I137" s="243" t="s">
        <v>47</v>
      </c>
      <c r="J137" s="243" t="s">
        <v>238</v>
      </c>
      <c r="M137" s="261">
        <v>0</v>
      </c>
      <c r="N137" s="67">
        <v>0</v>
      </c>
      <c r="O137" s="67">
        <v>0</v>
      </c>
      <c r="P137" s="67">
        <v>0</v>
      </c>
      <c r="Q137" s="67">
        <v>0</v>
      </c>
      <c r="R137" s="67">
        <v>0</v>
      </c>
      <c r="S137" s="67">
        <v>0</v>
      </c>
      <c r="U137" s="67" t="s">
        <v>256</v>
      </c>
    </row>
    <row r="138" spans="4:21" ht="12.75" x14ac:dyDescent="0.2">
      <c r="D138" s="75" t="s">
        <v>378</v>
      </c>
      <c r="E138" s="243" t="s">
        <v>388</v>
      </c>
      <c r="H138" s="243" t="s">
        <v>79</v>
      </c>
      <c r="I138" s="243" t="s">
        <v>47</v>
      </c>
      <c r="J138" s="243" t="s">
        <v>238</v>
      </c>
      <c r="M138" s="261">
        <v>0</v>
      </c>
      <c r="N138" s="67">
        <v>0</v>
      </c>
      <c r="O138" s="67">
        <v>0</v>
      </c>
      <c r="P138" s="67">
        <v>0</v>
      </c>
      <c r="Q138" s="67">
        <v>0</v>
      </c>
      <c r="R138" s="67">
        <v>0</v>
      </c>
      <c r="S138" s="67">
        <v>0</v>
      </c>
      <c r="U138" s="67" t="s">
        <v>256</v>
      </c>
    </row>
    <row r="139" spans="4:21" ht="12.75" x14ac:dyDescent="0.2">
      <c r="D139" s="75" t="s">
        <v>378</v>
      </c>
      <c r="E139" s="243" t="s">
        <v>389</v>
      </c>
      <c r="H139" s="243" t="s">
        <v>79</v>
      </c>
      <c r="I139" s="243" t="s">
        <v>47</v>
      </c>
      <c r="J139" s="243" t="s">
        <v>238</v>
      </c>
      <c r="M139" s="261">
        <v>0</v>
      </c>
      <c r="N139" s="67">
        <v>0</v>
      </c>
      <c r="O139" s="67">
        <v>0</v>
      </c>
      <c r="P139" s="67">
        <v>0</v>
      </c>
      <c r="Q139" s="67">
        <v>0</v>
      </c>
      <c r="R139" s="67">
        <v>0</v>
      </c>
      <c r="S139" s="67">
        <v>0</v>
      </c>
      <c r="U139" s="67" t="s">
        <v>256</v>
      </c>
    </row>
    <row r="140" spans="4:21" ht="12.75" x14ac:dyDescent="0.2">
      <c r="D140" s="75" t="s">
        <v>378</v>
      </c>
      <c r="E140" s="243" t="s">
        <v>390</v>
      </c>
      <c r="H140" s="243" t="s">
        <v>79</v>
      </c>
      <c r="I140" s="243" t="s">
        <v>47</v>
      </c>
      <c r="J140" s="243" t="s">
        <v>238</v>
      </c>
      <c r="M140" s="261">
        <v>0</v>
      </c>
      <c r="N140" s="67">
        <v>0</v>
      </c>
      <c r="O140" s="67">
        <v>0</v>
      </c>
      <c r="P140" s="67">
        <v>0</v>
      </c>
      <c r="Q140" s="67">
        <v>0</v>
      </c>
      <c r="R140" s="67">
        <v>0</v>
      </c>
      <c r="S140" s="67">
        <v>0</v>
      </c>
      <c r="U140" s="67" t="s">
        <v>256</v>
      </c>
    </row>
    <row r="141" spans="4:21" ht="12.75" x14ac:dyDescent="0.2">
      <c r="D141" s="75" t="s">
        <v>378</v>
      </c>
      <c r="E141" s="243" t="s">
        <v>391</v>
      </c>
      <c r="H141" s="243" t="s">
        <v>79</v>
      </c>
      <c r="I141" s="243" t="s">
        <v>47</v>
      </c>
      <c r="J141" s="243" t="s">
        <v>238</v>
      </c>
      <c r="M141" s="261">
        <v>0</v>
      </c>
      <c r="N141" s="67">
        <v>0</v>
      </c>
      <c r="O141" s="67">
        <v>0</v>
      </c>
      <c r="P141" s="67">
        <v>0</v>
      </c>
      <c r="Q141" s="67">
        <v>0</v>
      </c>
      <c r="R141" s="67">
        <v>0</v>
      </c>
      <c r="S141" s="67">
        <v>0</v>
      </c>
      <c r="U141" s="67" t="s">
        <v>256</v>
      </c>
    </row>
    <row r="142" spans="4:21" ht="12.75" x14ac:dyDescent="0.2">
      <c r="D142" s="75" t="s">
        <v>378</v>
      </c>
      <c r="E142" s="243" t="s">
        <v>392</v>
      </c>
      <c r="H142" s="243" t="s">
        <v>79</v>
      </c>
      <c r="I142" s="243" t="s">
        <v>47</v>
      </c>
      <c r="J142" s="243" t="s">
        <v>238</v>
      </c>
      <c r="M142" s="261">
        <v>0</v>
      </c>
      <c r="N142" s="67">
        <v>0</v>
      </c>
      <c r="O142" s="67">
        <v>0</v>
      </c>
      <c r="P142" s="67">
        <v>0</v>
      </c>
      <c r="Q142" s="67">
        <v>0</v>
      </c>
      <c r="R142" s="67">
        <v>0</v>
      </c>
      <c r="S142" s="67">
        <v>0</v>
      </c>
      <c r="U142" s="67" t="s">
        <v>256</v>
      </c>
    </row>
    <row r="143" spans="4:21" ht="12.75" x14ac:dyDescent="0.2">
      <c r="D143" s="75" t="s">
        <v>378</v>
      </c>
      <c r="E143" s="243" t="s">
        <v>393</v>
      </c>
      <c r="H143" s="243" t="s">
        <v>79</v>
      </c>
      <c r="I143" s="243" t="s">
        <v>47</v>
      </c>
      <c r="J143" s="243" t="s">
        <v>238</v>
      </c>
      <c r="M143" s="261">
        <v>0</v>
      </c>
      <c r="N143" s="67">
        <v>0</v>
      </c>
      <c r="O143" s="67">
        <v>0</v>
      </c>
      <c r="P143" s="67">
        <v>0</v>
      </c>
      <c r="Q143" s="67">
        <v>0</v>
      </c>
      <c r="R143" s="67">
        <v>0</v>
      </c>
      <c r="S143" s="67">
        <v>0</v>
      </c>
      <c r="U143" s="67" t="s">
        <v>256</v>
      </c>
    </row>
    <row r="144" spans="4:21" ht="12.75" x14ac:dyDescent="0.2">
      <c r="D144" s="75" t="s">
        <v>378</v>
      </c>
      <c r="E144" s="243" t="s">
        <v>317</v>
      </c>
      <c r="H144" s="243" t="s">
        <v>79</v>
      </c>
      <c r="I144" s="243" t="s">
        <v>47</v>
      </c>
      <c r="J144" s="243" t="s">
        <v>238</v>
      </c>
      <c r="M144" s="261">
        <v>0</v>
      </c>
      <c r="N144" s="67">
        <v>0</v>
      </c>
      <c r="O144" s="67">
        <v>0</v>
      </c>
      <c r="P144" s="67">
        <v>0</v>
      </c>
      <c r="Q144" s="67">
        <v>0</v>
      </c>
      <c r="R144" s="67">
        <v>0</v>
      </c>
      <c r="S144" s="67">
        <v>0</v>
      </c>
      <c r="U144" s="67" t="s">
        <v>317</v>
      </c>
    </row>
    <row r="145" spans="4:21" ht="12.75" x14ac:dyDescent="0.2">
      <c r="D145" s="75" t="s">
        <v>394</v>
      </c>
      <c r="E145" s="243" t="s">
        <v>395</v>
      </c>
      <c r="H145" s="243" t="s">
        <v>79</v>
      </c>
      <c r="I145" s="243" t="s">
        <v>47</v>
      </c>
      <c r="J145" s="243" t="s">
        <v>238</v>
      </c>
      <c r="M145" s="261">
        <v>0</v>
      </c>
      <c r="N145" s="67">
        <v>0</v>
      </c>
      <c r="O145" s="67">
        <v>0</v>
      </c>
      <c r="P145" s="67">
        <v>0</v>
      </c>
      <c r="Q145" s="67">
        <v>0</v>
      </c>
      <c r="R145" s="67">
        <v>0</v>
      </c>
      <c r="S145" s="67">
        <v>0</v>
      </c>
      <c r="U145" s="67" t="s">
        <v>255</v>
      </c>
    </row>
    <row r="146" spans="4:21" ht="12.75" x14ac:dyDescent="0.2">
      <c r="D146" s="75" t="s">
        <v>394</v>
      </c>
      <c r="E146" s="243" t="s">
        <v>396</v>
      </c>
      <c r="H146" s="243" t="s">
        <v>79</v>
      </c>
      <c r="I146" s="243" t="s">
        <v>47</v>
      </c>
      <c r="J146" s="243" t="s">
        <v>238</v>
      </c>
      <c r="M146" s="261">
        <v>0</v>
      </c>
      <c r="N146" s="67">
        <v>19.600466849020798</v>
      </c>
      <c r="O146" s="67">
        <v>23.539327753393501</v>
      </c>
      <c r="P146" s="67">
        <v>24.22497288523348</v>
      </c>
      <c r="Q146" s="67">
        <v>24.753231048216236</v>
      </c>
      <c r="R146" s="67">
        <v>25.193554062378311</v>
      </c>
      <c r="S146" s="67">
        <v>25.641889311074944</v>
      </c>
      <c r="U146" s="67" t="s">
        <v>255</v>
      </c>
    </row>
    <row r="147" spans="4:21" ht="12.75" x14ac:dyDescent="0.2">
      <c r="D147" s="75" t="s">
        <v>394</v>
      </c>
      <c r="E147" s="243" t="s">
        <v>397</v>
      </c>
      <c r="H147" s="243" t="s">
        <v>79</v>
      </c>
      <c r="I147" s="243" t="s">
        <v>47</v>
      </c>
      <c r="J147" s="243" t="s">
        <v>238</v>
      </c>
      <c r="M147" s="261">
        <v>0</v>
      </c>
      <c r="N147" s="67">
        <v>0.67206288100080713</v>
      </c>
      <c r="O147" s="67">
        <v>0.84005018227721617</v>
      </c>
      <c r="P147" s="67">
        <v>0.89669050905320113</v>
      </c>
      <c r="Q147" s="67">
        <v>0.94749509143873489</v>
      </c>
      <c r="R147" s="67">
        <v>0.9946373958259388</v>
      </c>
      <c r="S147" s="67">
        <v>1.0417774279040355</v>
      </c>
      <c r="U147" s="67" t="s">
        <v>255</v>
      </c>
    </row>
    <row r="148" spans="4:21" ht="12.75" x14ac:dyDescent="0.2">
      <c r="D148" s="75" t="s">
        <v>394</v>
      </c>
      <c r="E148" s="243" t="s">
        <v>398</v>
      </c>
      <c r="H148" s="243" t="s">
        <v>79</v>
      </c>
      <c r="I148" s="243" t="s">
        <v>47</v>
      </c>
      <c r="J148" s="243" t="s">
        <v>238</v>
      </c>
      <c r="M148" s="261">
        <v>93.693190930255753</v>
      </c>
      <c r="N148" s="67">
        <v>0</v>
      </c>
      <c r="O148" s="67">
        <v>0</v>
      </c>
      <c r="P148" s="67">
        <v>0</v>
      </c>
      <c r="Q148" s="67">
        <v>0</v>
      </c>
      <c r="R148" s="67">
        <v>0</v>
      </c>
      <c r="S148" s="67">
        <v>0</v>
      </c>
      <c r="U148" s="67" t="s">
        <v>255</v>
      </c>
    </row>
    <row r="149" spans="4:21" ht="12.75" x14ac:dyDescent="0.2">
      <c r="D149" s="75" t="s">
        <v>394</v>
      </c>
      <c r="E149" s="243" t="s">
        <v>399</v>
      </c>
      <c r="H149" s="243" t="s">
        <v>79</v>
      </c>
      <c r="I149" s="243" t="s">
        <v>47</v>
      </c>
      <c r="J149" s="243" t="s">
        <v>238</v>
      </c>
      <c r="M149" s="261">
        <v>671.79270771686618</v>
      </c>
      <c r="N149" s="67">
        <v>99.249641526812169</v>
      </c>
      <c r="O149" s="67">
        <v>120.26014269010544</v>
      </c>
      <c r="P149" s="67">
        <v>124.86795554689945</v>
      </c>
      <c r="Q149" s="67">
        <v>128.72836230912856</v>
      </c>
      <c r="R149" s="67">
        <v>132.20873610173538</v>
      </c>
      <c r="S149" s="67">
        <v>135.8318496883511</v>
      </c>
      <c r="U149" s="67" t="s">
        <v>255</v>
      </c>
    </row>
    <row r="150" spans="4:21" ht="12.75" x14ac:dyDescent="0.2">
      <c r="D150" s="75" t="s">
        <v>394</v>
      </c>
      <c r="E150" s="243" t="s">
        <v>400</v>
      </c>
      <c r="H150" s="243" t="s">
        <v>79</v>
      </c>
      <c r="I150" s="243" t="s">
        <v>47</v>
      </c>
      <c r="J150" s="243" t="s">
        <v>238</v>
      </c>
      <c r="M150" s="261">
        <v>0</v>
      </c>
      <c r="N150" s="67">
        <v>487.62600100886317</v>
      </c>
      <c r="O150" s="67">
        <v>595.90196093421821</v>
      </c>
      <c r="P150" s="67">
        <v>626.02243045907846</v>
      </c>
      <c r="Q150" s="67">
        <v>655.06930255499867</v>
      </c>
      <c r="R150" s="67">
        <v>685.23435424460342</v>
      </c>
      <c r="S150" s="67">
        <v>719.61955604294405</v>
      </c>
      <c r="U150" s="67" t="s">
        <v>255</v>
      </c>
    </row>
    <row r="151" spans="4:21" ht="12.75" x14ac:dyDescent="0.2">
      <c r="D151" s="75" t="s">
        <v>394</v>
      </c>
      <c r="E151" s="243" t="s">
        <v>401</v>
      </c>
      <c r="H151" s="243" t="s">
        <v>79</v>
      </c>
      <c r="I151" s="243" t="s">
        <v>47</v>
      </c>
      <c r="J151" s="243" t="s">
        <v>238</v>
      </c>
      <c r="M151" s="261">
        <v>323.57353671803816</v>
      </c>
      <c r="N151" s="67">
        <v>2.0082917483638467</v>
      </c>
      <c r="O151" s="67">
        <v>2.3524381169484552</v>
      </c>
      <c r="P151" s="67">
        <v>2.3645599963568746</v>
      </c>
      <c r="Q151" s="67">
        <v>2.3629318062467508</v>
      </c>
      <c r="R151" s="67">
        <v>2.3550882664142971</v>
      </c>
      <c r="S151" s="67">
        <v>2.3502797997573186</v>
      </c>
      <c r="U151" s="67" t="s">
        <v>255</v>
      </c>
    </row>
    <row r="152" spans="4:21" ht="12.75" x14ac:dyDescent="0.2">
      <c r="D152" s="75" t="s">
        <v>394</v>
      </c>
      <c r="E152" s="243" t="s">
        <v>402</v>
      </c>
      <c r="H152" s="243" t="s">
        <v>79</v>
      </c>
      <c r="I152" s="243" t="s">
        <v>47</v>
      </c>
      <c r="J152" s="243" t="s">
        <v>238</v>
      </c>
      <c r="M152" s="261">
        <v>52.924497072379992</v>
      </c>
      <c r="N152" s="67">
        <v>736.36994317641393</v>
      </c>
      <c r="O152" s="67">
        <v>737.10521310223146</v>
      </c>
      <c r="P152" s="67">
        <v>745.93464839634828</v>
      </c>
      <c r="Q152" s="67">
        <v>750.62544821004246</v>
      </c>
      <c r="R152" s="67">
        <v>753.80830049413669</v>
      </c>
      <c r="S152" s="67">
        <v>758.74585984465057</v>
      </c>
      <c r="U152" s="67" t="s">
        <v>255</v>
      </c>
    </row>
    <row r="153" spans="4:21" ht="12.75" x14ac:dyDescent="0.2">
      <c r="D153" s="75" t="s">
        <v>394</v>
      </c>
      <c r="E153" s="243" t="s">
        <v>403</v>
      </c>
      <c r="H153" s="243" t="s">
        <v>79</v>
      </c>
      <c r="I153" s="243" t="s">
        <v>47</v>
      </c>
      <c r="J153" s="243" t="s">
        <v>238</v>
      </c>
      <c r="M153" s="261">
        <v>0</v>
      </c>
      <c r="N153" s="67">
        <v>14.25277928146976</v>
      </c>
      <c r="O153" s="67">
        <v>18.635658111347222</v>
      </c>
      <c r="P153" s="67">
        <v>20.677525468782505</v>
      </c>
      <c r="Q153" s="67">
        <v>22.600777524594896</v>
      </c>
      <c r="R153" s="67">
        <v>24.448148975554826</v>
      </c>
      <c r="S153" s="67">
        <v>26.308788975022541</v>
      </c>
      <c r="U153" s="67" t="s">
        <v>255</v>
      </c>
    </row>
    <row r="154" spans="4:21" ht="12.75" x14ac:dyDescent="0.2">
      <c r="D154" s="75" t="s">
        <v>394</v>
      </c>
      <c r="E154" s="243" t="s">
        <v>404</v>
      </c>
      <c r="H154" s="243" t="s">
        <v>79</v>
      </c>
      <c r="I154" s="243" t="s">
        <v>47</v>
      </c>
      <c r="J154" s="243" t="s">
        <v>238</v>
      </c>
      <c r="M154" s="261">
        <v>0</v>
      </c>
      <c r="N154" s="67">
        <v>0</v>
      </c>
      <c r="O154" s="67">
        <v>0</v>
      </c>
      <c r="P154" s="67">
        <v>0</v>
      </c>
      <c r="Q154" s="67">
        <v>0</v>
      </c>
      <c r="R154" s="67">
        <v>0</v>
      </c>
      <c r="S154" s="67">
        <v>0</v>
      </c>
      <c r="U154" s="67" t="s">
        <v>255</v>
      </c>
    </row>
    <row r="155" spans="4:21" ht="12.75" x14ac:dyDescent="0.2">
      <c r="D155" s="75" t="s">
        <v>394</v>
      </c>
      <c r="E155" s="243" t="s">
        <v>405</v>
      </c>
      <c r="H155" s="243" t="s">
        <v>79</v>
      </c>
      <c r="I155" s="243" t="s">
        <v>47</v>
      </c>
      <c r="J155" s="243" t="s">
        <v>238</v>
      </c>
      <c r="M155" s="261">
        <v>408.26851457959373</v>
      </c>
      <c r="N155" s="67">
        <v>0</v>
      </c>
      <c r="O155" s="67">
        <v>0</v>
      </c>
      <c r="P155" s="67">
        <v>0</v>
      </c>
      <c r="Q155" s="67">
        <v>0</v>
      </c>
      <c r="R155" s="67">
        <v>0</v>
      </c>
      <c r="S155" s="67">
        <v>0</v>
      </c>
      <c r="U155" s="67" t="s">
        <v>255</v>
      </c>
    </row>
    <row r="156" spans="4:21" ht="12.75" x14ac:dyDescent="0.2">
      <c r="D156" s="75" t="s">
        <v>394</v>
      </c>
      <c r="E156" s="243" t="s">
        <v>406</v>
      </c>
      <c r="H156" s="243" t="s">
        <v>79</v>
      </c>
      <c r="I156" s="243" t="s">
        <v>47</v>
      </c>
      <c r="J156" s="243" t="s">
        <v>238</v>
      </c>
      <c r="M156" s="261">
        <v>46.641746669294299</v>
      </c>
      <c r="N156" s="67">
        <v>891.70778352936634</v>
      </c>
      <c r="O156" s="67">
        <v>1161.4395149578297</v>
      </c>
      <c r="P156" s="67">
        <v>1216.2864632907347</v>
      </c>
      <c r="Q156" s="67">
        <v>1266.5784879774985</v>
      </c>
      <c r="R156" s="67">
        <v>1316.1316246611318</v>
      </c>
      <c r="S156" s="67">
        <v>1370.4773426866179</v>
      </c>
      <c r="U156" s="67" t="s">
        <v>255</v>
      </c>
    </row>
    <row r="157" spans="4:21" ht="12.75" x14ac:dyDescent="0.2">
      <c r="D157" s="75" t="s">
        <v>394</v>
      </c>
      <c r="E157" s="243" t="s">
        <v>407</v>
      </c>
      <c r="H157" s="243" t="s">
        <v>79</v>
      </c>
      <c r="I157" s="243" t="s">
        <v>47</v>
      </c>
      <c r="J157" s="243" t="s">
        <v>238</v>
      </c>
      <c r="M157" s="261">
        <v>0</v>
      </c>
      <c r="N157" s="67">
        <v>238.65662585165759</v>
      </c>
      <c r="O157" s="67">
        <v>303.86783095237234</v>
      </c>
      <c r="P157" s="67">
        <v>331.57278425519206</v>
      </c>
      <c r="Q157" s="67">
        <v>359.25409119908602</v>
      </c>
      <c r="R157" s="67">
        <v>387.92259073284987</v>
      </c>
      <c r="S157" s="67">
        <v>419.28983171087793</v>
      </c>
      <c r="U157" s="67" t="s">
        <v>255</v>
      </c>
    </row>
    <row r="158" spans="4:21" ht="12.75" x14ac:dyDescent="0.2">
      <c r="D158" s="75" t="s">
        <v>394</v>
      </c>
      <c r="E158" s="243" t="s">
        <v>408</v>
      </c>
      <c r="H158" s="243" t="s">
        <v>79</v>
      </c>
      <c r="I158" s="243" t="s">
        <v>47</v>
      </c>
      <c r="J158" s="243" t="s">
        <v>238</v>
      </c>
      <c r="M158" s="261">
        <v>0</v>
      </c>
      <c r="N158" s="67">
        <v>0</v>
      </c>
      <c r="O158" s="67">
        <v>0</v>
      </c>
      <c r="P158" s="67">
        <v>0</v>
      </c>
      <c r="Q158" s="67">
        <v>0</v>
      </c>
      <c r="R158" s="67">
        <v>0</v>
      </c>
      <c r="S158" s="67">
        <v>0</v>
      </c>
      <c r="U158" s="67" t="s">
        <v>255</v>
      </c>
    </row>
    <row r="159" spans="4:21" ht="12.75" x14ac:dyDescent="0.2">
      <c r="D159" s="75" t="s">
        <v>394</v>
      </c>
      <c r="E159" s="243" t="s">
        <v>409</v>
      </c>
      <c r="H159" s="243" t="s">
        <v>79</v>
      </c>
      <c r="I159" s="243" t="s">
        <v>47</v>
      </c>
      <c r="J159" s="243" t="s">
        <v>238</v>
      </c>
      <c r="M159" s="261">
        <v>0</v>
      </c>
      <c r="N159" s="67">
        <v>273.4189796858771</v>
      </c>
      <c r="O159" s="67">
        <v>317.07888729966857</v>
      </c>
      <c r="P159" s="67">
        <v>315.80823660398812</v>
      </c>
      <c r="Q159" s="67">
        <v>312.99315875316512</v>
      </c>
      <c r="R159" s="67">
        <v>309.56636606304045</v>
      </c>
      <c r="S159" s="67">
        <v>306.64439687119187</v>
      </c>
      <c r="U159" s="67" t="s">
        <v>255</v>
      </c>
    </row>
    <row r="160" spans="4:21" ht="12.75" x14ac:dyDescent="0.2">
      <c r="D160" s="75" t="s">
        <v>394</v>
      </c>
      <c r="E160" s="243" t="s">
        <v>410</v>
      </c>
      <c r="H160" s="243" t="s">
        <v>79</v>
      </c>
      <c r="I160" s="243" t="s">
        <v>47</v>
      </c>
      <c r="J160" s="243" t="s">
        <v>238</v>
      </c>
      <c r="M160" s="261">
        <v>0</v>
      </c>
      <c r="N160" s="67">
        <v>0</v>
      </c>
      <c r="O160" s="67">
        <v>0</v>
      </c>
      <c r="P160" s="67">
        <v>0</v>
      </c>
      <c r="Q160" s="67">
        <v>0</v>
      </c>
      <c r="R160" s="67">
        <v>0</v>
      </c>
      <c r="S160" s="67">
        <v>0</v>
      </c>
      <c r="U160" s="67" t="s">
        <v>255</v>
      </c>
    </row>
    <row r="161" spans="4:21" ht="12.75" x14ac:dyDescent="0.2">
      <c r="D161" s="75" t="s">
        <v>394</v>
      </c>
      <c r="E161" s="243" t="s">
        <v>411</v>
      </c>
      <c r="H161" s="243" t="s">
        <v>79</v>
      </c>
      <c r="I161" s="243" t="s">
        <v>47</v>
      </c>
      <c r="J161" s="243" t="s">
        <v>238</v>
      </c>
      <c r="M161" s="261">
        <v>0</v>
      </c>
      <c r="N161" s="67">
        <v>0</v>
      </c>
      <c r="O161" s="67">
        <v>0</v>
      </c>
      <c r="P161" s="67">
        <v>0</v>
      </c>
      <c r="Q161" s="67">
        <v>0</v>
      </c>
      <c r="R161" s="67">
        <v>0</v>
      </c>
      <c r="S161" s="67">
        <v>0</v>
      </c>
      <c r="U161" s="67" t="s">
        <v>255</v>
      </c>
    </row>
    <row r="162" spans="4:21" ht="12.75" x14ac:dyDescent="0.2">
      <c r="D162" s="75" t="s">
        <v>394</v>
      </c>
      <c r="E162" s="243" t="s">
        <v>412</v>
      </c>
      <c r="H162" s="243" t="s">
        <v>79</v>
      </c>
      <c r="I162" s="243" t="s">
        <v>47</v>
      </c>
      <c r="J162" s="243" t="s">
        <v>238</v>
      </c>
      <c r="M162" s="261">
        <v>0</v>
      </c>
      <c r="N162" s="67">
        <v>0</v>
      </c>
      <c r="O162" s="67">
        <v>0</v>
      </c>
      <c r="P162" s="67">
        <v>0</v>
      </c>
      <c r="Q162" s="67">
        <v>0</v>
      </c>
      <c r="R162" s="67">
        <v>0</v>
      </c>
      <c r="S162" s="67">
        <v>0</v>
      </c>
      <c r="U162" s="67" t="s">
        <v>255</v>
      </c>
    </row>
    <row r="163" spans="4:21" ht="12.75" x14ac:dyDescent="0.2">
      <c r="D163" s="75" t="s">
        <v>394</v>
      </c>
      <c r="E163" s="243" t="s">
        <v>413</v>
      </c>
      <c r="H163" s="243" t="s">
        <v>79</v>
      </c>
      <c r="I163" s="243" t="s">
        <v>47</v>
      </c>
      <c r="J163" s="243" t="s">
        <v>238</v>
      </c>
      <c r="M163" s="261">
        <v>0</v>
      </c>
      <c r="N163" s="67">
        <v>377.74513027467441</v>
      </c>
      <c r="O163" s="67">
        <v>462.47960659835439</v>
      </c>
      <c r="P163" s="67">
        <v>484.50082708843877</v>
      </c>
      <c r="Q163" s="67">
        <v>503.20145033364861</v>
      </c>
      <c r="R163" s="67">
        <v>520.03514305409055</v>
      </c>
      <c r="S163" s="67">
        <v>537.14921909632722</v>
      </c>
      <c r="U163" s="67" t="s">
        <v>69</v>
      </c>
    </row>
    <row r="164" spans="4:21" ht="12.75" x14ac:dyDescent="0.2">
      <c r="D164" s="75" t="s">
        <v>394</v>
      </c>
      <c r="E164" s="243" t="s">
        <v>414</v>
      </c>
      <c r="H164" s="243" t="s">
        <v>79</v>
      </c>
      <c r="I164" s="243" t="s">
        <v>47</v>
      </c>
      <c r="J164" s="243" t="s">
        <v>238</v>
      </c>
      <c r="M164" s="261">
        <v>0</v>
      </c>
      <c r="N164" s="67">
        <v>53.307114504498657</v>
      </c>
      <c r="O164" s="67">
        <v>64.696032114191482</v>
      </c>
      <c r="P164" s="67">
        <v>67.303161393181227</v>
      </c>
      <c r="Q164" s="67">
        <v>69.53557867281296</v>
      </c>
      <c r="R164" s="67">
        <v>71.602090165965507</v>
      </c>
      <c r="S164" s="67">
        <v>73.798106998366165</v>
      </c>
      <c r="U164" s="67" t="s">
        <v>69</v>
      </c>
    </row>
    <row r="165" spans="4:21" ht="12.75" x14ac:dyDescent="0.2">
      <c r="D165" s="75" t="s">
        <v>394</v>
      </c>
      <c r="E165" s="243" t="s">
        <v>415</v>
      </c>
      <c r="H165" s="243" t="s">
        <v>79</v>
      </c>
      <c r="I165" s="243" t="s">
        <v>47</v>
      </c>
      <c r="J165" s="243" t="s">
        <v>238</v>
      </c>
      <c r="M165" s="261">
        <v>0</v>
      </c>
      <c r="N165" s="67">
        <v>0</v>
      </c>
      <c r="O165" s="67">
        <v>0</v>
      </c>
      <c r="P165" s="67">
        <v>0</v>
      </c>
      <c r="Q165" s="67">
        <v>0</v>
      </c>
      <c r="R165" s="67">
        <v>0</v>
      </c>
      <c r="S165" s="67">
        <v>0</v>
      </c>
      <c r="U165" s="67" t="s">
        <v>69</v>
      </c>
    </row>
    <row r="166" spans="4:21" ht="12.75" x14ac:dyDescent="0.2">
      <c r="D166" s="75" t="s">
        <v>394</v>
      </c>
      <c r="E166" s="243" t="s">
        <v>416</v>
      </c>
      <c r="H166" s="243" t="s">
        <v>79</v>
      </c>
      <c r="I166" s="243" t="s">
        <v>47</v>
      </c>
      <c r="J166" s="243" t="s">
        <v>238</v>
      </c>
      <c r="M166" s="261">
        <v>469.03347770042188</v>
      </c>
      <c r="N166" s="67">
        <v>0</v>
      </c>
      <c r="O166" s="67">
        <v>0</v>
      </c>
      <c r="P166" s="67">
        <v>0</v>
      </c>
      <c r="Q166" s="67">
        <v>0</v>
      </c>
      <c r="R166" s="67">
        <v>0</v>
      </c>
      <c r="S166" s="67">
        <v>0</v>
      </c>
      <c r="U166" s="67" t="s">
        <v>69</v>
      </c>
    </row>
    <row r="167" spans="4:21" ht="12.75" x14ac:dyDescent="0.2">
      <c r="D167" s="75" t="s">
        <v>394</v>
      </c>
      <c r="E167" s="243" t="s">
        <v>417</v>
      </c>
      <c r="H167" s="243" t="s">
        <v>79</v>
      </c>
      <c r="I167" s="243" t="s">
        <v>47</v>
      </c>
      <c r="J167" s="243" t="s">
        <v>238</v>
      </c>
      <c r="M167" s="261">
        <v>52.446696714815666</v>
      </c>
      <c r="N167" s="67">
        <v>905.07273055870564</v>
      </c>
      <c r="O167" s="67">
        <v>0</v>
      </c>
      <c r="P167" s="67">
        <v>0</v>
      </c>
      <c r="Q167" s="67">
        <v>0</v>
      </c>
      <c r="R167" s="67">
        <v>0</v>
      </c>
      <c r="S167" s="67">
        <v>0</v>
      </c>
      <c r="U167" s="67" t="s">
        <v>256</v>
      </c>
    </row>
    <row r="168" spans="4:21" ht="12.75" x14ac:dyDescent="0.2">
      <c r="D168" s="75" t="s">
        <v>394</v>
      </c>
      <c r="E168" s="243" t="s">
        <v>418</v>
      </c>
      <c r="H168" s="243" t="s">
        <v>79</v>
      </c>
      <c r="I168" s="243" t="s">
        <v>47</v>
      </c>
      <c r="J168" s="243" t="s">
        <v>238</v>
      </c>
      <c r="M168" s="261">
        <v>0</v>
      </c>
      <c r="N168" s="67">
        <v>590.22474394029041</v>
      </c>
      <c r="O168" s="67">
        <v>828.48702131493314</v>
      </c>
      <c r="P168" s="67">
        <v>649.07520490142156</v>
      </c>
      <c r="Q168" s="67">
        <v>0</v>
      </c>
      <c r="R168" s="67">
        <v>0</v>
      </c>
      <c r="S168" s="67">
        <v>0</v>
      </c>
      <c r="U168" s="67" t="s">
        <v>256</v>
      </c>
    </row>
    <row r="169" spans="4:21" ht="12.75" x14ac:dyDescent="0.2">
      <c r="D169" s="75" t="s">
        <v>394</v>
      </c>
      <c r="E169" s="243" t="s">
        <v>419</v>
      </c>
      <c r="H169" s="243" t="s">
        <v>79</v>
      </c>
      <c r="I169" s="243" t="s">
        <v>47</v>
      </c>
      <c r="J169" s="243" t="s">
        <v>238</v>
      </c>
      <c r="M169" s="261">
        <v>1103.8355735722796</v>
      </c>
      <c r="N169" s="67">
        <v>0</v>
      </c>
      <c r="O169" s="67">
        <v>0</v>
      </c>
      <c r="P169" s="67">
        <v>0</v>
      </c>
      <c r="Q169" s="67">
        <v>0</v>
      </c>
      <c r="R169" s="67">
        <v>0</v>
      </c>
      <c r="S169" s="67">
        <v>0</v>
      </c>
      <c r="U169" s="67" t="s">
        <v>256</v>
      </c>
    </row>
    <row r="170" spans="4:21" ht="12.75" x14ac:dyDescent="0.2">
      <c r="D170" s="75" t="s">
        <v>394</v>
      </c>
      <c r="E170" s="243" t="s">
        <v>420</v>
      </c>
      <c r="H170" s="243" t="s">
        <v>79</v>
      </c>
      <c r="I170" s="243" t="s">
        <v>47</v>
      </c>
      <c r="J170" s="243" t="s">
        <v>238</v>
      </c>
      <c r="M170" s="261">
        <v>0</v>
      </c>
      <c r="N170" s="67">
        <v>0</v>
      </c>
      <c r="O170" s="67">
        <v>0</v>
      </c>
      <c r="P170" s="67">
        <v>0</v>
      </c>
      <c r="Q170" s="67">
        <v>0</v>
      </c>
      <c r="R170" s="67">
        <v>0</v>
      </c>
      <c r="S170" s="67">
        <v>0</v>
      </c>
      <c r="U170" s="67" t="s">
        <v>256</v>
      </c>
    </row>
    <row r="171" spans="4:21" ht="12.75" x14ac:dyDescent="0.2">
      <c r="D171" s="75" t="s">
        <v>394</v>
      </c>
      <c r="E171" s="243" t="s">
        <v>421</v>
      </c>
      <c r="H171" s="243" t="s">
        <v>79</v>
      </c>
      <c r="I171" s="243" t="s">
        <v>47</v>
      </c>
      <c r="J171" s="243" t="s">
        <v>238</v>
      </c>
      <c r="M171" s="261">
        <v>0</v>
      </c>
      <c r="N171" s="67">
        <v>0</v>
      </c>
      <c r="O171" s="67">
        <v>0</v>
      </c>
      <c r="P171" s="67">
        <v>0</v>
      </c>
      <c r="Q171" s="67">
        <v>0</v>
      </c>
      <c r="R171" s="67">
        <v>0</v>
      </c>
      <c r="S171" s="67">
        <v>0</v>
      </c>
      <c r="U171" s="67" t="s">
        <v>256</v>
      </c>
    </row>
    <row r="172" spans="4:21" ht="12.75" x14ac:dyDescent="0.2">
      <c r="D172" s="75" t="s">
        <v>394</v>
      </c>
      <c r="E172" s="243" t="s">
        <v>422</v>
      </c>
      <c r="H172" s="243" t="s">
        <v>79</v>
      </c>
      <c r="I172" s="243" t="s">
        <v>47</v>
      </c>
      <c r="J172" s="243" t="s">
        <v>238</v>
      </c>
      <c r="M172" s="261">
        <v>0</v>
      </c>
      <c r="N172" s="67">
        <v>0</v>
      </c>
      <c r="O172" s="67">
        <v>0</v>
      </c>
      <c r="P172" s="67">
        <v>0</v>
      </c>
      <c r="Q172" s="67">
        <v>0</v>
      </c>
      <c r="R172" s="67">
        <v>0</v>
      </c>
      <c r="S172" s="67">
        <v>0</v>
      </c>
      <c r="U172" s="67" t="s">
        <v>256</v>
      </c>
    </row>
    <row r="173" spans="4:21" ht="12.75" x14ac:dyDescent="0.2">
      <c r="D173" s="75" t="s">
        <v>394</v>
      </c>
      <c r="E173" s="243" t="s">
        <v>317</v>
      </c>
      <c r="H173" s="243" t="s">
        <v>79</v>
      </c>
      <c r="I173" s="243" t="s">
        <v>47</v>
      </c>
      <c r="J173" s="243" t="s">
        <v>238</v>
      </c>
      <c r="M173" s="261">
        <v>0</v>
      </c>
      <c r="N173" s="67">
        <v>0</v>
      </c>
      <c r="O173" s="67">
        <v>0</v>
      </c>
      <c r="P173" s="67">
        <v>0</v>
      </c>
      <c r="Q173" s="67">
        <v>0</v>
      </c>
      <c r="R173" s="67">
        <v>0</v>
      </c>
      <c r="S173" s="67">
        <v>0</v>
      </c>
      <c r="U173" s="67" t="s">
        <v>317</v>
      </c>
    </row>
    <row r="174" spans="4:21" ht="12.75" x14ac:dyDescent="0.2">
      <c r="D174" s="75" t="s">
        <v>423</v>
      </c>
      <c r="E174" s="243" t="s">
        <v>424</v>
      </c>
      <c r="H174" s="243" t="s">
        <v>79</v>
      </c>
      <c r="I174" s="243" t="s">
        <v>47</v>
      </c>
      <c r="J174" s="243" t="s">
        <v>238</v>
      </c>
      <c r="M174" s="261">
        <v>0</v>
      </c>
      <c r="N174" s="67">
        <v>0</v>
      </c>
      <c r="O174" s="67">
        <v>0</v>
      </c>
      <c r="P174" s="67">
        <v>0</v>
      </c>
      <c r="Q174" s="67">
        <v>0</v>
      </c>
      <c r="R174" s="67">
        <v>0</v>
      </c>
      <c r="S174" s="67">
        <v>0</v>
      </c>
      <c r="U174" s="67" t="s">
        <v>255</v>
      </c>
    </row>
    <row r="175" spans="4:21" ht="12.75" x14ac:dyDescent="0.2">
      <c r="D175" s="75" t="s">
        <v>423</v>
      </c>
      <c r="E175" s="243" t="s">
        <v>425</v>
      </c>
      <c r="H175" s="243" t="s">
        <v>79</v>
      </c>
      <c r="I175" s="243" t="s">
        <v>47</v>
      </c>
      <c r="J175" s="243" t="s">
        <v>238</v>
      </c>
      <c r="M175" s="261">
        <v>1125.9192466597947</v>
      </c>
      <c r="N175" s="67">
        <v>0</v>
      </c>
      <c r="O175" s="67">
        <v>0</v>
      </c>
      <c r="P175" s="67">
        <v>0</v>
      </c>
      <c r="Q175" s="67">
        <v>0</v>
      </c>
      <c r="R175" s="67">
        <v>0</v>
      </c>
      <c r="S175" s="67">
        <v>0</v>
      </c>
      <c r="U175" s="67" t="s">
        <v>255</v>
      </c>
    </row>
    <row r="176" spans="4:21" ht="12.75" x14ac:dyDescent="0.2">
      <c r="D176" s="75" t="s">
        <v>423</v>
      </c>
      <c r="E176" s="243" t="s">
        <v>426</v>
      </c>
      <c r="H176" s="243" t="s">
        <v>79</v>
      </c>
      <c r="I176" s="243" t="s">
        <v>47</v>
      </c>
      <c r="J176" s="243" t="s">
        <v>238</v>
      </c>
      <c r="M176" s="261">
        <v>30.348970675607514</v>
      </c>
      <c r="N176" s="67">
        <v>1669.8668818045257</v>
      </c>
      <c r="O176" s="67">
        <v>2027.6102467985706</v>
      </c>
      <c r="P176" s="67">
        <v>2071.0517609182048</v>
      </c>
      <c r="Q176" s="67">
        <v>2107.6042679974958</v>
      </c>
      <c r="R176" s="67">
        <v>2152.2869693806583</v>
      </c>
      <c r="S176" s="67">
        <v>2201.4223933658564</v>
      </c>
      <c r="U176" s="67" t="s">
        <v>255</v>
      </c>
    </row>
    <row r="177" spans="4:21" ht="12.75" x14ac:dyDescent="0.2">
      <c r="D177" s="75" t="s">
        <v>423</v>
      </c>
      <c r="E177" s="243" t="s">
        <v>427</v>
      </c>
      <c r="H177" s="243" t="s">
        <v>79</v>
      </c>
      <c r="I177" s="243" t="s">
        <v>47</v>
      </c>
      <c r="J177" s="243" t="s">
        <v>238</v>
      </c>
      <c r="M177" s="261">
        <v>831.00616442162766</v>
      </c>
      <c r="N177" s="67">
        <v>755.29259854804286</v>
      </c>
      <c r="O177" s="67">
        <v>2104.1475993606869</v>
      </c>
      <c r="P177" s="67">
        <v>868.41017521121648</v>
      </c>
      <c r="Q177" s="67">
        <v>331.62788038224767</v>
      </c>
      <c r="R177" s="67">
        <v>341.87106879208358</v>
      </c>
      <c r="S177" s="67">
        <v>352.66463561005742</v>
      </c>
      <c r="U177" s="67" t="s">
        <v>69</v>
      </c>
    </row>
    <row r="178" spans="4:21" ht="12.75" x14ac:dyDescent="0.2">
      <c r="D178" s="75" t="s">
        <v>423</v>
      </c>
      <c r="E178" s="243" t="s">
        <v>428</v>
      </c>
      <c r="H178" s="243" t="s">
        <v>79</v>
      </c>
      <c r="I178" s="243" t="s">
        <v>47</v>
      </c>
      <c r="J178" s="243" t="s">
        <v>238</v>
      </c>
      <c r="M178" s="261">
        <v>133.85112188762506</v>
      </c>
      <c r="N178" s="67">
        <v>223.51097877590544</v>
      </c>
      <c r="O178" s="67">
        <v>271.8801575478517</v>
      </c>
      <c r="P178" s="67">
        <v>283.53552506654086</v>
      </c>
      <c r="Q178" s="67">
        <v>293.71968684642576</v>
      </c>
      <c r="R178" s="67">
        <v>303.3418087139583</v>
      </c>
      <c r="S178" s="67">
        <v>313.69004669203673</v>
      </c>
      <c r="U178" s="67" t="s">
        <v>69</v>
      </c>
    </row>
    <row r="179" spans="4:21" ht="12.75" x14ac:dyDescent="0.2">
      <c r="D179" s="75" t="s">
        <v>423</v>
      </c>
      <c r="E179" s="243" t="s">
        <v>429</v>
      </c>
      <c r="H179" s="243" t="s">
        <v>79</v>
      </c>
      <c r="I179" s="243" t="s">
        <v>47</v>
      </c>
      <c r="J179" s="243" t="s">
        <v>238</v>
      </c>
      <c r="M179" s="261">
        <v>0</v>
      </c>
      <c r="N179" s="67">
        <v>322.74561682851481</v>
      </c>
      <c r="O179" s="67">
        <v>396.9807785765156</v>
      </c>
      <c r="P179" s="67">
        <v>419.2772063316724</v>
      </c>
      <c r="Q179" s="67">
        <v>439.4508823060288</v>
      </c>
      <c r="R179" s="67">
        <v>459.42559366913883</v>
      </c>
      <c r="S179" s="67">
        <v>479.17253831125282</v>
      </c>
      <c r="U179" s="67" t="s">
        <v>256</v>
      </c>
    </row>
    <row r="180" spans="4:21" ht="12.75" x14ac:dyDescent="0.2">
      <c r="D180" s="75" t="s">
        <v>423</v>
      </c>
      <c r="E180" s="243" t="s">
        <v>430</v>
      </c>
      <c r="H180" s="243" t="s">
        <v>79</v>
      </c>
      <c r="I180" s="243" t="s">
        <v>47</v>
      </c>
      <c r="J180" s="243" t="s">
        <v>238</v>
      </c>
      <c r="M180" s="261">
        <v>0</v>
      </c>
      <c r="N180" s="67">
        <v>0</v>
      </c>
      <c r="O180" s="67">
        <v>0</v>
      </c>
      <c r="P180" s="67">
        <v>0</v>
      </c>
      <c r="Q180" s="67">
        <v>0</v>
      </c>
      <c r="R180" s="67">
        <v>0</v>
      </c>
      <c r="S180" s="67">
        <v>0</v>
      </c>
      <c r="U180" s="67" t="s">
        <v>256</v>
      </c>
    </row>
    <row r="181" spans="4:21" ht="12.75" x14ac:dyDescent="0.2">
      <c r="D181" s="75" t="s">
        <v>423</v>
      </c>
      <c r="E181" s="243" t="s">
        <v>431</v>
      </c>
      <c r="H181" s="243" t="s">
        <v>79</v>
      </c>
      <c r="I181" s="243" t="s">
        <v>47</v>
      </c>
      <c r="J181" s="243" t="s">
        <v>238</v>
      </c>
      <c r="M181" s="261">
        <v>18.718531655167219</v>
      </c>
      <c r="N181" s="67">
        <v>0</v>
      </c>
      <c r="O181" s="67">
        <v>0</v>
      </c>
      <c r="P181" s="67">
        <v>0</v>
      </c>
      <c r="Q181" s="67">
        <v>0</v>
      </c>
      <c r="R181" s="67">
        <v>0</v>
      </c>
      <c r="S181" s="67">
        <v>0</v>
      </c>
      <c r="U181" s="67" t="s">
        <v>256</v>
      </c>
    </row>
    <row r="182" spans="4:21" ht="12.75" x14ac:dyDescent="0.2">
      <c r="D182" s="75" t="s">
        <v>423</v>
      </c>
      <c r="E182" s="243" t="s">
        <v>432</v>
      </c>
      <c r="H182" s="243" t="s">
        <v>79</v>
      </c>
      <c r="I182" s="243" t="s">
        <v>47</v>
      </c>
      <c r="J182" s="243" t="s">
        <v>238</v>
      </c>
      <c r="M182" s="261">
        <v>2038.9351941733178</v>
      </c>
      <c r="N182" s="67">
        <v>1.4852012476378531</v>
      </c>
      <c r="O182" s="67">
        <v>1.8313499809588785</v>
      </c>
      <c r="P182" s="67">
        <v>1.9342760664908631</v>
      </c>
      <c r="Q182" s="67">
        <v>2.0277536811693881</v>
      </c>
      <c r="R182" s="67">
        <v>2.117823801725121</v>
      </c>
      <c r="S182" s="67">
        <v>2.2135129155835847</v>
      </c>
      <c r="U182" s="67" t="s">
        <v>256</v>
      </c>
    </row>
    <row r="183" spans="4:21" ht="12.75" x14ac:dyDescent="0.2">
      <c r="D183" s="75" t="s">
        <v>423</v>
      </c>
      <c r="E183" s="243" t="s">
        <v>433</v>
      </c>
      <c r="H183" s="243" t="s">
        <v>79</v>
      </c>
      <c r="I183" s="243" t="s">
        <v>47</v>
      </c>
      <c r="J183" s="243" t="s">
        <v>238</v>
      </c>
      <c r="M183" s="261">
        <v>0</v>
      </c>
      <c r="N183" s="67">
        <v>833.92418551907781</v>
      </c>
      <c r="O183" s="67">
        <v>507.8904335794694</v>
      </c>
      <c r="P183" s="67">
        <v>364.42119054111515</v>
      </c>
      <c r="Q183" s="67">
        <v>82.312044583267152</v>
      </c>
      <c r="R183" s="67">
        <v>82.933708702968076</v>
      </c>
      <c r="S183" s="67">
        <v>83.919600801655648</v>
      </c>
      <c r="U183" s="67" t="s">
        <v>256</v>
      </c>
    </row>
    <row r="184" spans="4:21" ht="12.75" x14ac:dyDescent="0.2">
      <c r="D184" s="75" t="s">
        <v>423</v>
      </c>
      <c r="E184" s="243" t="s">
        <v>434</v>
      </c>
      <c r="H184" s="243" t="s">
        <v>79</v>
      </c>
      <c r="I184" s="243" t="s">
        <v>47</v>
      </c>
      <c r="J184" s="243" t="s">
        <v>238</v>
      </c>
      <c r="M184" s="261">
        <v>1.8755285528826013</v>
      </c>
      <c r="N184" s="67">
        <v>0</v>
      </c>
      <c r="O184" s="67">
        <v>0</v>
      </c>
      <c r="P184" s="67">
        <v>0</v>
      </c>
      <c r="Q184" s="67">
        <v>0</v>
      </c>
      <c r="R184" s="67">
        <v>0</v>
      </c>
      <c r="S184" s="67">
        <v>0</v>
      </c>
      <c r="U184" s="67" t="s">
        <v>256</v>
      </c>
    </row>
    <row r="185" spans="4:21" ht="12.75" x14ac:dyDescent="0.2">
      <c r="D185" s="75" t="s">
        <v>423</v>
      </c>
      <c r="E185" s="243" t="s">
        <v>435</v>
      </c>
      <c r="H185" s="243" t="s">
        <v>79</v>
      </c>
      <c r="I185" s="243" t="s">
        <v>47</v>
      </c>
      <c r="J185" s="243" t="s">
        <v>238</v>
      </c>
      <c r="M185" s="261">
        <v>0</v>
      </c>
      <c r="N185" s="67">
        <v>159.17585652198795</v>
      </c>
      <c r="O185" s="67">
        <v>161.68800805695929</v>
      </c>
      <c r="P185" s="67">
        <v>148.07877716517135</v>
      </c>
      <c r="Q185" s="67">
        <v>137.58779297351958</v>
      </c>
      <c r="R185" s="67">
        <v>137.71671563603806</v>
      </c>
      <c r="S185" s="67">
        <v>138.4905349205045</v>
      </c>
      <c r="U185" s="67" t="s">
        <v>256</v>
      </c>
    </row>
    <row r="186" spans="4:21" ht="12.75" x14ac:dyDescent="0.2">
      <c r="D186" s="75" t="s">
        <v>423</v>
      </c>
      <c r="E186" s="243" t="s">
        <v>436</v>
      </c>
      <c r="H186" s="243" t="s">
        <v>79</v>
      </c>
      <c r="I186" s="243" t="s">
        <v>47</v>
      </c>
      <c r="J186" s="243" t="s">
        <v>238</v>
      </c>
      <c r="M186" s="261">
        <v>0</v>
      </c>
      <c r="N186" s="67">
        <v>0</v>
      </c>
      <c r="O186" s="67">
        <v>0</v>
      </c>
      <c r="P186" s="67">
        <v>0</v>
      </c>
      <c r="Q186" s="67">
        <v>0</v>
      </c>
      <c r="R186" s="67">
        <v>0</v>
      </c>
      <c r="S186" s="67">
        <v>0</v>
      </c>
      <c r="U186" s="67" t="s">
        <v>256</v>
      </c>
    </row>
    <row r="187" spans="4:21" ht="12.75" x14ac:dyDescent="0.2">
      <c r="D187" s="75" t="s">
        <v>423</v>
      </c>
      <c r="E187" s="243" t="s">
        <v>317</v>
      </c>
      <c r="H187" s="243" t="s">
        <v>79</v>
      </c>
      <c r="I187" s="243" t="s">
        <v>47</v>
      </c>
      <c r="J187" s="243" t="s">
        <v>238</v>
      </c>
      <c r="M187" s="261">
        <v>0</v>
      </c>
      <c r="N187" s="67">
        <v>0</v>
      </c>
      <c r="O187" s="67">
        <v>0</v>
      </c>
      <c r="P187" s="67">
        <v>0</v>
      </c>
      <c r="Q187" s="67">
        <v>0</v>
      </c>
      <c r="R187" s="67">
        <v>0</v>
      </c>
      <c r="S187" s="67">
        <v>0</v>
      </c>
      <c r="U187" s="67" t="s">
        <v>317</v>
      </c>
    </row>
    <row r="188" spans="4:21" ht="12.75" x14ac:dyDescent="0.2">
      <c r="D188" s="75" t="s">
        <v>437</v>
      </c>
      <c r="E188" s="243" t="s">
        <v>438</v>
      </c>
      <c r="H188" s="243" t="s">
        <v>79</v>
      </c>
      <c r="I188" s="243" t="s">
        <v>47</v>
      </c>
      <c r="J188" s="243" t="s">
        <v>238</v>
      </c>
      <c r="M188" s="261">
        <v>0</v>
      </c>
      <c r="N188" s="67">
        <v>0</v>
      </c>
      <c r="O188" s="67">
        <v>0</v>
      </c>
      <c r="P188" s="67">
        <v>0</v>
      </c>
      <c r="Q188" s="67">
        <v>0</v>
      </c>
      <c r="R188" s="67">
        <v>0</v>
      </c>
      <c r="S188" s="67">
        <v>0</v>
      </c>
      <c r="U188" s="67" t="s">
        <v>255</v>
      </c>
    </row>
    <row r="189" spans="4:21" ht="12.75" x14ac:dyDescent="0.2">
      <c r="D189" s="75" t="s">
        <v>437</v>
      </c>
      <c r="E189" s="243" t="s">
        <v>439</v>
      </c>
      <c r="H189" s="243" t="s">
        <v>79</v>
      </c>
      <c r="I189" s="243" t="s">
        <v>47</v>
      </c>
      <c r="J189" s="243" t="s">
        <v>238</v>
      </c>
      <c r="M189" s="261">
        <v>0</v>
      </c>
      <c r="N189" s="67">
        <v>0</v>
      </c>
      <c r="O189" s="67">
        <v>0</v>
      </c>
      <c r="P189" s="67">
        <v>0</v>
      </c>
      <c r="Q189" s="67">
        <v>0</v>
      </c>
      <c r="R189" s="67">
        <v>0</v>
      </c>
      <c r="S189" s="67">
        <v>0</v>
      </c>
      <c r="U189" s="67" t="s">
        <v>255</v>
      </c>
    </row>
    <row r="190" spans="4:21" ht="12.75" x14ac:dyDescent="0.2">
      <c r="D190" s="75" t="s">
        <v>437</v>
      </c>
      <c r="E190" s="243" t="s">
        <v>440</v>
      </c>
      <c r="H190" s="243" t="s">
        <v>79</v>
      </c>
      <c r="I190" s="243" t="s">
        <v>47</v>
      </c>
      <c r="J190" s="243" t="s">
        <v>238</v>
      </c>
      <c r="M190" s="261">
        <v>0</v>
      </c>
      <c r="N190" s="67">
        <v>0</v>
      </c>
      <c r="O190" s="67">
        <v>0</v>
      </c>
      <c r="P190" s="67">
        <v>0</v>
      </c>
      <c r="Q190" s="67">
        <v>0</v>
      </c>
      <c r="R190" s="67">
        <v>0</v>
      </c>
      <c r="S190" s="67">
        <v>0</v>
      </c>
      <c r="U190" s="67" t="s">
        <v>255</v>
      </c>
    </row>
    <row r="191" spans="4:21" ht="12.75" x14ac:dyDescent="0.2">
      <c r="D191" s="75" t="s">
        <v>437</v>
      </c>
      <c r="E191" s="243" t="s">
        <v>441</v>
      </c>
      <c r="H191" s="243" t="s">
        <v>79</v>
      </c>
      <c r="I191" s="243" t="s">
        <v>47</v>
      </c>
      <c r="J191" s="243" t="s">
        <v>238</v>
      </c>
      <c r="M191" s="261">
        <v>0</v>
      </c>
      <c r="N191" s="67">
        <v>0</v>
      </c>
      <c r="O191" s="67">
        <v>0</v>
      </c>
      <c r="P191" s="67">
        <v>0</v>
      </c>
      <c r="Q191" s="67">
        <v>0</v>
      </c>
      <c r="R191" s="67">
        <v>0</v>
      </c>
      <c r="S191" s="67">
        <v>0</v>
      </c>
      <c r="U191" s="67" t="s">
        <v>255</v>
      </c>
    </row>
    <row r="192" spans="4:21" ht="12.75" x14ac:dyDescent="0.2">
      <c r="D192" s="75" t="s">
        <v>437</v>
      </c>
      <c r="E192" s="243" t="s">
        <v>442</v>
      </c>
      <c r="H192" s="243" t="s">
        <v>79</v>
      </c>
      <c r="I192" s="243" t="s">
        <v>47</v>
      </c>
      <c r="J192" s="243" t="s">
        <v>238</v>
      </c>
      <c r="M192" s="261">
        <v>0</v>
      </c>
      <c r="N192" s="67">
        <v>0</v>
      </c>
      <c r="O192" s="67">
        <v>0</v>
      </c>
      <c r="P192" s="67">
        <v>0</v>
      </c>
      <c r="Q192" s="67">
        <v>0</v>
      </c>
      <c r="R192" s="67">
        <v>0</v>
      </c>
      <c r="S192" s="67">
        <v>0</v>
      </c>
      <c r="U192" s="67" t="s">
        <v>255</v>
      </c>
    </row>
    <row r="193" spans="4:21" ht="12.75" x14ac:dyDescent="0.2">
      <c r="D193" s="75" t="s">
        <v>437</v>
      </c>
      <c r="E193" s="243" t="s">
        <v>443</v>
      </c>
      <c r="H193" s="243" t="s">
        <v>79</v>
      </c>
      <c r="I193" s="243" t="s">
        <v>47</v>
      </c>
      <c r="J193" s="243" t="s">
        <v>238</v>
      </c>
      <c r="M193" s="261">
        <v>0</v>
      </c>
      <c r="N193" s="67">
        <v>0</v>
      </c>
      <c r="O193" s="67">
        <v>0</v>
      </c>
      <c r="P193" s="67">
        <v>0</v>
      </c>
      <c r="Q193" s="67">
        <v>0</v>
      </c>
      <c r="R193" s="67">
        <v>0</v>
      </c>
      <c r="S193" s="67">
        <v>0</v>
      </c>
      <c r="U193" s="67" t="s">
        <v>255</v>
      </c>
    </row>
    <row r="194" spans="4:21" ht="12.75" x14ac:dyDescent="0.2">
      <c r="D194" s="75" t="s">
        <v>437</v>
      </c>
      <c r="E194" s="243" t="s">
        <v>444</v>
      </c>
      <c r="H194" s="243" t="s">
        <v>79</v>
      </c>
      <c r="I194" s="243" t="s">
        <v>47</v>
      </c>
      <c r="J194" s="243" t="s">
        <v>238</v>
      </c>
      <c r="M194" s="261">
        <v>0</v>
      </c>
      <c r="N194" s="67">
        <v>0</v>
      </c>
      <c r="O194" s="67">
        <v>0</v>
      </c>
      <c r="P194" s="67">
        <v>0</v>
      </c>
      <c r="Q194" s="67">
        <v>0</v>
      </c>
      <c r="R194" s="67">
        <v>0</v>
      </c>
      <c r="S194" s="67">
        <v>0</v>
      </c>
      <c r="U194" s="67" t="s">
        <v>255</v>
      </c>
    </row>
    <row r="195" spans="4:21" ht="12.75" x14ac:dyDescent="0.2">
      <c r="D195" s="75" t="s">
        <v>437</v>
      </c>
      <c r="E195" s="243" t="s">
        <v>445</v>
      </c>
      <c r="H195" s="243" t="s">
        <v>79</v>
      </c>
      <c r="I195" s="243" t="s">
        <v>47</v>
      </c>
      <c r="J195" s="243" t="s">
        <v>238</v>
      </c>
      <c r="M195" s="261">
        <v>0</v>
      </c>
      <c r="N195" s="67">
        <v>0</v>
      </c>
      <c r="O195" s="67">
        <v>0</v>
      </c>
      <c r="P195" s="67">
        <v>0</v>
      </c>
      <c r="Q195" s="67">
        <v>0</v>
      </c>
      <c r="R195" s="67">
        <v>0</v>
      </c>
      <c r="S195" s="67">
        <v>0</v>
      </c>
      <c r="U195" s="67" t="s">
        <v>255</v>
      </c>
    </row>
    <row r="196" spans="4:21" ht="12.75" x14ac:dyDescent="0.2">
      <c r="D196" s="75" t="s">
        <v>437</v>
      </c>
      <c r="E196" s="243" t="s">
        <v>317</v>
      </c>
      <c r="H196" s="243" t="s">
        <v>79</v>
      </c>
      <c r="I196" s="243" t="s">
        <v>47</v>
      </c>
      <c r="J196" s="243" t="s">
        <v>238</v>
      </c>
      <c r="M196" s="261">
        <v>0</v>
      </c>
      <c r="N196" s="67">
        <v>0</v>
      </c>
      <c r="O196" s="67">
        <v>0</v>
      </c>
      <c r="P196" s="67">
        <v>0</v>
      </c>
      <c r="Q196" s="67">
        <v>0</v>
      </c>
      <c r="R196" s="67">
        <v>0</v>
      </c>
      <c r="S196" s="67">
        <v>0</v>
      </c>
      <c r="U196" s="67" t="s">
        <v>317</v>
      </c>
    </row>
    <row r="197" spans="4:21" ht="12.75" x14ac:dyDescent="0.2">
      <c r="D197" s="75" t="s">
        <v>446</v>
      </c>
      <c r="E197" s="243" t="s">
        <v>447</v>
      </c>
      <c r="H197" s="243" t="s">
        <v>79</v>
      </c>
      <c r="I197" s="243" t="s">
        <v>47</v>
      </c>
      <c r="J197" s="243" t="s">
        <v>238</v>
      </c>
      <c r="M197" s="261">
        <v>994.90790201045354</v>
      </c>
      <c r="N197" s="67">
        <v>0</v>
      </c>
      <c r="O197" s="67">
        <v>0</v>
      </c>
      <c r="P197" s="67">
        <v>0</v>
      </c>
      <c r="Q197" s="67">
        <v>0</v>
      </c>
      <c r="R197" s="67">
        <v>0</v>
      </c>
      <c r="S197" s="67">
        <v>0</v>
      </c>
      <c r="U197" s="67" t="s">
        <v>317</v>
      </c>
    </row>
    <row r="198" spans="4:21" ht="12.75" x14ac:dyDescent="0.2">
      <c r="D198" s="75" t="s">
        <v>446</v>
      </c>
      <c r="E198" s="243" t="s">
        <v>448</v>
      </c>
      <c r="H198" s="243" t="s">
        <v>79</v>
      </c>
      <c r="I198" s="243" t="s">
        <v>47</v>
      </c>
      <c r="J198" s="243" t="s">
        <v>238</v>
      </c>
      <c r="M198" s="261">
        <v>2464.4855963465334</v>
      </c>
      <c r="N198" s="67">
        <v>3120.3949195235973</v>
      </c>
      <c r="O198" s="67">
        <v>4390.1853838830884</v>
      </c>
      <c r="P198" s="67">
        <v>2623.4183299423062</v>
      </c>
      <c r="Q198" s="67">
        <v>167.95548628993711</v>
      </c>
      <c r="R198" s="67">
        <v>168.11286412127745</v>
      </c>
      <c r="S198" s="67">
        <v>169.05747694930724</v>
      </c>
      <c r="U198" s="67" t="s">
        <v>317</v>
      </c>
    </row>
    <row r="199" spans="4:21" ht="12.75" x14ac:dyDescent="0.2">
      <c r="D199" s="75" t="s">
        <v>446</v>
      </c>
      <c r="E199" s="243" t="s">
        <v>449</v>
      </c>
      <c r="H199" s="243" t="s">
        <v>79</v>
      </c>
      <c r="I199" s="243" t="s">
        <v>47</v>
      </c>
      <c r="J199" s="243" t="s">
        <v>238</v>
      </c>
      <c r="M199" s="261">
        <v>832.95303872925967</v>
      </c>
      <c r="N199" s="67">
        <v>180.9205847362617</v>
      </c>
      <c r="O199" s="67">
        <v>183.7759167858828</v>
      </c>
      <c r="P199" s="67">
        <v>168.30755327553501</v>
      </c>
      <c r="Q199" s="67">
        <v>156.38341455321358</v>
      </c>
      <c r="R199" s="67">
        <v>156.52994910938457</v>
      </c>
      <c r="S199" s="67">
        <v>157.40947845814932</v>
      </c>
      <c r="U199" s="67" t="s">
        <v>317</v>
      </c>
    </row>
    <row r="200" spans="4:21" ht="12.75" x14ac:dyDescent="0.2">
      <c r="D200" s="75" t="s">
        <v>446</v>
      </c>
      <c r="E200" s="243" t="s">
        <v>450</v>
      </c>
      <c r="H200" s="243" t="s">
        <v>79</v>
      </c>
      <c r="I200" s="243" t="s">
        <v>47</v>
      </c>
      <c r="J200" s="243" t="s">
        <v>238</v>
      </c>
      <c r="M200" s="261">
        <v>781.6738180012527</v>
      </c>
      <c r="N200" s="67">
        <v>1198.3407279615451</v>
      </c>
      <c r="O200" s="67">
        <v>1840.5166040079091</v>
      </c>
      <c r="P200" s="67">
        <v>1665.5302612525079</v>
      </c>
      <c r="Q200" s="67">
        <v>7.2470999390534585</v>
      </c>
      <c r="R200" s="67">
        <v>7.2538906244732022</v>
      </c>
      <c r="S200" s="67">
        <v>7.294649659617944</v>
      </c>
      <c r="U200" s="67" t="s">
        <v>317</v>
      </c>
    </row>
    <row r="201" spans="4:21" ht="12.75" x14ac:dyDescent="0.2">
      <c r="D201" s="75" t="s">
        <v>446</v>
      </c>
      <c r="E201" s="243" t="s">
        <v>451</v>
      </c>
      <c r="H201" s="243" t="s">
        <v>79</v>
      </c>
      <c r="I201" s="243" t="s">
        <v>47</v>
      </c>
      <c r="J201" s="243" t="s">
        <v>238</v>
      </c>
      <c r="M201" s="261">
        <v>38.375368084917781</v>
      </c>
      <c r="N201" s="67">
        <v>5670.0771014136872</v>
      </c>
      <c r="O201" s="67">
        <v>5083.4087737431655</v>
      </c>
      <c r="P201" s="67">
        <v>1838.7611350892782</v>
      </c>
      <c r="Q201" s="67">
        <v>3060.3367551607653</v>
      </c>
      <c r="R201" s="67">
        <v>2729.9171092889169</v>
      </c>
      <c r="S201" s="67">
        <v>2376.7152765718088</v>
      </c>
      <c r="U201" s="67" t="s">
        <v>317</v>
      </c>
    </row>
    <row r="202" spans="4:21" ht="12.75" x14ac:dyDescent="0.2">
      <c r="D202" s="75" t="s">
        <v>446</v>
      </c>
      <c r="E202" s="243" t="s">
        <v>452</v>
      </c>
      <c r="H202" s="243" t="s">
        <v>79</v>
      </c>
      <c r="I202" s="243" t="s">
        <v>47</v>
      </c>
      <c r="J202" s="243" t="s">
        <v>238</v>
      </c>
      <c r="M202" s="261">
        <v>2.0430829769153411</v>
      </c>
      <c r="N202" s="67">
        <v>1000.3214014144503</v>
      </c>
      <c r="O202" s="67">
        <v>1718.7470251599216</v>
      </c>
      <c r="P202" s="67">
        <v>1613.645733350947</v>
      </c>
      <c r="Q202" s="67">
        <v>1277.0329797301404</v>
      </c>
      <c r="R202" s="67">
        <v>1398.3797409747722</v>
      </c>
      <c r="S202" s="67">
        <v>1165.8640792542781</v>
      </c>
      <c r="U202" s="67" t="s">
        <v>317</v>
      </c>
    </row>
    <row r="203" spans="4:21" ht="12.75" x14ac:dyDescent="0.2">
      <c r="D203" s="75" t="s">
        <v>446</v>
      </c>
      <c r="E203" s="243" t="s">
        <v>453</v>
      </c>
      <c r="H203" s="243" t="s">
        <v>79</v>
      </c>
      <c r="I203" s="243" t="s">
        <v>47</v>
      </c>
      <c r="J203" s="243" t="s">
        <v>238</v>
      </c>
      <c r="M203" s="261">
        <v>0</v>
      </c>
      <c r="N203" s="67">
        <v>0</v>
      </c>
      <c r="O203" s="67">
        <v>0</v>
      </c>
      <c r="P203" s="67">
        <v>227.30920642189071</v>
      </c>
      <c r="Q203" s="67">
        <v>0</v>
      </c>
      <c r="R203" s="67">
        <v>229.26789294367654</v>
      </c>
      <c r="S203" s="67">
        <v>0</v>
      </c>
      <c r="U203" s="67" t="s">
        <v>317</v>
      </c>
    </row>
    <row r="204" spans="4:21" ht="12.75" x14ac:dyDescent="0.2">
      <c r="D204" s="75" t="s">
        <v>446</v>
      </c>
      <c r="E204" s="243" t="s">
        <v>317</v>
      </c>
      <c r="H204" s="243" t="s">
        <v>79</v>
      </c>
      <c r="I204" s="243" t="s">
        <v>47</v>
      </c>
      <c r="J204" s="243" t="s">
        <v>238</v>
      </c>
      <c r="M204" s="261">
        <v>0</v>
      </c>
      <c r="N204" s="67">
        <v>0</v>
      </c>
      <c r="O204" s="67">
        <v>0</v>
      </c>
      <c r="P204" s="67">
        <v>0</v>
      </c>
      <c r="Q204" s="67">
        <v>0</v>
      </c>
      <c r="R204" s="67">
        <v>0</v>
      </c>
      <c r="S204" s="67">
        <v>0</v>
      </c>
      <c r="U204" s="67" t="s">
        <v>317</v>
      </c>
    </row>
    <row r="205" spans="4:21" ht="12.75" x14ac:dyDescent="0.2">
      <c r="D205" s="75" t="s">
        <v>317</v>
      </c>
      <c r="E205" s="243" t="s">
        <v>317</v>
      </c>
      <c r="H205" s="243" t="s">
        <v>79</v>
      </c>
      <c r="I205" s="243" t="s">
        <v>47</v>
      </c>
      <c r="J205" s="243" t="s">
        <v>238</v>
      </c>
      <c r="M205" s="261"/>
      <c r="N205" s="67">
        <v>0</v>
      </c>
      <c r="O205" s="67">
        <v>0</v>
      </c>
      <c r="P205" s="67">
        <v>0</v>
      </c>
      <c r="Q205" s="67">
        <v>0</v>
      </c>
      <c r="R205" s="67">
        <v>0</v>
      </c>
      <c r="S205" s="67">
        <v>0</v>
      </c>
      <c r="U205" s="67" t="s">
        <v>317</v>
      </c>
    </row>
    <row r="206" spans="4:21" ht="12.75" x14ac:dyDescent="0.2">
      <c r="D206" s="75" t="s">
        <v>317</v>
      </c>
      <c r="E206" s="243" t="s">
        <v>454</v>
      </c>
      <c r="H206" s="243" t="s">
        <v>79</v>
      </c>
      <c r="I206" s="243" t="s">
        <v>47</v>
      </c>
      <c r="J206" s="243" t="s">
        <v>238</v>
      </c>
      <c r="M206" s="261">
        <v>101.65905254765741</v>
      </c>
      <c r="N206" s="67">
        <v>2035.6267293729984</v>
      </c>
      <c r="O206" s="67">
        <v>1536.9375906788573</v>
      </c>
      <c r="P206" s="67">
        <v>176.07402170366765</v>
      </c>
      <c r="Q206" s="67">
        <v>243.44695026174472</v>
      </c>
      <c r="R206" s="67">
        <v>15.369472135443402</v>
      </c>
      <c r="S206" s="67">
        <v>15.45583197836841</v>
      </c>
      <c r="U206" s="67" t="s">
        <v>317</v>
      </c>
    </row>
    <row r="207" spans="4:21" ht="12.75" x14ac:dyDescent="0.2">
      <c r="D207" s="75" t="s">
        <v>317</v>
      </c>
      <c r="E207" s="243" t="s">
        <v>455</v>
      </c>
      <c r="H207" s="243" t="s">
        <v>79</v>
      </c>
      <c r="I207" s="243" t="s">
        <v>47</v>
      </c>
      <c r="J207" s="243" t="s">
        <v>238</v>
      </c>
      <c r="M207" s="261">
        <v>189.54188845097138</v>
      </c>
      <c r="N207" s="67">
        <v>27.1464886590236</v>
      </c>
      <c r="O207" s="67">
        <v>27.57492105225171</v>
      </c>
      <c r="P207" s="67">
        <v>25.253948260684403</v>
      </c>
      <c r="Q207" s="67">
        <v>23.464773761464233</v>
      </c>
      <c r="R207" s="67">
        <v>23.486760749142004</v>
      </c>
      <c r="S207" s="67">
        <v>23.618730991921883</v>
      </c>
      <c r="U207" s="67" t="s">
        <v>317</v>
      </c>
    </row>
    <row r="208" spans="4:21" ht="12.75" x14ac:dyDescent="0.2">
      <c r="D208" s="75" t="s">
        <v>317</v>
      </c>
      <c r="E208" s="243" t="s">
        <v>456</v>
      </c>
      <c r="H208" s="243" t="s">
        <v>79</v>
      </c>
      <c r="I208" s="243" t="s">
        <v>47</v>
      </c>
      <c r="J208" s="243" t="s">
        <v>238</v>
      </c>
      <c r="M208" s="261">
        <v>23.084675646575189</v>
      </c>
      <c r="N208" s="67">
        <v>20.332008704677328</v>
      </c>
      <c r="O208" s="67">
        <v>20.65289334128332</v>
      </c>
      <c r="P208" s="67">
        <v>18.914545535266811</v>
      </c>
      <c r="Q208" s="67">
        <v>17.574500715870279</v>
      </c>
      <c r="R208" s="67">
        <v>17.59096839353089</v>
      </c>
      <c r="S208" s="67">
        <v>17.689810647446734</v>
      </c>
      <c r="U208" s="67" t="s">
        <v>317</v>
      </c>
    </row>
    <row r="209" spans="4:21" ht="12.75" x14ac:dyDescent="0.2">
      <c r="D209" s="75" t="s">
        <v>317</v>
      </c>
      <c r="E209" s="243" t="s">
        <v>457</v>
      </c>
      <c r="H209" s="243" t="s">
        <v>79</v>
      </c>
      <c r="I209" s="243" t="s">
        <v>47</v>
      </c>
      <c r="J209" s="243" t="s">
        <v>238</v>
      </c>
      <c r="M209" s="261">
        <v>1106.4569895611789</v>
      </c>
      <c r="N209" s="67">
        <v>0</v>
      </c>
      <c r="O209" s="67">
        <v>671.46452445245757</v>
      </c>
      <c r="P209" s="67">
        <v>678.8382132278</v>
      </c>
      <c r="Q209" s="67">
        <v>682.44471843854456</v>
      </c>
      <c r="R209" s="67">
        <v>684.68765188297994</v>
      </c>
      <c r="S209" s="67">
        <v>688.53485740495398</v>
      </c>
      <c r="U209" s="67" t="s">
        <v>317</v>
      </c>
    </row>
    <row r="210" spans="4:21" ht="12.75" x14ac:dyDescent="0.2">
      <c r="D210" s="75" t="s">
        <v>317</v>
      </c>
      <c r="E210" s="243" t="s">
        <v>458</v>
      </c>
      <c r="H210" s="243" t="s">
        <v>79</v>
      </c>
      <c r="I210" s="243" t="s">
        <v>47</v>
      </c>
      <c r="J210" s="243" t="s">
        <v>238</v>
      </c>
      <c r="M210" s="261">
        <v>365.88913625843554</v>
      </c>
      <c r="N210" s="67">
        <v>621.88788648627315</v>
      </c>
      <c r="O210" s="67">
        <v>1421.5552948217717</v>
      </c>
      <c r="P210" s="67">
        <v>709.1067996191166</v>
      </c>
      <c r="Q210" s="67">
        <v>85.0916377732798</v>
      </c>
      <c r="R210" s="67">
        <v>172.47752775236103</v>
      </c>
      <c r="S210" s="67">
        <v>117.15855871801652</v>
      </c>
      <c r="U210" s="67" t="s">
        <v>317</v>
      </c>
    </row>
    <row r="211" spans="4:21" ht="12.75" x14ac:dyDescent="0.2">
      <c r="D211" s="75" t="s">
        <v>317</v>
      </c>
      <c r="E211" s="243" t="s">
        <v>459</v>
      </c>
      <c r="H211" s="243" t="s">
        <v>79</v>
      </c>
      <c r="I211" s="243" t="s">
        <v>47</v>
      </c>
      <c r="J211" s="243" t="s">
        <v>238</v>
      </c>
      <c r="M211" s="261">
        <v>0</v>
      </c>
      <c r="N211" s="67">
        <v>0</v>
      </c>
      <c r="O211" s="67">
        <v>0</v>
      </c>
      <c r="P211" s="67">
        <v>0</v>
      </c>
      <c r="Q211" s="67">
        <v>0</v>
      </c>
      <c r="R211" s="67">
        <v>0</v>
      </c>
      <c r="S211" s="67">
        <v>0</v>
      </c>
      <c r="U211" s="67" t="s">
        <v>317</v>
      </c>
    </row>
    <row r="212" spans="4:21" ht="12.75" x14ac:dyDescent="0.2">
      <c r="D212" s="75" t="s">
        <v>317</v>
      </c>
      <c r="E212" s="243" t="s">
        <v>460</v>
      </c>
      <c r="H212" s="243" t="s">
        <v>79</v>
      </c>
      <c r="I212" s="243" t="s">
        <v>47</v>
      </c>
      <c r="J212" s="243" t="s">
        <v>238</v>
      </c>
      <c r="M212" s="261">
        <v>125.90796119218912</v>
      </c>
      <c r="N212" s="67">
        <v>3000.6459619853763</v>
      </c>
      <c r="O212" s="67">
        <v>3659.0774020222671</v>
      </c>
      <c r="P212" s="67">
        <v>1721.9808186428604</v>
      </c>
      <c r="Q212" s="67">
        <v>272.99535963549562</v>
      </c>
      <c r="R212" s="67">
        <v>419.96863867140382</v>
      </c>
      <c r="S212" s="67">
        <v>502.66261733883528</v>
      </c>
      <c r="U212" s="67" t="s">
        <v>317</v>
      </c>
    </row>
    <row r="213" spans="4:21" ht="12.75" x14ac:dyDescent="0.2">
      <c r="D213" s="75" t="s">
        <v>317</v>
      </c>
      <c r="E213" s="243" t="s">
        <v>461</v>
      </c>
      <c r="H213" s="243" t="s">
        <v>79</v>
      </c>
      <c r="I213" s="243" t="s">
        <v>47</v>
      </c>
      <c r="J213" s="243" t="s">
        <v>238</v>
      </c>
      <c r="M213" s="261">
        <v>697.7906683490429</v>
      </c>
      <c r="N213" s="67">
        <v>0</v>
      </c>
      <c r="O213" s="67">
        <v>271.65601571323407</v>
      </c>
      <c r="P213" s="67">
        <v>370.79133607224713</v>
      </c>
      <c r="Q213" s="67">
        <v>353.61600948132457</v>
      </c>
      <c r="R213" s="67">
        <v>0</v>
      </c>
      <c r="S213" s="67">
        <v>106.49212826776315</v>
      </c>
      <c r="U213" s="67" t="s">
        <v>317</v>
      </c>
    </row>
    <row r="214" spans="4:21" ht="12.75" x14ac:dyDescent="0.2">
      <c r="D214" s="75" t="s">
        <v>317</v>
      </c>
      <c r="E214" s="243" t="s">
        <v>462</v>
      </c>
      <c r="H214" s="243" t="s">
        <v>79</v>
      </c>
      <c r="I214" s="243" t="s">
        <v>47</v>
      </c>
      <c r="J214" s="243" t="s">
        <v>238</v>
      </c>
      <c r="M214" s="261">
        <v>20.645948029685766</v>
      </c>
      <c r="N214" s="67">
        <v>0</v>
      </c>
      <c r="O214" s="67">
        <v>0</v>
      </c>
      <c r="P214" s="67">
        <v>0</v>
      </c>
      <c r="Q214" s="67">
        <v>0</v>
      </c>
      <c r="R214" s="67">
        <v>0</v>
      </c>
      <c r="S214" s="67">
        <v>0</v>
      </c>
      <c r="U214" s="67" t="s">
        <v>317</v>
      </c>
    </row>
    <row r="215" spans="4:21" ht="12.75" x14ac:dyDescent="0.2">
      <c r="D215" s="75" t="s">
        <v>317</v>
      </c>
      <c r="E215" s="243" t="s">
        <v>463</v>
      </c>
      <c r="H215" s="243" t="s">
        <v>79</v>
      </c>
      <c r="I215" s="243" t="s">
        <v>47</v>
      </c>
      <c r="J215" s="243" t="s">
        <v>238</v>
      </c>
      <c r="M215" s="261">
        <v>0</v>
      </c>
      <c r="N215" s="67">
        <v>0</v>
      </c>
      <c r="O215" s="67">
        <v>149.06650383010393</v>
      </c>
      <c r="P215" s="67">
        <v>440.51785843638447</v>
      </c>
      <c r="Q215" s="67">
        <v>151.50412945182538</v>
      </c>
      <c r="R215" s="67">
        <v>152.00206528418857</v>
      </c>
      <c r="S215" s="67">
        <v>152.85615281345036</v>
      </c>
      <c r="U215" s="67" t="s">
        <v>317</v>
      </c>
    </row>
    <row r="216" spans="4:21" ht="12.75" x14ac:dyDescent="0.2">
      <c r="D216" s="75" t="s">
        <v>317</v>
      </c>
      <c r="E216" s="243" t="s">
        <v>464</v>
      </c>
      <c r="H216" s="243" t="s">
        <v>79</v>
      </c>
      <c r="I216" s="243" t="s">
        <v>47</v>
      </c>
      <c r="J216" s="243" t="s">
        <v>238</v>
      </c>
      <c r="M216" s="261">
        <v>0</v>
      </c>
      <c r="N216" s="67">
        <v>0</v>
      </c>
      <c r="O216" s="67">
        <v>0</v>
      </c>
      <c r="P216" s="67">
        <v>0</v>
      </c>
      <c r="Q216" s="67">
        <v>0</v>
      </c>
      <c r="R216" s="67">
        <v>0</v>
      </c>
      <c r="S216" s="67">
        <v>0</v>
      </c>
      <c r="U216" s="67" t="s">
        <v>317</v>
      </c>
    </row>
    <row r="217" spans="4:21" ht="12.75" x14ac:dyDescent="0.2">
      <c r="D217" s="75" t="s">
        <v>317</v>
      </c>
      <c r="E217" s="243" t="s">
        <v>465</v>
      </c>
      <c r="H217" s="243" t="s">
        <v>79</v>
      </c>
      <c r="I217" s="243" t="s">
        <v>47</v>
      </c>
      <c r="J217" s="243" t="s">
        <v>238</v>
      </c>
      <c r="M217" s="261">
        <v>0</v>
      </c>
      <c r="N217" s="67">
        <v>0</v>
      </c>
      <c r="O217" s="67">
        <v>0</v>
      </c>
      <c r="P217" s="67">
        <v>0</v>
      </c>
      <c r="Q217" s="67">
        <v>0</v>
      </c>
      <c r="R217" s="67">
        <v>0</v>
      </c>
      <c r="S217" s="67">
        <v>0</v>
      </c>
      <c r="U217" s="67" t="s">
        <v>317</v>
      </c>
    </row>
    <row r="218" spans="4:21" ht="12.75" x14ac:dyDescent="0.2">
      <c r="D218" s="75" t="s">
        <v>317</v>
      </c>
      <c r="E218" s="243" t="s">
        <v>466</v>
      </c>
      <c r="H218" s="243" t="s">
        <v>79</v>
      </c>
      <c r="I218" s="243" t="s">
        <v>47</v>
      </c>
      <c r="J218" s="243" t="s">
        <v>238</v>
      </c>
      <c r="M218" s="261">
        <v>4570.8900925945572</v>
      </c>
      <c r="N218" s="67">
        <v>3085.1980695890397</v>
      </c>
      <c r="O218" s="67">
        <v>2030.9063857913004</v>
      </c>
      <c r="P218" s="67">
        <v>2053.2087875941234</v>
      </c>
      <c r="Q218" s="67">
        <v>2064.11699524495</v>
      </c>
      <c r="R218" s="67">
        <v>2070.9009543214529</v>
      </c>
      <c r="S218" s="67">
        <v>2082.5371822642469</v>
      </c>
      <c r="U218" s="67" t="s">
        <v>317</v>
      </c>
    </row>
    <row r="219" spans="4:21" ht="12.75" x14ac:dyDescent="0.2">
      <c r="D219" s="75" t="s">
        <v>317</v>
      </c>
      <c r="E219" s="243" t="s">
        <v>467</v>
      </c>
      <c r="H219" s="243" t="s">
        <v>79</v>
      </c>
      <c r="I219" s="243" t="s">
        <v>47</v>
      </c>
      <c r="J219" s="243" t="s">
        <v>238</v>
      </c>
      <c r="M219" s="261">
        <v>283.01888012441066</v>
      </c>
      <c r="N219" s="67">
        <v>0</v>
      </c>
      <c r="O219" s="67">
        <v>0</v>
      </c>
      <c r="P219" s="67">
        <v>0</v>
      </c>
      <c r="Q219" s="67">
        <v>0</v>
      </c>
      <c r="R219" s="67">
        <v>0</v>
      </c>
      <c r="S219" s="67">
        <v>0</v>
      </c>
      <c r="U219" s="67" t="s">
        <v>317</v>
      </c>
    </row>
    <row r="220" spans="4:21" ht="12.75" x14ac:dyDescent="0.2">
      <c r="D220" s="75" t="s">
        <v>317</v>
      </c>
      <c r="E220" s="243" t="s">
        <v>468</v>
      </c>
      <c r="H220" s="243" t="s">
        <v>79</v>
      </c>
      <c r="I220" s="243" t="s">
        <v>47</v>
      </c>
      <c r="J220" s="243" t="s">
        <v>238</v>
      </c>
      <c r="M220" s="261">
        <v>0</v>
      </c>
      <c r="N220" s="67">
        <v>0</v>
      </c>
      <c r="O220" s="67">
        <v>0</v>
      </c>
      <c r="P220" s="67">
        <v>0</v>
      </c>
      <c r="Q220" s="67">
        <v>0</v>
      </c>
      <c r="R220" s="67">
        <v>0</v>
      </c>
      <c r="S220" s="67">
        <v>0</v>
      </c>
      <c r="U220" s="67" t="s">
        <v>317</v>
      </c>
    </row>
    <row r="221" spans="4:21" ht="12.75" x14ac:dyDescent="0.2">
      <c r="D221" s="75" t="s">
        <v>317</v>
      </c>
      <c r="E221" s="243" t="s">
        <v>469</v>
      </c>
      <c r="H221" s="243" t="s">
        <v>79</v>
      </c>
      <c r="I221" s="243" t="s">
        <v>47</v>
      </c>
      <c r="J221" s="243" t="s">
        <v>238</v>
      </c>
      <c r="M221" s="261">
        <v>0</v>
      </c>
      <c r="N221" s="67">
        <v>0</v>
      </c>
      <c r="O221" s="67">
        <v>0</v>
      </c>
      <c r="P221" s="67">
        <v>0</v>
      </c>
      <c r="Q221" s="67">
        <v>0</v>
      </c>
      <c r="R221" s="67">
        <v>0</v>
      </c>
      <c r="S221" s="67">
        <v>0</v>
      </c>
      <c r="U221" s="67" t="s">
        <v>317</v>
      </c>
    </row>
    <row r="222" spans="4:21" ht="11.25" customHeight="1" x14ac:dyDescent="0.2"/>
    <row r="223" spans="4:21" ht="11.25" customHeight="1" x14ac:dyDescent="0.2">
      <c r="D223" s="62" t="s">
        <v>51</v>
      </c>
      <c r="H223" s="56" t="s">
        <v>52</v>
      </c>
      <c r="I223" s="56" t="s">
        <v>47</v>
      </c>
      <c r="J223" s="56" t="s">
        <v>238</v>
      </c>
      <c r="M223" s="68">
        <f t="shared" ref="M223:S223" si="5">SUM(M80:M221)</f>
        <v>32775.337099988465</v>
      </c>
      <c r="N223" s="68">
        <f t="shared" si="5"/>
        <v>47541.407359174991</v>
      </c>
      <c r="O223" s="68">
        <f t="shared" si="5"/>
        <v>47509.401939582145</v>
      </c>
      <c r="P223" s="68">
        <f t="shared" si="5"/>
        <v>44023.794146622422</v>
      </c>
      <c r="Q223" s="68">
        <f t="shared" si="5"/>
        <v>30431.118927909771</v>
      </c>
      <c r="R223" s="68">
        <f t="shared" si="5"/>
        <v>27450.230710457559</v>
      </c>
      <c r="S223" s="68">
        <f t="shared" si="5"/>
        <v>27213.012894361549</v>
      </c>
    </row>
    <row r="224" spans="4:21" ht="11.25" customHeight="1" x14ac:dyDescent="0.2"/>
    <row r="225" spans="2:16" ht="11.25" customHeight="1" x14ac:dyDescent="0.2"/>
    <row r="226" spans="2:16" ht="11.25" customHeight="1" x14ac:dyDescent="0.2"/>
    <row r="227" spans="2:16" s="2" customFormat="1" ht="15.75" x14ac:dyDescent="0.2">
      <c r="B227" s="2" t="s">
        <v>76</v>
      </c>
    </row>
    <row r="228" spans="2:16" ht="11.25" customHeight="1" x14ac:dyDescent="0.2"/>
    <row r="229" spans="2:16" ht="11.25" customHeight="1" x14ac:dyDescent="0.2">
      <c r="D229" s="105" t="s">
        <v>335</v>
      </c>
    </row>
    <row r="230" spans="2:16" ht="11.25" customHeight="1" x14ac:dyDescent="0.2"/>
    <row r="231" spans="2:16" s="8" customFormat="1" ht="15" x14ac:dyDescent="0.2">
      <c r="C231" s="8" t="s">
        <v>680</v>
      </c>
    </row>
    <row r="232" spans="2:16" ht="11.25" customHeight="1" x14ac:dyDescent="0.2"/>
    <row r="233" spans="2:16" ht="63.75" x14ac:dyDescent="0.2">
      <c r="D233" s="70" t="s">
        <v>254</v>
      </c>
      <c r="H233" s="54" t="str">
        <f>Lookup!E$19</f>
        <v>Source</v>
      </c>
      <c r="I233" s="54" t="str">
        <f>Lookup!F$19</f>
        <v>Unit</v>
      </c>
      <c r="J233" s="54" t="str">
        <f>Lookup!G$19</f>
        <v>Basis</v>
      </c>
      <c r="M233" s="61" t="s">
        <v>659</v>
      </c>
      <c r="O233" s="61" t="s">
        <v>660</v>
      </c>
    </row>
    <row r="234" spans="2:16" ht="11.25" customHeight="1" x14ac:dyDescent="0.2"/>
    <row r="235" spans="2:16" ht="12.75" x14ac:dyDescent="0.2">
      <c r="D235" s="75" t="s">
        <v>256</v>
      </c>
      <c r="H235" s="243" t="s">
        <v>662</v>
      </c>
      <c r="I235" s="243" t="s">
        <v>43</v>
      </c>
      <c r="J235" s="243" t="s">
        <v>21</v>
      </c>
      <c r="M235" s="94">
        <v>0</v>
      </c>
      <c r="O235" s="94">
        <v>1.8333333333333313E-2</v>
      </c>
      <c r="P235" s="107" t="s">
        <v>661</v>
      </c>
    </row>
    <row r="236" spans="2:16" ht="12.75" x14ac:dyDescent="0.2">
      <c r="D236" s="75" t="s">
        <v>69</v>
      </c>
      <c r="H236" s="243" t="s">
        <v>662</v>
      </c>
      <c r="I236" s="243" t="s">
        <v>43</v>
      </c>
      <c r="J236" s="243" t="s">
        <v>21</v>
      </c>
      <c r="M236" s="94">
        <v>0.2942865015344564</v>
      </c>
      <c r="O236" s="94">
        <v>4.8666666666666636E-2</v>
      </c>
    </row>
    <row r="237" spans="2:16" ht="12.75" x14ac:dyDescent="0.2">
      <c r="D237" s="75" t="s">
        <v>255</v>
      </c>
      <c r="H237" s="243" t="s">
        <v>662</v>
      </c>
      <c r="I237" s="243" t="s">
        <v>43</v>
      </c>
      <c r="J237" s="243" t="s">
        <v>21</v>
      </c>
      <c r="M237" s="94">
        <v>0.70571349846554365</v>
      </c>
      <c r="O237" s="94">
        <v>0.1206666666666667</v>
      </c>
    </row>
    <row r="238" spans="2:16" ht="11.25" customHeight="1" x14ac:dyDescent="0.2"/>
    <row r="239" spans="2:16" ht="11.25" customHeight="1" x14ac:dyDescent="0.2"/>
    <row r="240" spans="2:16" s="8" customFormat="1" ht="15" x14ac:dyDescent="0.2">
      <c r="C240" s="8" t="s">
        <v>682</v>
      </c>
    </row>
    <row r="241" spans="2:21" ht="11.25" customHeight="1" x14ac:dyDescent="0.2"/>
    <row r="242" spans="2:21" ht="11.25" customHeight="1" x14ac:dyDescent="0.2">
      <c r="D242" s="70" t="s">
        <v>826</v>
      </c>
      <c r="H242" s="54" t="str">
        <f>Lookup!E$19</f>
        <v>Source</v>
      </c>
      <c r="I242" s="54" t="str">
        <f>Lookup!F$19</f>
        <v>Unit</v>
      </c>
      <c r="J242" s="54" t="str">
        <f>Lookup!G$19</f>
        <v>Basis</v>
      </c>
      <c r="L242" s="54" t="str">
        <f t="shared" ref="L242:U242" si="6">L$9</f>
        <v>FY22</v>
      </c>
      <c r="M242" s="54" t="str">
        <f t="shared" si="6"/>
        <v>FY23</v>
      </c>
      <c r="N242" s="54" t="str">
        <f t="shared" si="6"/>
        <v>FY24</v>
      </c>
      <c r="O242" s="54" t="str">
        <f t="shared" si="6"/>
        <v>FY25</v>
      </c>
      <c r="P242" s="54" t="str">
        <f t="shared" si="6"/>
        <v>FY26</v>
      </c>
      <c r="Q242" s="54" t="str">
        <f t="shared" si="6"/>
        <v>FY27</v>
      </c>
      <c r="R242" s="54" t="str">
        <f t="shared" si="6"/>
        <v>FY28</v>
      </c>
      <c r="S242" s="54" t="str">
        <f t="shared" si="6"/>
        <v>FY29</v>
      </c>
      <c r="T242" s="54" t="str">
        <f t="shared" si="6"/>
        <v>FY30</v>
      </c>
      <c r="U242" s="54" t="str">
        <f t="shared" si="6"/>
        <v>FY31</v>
      </c>
    </row>
    <row r="243" spans="2:21" x14ac:dyDescent="0.2">
      <c r="L243" s="146" t="s">
        <v>35</v>
      </c>
      <c r="M243" s="146" t="s">
        <v>219</v>
      </c>
      <c r="N243" s="146" t="s">
        <v>219</v>
      </c>
      <c r="O243" s="146" t="s">
        <v>219</v>
      </c>
      <c r="P243" s="146" t="s">
        <v>219</v>
      </c>
      <c r="Q243" s="146" t="s">
        <v>219</v>
      </c>
      <c r="R243" s="146" t="s">
        <v>219</v>
      </c>
      <c r="S243" s="146" t="s">
        <v>219</v>
      </c>
      <c r="T243" s="146" t="s">
        <v>219</v>
      </c>
      <c r="U243" s="146" t="s">
        <v>219</v>
      </c>
    </row>
    <row r="244" spans="2:21" ht="11.25" customHeight="1" x14ac:dyDescent="0.2"/>
    <row r="245" spans="2:21" ht="12.75" x14ac:dyDescent="0.2">
      <c r="D245" s="75" t="s">
        <v>656</v>
      </c>
      <c r="H245" s="243" t="s">
        <v>653</v>
      </c>
      <c r="I245" s="243" t="s">
        <v>262</v>
      </c>
      <c r="J245" s="243" t="s">
        <v>21</v>
      </c>
      <c r="L245" s="74">
        <v>284.62</v>
      </c>
      <c r="M245" s="74">
        <v>293.67913880911885</v>
      </c>
      <c r="N245" s="74">
        <v>306.2915359323365</v>
      </c>
      <c r="O245" s="74">
        <v>313.20647781465283</v>
      </c>
      <c r="P245" s="74">
        <v>325.0194109932587</v>
      </c>
      <c r="Q245" s="74">
        <v>335.47714082506042</v>
      </c>
      <c r="R245" s="74">
        <v>342.91835138221984</v>
      </c>
      <c r="S245" s="74">
        <v>348.96364535964437</v>
      </c>
      <c r="T245" s="74">
        <v>355.46422555946214</v>
      </c>
      <c r="U245" s="74">
        <v>362.15114342121058</v>
      </c>
    </row>
    <row r="246" spans="2:21" ht="12.75" x14ac:dyDescent="0.2">
      <c r="D246" s="75" t="s">
        <v>657</v>
      </c>
      <c r="H246" s="243" t="s">
        <v>653</v>
      </c>
      <c r="I246" s="243" t="s">
        <v>262</v>
      </c>
      <c r="J246" s="243" t="s">
        <v>21</v>
      </c>
      <c r="L246" s="74">
        <v>48.8</v>
      </c>
      <c r="M246" s="74">
        <v>51.357144677341189</v>
      </c>
      <c r="N246" s="74">
        <v>55.159462935527323</v>
      </c>
      <c r="O246" s="74">
        <v>58.710643873744132</v>
      </c>
      <c r="P246" s="74">
        <v>59.82434172705176</v>
      </c>
      <c r="Q246" s="74">
        <v>60.506160066914589</v>
      </c>
      <c r="R246" s="74">
        <v>61.194682506742353</v>
      </c>
      <c r="S246" s="74">
        <v>61.894324097071262</v>
      </c>
      <c r="T246" s="74">
        <v>62.62198406029151</v>
      </c>
      <c r="U246" s="74">
        <v>63.387718721397164</v>
      </c>
    </row>
    <row r="247" spans="2:21" ht="12.75" x14ac:dyDescent="0.2">
      <c r="D247" s="75" t="s">
        <v>658</v>
      </c>
      <c r="H247" s="243" t="s">
        <v>653</v>
      </c>
      <c r="I247" s="243" t="s">
        <v>262</v>
      </c>
      <c r="J247" s="243" t="s">
        <v>21</v>
      </c>
      <c r="L247" s="74">
        <v>6.393949645200296</v>
      </c>
      <c r="M247" s="74">
        <v>6.5159800478183145</v>
      </c>
      <c r="N247" s="74">
        <v>6.5484910287873648</v>
      </c>
      <c r="O247" s="74">
        <v>6.5840597815032913</v>
      </c>
      <c r="P247" s="74">
        <v>6.6228183627704009</v>
      </c>
      <c r="Q247" s="74">
        <v>6.6717828457369199</v>
      </c>
      <c r="R247" s="74">
        <v>6.7220621959434768</v>
      </c>
      <c r="S247" s="74">
        <v>6.7755389138029249</v>
      </c>
      <c r="T247" s="74">
        <v>6.8280918734319016</v>
      </c>
      <c r="U247" s="74">
        <v>6.8899916505436343</v>
      </c>
    </row>
    <row r="248" spans="2:21" ht="12.75" x14ac:dyDescent="0.2">
      <c r="D248" s="75"/>
    </row>
    <row r="249" spans="2:21" ht="11.25" customHeight="1" x14ac:dyDescent="0.2">
      <c r="D249" s="62" t="s">
        <v>51</v>
      </c>
      <c r="H249" s="56" t="s">
        <v>52</v>
      </c>
      <c r="I249" s="56" t="s">
        <v>262</v>
      </c>
      <c r="J249" s="56" t="s">
        <v>21</v>
      </c>
      <c r="L249" s="236">
        <f t="shared" ref="L249:U249" si="7">SUM(L245:L247)</f>
        <v>339.8139496452003</v>
      </c>
      <c r="M249" s="236">
        <f t="shared" si="7"/>
        <v>351.55226353427832</v>
      </c>
      <c r="N249" s="236">
        <f t="shared" si="7"/>
        <v>367.99948989665114</v>
      </c>
      <c r="O249" s="236">
        <f t="shared" si="7"/>
        <v>378.50118146990025</v>
      </c>
      <c r="P249" s="236">
        <f t="shared" si="7"/>
        <v>391.46657108308085</v>
      </c>
      <c r="Q249" s="236">
        <f t="shared" si="7"/>
        <v>402.65508373771189</v>
      </c>
      <c r="R249" s="236">
        <f t="shared" si="7"/>
        <v>410.83509608490567</v>
      </c>
      <c r="S249" s="236">
        <f t="shared" si="7"/>
        <v>417.63350837051854</v>
      </c>
      <c r="T249" s="236">
        <f t="shared" si="7"/>
        <v>424.91430149318552</v>
      </c>
      <c r="U249" s="236">
        <f t="shared" si="7"/>
        <v>432.42885379315135</v>
      </c>
    </row>
    <row r="250" spans="2:21" ht="11.25" customHeight="1" x14ac:dyDescent="0.2"/>
    <row r="251" spans="2:21" ht="11.25" customHeight="1" x14ac:dyDescent="0.2"/>
    <row r="252" spans="2:21" s="2" customFormat="1" ht="15.75" x14ac:dyDescent="0.2">
      <c r="B252" s="2" t="s">
        <v>20</v>
      </c>
    </row>
  </sheetData>
  <conditionalFormatting sqref="B2">
    <cfRule type="cellIs" dxfId="29" priority="5" operator="notEqual">
      <formula>"No Errors Found"</formula>
    </cfRule>
  </conditionalFormatting>
  <dataValidations count="3">
    <dataValidation type="list" allowBlank="1" showInputMessage="1" showErrorMessage="1" sqref="I73 I65:I71 I49:I57 I59 I80:I221 I223 I40:I42 I25:I27 I249 I245:I247 I235:I237" xr:uid="{00000000-0002-0000-0400-000000000000}">
      <formula1>LU_Units</formula1>
    </dataValidation>
    <dataValidation type="list" allowBlank="1" showInputMessage="1" showErrorMessage="1" sqref="J73 J65:J71 J49:J57 J59 J80:J221 J223 J40:J42 J25:J27 J249 J245:J247 J235:J237" xr:uid="{00000000-0002-0000-0400-000001000000}">
      <formula1>LU_Basis</formula1>
    </dataValidation>
    <dataValidation type="list" allowBlank="1" showInputMessage="1" showErrorMessage="1" sqref="L243:U243" xr:uid="{00000000-0002-0000-0400-000002000000}">
      <formula1>LU_Revenue_Input</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59999389629810485"/>
  </sheetPr>
  <dimension ref="A1:AB103"/>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1640625" customWidth="1"/>
    <col min="2" max="3" width="2.83203125" customWidth="1"/>
    <col min="4" max="4" width="36.1640625" customWidth="1"/>
    <col min="5" max="5" width="20.6640625" bestFit="1" customWidth="1"/>
    <col min="6" max="6" width="14.6640625" bestFit="1" customWidth="1"/>
    <col min="7" max="7" width="2.33203125" customWidth="1"/>
    <col min="8" max="8" width="12.1640625" bestFit="1" customWidth="1"/>
    <col min="9" max="9" width="10.83203125" customWidth="1"/>
    <col min="10" max="11" width="12.83203125" customWidth="1"/>
    <col min="12" max="12" width="2.33203125" customWidth="1"/>
    <col min="13" max="13" width="14.1640625" bestFit="1" customWidth="1"/>
    <col min="14" max="14" width="14.33203125" bestFit="1" customWidth="1"/>
    <col min="15" max="15" width="4.1640625" customWidth="1"/>
    <col min="16" max="17" width="18.1640625" bestFit="1" customWidth="1"/>
    <col min="18" max="18" width="4.1640625" customWidth="1"/>
    <col min="19" max="20" width="16.6640625" customWidth="1"/>
    <col min="21" max="21" width="4.1640625" customWidth="1"/>
    <col min="22" max="22" width="82" bestFit="1" customWidth="1"/>
    <col min="23" max="23" width="4" customWidth="1"/>
    <col min="24" max="24" width="70" customWidth="1"/>
    <col min="25" max="25" width="4" customWidth="1"/>
    <col min="26" max="26" width="57.1640625" bestFit="1" customWidth="1"/>
    <col min="27" max="27" width="4" customWidth="1"/>
    <col min="28" max="28" width="75.33203125" bestFit="1" customWidth="1"/>
  </cols>
  <sheetData>
    <row r="1" spans="1:22" ht="19.5" x14ac:dyDescent="0.2">
      <c r="A1" s="59">
        <f>IF(SUM($A10:$A103)&gt;0,1,0)</f>
        <v>0</v>
      </c>
      <c r="B1" s="3" t="s">
        <v>536</v>
      </c>
      <c r="M1" s="259" t="s">
        <v>809</v>
      </c>
      <c r="N1" s="286"/>
      <c r="O1" s="286"/>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row>
    <row r="6" spans="1:22" ht="12.75" hidden="1" outlineLevel="1" x14ac:dyDescent="0.2">
      <c r="B6" s="10"/>
      <c r="J6" s="51"/>
      <c r="K6" s="51"/>
      <c r="L6" s="51"/>
    </row>
    <row r="7" spans="1:22" ht="12.75" hidden="1" outlineLevel="1" x14ac:dyDescent="0.2">
      <c r="B7" s="10"/>
      <c r="J7" s="52"/>
      <c r="K7" s="52"/>
      <c r="L7" s="52"/>
    </row>
    <row r="8" spans="1:22" ht="12.75" hidden="1" outlineLevel="1" x14ac:dyDescent="0.2">
      <c r="B8" s="10"/>
      <c r="J8" s="53"/>
      <c r="K8" s="53"/>
      <c r="L8" s="53"/>
    </row>
    <row r="9" spans="1:22" ht="12.75" collapsed="1" x14ac:dyDescent="0.2">
      <c r="B9" s="5" t="str">
        <f>Lookup!B19</f>
        <v>FY</v>
      </c>
      <c r="D9" s="244" t="s">
        <v>118</v>
      </c>
      <c r="E9" s="50" t="s">
        <v>61</v>
      </c>
      <c r="F9" s="50" t="s">
        <v>62</v>
      </c>
      <c r="H9" s="50" t="str">
        <f>Lookup!E19</f>
        <v>Source</v>
      </c>
      <c r="I9" s="50" t="str">
        <f>Lookup!F19</f>
        <v>Unit</v>
      </c>
      <c r="J9" s="50" t="str">
        <f>Lookup!G19</f>
        <v>Basis</v>
      </c>
      <c r="K9" s="50"/>
      <c r="L9" s="50"/>
      <c r="V9" s="60"/>
    </row>
    <row r="11" spans="1:22" s="2" customFormat="1" ht="15.75" x14ac:dyDescent="0.2">
      <c r="B11" s="2" t="s">
        <v>683</v>
      </c>
    </row>
    <row r="12" spans="1:22" ht="11.25" customHeight="1" x14ac:dyDescent="0.2"/>
    <row r="13" spans="1:22" ht="11.25" customHeight="1" x14ac:dyDescent="0.2">
      <c r="D13" s="105" t="s">
        <v>537</v>
      </c>
    </row>
    <row r="14" spans="1:22" ht="11.25" customHeight="1" x14ac:dyDescent="0.2"/>
    <row r="15" spans="1:22" ht="11.25" customHeight="1" x14ac:dyDescent="0.2"/>
    <row r="16" spans="1:22" s="2" customFormat="1" ht="15.75" x14ac:dyDescent="0.2">
      <c r="B16" s="2" t="s">
        <v>684</v>
      </c>
    </row>
    <row r="17" spans="3:24" ht="11.25" customHeight="1" x14ac:dyDescent="0.2"/>
    <row r="18" spans="3:24" ht="11.25" customHeight="1" x14ac:dyDescent="0.2">
      <c r="D18" s="105" t="s">
        <v>542</v>
      </c>
    </row>
    <row r="19" spans="3:24" ht="11.25" customHeight="1" x14ac:dyDescent="0.2">
      <c r="D19" s="105"/>
    </row>
    <row r="20" spans="3:24" ht="11.25" customHeight="1" x14ac:dyDescent="0.2"/>
    <row r="21" spans="3:24" s="8" customFormat="1" ht="15" x14ac:dyDescent="0.2">
      <c r="C21" s="8" t="s">
        <v>677</v>
      </c>
    </row>
    <row r="22" spans="3:24" ht="11.25" customHeight="1" x14ac:dyDescent="0.2"/>
    <row r="23" spans="3:24" ht="11.25" customHeight="1" x14ac:dyDescent="0.2">
      <c r="M23" s="290" t="s">
        <v>194</v>
      </c>
      <c r="N23" s="290"/>
      <c r="P23" s="290" t="s">
        <v>540</v>
      </c>
      <c r="Q23" s="290"/>
      <c r="S23" s="290" t="s">
        <v>103</v>
      </c>
      <c r="T23" s="290"/>
    </row>
    <row r="24" spans="3:24" ht="11.25" customHeight="1" x14ac:dyDescent="0.2">
      <c r="M24" s="291" t="s">
        <v>494</v>
      </c>
      <c r="N24" s="292"/>
      <c r="P24" s="291" t="s">
        <v>80</v>
      </c>
      <c r="Q24" s="292"/>
      <c r="S24" s="291" t="s">
        <v>47</v>
      </c>
      <c r="T24" s="292"/>
    </row>
    <row r="25" spans="3:24" ht="11.25" customHeight="1" x14ac:dyDescent="0.2">
      <c r="C25" s="170" t="s">
        <v>5</v>
      </c>
      <c r="D25" s="70" t="str">
        <f>D$9</f>
        <v>Tariff</v>
      </c>
      <c r="E25" s="54" t="str">
        <f>E$9</f>
        <v>Tariff Components</v>
      </c>
      <c r="F25" s="54" t="str">
        <f>F$9</f>
        <v>Tariff Class</v>
      </c>
      <c r="H25" s="54" t="str">
        <f>Lookup!E$19</f>
        <v>Source</v>
      </c>
      <c r="I25" s="54" t="str">
        <f>Lookup!F$19</f>
        <v>Unit</v>
      </c>
      <c r="J25" s="54" t="str">
        <f>Lookup!G$19</f>
        <v>Basis</v>
      </c>
      <c r="M25" s="61" t="s">
        <v>538</v>
      </c>
      <c r="N25" s="61" t="s">
        <v>539</v>
      </c>
      <c r="P25" s="61" t="s">
        <v>538</v>
      </c>
      <c r="Q25" s="61" t="s">
        <v>539</v>
      </c>
      <c r="S25" s="61" t="s">
        <v>538</v>
      </c>
      <c r="T25" s="61" t="s">
        <v>539</v>
      </c>
      <c r="V25" s="70" t="s">
        <v>510</v>
      </c>
      <c r="X25" s="70" t="s">
        <v>517</v>
      </c>
    </row>
    <row r="26" spans="3:24" ht="11.25" customHeight="1" x14ac:dyDescent="0.2">
      <c r="V26" s="1"/>
      <c r="X26" s="1"/>
    </row>
    <row r="27" spans="3:24" ht="12.75" x14ac:dyDescent="0.2">
      <c r="C27" s="169">
        <v>1</v>
      </c>
      <c r="D27" s="76" t="s">
        <v>63</v>
      </c>
      <c r="E27" s="243" t="s">
        <v>105</v>
      </c>
      <c r="F27" s="243" t="s">
        <v>64</v>
      </c>
      <c r="H27" s="243" t="s">
        <v>79</v>
      </c>
      <c r="I27" s="243" t="s">
        <v>334</v>
      </c>
      <c r="J27" s="243" t="s">
        <v>40</v>
      </c>
      <c r="M27" s="171">
        <v>0.91</v>
      </c>
      <c r="N27" s="285">
        <v>1.25</v>
      </c>
      <c r="P27" s="258">
        <v>17242052.5</v>
      </c>
      <c r="Q27" s="258">
        <v>15582732.650978109</v>
      </c>
      <c r="S27" s="66">
        <f t="shared" ref="S27:T33" si="0">M27*P27*Dollars_to_Thousands</f>
        <v>15690.267775</v>
      </c>
      <c r="T27" s="66">
        <f t="shared" si="0"/>
        <v>19478.415813722637</v>
      </c>
      <c r="V27" s="172" t="s">
        <v>495</v>
      </c>
      <c r="X27" s="172" t="s">
        <v>512</v>
      </c>
    </row>
    <row r="28" spans="3:24" ht="12.75" x14ac:dyDescent="0.2">
      <c r="C28" s="169">
        <v>2</v>
      </c>
      <c r="D28" s="76" t="s">
        <v>65</v>
      </c>
      <c r="E28" s="243" t="s">
        <v>105</v>
      </c>
      <c r="F28" s="243" t="s">
        <v>64</v>
      </c>
      <c r="H28" s="243" t="s">
        <v>79</v>
      </c>
      <c r="I28" s="243" t="s">
        <v>334</v>
      </c>
      <c r="J28" s="243" t="s">
        <v>40</v>
      </c>
      <c r="M28" s="171">
        <v>1.47</v>
      </c>
      <c r="N28" s="285">
        <v>1.55</v>
      </c>
      <c r="P28" s="258">
        <v>2682750</v>
      </c>
      <c r="Q28" s="258">
        <v>879306.70924540563</v>
      </c>
      <c r="S28" s="66">
        <f t="shared" si="0"/>
        <v>3943.6424999999999</v>
      </c>
      <c r="T28" s="66">
        <f t="shared" si="0"/>
        <v>1362.9253993303787</v>
      </c>
      <c r="V28" s="172" t="s">
        <v>495</v>
      </c>
      <c r="X28" s="172" t="s">
        <v>513</v>
      </c>
    </row>
    <row r="29" spans="3:24" ht="12.75" x14ac:dyDescent="0.2">
      <c r="C29" s="169">
        <v>4</v>
      </c>
      <c r="D29" s="76" t="s">
        <v>66</v>
      </c>
      <c r="E29" s="243" t="s">
        <v>105</v>
      </c>
      <c r="F29" s="243" t="s">
        <v>64</v>
      </c>
      <c r="H29" s="243" t="s">
        <v>79</v>
      </c>
      <c r="I29" s="243" t="s">
        <v>334</v>
      </c>
      <c r="J29" s="243" t="s">
        <v>40</v>
      </c>
      <c r="M29" s="171">
        <v>0</v>
      </c>
      <c r="N29" s="285">
        <v>0</v>
      </c>
      <c r="P29" s="258">
        <v>0</v>
      </c>
      <c r="Q29" s="258">
        <v>0</v>
      </c>
      <c r="S29" s="66">
        <f t="shared" si="0"/>
        <v>0</v>
      </c>
      <c r="T29" s="66">
        <f t="shared" si="0"/>
        <v>0</v>
      </c>
      <c r="V29" s="172" t="s">
        <v>501</v>
      </c>
      <c r="X29" s="172" t="s">
        <v>501</v>
      </c>
    </row>
    <row r="30" spans="3:24" ht="12.75" x14ac:dyDescent="0.2">
      <c r="C30" s="169">
        <v>3</v>
      </c>
      <c r="D30" s="76" t="s">
        <v>67</v>
      </c>
      <c r="E30" s="243" t="s">
        <v>105</v>
      </c>
      <c r="F30" s="243" t="s">
        <v>64</v>
      </c>
      <c r="H30" s="243" t="s">
        <v>79</v>
      </c>
      <c r="I30" s="243" t="s">
        <v>334</v>
      </c>
      <c r="J30" s="243" t="s">
        <v>40</v>
      </c>
      <c r="M30" s="171">
        <v>1.5</v>
      </c>
      <c r="N30" s="285">
        <v>2</v>
      </c>
      <c r="P30" s="258">
        <v>11204040</v>
      </c>
      <c r="Q30" s="258">
        <v>14974949.489387341</v>
      </c>
      <c r="S30" s="66">
        <f t="shared" si="0"/>
        <v>16806.060000000001</v>
      </c>
      <c r="T30" s="66">
        <f t="shared" si="0"/>
        <v>29949.898978774683</v>
      </c>
      <c r="V30" s="172" t="s">
        <v>495</v>
      </c>
      <c r="X30" s="172"/>
    </row>
    <row r="31" spans="3:24" ht="12.75" x14ac:dyDescent="0.2">
      <c r="C31" s="169">
        <v>6</v>
      </c>
      <c r="D31" s="76" t="s">
        <v>68</v>
      </c>
      <c r="E31" s="243" t="s">
        <v>105</v>
      </c>
      <c r="F31" s="243" t="s">
        <v>69</v>
      </c>
      <c r="H31" s="243" t="s">
        <v>79</v>
      </c>
      <c r="I31" s="243" t="s">
        <v>334</v>
      </c>
      <c r="J31" s="243" t="s">
        <v>40</v>
      </c>
      <c r="M31" s="171">
        <v>1.6</v>
      </c>
      <c r="N31" s="285">
        <v>100</v>
      </c>
      <c r="P31" s="258">
        <v>11680</v>
      </c>
      <c r="Q31" s="258">
        <v>11795.621047054827</v>
      </c>
      <c r="S31" s="66">
        <f t="shared" si="0"/>
        <v>18.687999999999999</v>
      </c>
      <c r="T31" s="66">
        <f t="shared" si="0"/>
        <v>1179.5621047054829</v>
      </c>
      <c r="V31" s="172" t="s">
        <v>495</v>
      </c>
      <c r="X31" s="172" t="s">
        <v>515</v>
      </c>
    </row>
    <row r="32" spans="3:24" ht="12.75" x14ac:dyDescent="0.2">
      <c r="C32" s="169">
        <v>5</v>
      </c>
      <c r="D32" s="76" t="s">
        <v>70</v>
      </c>
      <c r="E32" s="243" t="s">
        <v>105</v>
      </c>
      <c r="F32" s="243" t="s">
        <v>70</v>
      </c>
      <c r="H32" s="243" t="s">
        <v>79</v>
      </c>
      <c r="I32" s="243" t="s">
        <v>334</v>
      </c>
      <c r="J32" s="243" t="s">
        <v>40</v>
      </c>
      <c r="M32" s="171">
        <v>71.2</v>
      </c>
      <c r="N32" s="285">
        <v>80</v>
      </c>
      <c r="P32" s="258">
        <v>57305</v>
      </c>
      <c r="Q32" s="258">
        <v>57872.265762112751</v>
      </c>
      <c r="S32" s="66">
        <f t="shared" si="0"/>
        <v>4080.116</v>
      </c>
      <c r="T32" s="66">
        <f t="shared" si="0"/>
        <v>4629.7812609690209</v>
      </c>
      <c r="V32" s="172" t="s">
        <v>495</v>
      </c>
      <c r="X32" s="172" t="s">
        <v>514</v>
      </c>
    </row>
    <row r="33" spans="1:28" ht="12.75" x14ac:dyDescent="0.2">
      <c r="C33" s="169">
        <v>7</v>
      </c>
      <c r="D33" s="76" t="s">
        <v>71</v>
      </c>
      <c r="E33" s="243" t="s">
        <v>105</v>
      </c>
      <c r="F33" s="243" t="s">
        <v>69</v>
      </c>
      <c r="H33" s="243" t="s">
        <v>79</v>
      </c>
      <c r="I33" s="243" t="s">
        <v>334</v>
      </c>
      <c r="J33" s="243" t="s">
        <v>40</v>
      </c>
      <c r="M33" s="171">
        <v>85</v>
      </c>
      <c r="N33" s="285">
        <v>100</v>
      </c>
      <c r="P33" s="258">
        <v>12775</v>
      </c>
      <c r="Q33" s="258">
        <v>12901.460520216218</v>
      </c>
      <c r="S33" s="66">
        <f t="shared" si="0"/>
        <v>1085.875</v>
      </c>
      <c r="T33" s="66">
        <f t="shared" si="0"/>
        <v>1290.1460520216217</v>
      </c>
      <c r="V33" s="172" t="s">
        <v>495</v>
      </c>
      <c r="X33" s="172" t="s">
        <v>515</v>
      </c>
    </row>
    <row r="34" spans="1:28" ht="11.25" customHeight="1" x14ac:dyDescent="0.2"/>
    <row r="35" spans="1:28" ht="11.25" customHeight="1" x14ac:dyDescent="0.2">
      <c r="D35" s="62" t="s">
        <v>51</v>
      </c>
      <c r="H35" s="56" t="s">
        <v>52</v>
      </c>
      <c r="I35" s="56" t="s">
        <v>334</v>
      </c>
      <c r="J35" s="56" t="str">
        <f>Nominal</f>
        <v>Nominal</v>
      </c>
      <c r="P35" s="173">
        <f>SUM(P27:P33)</f>
        <v>31210602.5</v>
      </c>
      <c r="Q35" s="173">
        <f>SUM(Q27:Q33)</f>
        <v>31519558.19694024</v>
      </c>
      <c r="S35" s="68">
        <f t="shared" ref="S35:T35" si="1">SUM(S27:S33)</f>
        <v>41624.649275000003</v>
      </c>
      <c r="T35" s="68">
        <f t="shared" si="1"/>
        <v>57890.729609523827</v>
      </c>
    </row>
    <row r="36" spans="1:28" ht="11.25" customHeight="1" x14ac:dyDescent="0.2"/>
    <row r="37" spans="1:28" ht="11.25" hidden="1" customHeight="1" outlineLevel="1" x14ac:dyDescent="0.2">
      <c r="D37" s="81" t="s">
        <v>90</v>
      </c>
      <c r="E37" s="82"/>
      <c r="G37" s="82"/>
      <c r="H37" s="243" t="s">
        <v>52</v>
      </c>
      <c r="I37" s="243" t="s">
        <v>47</v>
      </c>
      <c r="J37" s="243" t="s">
        <v>40</v>
      </c>
      <c r="K37" s="63"/>
      <c r="S37" s="66">
        <f>SUMPRODUCT(M27:M33,P27:P33)*Dollars_to_Thousands</f>
        <v>41624.649274999996</v>
      </c>
      <c r="T37" s="66">
        <f>SUMPRODUCT(N27:N33,Q27:Q33)*Dollars_to_Thousands</f>
        <v>57890.729609523827</v>
      </c>
    </row>
    <row r="38" spans="1:28" ht="11.25" hidden="1" customHeight="1" outlineLevel="1" x14ac:dyDescent="0.2">
      <c r="A38" s="59">
        <f>IF(SUM($S38:$T38)=0,0,1)</f>
        <v>0</v>
      </c>
      <c r="D38" s="81" t="s">
        <v>55</v>
      </c>
      <c r="E38" s="82"/>
      <c r="F38" s="80"/>
      <c r="G38" s="82"/>
      <c r="H38" s="80"/>
      <c r="I38" s="84"/>
      <c r="J38" s="84"/>
      <c r="K38" s="63"/>
      <c r="S38" s="59">
        <f>IF(ROUND(S37-S35,2)=0,0,1)</f>
        <v>0</v>
      </c>
      <c r="T38" s="59">
        <f>IF(ROUND(T37-T35,2)=0,0,1)</f>
        <v>0</v>
      </c>
    </row>
    <row r="39" spans="1:28" ht="11.25" customHeight="1" collapsed="1" x14ac:dyDescent="0.2"/>
    <row r="40" spans="1:28" s="8" customFormat="1" ht="15" x14ac:dyDescent="0.2">
      <c r="C40" s="8" t="s">
        <v>74</v>
      </c>
    </row>
    <row r="41" spans="1:28" ht="11.25" customHeight="1" x14ac:dyDescent="0.2"/>
    <row r="42" spans="1:28" ht="11.25" customHeight="1" x14ac:dyDescent="0.2">
      <c r="M42" s="290" t="s">
        <v>194</v>
      </c>
      <c r="N42" s="290"/>
      <c r="P42" s="290" t="s">
        <v>540</v>
      </c>
      <c r="Q42" s="290"/>
      <c r="S42" s="290" t="s">
        <v>103</v>
      </c>
      <c r="T42" s="290"/>
    </row>
    <row r="43" spans="1:28" ht="11.25" customHeight="1" x14ac:dyDescent="0.2">
      <c r="M43" s="291" t="s">
        <v>193</v>
      </c>
      <c r="N43" s="292"/>
      <c r="P43" s="291" t="s">
        <v>82</v>
      </c>
      <c r="Q43" s="292"/>
      <c r="S43" s="291" t="s">
        <v>47</v>
      </c>
      <c r="T43" s="292"/>
    </row>
    <row r="44" spans="1:28" ht="11.25" customHeight="1" x14ac:dyDescent="0.2">
      <c r="C44" s="170" t="s">
        <v>5</v>
      </c>
      <c r="D44" s="70" t="str">
        <f>D$9</f>
        <v>Tariff</v>
      </c>
      <c r="E44" s="54" t="str">
        <f>E$9</f>
        <v>Tariff Components</v>
      </c>
      <c r="F44" s="54" t="str">
        <f>F$9</f>
        <v>Tariff Class</v>
      </c>
      <c r="H44" s="54" t="str">
        <f>Lookup!E$19</f>
        <v>Source</v>
      </c>
      <c r="I44" s="54" t="str">
        <f>Lookup!F$19</f>
        <v>Unit</v>
      </c>
      <c r="J44" s="54" t="str">
        <f>Lookup!G$19</f>
        <v>Basis</v>
      </c>
      <c r="M44" s="61" t="s">
        <v>538</v>
      </c>
      <c r="N44" s="61" t="s">
        <v>539</v>
      </c>
      <c r="P44" s="61" t="s">
        <v>538</v>
      </c>
      <c r="Q44" s="61" t="s">
        <v>539</v>
      </c>
      <c r="S44" s="61" t="s">
        <v>538</v>
      </c>
      <c r="T44" s="61" t="s">
        <v>539</v>
      </c>
      <c r="V44" s="70" t="s">
        <v>510</v>
      </c>
      <c r="X44" s="70" t="s">
        <v>517</v>
      </c>
      <c r="Z44" s="70" t="s">
        <v>527</v>
      </c>
      <c r="AB44" s="70" t="s">
        <v>535</v>
      </c>
    </row>
    <row r="45" spans="1:28" ht="11.25" customHeight="1" x14ac:dyDescent="0.2">
      <c r="V45" s="1"/>
      <c r="Z45" s="1"/>
    </row>
    <row r="46" spans="1:28" ht="12.75" x14ac:dyDescent="0.2">
      <c r="C46" s="169">
        <v>1</v>
      </c>
      <c r="D46" s="76" t="s">
        <v>63</v>
      </c>
      <c r="E46" s="243" t="s">
        <v>275</v>
      </c>
      <c r="F46" s="243" t="s">
        <v>64</v>
      </c>
      <c r="H46" s="243" t="s">
        <v>79</v>
      </c>
      <c r="I46" s="243" t="s">
        <v>334</v>
      </c>
      <c r="J46" s="243" t="s">
        <v>40</v>
      </c>
      <c r="M46" s="171">
        <v>7.0000000000000007E-2</v>
      </c>
      <c r="N46" s="285">
        <v>7.0000000000000007E-2</v>
      </c>
      <c r="P46" s="258">
        <v>444710262</v>
      </c>
      <c r="Q46" s="258">
        <v>447467416.87308741</v>
      </c>
      <c r="S46" s="66">
        <f t="shared" ref="S46:T52" si="2">M46*P46*Dollars_to_Thousands</f>
        <v>31129.718340000003</v>
      </c>
      <c r="T46" s="66">
        <f t="shared" si="2"/>
        <v>31322.719181116125</v>
      </c>
      <c r="V46" s="172" t="s">
        <v>496</v>
      </c>
      <c r="X46" s="172" t="s">
        <v>512</v>
      </c>
      <c r="Z46" s="172" t="s">
        <v>519</v>
      </c>
      <c r="AB46" s="172" t="s">
        <v>530</v>
      </c>
    </row>
    <row r="47" spans="1:28" ht="12.75" x14ac:dyDescent="0.2">
      <c r="C47" s="169">
        <v>2</v>
      </c>
      <c r="D47" s="76" t="s">
        <v>65</v>
      </c>
      <c r="E47" s="243" t="s">
        <v>275</v>
      </c>
      <c r="F47" s="243" t="s">
        <v>64</v>
      </c>
      <c r="H47" s="243" t="s">
        <v>79</v>
      </c>
      <c r="I47" s="243" t="s">
        <v>334</v>
      </c>
      <c r="J47" s="243" t="s">
        <v>40</v>
      </c>
      <c r="M47" s="171">
        <v>7.0000000000000007E-2</v>
      </c>
      <c r="N47" s="285">
        <v>0.08</v>
      </c>
      <c r="P47" s="258">
        <v>117997201</v>
      </c>
      <c r="Q47" s="258">
        <v>51904734.878643185</v>
      </c>
      <c r="S47" s="66">
        <f t="shared" si="2"/>
        <v>8259.804070000002</v>
      </c>
      <c r="T47" s="66">
        <f t="shared" si="2"/>
        <v>4152.3787902914555</v>
      </c>
      <c r="V47" s="172" t="s">
        <v>496</v>
      </c>
      <c r="X47" s="172" t="s">
        <v>513</v>
      </c>
      <c r="Z47" s="172" t="s">
        <v>519</v>
      </c>
      <c r="AB47" s="172" t="s">
        <v>531</v>
      </c>
    </row>
    <row r="48" spans="1:28" ht="12.75" x14ac:dyDescent="0.2">
      <c r="C48" s="169">
        <v>4</v>
      </c>
      <c r="D48" s="76" t="s">
        <v>66</v>
      </c>
      <c r="E48" s="243" t="s">
        <v>275</v>
      </c>
      <c r="F48" s="243" t="s">
        <v>64</v>
      </c>
      <c r="H48" s="243" t="s">
        <v>79</v>
      </c>
      <c r="I48" s="243" t="s">
        <v>334</v>
      </c>
      <c r="J48" s="243" t="s">
        <v>40</v>
      </c>
      <c r="M48" s="171">
        <v>6.0021999999999999E-2</v>
      </c>
      <c r="N48" s="285">
        <v>0.08</v>
      </c>
      <c r="P48" s="258">
        <v>14950692.240000049</v>
      </c>
      <c r="Q48" s="258">
        <v>15580084.918104758</v>
      </c>
      <c r="S48" s="66">
        <f t="shared" si="2"/>
        <v>897.37044962928292</v>
      </c>
      <c r="T48" s="66">
        <f t="shared" si="2"/>
        <v>1246.4067934483808</v>
      </c>
      <c r="V48" s="172" t="s">
        <v>501</v>
      </c>
      <c r="X48" s="172" t="s">
        <v>501</v>
      </c>
      <c r="Z48" s="172" t="s">
        <v>524</v>
      </c>
      <c r="AB48" s="172" t="s">
        <v>534</v>
      </c>
    </row>
    <row r="49" spans="1:28" ht="12.75" x14ac:dyDescent="0.2">
      <c r="C49" s="169">
        <v>3</v>
      </c>
      <c r="D49" s="76" t="s">
        <v>67</v>
      </c>
      <c r="E49" s="243" t="s">
        <v>275</v>
      </c>
      <c r="F49" s="243" t="s">
        <v>64</v>
      </c>
      <c r="H49" s="243" t="s">
        <v>79</v>
      </c>
      <c r="I49" s="243" t="s">
        <v>334</v>
      </c>
      <c r="J49" s="243" t="s">
        <v>40</v>
      </c>
      <c r="M49" s="171">
        <v>2.4729999999999999E-2</v>
      </c>
      <c r="N49" s="285">
        <v>1.2E-2</v>
      </c>
      <c r="P49" s="258">
        <v>544732529.25</v>
      </c>
      <c r="Q49" s="258">
        <v>642965858.64380753</v>
      </c>
      <c r="S49" s="66">
        <f t="shared" si="2"/>
        <v>13471.2354483525</v>
      </c>
      <c r="T49" s="66">
        <f t="shared" si="2"/>
        <v>7715.5903037256903</v>
      </c>
      <c r="V49" s="172" t="s">
        <v>496</v>
      </c>
      <c r="X49" s="172"/>
      <c r="Z49" s="172" t="s">
        <v>519</v>
      </c>
      <c r="AB49" s="172"/>
    </row>
    <row r="50" spans="1:28" ht="12.75" x14ac:dyDescent="0.2">
      <c r="C50" s="169">
        <v>6</v>
      </c>
      <c r="D50" s="76" t="s">
        <v>68</v>
      </c>
      <c r="E50" s="243" t="s">
        <v>275</v>
      </c>
      <c r="F50" s="243" t="s">
        <v>69</v>
      </c>
      <c r="H50" s="243" t="s">
        <v>79</v>
      </c>
      <c r="I50" s="243" t="s">
        <v>334</v>
      </c>
      <c r="J50" s="243" t="s">
        <v>40</v>
      </c>
      <c r="M50" s="171">
        <v>0.03</v>
      </c>
      <c r="N50" s="285">
        <v>1.2999999999999999E-2</v>
      </c>
      <c r="P50" s="258">
        <v>7297474</v>
      </c>
      <c r="Q50" s="258">
        <v>7440907.2223637886</v>
      </c>
      <c r="S50" s="66">
        <f t="shared" si="2"/>
        <v>218.92422000000002</v>
      </c>
      <c r="T50" s="66">
        <f t="shared" si="2"/>
        <v>96.73179389072925</v>
      </c>
      <c r="V50" s="172" t="s">
        <v>496</v>
      </c>
      <c r="X50" s="172" t="s">
        <v>515</v>
      </c>
      <c r="Z50" s="172" t="s">
        <v>519</v>
      </c>
      <c r="AB50" s="172" t="s">
        <v>533</v>
      </c>
    </row>
    <row r="51" spans="1:28" ht="12.75" x14ac:dyDescent="0.2">
      <c r="C51" s="169">
        <v>5</v>
      </c>
      <c r="D51" s="76" t="s">
        <v>70</v>
      </c>
      <c r="E51" s="243" t="s">
        <v>275</v>
      </c>
      <c r="F51" s="243" t="s">
        <v>70</v>
      </c>
      <c r="H51" s="243" t="s">
        <v>79</v>
      </c>
      <c r="I51" s="243" t="s">
        <v>334</v>
      </c>
      <c r="J51" s="243" t="s">
        <v>40</v>
      </c>
      <c r="M51" s="171">
        <v>1.025E-2</v>
      </c>
      <c r="N51" s="285">
        <v>1.1457999999999999E-2</v>
      </c>
      <c r="P51" s="258">
        <v>239283385</v>
      </c>
      <c r="Q51" s="258">
        <v>240379828.81764403</v>
      </c>
      <c r="S51" s="66">
        <f t="shared" si="2"/>
        <v>2452.6546962500001</v>
      </c>
      <c r="T51" s="66">
        <f t="shared" si="2"/>
        <v>2754.2720785925653</v>
      </c>
      <c r="V51" s="172" t="s">
        <v>496</v>
      </c>
      <c r="X51" s="172" t="s">
        <v>514</v>
      </c>
      <c r="Z51" s="172" t="s">
        <v>519</v>
      </c>
      <c r="AB51" s="172" t="s">
        <v>532</v>
      </c>
    </row>
    <row r="52" spans="1:28" ht="12.75" x14ac:dyDescent="0.2">
      <c r="C52" s="169">
        <v>7</v>
      </c>
      <c r="D52" s="76" t="s">
        <v>71</v>
      </c>
      <c r="E52" s="243" t="s">
        <v>275</v>
      </c>
      <c r="F52" s="243" t="s">
        <v>69</v>
      </c>
      <c r="H52" s="243" t="s">
        <v>79</v>
      </c>
      <c r="I52" s="243" t="s">
        <v>334</v>
      </c>
      <c r="J52" s="243" t="s">
        <v>40</v>
      </c>
      <c r="M52" s="171">
        <v>1.9E-2</v>
      </c>
      <c r="N52" s="285">
        <v>1.2999999999999999E-2</v>
      </c>
      <c r="P52" s="258">
        <v>278979091</v>
      </c>
      <c r="Q52" s="258">
        <v>288592379.31882083</v>
      </c>
      <c r="S52" s="66">
        <f t="shared" si="2"/>
        <v>5300.6027290000002</v>
      </c>
      <c r="T52" s="66">
        <f t="shared" si="2"/>
        <v>3751.7009311446704</v>
      </c>
      <c r="V52" s="172" t="s">
        <v>496</v>
      </c>
      <c r="X52" s="172" t="s">
        <v>515</v>
      </c>
      <c r="Z52" s="172" t="s">
        <v>519</v>
      </c>
      <c r="AB52" s="172" t="s">
        <v>533</v>
      </c>
    </row>
    <row r="53" spans="1:28" ht="11.25" customHeight="1" x14ac:dyDescent="0.2"/>
    <row r="54" spans="1:28" ht="11.25" customHeight="1" x14ac:dyDescent="0.2">
      <c r="D54" s="62" t="s">
        <v>51</v>
      </c>
      <c r="H54" s="56" t="s">
        <v>52</v>
      </c>
      <c r="I54" s="56" t="s">
        <v>334</v>
      </c>
      <c r="J54" s="56" t="str">
        <f>Nominal</f>
        <v>Nominal</v>
      </c>
      <c r="P54" s="173">
        <f>SUM(P46:P52)</f>
        <v>1647950634.49</v>
      </c>
      <c r="Q54" s="173">
        <f>SUM(Q46:Q52)</f>
        <v>1694331210.6724715</v>
      </c>
      <c r="S54" s="68">
        <f t="shared" ref="S54:T54" si="3">SUM(S46:S52)</f>
        <v>61730.309953231786</v>
      </c>
      <c r="T54" s="68">
        <f t="shared" si="3"/>
        <v>51039.799872209609</v>
      </c>
    </row>
    <row r="55" spans="1:28" ht="11.25" customHeight="1" x14ac:dyDescent="0.2"/>
    <row r="56" spans="1:28" ht="12.75" hidden="1" outlineLevel="1" x14ac:dyDescent="0.2">
      <c r="D56" s="81" t="s">
        <v>90</v>
      </c>
      <c r="E56" s="82"/>
      <c r="G56" s="82"/>
      <c r="H56" s="243" t="s">
        <v>52</v>
      </c>
      <c r="I56" s="243" t="s">
        <v>47</v>
      </c>
      <c r="J56" s="243" t="s">
        <v>40</v>
      </c>
      <c r="K56" s="63"/>
      <c r="S56" s="66">
        <f>SUMPRODUCT(M46:M52,P46:P52)*Dollars_to_Thousands</f>
        <v>61730.309953231794</v>
      </c>
      <c r="T56" s="66">
        <f>SUMPRODUCT(N46:N52,Q46:Q52)*Dollars_to_Thousands</f>
        <v>51039.799872209616</v>
      </c>
    </row>
    <row r="57" spans="1:28" ht="11.25" hidden="1" customHeight="1" outlineLevel="1" x14ac:dyDescent="0.2">
      <c r="A57" s="59">
        <f>IF(SUM($S57:$T57)=0,0,1)</f>
        <v>0</v>
      </c>
      <c r="D57" s="81" t="s">
        <v>55</v>
      </c>
      <c r="E57" s="82"/>
      <c r="F57" s="80"/>
      <c r="G57" s="82"/>
      <c r="H57" s="80"/>
      <c r="I57" s="84"/>
      <c r="J57" s="84"/>
      <c r="K57" s="63"/>
      <c r="S57" s="59">
        <f>IF(ROUND(S56-S54,2)=0,0,1)</f>
        <v>0</v>
      </c>
      <c r="T57" s="59">
        <f>IF(ROUND(T56-T54,2)=0,0,1)</f>
        <v>0</v>
      </c>
    </row>
    <row r="58" spans="1:28" ht="11.25" customHeight="1" collapsed="1" x14ac:dyDescent="0.2"/>
    <row r="59" spans="1:28" ht="11.25" customHeight="1" x14ac:dyDescent="0.2"/>
    <row r="60" spans="1:28" s="8" customFormat="1" ht="15" x14ac:dyDescent="0.2">
      <c r="C60" s="8" t="s">
        <v>76</v>
      </c>
    </row>
    <row r="61" spans="1:28" ht="11.25" customHeight="1" x14ac:dyDescent="0.2"/>
    <row r="62" spans="1:28" ht="11.25" customHeight="1" x14ac:dyDescent="0.2">
      <c r="M62" s="290" t="s">
        <v>194</v>
      </c>
      <c r="N62" s="290"/>
      <c r="P62" s="290" t="s">
        <v>540</v>
      </c>
      <c r="Q62" s="290"/>
      <c r="S62" s="290" t="s">
        <v>103</v>
      </c>
      <c r="T62" s="290"/>
    </row>
    <row r="63" spans="1:28" ht="11.25" customHeight="1" x14ac:dyDescent="0.2">
      <c r="M63" s="291" t="s">
        <v>193</v>
      </c>
      <c r="N63" s="292"/>
      <c r="P63" s="291" t="s">
        <v>83</v>
      </c>
      <c r="Q63" s="292"/>
      <c r="S63" s="291" t="s">
        <v>47</v>
      </c>
      <c r="T63" s="292"/>
    </row>
    <row r="64" spans="1:28" ht="11.25" customHeight="1" x14ac:dyDescent="0.2">
      <c r="C64" s="170" t="s">
        <v>5</v>
      </c>
      <c r="D64" s="70" t="str">
        <f>D$9</f>
        <v>Tariff</v>
      </c>
      <c r="E64" s="54" t="str">
        <f>E$9</f>
        <v>Tariff Components</v>
      </c>
      <c r="F64" s="54" t="str">
        <f>F$9</f>
        <v>Tariff Class</v>
      </c>
      <c r="H64" s="54" t="str">
        <f>Lookup!E$19</f>
        <v>Source</v>
      </c>
      <c r="I64" s="54" t="str">
        <f>Lookup!F$19</f>
        <v>Unit</v>
      </c>
      <c r="J64" s="54" t="str">
        <f>Lookup!G$19</f>
        <v>Basis</v>
      </c>
      <c r="M64" s="61" t="s">
        <v>538</v>
      </c>
      <c r="N64" s="61" t="s">
        <v>539</v>
      </c>
      <c r="P64" s="61" t="s">
        <v>538</v>
      </c>
      <c r="Q64" s="61" t="s">
        <v>539</v>
      </c>
      <c r="S64" s="61" t="s">
        <v>538</v>
      </c>
      <c r="T64" s="61" t="s">
        <v>539</v>
      </c>
      <c r="V64" s="70" t="s">
        <v>510</v>
      </c>
      <c r="X64" s="70" t="s">
        <v>517</v>
      </c>
    </row>
    <row r="65" spans="1:24" ht="11.25" customHeight="1" x14ac:dyDescent="0.2"/>
    <row r="66" spans="1:24" ht="12.75" x14ac:dyDescent="0.2">
      <c r="C66" s="169">
        <v>3</v>
      </c>
      <c r="D66" s="76" t="s">
        <v>67</v>
      </c>
      <c r="E66" s="243" t="s">
        <v>541</v>
      </c>
      <c r="F66" s="243" t="s">
        <v>64</v>
      </c>
      <c r="H66" s="243" t="s">
        <v>79</v>
      </c>
      <c r="I66" s="243" t="s">
        <v>334</v>
      </c>
      <c r="J66" s="243" t="s">
        <v>40</v>
      </c>
      <c r="M66" s="171">
        <v>17.600000000000001</v>
      </c>
      <c r="N66" s="285">
        <v>21</v>
      </c>
      <c r="P66" s="258">
        <v>1535082.9200000018</v>
      </c>
      <c r="Q66" s="258">
        <v>1462967.7395718794</v>
      </c>
      <c r="S66" s="66">
        <f t="shared" ref="S66:T69" si="4">M66*P66*Dollars_to_Thousands</f>
        <v>27017.459392000033</v>
      </c>
      <c r="T66" s="66">
        <f t="shared" si="4"/>
        <v>30722.322531009468</v>
      </c>
      <c r="V66" s="172" t="s">
        <v>503</v>
      </c>
      <c r="X66" s="172"/>
    </row>
    <row r="67" spans="1:24" ht="12.75" x14ac:dyDescent="0.2">
      <c r="C67" s="169">
        <v>6</v>
      </c>
      <c r="D67" s="76" t="s">
        <v>68</v>
      </c>
      <c r="E67" s="243" t="s">
        <v>541</v>
      </c>
      <c r="F67" s="243" t="s">
        <v>69</v>
      </c>
      <c r="H67" s="243" t="s">
        <v>79</v>
      </c>
      <c r="I67" s="243" t="s">
        <v>334</v>
      </c>
      <c r="J67" s="243" t="s">
        <v>40</v>
      </c>
      <c r="M67" s="171">
        <v>8.5</v>
      </c>
      <c r="N67" s="285">
        <v>11</v>
      </c>
      <c r="P67" s="258">
        <v>40057.11</v>
      </c>
      <c r="Q67" s="258">
        <v>41856.926607810776</v>
      </c>
      <c r="S67" s="66">
        <f t="shared" si="4"/>
        <v>340.485435</v>
      </c>
      <c r="T67" s="66">
        <f t="shared" si="4"/>
        <v>460.42619268591852</v>
      </c>
      <c r="V67" s="172" t="s">
        <v>503</v>
      </c>
      <c r="X67" s="172" t="s">
        <v>515</v>
      </c>
    </row>
    <row r="68" spans="1:24" ht="12.75" x14ac:dyDescent="0.2">
      <c r="C68" s="169">
        <v>5</v>
      </c>
      <c r="D68" s="76" t="s">
        <v>70</v>
      </c>
      <c r="E68" s="243" t="s">
        <v>541</v>
      </c>
      <c r="F68" s="243" t="s">
        <v>70</v>
      </c>
      <c r="H68" s="243" t="s">
        <v>79</v>
      </c>
      <c r="I68" s="243" t="s">
        <v>334</v>
      </c>
      <c r="J68" s="243" t="s">
        <v>40</v>
      </c>
      <c r="M68" s="171">
        <v>12.3371</v>
      </c>
      <c r="N68" s="285">
        <v>14</v>
      </c>
      <c r="P68" s="258">
        <v>640153.44000000006</v>
      </c>
      <c r="Q68" s="258">
        <v>658783.03065571981</v>
      </c>
      <c r="S68" s="66">
        <f t="shared" si="4"/>
        <v>7897.6370046240008</v>
      </c>
      <c r="T68" s="66">
        <f t="shared" si="4"/>
        <v>9222.9624291800792</v>
      </c>
      <c r="V68" s="172" t="s">
        <v>503</v>
      </c>
      <c r="X68" s="172" t="s">
        <v>514</v>
      </c>
    </row>
    <row r="69" spans="1:24" ht="12.75" x14ac:dyDescent="0.2">
      <c r="C69" s="169">
        <v>7</v>
      </c>
      <c r="D69" s="76" t="s">
        <v>71</v>
      </c>
      <c r="E69" s="243" t="s">
        <v>106</v>
      </c>
      <c r="F69" s="243" t="s">
        <v>69</v>
      </c>
      <c r="H69" s="243" t="s">
        <v>79</v>
      </c>
      <c r="I69" s="243" t="s">
        <v>334</v>
      </c>
      <c r="J69" s="243" t="s">
        <v>40</v>
      </c>
      <c r="M69" s="171">
        <v>8.4</v>
      </c>
      <c r="N69" s="285">
        <v>11</v>
      </c>
      <c r="P69" s="258">
        <v>571138.05000000005</v>
      </c>
      <c r="Q69" s="258">
        <v>707293.73299279332</v>
      </c>
      <c r="S69" s="66">
        <f t="shared" si="4"/>
        <v>4797.5596200000009</v>
      </c>
      <c r="T69" s="66">
        <f t="shared" si="4"/>
        <v>7780.2310629207268</v>
      </c>
      <c r="V69" s="172" t="s">
        <v>503</v>
      </c>
      <c r="X69" s="172" t="s">
        <v>515</v>
      </c>
    </row>
    <row r="70" spans="1:24" ht="11.25" customHeight="1" x14ac:dyDescent="0.2"/>
    <row r="71" spans="1:24" ht="11.25" customHeight="1" x14ac:dyDescent="0.2">
      <c r="D71" s="62" t="s">
        <v>51</v>
      </c>
      <c r="H71" s="56" t="s">
        <v>52</v>
      </c>
      <c r="I71" s="56" t="s">
        <v>334</v>
      </c>
      <c r="J71" s="56" t="str">
        <f>Nominal</f>
        <v>Nominal</v>
      </c>
      <c r="P71" s="173">
        <f>SUM(P66:P69)</f>
        <v>2786431.5200000023</v>
      </c>
      <c r="Q71" s="173">
        <f>SUM(Q66:Q69)</f>
        <v>2870901.4298282033</v>
      </c>
      <c r="S71" s="68">
        <f>SUM(S66:S69)</f>
        <v>40053.141451624033</v>
      </c>
      <c r="T71" s="68">
        <f>SUM(T66:T69)</f>
        <v>48185.942215796189</v>
      </c>
    </row>
    <row r="72" spans="1:24" ht="11.25" customHeight="1" x14ac:dyDescent="0.2"/>
    <row r="73" spans="1:24" ht="12.75" hidden="1" outlineLevel="1" x14ac:dyDescent="0.2">
      <c r="D73" s="81" t="s">
        <v>90</v>
      </c>
      <c r="E73" s="82"/>
      <c r="G73" s="82"/>
      <c r="H73" s="243" t="s">
        <v>52</v>
      </c>
      <c r="I73" s="243" t="s">
        <v>47</v>
      </c>
      <c r="J73" s="243" t="s">
        <v>40</v>
      </c>
      <c r="K73" s="63"/>
      <c r="S73" s="66">
        <f>SUMPRODUCT(M66:M69,P66:P69)*Dollars_to_Thousands</f>
        <v>40053.14145162404</v>
      </c>
      <c r="T73" s="66">
        <f>SUMPRODUCT(N66:N69,Q66:Q69)*Dollars_to_Thousands</f>
        <v>48185.942215796189</v>
      </c>
    </row>
    <row r="74" spans="1:24" ht="11.25" hidden="1" customHeight="1" outlineLevel="1" x14ac:dyDescent="0.2">
      <c r="A74" s="59">
        <f>IF(SUM($S74:$T74)=0,0,1)</f>
        <v>0</v>
      </c>
      <c r="D74" s="81" t="s">
        <v>55</v>
      </c>
      <c r="E74" s="82"/>
      <c r="F74" s="80"/>
      <c r="G74" s="82"/>
      <c r="H74" s="80"/>
      <c r="I74" s="84"/>
      <c r="J74" s="84"/>
      <c r="K74" s="63"/>
      <c r="S74" s="59">
        <f>IF(ROUND(S73-S71,2)=0,0,1)</f>
        <v>0</v>
      </c>
      <c r="T74" s="59">
        <f>IF(ROUND(T73-T71,2)=0,0,1)</f>
        <v>0</v>
      </c>
    </row>
    <row r="75" spans="1:24" ht="11.25" customHeight="1" collapsed="1" x14ac:dyDescent="0.2"/>
    <row r="76" spans="1:24" ht="11.25" customHeight="1" x14ac:dyDescent="0.2"/>
    <row r="77" spans="1:24" s="2" customFormat="1" ht="15.75" x14ac:dyDescent="0.2">
      <c r="B77" s="2" t="s">
        <v>8</v>
      </c>
    </row>
    <row r="78" spans="1:24" ht="11.25" customHeight="1" x14ac:dyDescent="0.2"/>
    <row r="79" spans="1:24" ht="11.25" customHeight="1" x14ac:dyDescent="0.2">
      <c r="D79" s="105" t="s">
        <v>543</v>
      </c>
    </row>
    <row r="80" spans="1:24" ht="11.25" customHeight="1" x14ac:dyDescent="0.2">
      <c r="D80" s="105"/>
    </row>
    <row r="81" spans="1:20" ht="11.25" customHeight="1" x14ac:dyDescent="0.2"/>
    <row r="82" spans="1:20" s="8" customFormat="1" ht="15" x14ac:dyDescent="0.2">
      <c r="C82" s="8" t="s">
        <v>685</v>
      </c>
    </row>
    <row r="83" spans="1:20" ht="11.25" customHeight="1" x14ac:dyDescent="0.2"/>
    <row r="84" spans="1:20" ht="11.25" customHeight="1" x14ac:dyDescent="0.2">
      <c r="M84" s="290" t="s">
        <v>105</v>
      </c>
      <c r="N84" s="290"/>
      <c r="P84" s="290" t="s">
        <v>74</v>
      </c>
      <c r="Q84" s="290"/>
      <c r="S84" s="290" t="s">
        <v>76</v>
      </c>
      <c r="T84" s="290"/>
    </row>
    <row r="85" spans="1:20" ht="11.25" customHeight="1" x14ac:dyDescent="0.2">
      <c r="D85" s="70" t="s">
        <v>544</v>
      </c>
      <c r="H85" s="54" t="str">
        <f>Lookup!E$19</f>
        <v>Source</v>
      </c>
      <c r="I85" s="54" t="str">
        <f>Lookup!F$19</f>
        <v>Unit</v>
      </c>
      <c r="J85" s="54" t="str">
        <f>Lookup!G$19</f>
        <v>Basis</v>
      </c>
      <c r="M85" s="61" t="s">
        <v>538</v>
      </c>
      <c r="N85" s="61" t="s">
        <v>539</v>
      </c>
      <c r="P85" s="61" t="s">
        <v>538</v>
      </c>
      <c r="Q85" s="61" t="s">
        <v>539</v>
      </c>
      <c r="S85" s="61" t="s">
        <v>538</v>
      </c>
      <c r="T85" s="61" t="s">
        <v>539</v>
      </c>
    </row>
    <row r="86" spans="1:20" ht="11.25" customHeight="1" x14ac:dyDescent="0.2"/>
    <row r="87" spans="1:20" ht="11.25" customHeight="1" x14ac:dyDescent="0.2">
      <c r="D87" s="76" t="s">
        <v>290</v>
      </c>
      <c r="H87" s="243" t="s">
        <v>79</v>
      </c>
      <c r="I87" s="243" t="s">
        <v>43</v>
      </c>
      <c r="J87" s="243" t="s">
        <v>21</v>
      </c>
      <c r="M87" s="57">
        <v>0.79959729388344036</v>
      </c>
      <c r="N87" s="57">
        <v>0.77119995952765452</v>
      </c>
      <c r="P87" s="57">
        <v>0.31030555668811999</v>
      </c>
      <c r="Q87" s="57">
        <v>0.32093797397607465</v>
      </c>
      <c r="S87" s="57">
        <f>M87</f>
        <v>0.79959729388344036</v>
      </c>
      <c r="T87" s="57">
        <f>N87</f>
        <v>0.77119995952765452</v>
      </c>
    </row>
    <row r="88" spans="1:20" ht="11.25" customHeight="1" x14ac:dyDescent="0.2">
      <c r="D88" s="76" t="s">
        <v>545</v>
      </c>
      <c r="H88" s="243" t="s">
        <v>79</v>
      </c>
      <c r="I88" s="243" t="s">
        <v>43</v>
      </c>
      <c r="J88" s="243" t="s">
        <v>21</v>
      </c>
      <c r="M88" s="57">
        <f>1-M87</f>
        <v>0.20040270611655964</v>
      </c>
      <c r="N88" s="57">
        <f>1-N87</f>
        <v>0.22880004047234548</v>
      </c>
      <c r="P88" s="57">
        <f>1-P87</f>
        <v>0.68969444331188001</v>
      </c>
      <c r="Q88" s="57">
        <f>1-Q87</f>
        <v>0.67906202602392529</v>
      </c>
      <c r="S88" s="57">
        <f>1-S87</f>
        <v>0.20040270611655964</v>
      </c>
      <c r="T88" s="57">
        <f>1-T87</f>
        <v>0.22880004047234548</v>
      </c>
    </row>
    <row r="89" spans="1:20" ht="11.25" customHeight="1" x14ac:dyDescent="0.2"/>
    <row r="90" spans="1:20" ht="11.25" customHeight="1" x14ac:dyDescent="0.2">
      <c r="D90" s="62" t="s">
        <v>51</v>
      </c>
      <c r="H90" s="56" t="s">
        <v>52</v>
      </c>
      <c r="I90" s="56" t="s">
        <v>43</v>
      </c>
      <c r="J90" s="56" t="s">
        <v>21</v>
      </c>
      <c r="M90" s="164">
        <f>SUM(M87:M88)</f>
        <v>1</v>
      </c>
      <c r="N90" s="164">
        <f>SUM(N87:N88)</f>
        <v>1</v>
      </c>
      <c r="P90" s="164">
        <f>SUM(P87:P88)</f>
        <v>1</v>
      </c>
      <c r="Q90" s="164">
        <f>SUM(Q87:Q88)</f>
        <v>1</v>
      </c>
      <c r="S90" s="164">
        <f>SUM(S87:S88)</f>
        <v>1</v>
      </c>
      <c r="T90" s="164">
        <f>SUM(T87:T88)</f>
        <v>1</v>
      </c>
    </row>
    <row r="91" spans="1:20" ht="11.25" customHeight="1" x14ac:dyDescent="0.2"/>
    <row r="92" spans="1:20" ht="11.25" hidden="1" customHeight="1" outlineLevel="1" x14ac:dyDescent="0.2">
      <c r="D92" s="81" t="s">
        <v>90</v>
      </c>
      <c r="E92" s="82"/>
      <c r="G92" s="82"/>
      <c r="H92" s="243" t="s">
        <v>52</v>
      </c>
      <c r="I92" s="243" t="s">
        <v>43</v>
      </c>
      <c r="J92" s="243" t="s">
        <v>21</v>
      </c>
      <c r="K92" s="63"/>
      <c r="M92" s="57">
        <v>1</v>
      </c>
      <c r="N92" s="57">
        <v>1</v>
      </c>
      <c r="P92" s="57">
        <v>1</v>
      </c>
      <c r="Q92" s="57">
        <v>1</v>
      </c>
      <c r="S92" s="57">
        <v>1</v>
      </c>
      <c r="T92" s="57">
        <v>1</v>
      </c>
    </row>
    <row r="93" spans="1:20" ht="11.25" hidden="1" customHeight="1" outlineLevel="1" x14ac:dyDescent="0.2">
      <c r="A93" s="59">
        <f>IF(SUM($M93:$N93)=0,0,1)</f>
        <v>0</v>
      </c>
      <c r="D93" s="81" t="s">
        <v>55</v>
      </c>
      <c r="E93" s="82"/>
      <c r="F93" s="80"/>
      <c r="G93" s="82"/>
      <c r="H93" s="80"/>
      <c r="I93" s="84"/>
      <c r="J93" s="84"/>
      <c r="K93" s="63"/>
      <c r="M93" s="59">
        <f>IF(ROUND(M92-M90,2)=0,0,1)</f>
        <v>0</v>
      </c>
      <c r="N93" s="59">
        <f>IF(ROUND(N92-N90,2)=0,0,1)</f>
        <v>0</v>
      </c>
      <c r="P93" s="59">
        <f>IF(ROUND(P92-P90,2)=0,0,1)</f>
        <v>0</v>
      </c>
      <c r="Q93" s="59">
        <f>IF(ROUND(Q92-Q90,2)=0,0,1)</f>
        <v>0</v>
      </c>
      <c r="S93" s="59">
        <f>IF(ROUND(S92-S90,2)=0,0,1)</f>
        <v>0</v>
      </c>
      <c r="T93" s="59">
        <f>IF(ROUND(T92-T90,2)=0,0,1)</f>
        <v>0</v>
      </c>
    </row>
    <row r="94" spans="1:20" ht="11.25" customHeight="1" collapsed="1" x14ac:dyDescent="0.2"/>
    <row r="95" spans="1:20" ht="11.25" customHeight="1" x14ac:dyDescent="0.2"/>
    <row r="96" spans="1:20" s="8" customFormat="1" ht="15" x14ac:dyDescent="0.2">
      <c r="C96" s="8" t="s">
        <v>686</v>
      </c>
    </row>
    <row r="97" spans="2:17" ht="11.25" customHeight="1" x14ac:dyDescent="0.2"/>
    <row r="98" spans="2:17" ht="11.25" customHeight="1" x14ac:dyDescent="0.2">
      <c r="D98" s="70" t="s">
        <v>544</v>
      </c>
      <c r="H98" s="54" t="str">
        <f>Lookup!E$19</f>
        <v>Source</v>
      </c>
      <c r="I98" s="54" t="str">
        <f>Lookup!F$19</f>
        <v>Unit</v>
      </c>
      <c r="J98" s="54" t="str">
        <f>Lookup!G$19</f>
        <v>Basis</v>
      </c>
      <c r="P98" s="61" t="s">
        <v>538</v>
      </c>
      <c r="Q98" s="61" t="s">
        <v>539</v>
      </c>
    </row>
    <row r="99" spans="2:17" ht="11.25" customHeight="1" x14ac:dyDescent="0.2"/>
    <row r="100" spans="2:17" ht="12.75" x14ac:dyDescent="0.2">
      <c r="D100" s="76" t="s">
        <v>533</v>
      </c>
      <c r="H100" s="243" t="s">
        <v>79</v>
      </c>
      <c r="I100" s="243" t="s">
        <v>82</v>
      </c>
      <c r="J100" s="243" t="s">
        <v>21</v>
      </c>
      <c r="P100" s="64">
        <v>22729133.54809922</v>
      </c>
      <c r="Q100" s="64">
        <v>41484766.761698291</v>
      </c>
    </row>
    <row r="101" spans="2:17" ht="11.25" customHeight="1" x14ac:dyDescent="0.2"/>
    <row r="102" spans="2:17" ht="11.25" customHeight="1" x14ac:dyDescent="0.2"/>
    <row r="103" spans="2:17" s="2" customFormat="1" ht="15.75" x14ac:dyDescent="0.2">
      <c r="B103" s="2" t="s">
        <v>20</v>
      </c>
    </row>
  </sheetData>
  <mergeCells count="21">
    <mergeCell ref="M23:N23"/>
    <mergeCell ref="P23:Q23"/>
    <mergeCell ref="S23:T23"/>
    <mergeCell ref="M24:N24"/>
    <mergeCell ref="P24:Q24"/>
    <mergeCell ref="S24:T24"/>
    <mergeCell ref="M42:N42"/>
    <mergeCell ref="P42:Q42"/>
    <mergeCell ref="S42:T42"/>
    <mergeCell ref="M43:N43"/>
    <mergeCell ref="P43:Q43"/>
    <mergeCell ref="S43:T43"/>
    <mergeCell ref="M84:N84"/>
    <mergeCell ref="P84:Q84"/>
    <mergeCell ref="S84:T84"/>
    <mergeCell ref="M62:N62"/>
    <mergeCell ref="P62:Q62"/>
    <mergeCell ref="S62:T62"/>
    <mergeCell ref="M63:N63"/>
    <mergeCell ref="P63:Q63"/>
    <mergeCell ref="S63:T63"/>
  </mergeCells>
  <conditionalFormatting sqref="B2">
    <cfRule type="cellIs" dxfId="28" priority="5" operator="notEqual">
      <formula>"No Errors Found"</formula>
    </cfRule>
  </conditionalFormatting>
  <dataValidations count="4">
    <dataValidation type="list" allowBlank="1" showInputMessage="1" showErrorMessage="1" sqref="M24 P24 S24 I37:I38 M43 P43 S43 I56:I57 M63 P63 S63 I73:I74 I87:I88 I92:I93 I100" xr:uid="{00000000-0002-0000-0500-000000000000}">
      <formula1>LU_Units</formula1>
    </dataValidation>
    <dataValidation type="list" allowBlank="1" showInputMessage="1" showErrorMessage="1" sqref="J27:J33 J37:J38 J46:J52 J56:J57 J73:J74 J66:J69 J87:J88 J100 J92:J93" xr:uid="{00000000-0002-0000-0500-000001000000}">
      <formula1>LU_Basis</formula1>
    </dataValidation>
    <dataValidation type="list" allowBlank="1" showInputMessage="1" showErrorMessage="1" sqref="K37:K38 K56:K57 K73:K74 K92:K93" xr:uid="{00000000-0002-0000-0500-000002000000}">
      <formula1>LU_Timing</formula1>
    </dataValidation>
    <dataValidation type="list" allowBlank="1" showInputMessage="1" showErrorMessage="1" sqref="F27:F33 F46:F52 F66:F69" xr:uid="{00000000-0002-0000-0500-000003000000}">
      <formula1>LU_Tariff_Classes</formula1>
    </dataValidation>
  </dataValidations>
  <hyperlinks>
    <hyperlink ref="B3:E3" location="TOC!A1" display="TOC!A1"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4000000}">
          <x14:formula1>
            <xm:f>Output_RIN!$D$85:$D$89</xm:f>
          </x14:formula1>
          <xm:sqref>AB46:AB52</xm:sqref>
        </x14:dataValidation>
        <x14:dataValidation type="list" allowBlank="1" showInputMessage="1" showErrorMessage="1" xr:uid="{00000000-0002-0000-0500-000005000000}">
          <x14:formula1>
            <xm:f>Output_RIN!$D$69:$D$74</xm:f>
          </x14:formula1>
          <xm:sqref>Z46:Z52</xm:sqref>
        </x14:dataValidation>
        <x14:dataValidation type="list" allowBlank="1" showInputMessage="1" showErrorMessage="1" xr:uid="{00000000-0002-0000-0500-000006000000}">
          <x14:formula1>
            <xm:f>Output_RIN!$D$51:$D$56</xm:f>
          </x14:formula1>
          <xm:sqref>X66:X69 X46:X52 X27:X33</xm:sqref>
        </x14:dataValidation>
        <x14:dataValidation type="list" allowBlank="1" showInputMessage="1" showErrorMessage="1" xr:uid="{00000000-0002-0000-0500-000007000000}">
          <x14:formula1>
            <xm:f>Output_RIN!$D$28:$D$40</xm:f>
          </x14:formula1>
          <xm:sqref>V66:V69 V27:V33 V46:V52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59999389629810485"/>
  </sheetPr>
  <dimension ref="A1:V193"/>
  <sheetViews>
    <sheetView showGridLines="0" zoomScaleNormal="100" workbookViewId="0">
      <pane xSplit="4" ySplit="10" topLeftCell="E11" activePane="bottomRight" state="frozen"/>
      <selection activeCell="D242" sqref="D242"/>
      <selection pane="topRight" activeCell="D242" sqref="D242"/>
      <selection pane="bottomLeft" activeCell="D242" sqref="D242"/>
      <selection pane="bottomRight" activeCell="E11" sqref="E11"/>
    </sheetView>
  </sheetViews>
  <sheetFormatPr defaultColWidth="9.1640625" defaultRowHeight="11.25" outlineLevelRow="1" x14ac:dyDescent="0.2"/>
  <cols>
    <col min="1" max="1" width="3.1640625" customWidth="1"/>
    <col min="2" max="3" width="2.83203125" customWidth="1"/>
    <col min="4" max="4" width="34.1640625" bestFit="1" customWidth="1"/>
    <col min="5" max="5" width="23.1640625" bestFit="1" customWidth="1"/>
    <col min="6" max="6" width="14.33203125" bestFit="1" customWidth="1"/>
    <col min="7" max="7" width="2.33203125" customWidth="1"/>
    <col min="8" max="8" width="12.1640625" bestFit="1" customWidth="1"/>
    <col min="9" max="9" width="10.83203125" customWidth="1"/>
    <col min="10" max="11" width="12.83203125" customWidth="1"/>
    <col min="12" max="12" width="2.33203125" customWidth="1"/>
    <col min="13" max="19" width="12.83203125" customWidth="1"/>
    <col min="20" max="20" width="4.1640625" customWidth="1"/>
    <col min="21" max="24" width="10.83203125" customWidth="1"/>
  </cols>
  <sheetData>
    <row r="1" spans="1:22" ht="19.5" x14ac:dyDescent="0.2">
      <c r="A1" s="59">
        <f>IF(SUM($A10:$A193)&gt;0,1,0)</f>
        <v>0</v>
      </c>
      <c r="B1" s="3" t="s">
        <v>92</v>
      </c>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244" t="s">
        <v>118</v>
      </c>
      <c r="E9" s="50" t="s">
        <v>61</v>
      </c>
      <c r="F9" s="50" t="s">
        <v>62</v>
      </c>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U9" s="60"/>
      <c r="V9" s="60"/>
    </row>
    <row r="11" spans="1:22" s="2" customFormat="1" ht="15.75" x14ac:dyDescent="0.2">
      <c r="B11" s="2" t="s">
        <v>688</v>
      </c>
    </row>
    <row r="12" spans="1:22" ht="11.25" customHeight="1" x14ac:dyDescent="0.2"/>
    <row r="13" spans="1:22" ht="11.25" customHeight="1" x14ac:dyDescent="0.2">
      <c r="D13" s="105" t="s">
        <v>485</v>
      </c>
    </row>
    <row r="14" spans="1:22" ht="11.25" customHeight="1" x14ac:dyDescent="0.2"/>
    <row r="15" spans="1:22" ht="11.25" customHeight="1" x14ac:dyDescent="0.2"/>
    <row r="16" spans="1:22" s="2" customFormat="1" ht="15.75" x14ac:dyDescent="0.2">
      <c r="B16" s="2" t="s">
        <v>689</v>
      </c>
    </row>
    <row r="17" spans="3:19" ht="11.25" customHeight="1" x14ac:dyDescent="0.2"/>
    <row r="18" spans="3:19" ht="11.25" customHeight="1" x14ac:dyDescent="0.2">
      <c r="D18" s="105" t="s">
        <v>162</v>
      </c>
    </row>
    <row r="19" spans="3:19" ht="11.25" customHeight="1" x14ac:dyDescent="0.2">
      <c r="D19" s="105" t="s">
        <v>268</v>
      </c>
    </row>
    <row r="20" spans="3:19" ht="11.25" customHeight="1" x14ac:dyDescent="0.2">
      <c r="D20" s="105"/>
    </row>
    <row r="21" spans="3:19" ht="11.25" customHeight="1" x14ac:dyDescent="0.2"/>
    <row r="22" spans="3:19" s="8" customFormat="1" ht="15" x14ac:dyDescent="0.2">
      <c r="C22" s="8" t="s">
        <v>665</v>
      </c>
    </row>
    <row r="23" spans="3:19" ht="11.25" customHeight="1" x14ac:dyDescent="0.2"/>
    <row r="24" spans="3:19" ht="11.25" customHeight="1" x14ac:dyDescent="0.2"/>
    <row r="25" spans="3:19" ht="11.25" customHeight="1" x14ac:dyDescent="0.2">
      <c r="D25" s="70" t="s">
        <v>95</v>
      </c>
      <c r="H25" s="54" t="str">
        <f>Lookup!E$19</f>
        <v>Source</v>
      </c>
      <c r="I25" s="54" t="str">
        <f>Lookup!F$19</f>
        <v>Unit</v>
      </c>
      <c r="J25" s="54" t="str">
        <f>Lookup!G$19</f>
        <v>Basis</v>
      </c>
      <c r="M25" s="54" t="str">
        <f t="shared" ref="M25:S25" si="0">M$9</f>
        <v>FY23</v>
      </c>
      <c r="N25" s="54" t="str">
        <f t="shared" si="0"/>
        <v>FY24</v>
      </c>
      <c r="O25" s="54" t="str">
        <f t="shared" si="0"/>
        <v>FY25</v>
      </c>
      <c r="P25" s="54" t="str">
        <f t="shared" si="0"/>
        <v>FY26</v>
      </c>
      <c r="Q25" s="54" t="str">
        <f t="shared" si="0"/>
        <v>FY27</v>
      </c>
      <c r="R25" s="54" t="str">
        <f t="shared" si="0"/>
        <v>FY28</v>
      </c>
      <c r="S25" s="54" t="str">
        <f t="shared" si="0"/>
        <v>FY29</v>
      </c>
    </row>
    <row r="26" spans="3:19" ht="11.25" customHeight="1" x14ac:dyDescent="0.2">
      <c r="N26" s="71"/>
      <c r="O26" s="71"/>
      <c r="P26" s="71"/>
      <c r="Q26" s="71"/>
      <c r="R26" s="71"/>
      <c r="S26" s="71"/>
    </row>
    <row r="27" spans="3:19" ht="12.75" x14ac:dyDescent="0.2">
      <c r="D27" s="81" t="s">
        <v>263</v>
      </c>
      <c r="H27" s="243" t="s">
        <v>79</v>
      </c>
      <c r="I27" s="243" t="s">
        <v>43</v>
      </c>
      <c r="J27" s="243" t="s">
        <v>21</v>
      </c>
      <c r="M27" s="255">
        <v>7.8318219291014124E-2</v>
      </c>
      <c r="N27" s="255">
        <v>4.1000000000000002E-2</v>
      </c>
      <c r="O27" s="255">
        <v>2.7997811278454687E-2</v>
      </c>
      <c r="P27" s="255">
        <v>2.7997811278454687E-2</v>
      </c>
      <c r="Q27" s="255">
        <v>2.7997811278454687E-2</v>
      </c>
      <c r="R27" s="255">
        <v>2.7997811278454687E-2</v>
      </c>
      <c r="S27" s="255">
        <v>2.7997811278454687E-2</v>
      </c>
    </row>
    <row r="28" spans="3:19" ht="12.75" x14ac:dyDescent="0.2">
      <c r="D28" s="81" t="s">
        <v>151</v>
      </c>
      <c r="N28" s="71"/>
      <c r="O28" s="71"/>
      <c r="P28" s="71"/>
      <c r="Q28" s="71"/>
      <c r="R28" s="71"/>
      <c r="S28" s="71"/>
    </row>
    <row r="29" spans="3:19" ht="12.75" x14ac:dyDescent="0.2">
      <c r="D29" s="114" t="s">
        <v>215</v>
      </c>
      <c r="H29" s="243" t="s">
        <v>21</v>
      </c>
      <c r="I29" s="243" t="s">
        <v>45</v>
      </c>
      <c r="J29" s="243" t="s">
        <v>21</v>
      </c>
      <c r="M29" s="74"/>
      <c r="N29" s="74"/>
      <c r="O29" s="74"/>
      <c r="P29" s="74"/>
      <c r="Q29" s="74"/>
      <c r="R29" s="74"/>
      <c r="S29" s="74"/>
    </row>
    <row r="30" spans="3:19" ht="12.75" x14ac:dyDescent="0.2">
      <c r="D30" s="114" t="s">
        <v>152</v>
      </c>
      <c r="H30" s="243" t="s">
        <v>21</v>
      </c>
      <c r="I30" s="243" t="s">
        <v>21</v>
      </c>
      <c r="J30" s="243" t="s">
        <v>21</v>
      </c>
      <c r="M30" s="115"/>
      <c r="N30" s="115"/>
      <c r="O30" s="115"/>
      <c r="P30" s="115"/>
      <c r="Q30" s="115"/>
      <c r="R30" s="115"/>
      <c r="S30" s="115"/>
    </row>
    <row r="31" spans="3:19" x14ac:dyDescent="0.2">
      <c r="N31" s="71"/>
      <c r="O31" s="71"/>
      <c r="P31" s="71"/>
      <c r="Q31" s="71"/>
      <c r="R31" s="71"/>
      <c r="S31" s="71"/>
    </row>
    <row r="32" spans="3:19" ht="11.25" customHeight="1" x14ac:dyDescent="0.2">
      <c r="D32" s="122" t="s">
        <v>96</v>
      </c>
      <c r="E32" s="91"/>
      <c r="F32" s="91"/>
      <c r="G32" s="91"/>
      <c r="H32" s="118" t="s">
        <v>52</v>
      </c>
      <c r="I32" s="119" t="s">
        <v>43</v>
      </c>
      <c r="J32" s="119" t="s">
        <v>21</v>
      </c>
      <c r="K32" s="91"/>
      <c r="L32" s="91"/>
      <c r="M32" s="121">
        <f t="shared" ref="M32:S32" si="1">IF(M29=0,M27,M29/L29-1)</f>
        <v>7.8318219291014124E-2</v>
      </c>
      <c r="N32" s="121">
        <f t="shared" si="1"/>
        <v>4.1000000000000002E-2</v>
      </c>
      <c r="O32" s="121">
        <f t="shared" si="1"/>
        <v>2.7997811278454687E-2</v>
      </c>
      <c r="P32" s="121">
        <f t="shared" si="1"/>
        <v>2.7997811278454687E-2</v>
      </c>
      <c r="Q32" s="121">
        <f t="shared" si="1"/>
        <v>2.7997811278454687E-2</v>
      </c>
      <c r="R32" s="121">
        <f t="shared" si="1"/>
        <v>2.7997811278454687E-2</v>
      </c>
      <c r="S32" s="121">
        <f t="shared" si="1"/>
        <v>2.7997811278454687E-2</v>
      </c>
    </row>
    <row r="33" spans="3:19" ht="11.25" customHeight="1" x14ac:dyDescent="0.2">
      <c r="D33" s="81"/>
      <c r="H33" s="83"/>
      <c r="I33" s="84"/>
      <c r="J33" s="84"/>
      <c r="O33" s="116"/>
      <c r="P33" s="116"/>
      <c r="Q33" s="116"/>
      <c r="R33" s="116"/>
      <c r="S33" s="116"/>
    </row>
    <row r="34" spans="3:19" ht="12.75" x14ac:dyDescent="0.2">
      <c r="D34" s="81" t="s">
        <v>546</v>
      </c>
      <c r="H34" s="243" t="s">
        <v>52</v>
      </c>
      <c r="I34" s="243" t="s">
        <v>45</v>
      </c>
      <c r="J34" s="243" t="s">
        <v>21</v>
      </c>
      <c r="M34" s="95"/>
      <c r="N34" s="88">
        <v>1</v>
      </c>
      <c r="O34" s="89">
        <f>N34*(1+O$32)</f>
        <v>1.0279978112784547</v>
      </c>
      <c r="P34" s="89">
        <f>O34*(1+P$32)</f>
        <v>1.0567794999932933</v>
      </c>
      <c r="Q34" s="89">
        <f>P34*(1+Q$32)</f>
        <v>1.0863670129970453</v>
      </c>
      <c r="R34" s="89">
        <f>Q34*(1+R$32)</f>
        <v>1.116782911606075</v>
      </c>
      <c r="S34" s="89">
        <f>R34*(1+S$32)</f>
        <v>1.1480503888042251</v>
      </c>
    </row>
    <row r="35" spans="3:19" ht="12.75" x14ac:dyDescent="0.2">
      <c r="D35" s="81" t="s">
        <v>547</v>
      </c>
      <c r="H35" s="243" t="s">
        <v>52</v>
      </c>
      <c r="I35" s="243" t="s">
        <v>45</v>
      </c>
      <c r="J35" s="243" t="s">
        <v>21</v>
      </c>
      <c r="M35" s="89">
        <f>N35/(1+N32)^0.5/(1+M32)^0.5</f>
        <v>0.92507256012358996</v>
      </c>
      <c r="N35" s="89">
        <f>1/(1+N32)^0.5</f>
        <v>0.98010958237730716</v>
      </c>
      <c r="O35" s="95"/>
      <c r="P35" s="95"/>
      <c r="Q35" s="95"/>
      <c r="R35" s="95"/>
      <c r="S35" s="95"/>
    </row>
    <row r="36" spans="3:19" ht="11.25" customHeight="1" x14ac:dyDescent="0.2"/>
    <row r="37" spans="3:19" ht="11.25" customHeight="1" x14ac:dyDescent="0.2"/>
    <row r="38" spans="3:19" s="8" customFormat="1" ht="15" x14ac:dyDescent="0.2">
      <c r="C38" s="8" t="s">
        <v>690</v>
      </c>
    </row>
    <row r="39" spans="3:19" ht="11.25" customHeight="1" x14ac:dyDescent="0.2"/>
    <row r="40" spans="3:19" ht="11.25" customHeight="1" x14ac:dyDescent="0.2"/>
    <row r="41" spans="3:19" ht="11.25" customHeight="1" x14ac:dyDescent="0.2">
      <c r="D41" s="70" t="s">
        <v>95</v>
      </c>
      <c r="H41" s="54" t="str">
        <f>Lookup!E$19</f>
        <v>Source</v>
      </c>
      <c r="I41" s="54" t="str">
        <f>Lookup!F$19</f>
        <v>Unit</v>
      </c>
      <c r="J41" s="54" t="str">
        <f>Lookup!G$19</f>
        <v>Basis</v>
      </c>
      <c r="O41" s="54" t="str">
        <f>O$9</f>
        <v>FY25</v>
      </c>
      <c r="P41" s="54" t="str">
        <f>P$9</f>
        <v>FY26</v>
      </c>
      <c r="Q41" s="54" t="str">
        <f>Q$9</f>
        <v>FY27</v>
      </c>
      <c r="R41" s="54" t="str">
        <f>R$9</f>
        <v>FY28</v>
      </c>
      <c r="S41" s="54" t="str">
        <f>S$9</f>
        <v>FY29</v>
      </c>
    </row>
    <row r="42" spans="3:19" ht="11.25" customHeight="1" x14ac:dyDescent="0.2">
      <c r="O42" s="71"/>
      <c r="P42" s="71"/>
      <c r="Q42" s="71"/>
      <c r="R42" s="71"/>
      <c r="S42" s="71"/>
    </row>
    <row r="43" spans="3:19" ht="12.75" x14ac:dyDescent="0.2">
      <c r="D43" s="117" t="s">
        <v>163</v>
      </c>
      <c r="O43" s="71"/>
      <c r="P43" s="71"/>
      <c r="Q43" s="71"/>
      <c r="R43" s="71"/>
      <c r="S43" s="71"/>
    </row>
    <row r="44" spans="3:19" ht="12.75" x14ac:dyDescent="0.2">
      <c r="D44" s="114" t="s">
        <v>229</v>
      </c>
      <c r="H44" s="243" t="s">
        <v>79</v>
      </c>
      <c r="I44" s="243" t="s">
        <v>47</v>
      </c>
      <c r="J44" s="243" t="s">
        <v>40</v>
      </c>
      <c r="O44" s="261">
        <v>173450.2385373924</v>
      </c>
      <c r="P44" s="261">
        <v>190738.09914354634</v>
      </c>
      <c r="Q44" s="261">
        <v>209749.04832460231</v>
      </c>
      <c r="R44" s="261">
        <v>230654.82706717495</v>
      </c>
      <c r="S44" s="261">
        <v>243833.2648378881</v>
      </c>
    </row>
    <row r="45" spans="3:19" ht="11.25" customHeight="1" x14ac:dyDescent="0.2">
      <c r="D45" s="81"/>
      <c r="H45" s="82"/>
      <c r="I45" s="82"/>
      <c r="J45" s="82"/>
    </row>
    <row r="46" spans="3:19" ht="12.75" x14ac:dyDescent="0.2">
      <c r="D46" s="117" t="s">
        <v>154</v>
      </c>
      <c r="O46" s="71"/>
      <c r="P46" s="71"/>
      <c r="Q46" s="71"/>
      <c r="R46" s="71"/>
      <c r="S46" s="71"/>
    </row>
    <row r="47" spans="3:19" ht="12.75" x14ac:dyDescent="0.2">
      <c r="D47" s="114" t="s">
        <v>229</v>
      </c>
      <c r="H47" s="243" t="s">
        <v>79</v>
      </c>
      <c r="I47" s="243" t="s">
        <v>43</v>
      </c>
      <c r="J47" s="243" t="s">
        <v>21</v>
      </c>
      <c r="O47" s="260">
        <v>-6.9720598862145419E-2</v>
      </c>
      <c r="P47" s="260">
        <v>-6.9720598862145419E-2</v>
      </c>
      <c r="Q47" s="260">
        <v>-6.9720598862145419E-2</v>
      </c>
      <c r="R47" s="260">
        <v>-6.9720598862145419E-2</v>
      </c>
      <c r="S47" s="260">
        <v>-2.8343520443469883E-2</v>
      </c>
    </row>
    <row r="48" spans="3:19" ht="12.75" x14ac:dyDescent="0.2">
      <c r="D48" s="114" t="s">
        <v>264</v>
      </c>
      <c r="H48" s="243" t="s">
        <v>21</v>
      </c>
      <c r="I48" s="243" t="s">
        <v>43</v>
      </c>
      <c r="J48" s="243" t="s">
        <v>21</v>
      </c>
      <c r="O48" s="57"/>
      <c r="P48" s="57"/>
      <c r="Q48" s="57"/>
      <c r="R48" s="57"/>
      <c r="S48" s="57"/>
    </row>
    <row r="49" spans="4:19" ht="12.75" x14ac:dyDescent="0.2">
      <c r="D49" s="114" t="s">
        <v>265</v>
      </c>
      <c r="H49" s="243" t="s">
        <v>21</v>
      </c>
      <c r="I49" s="243" t="s">
        <v>43</v>
      </c>
      <c r="J49" s="243" t="s">
        <v>21</v>
      </c>
      <c r="O49" s="57"/>
      <c r="P49" s="57"/>
      <c r="Q49" s="57"/>
      <c r="R49" s="57"/>
      <c r="S49" s="57"/>
    </row>
    <row r="50" spans="4:19" ht="12.75" x14ac:dyDescent="0.2">
      <c r="D50" s="114" t="s">
        <v>266</v>
      </c>
      <c r="H50" s="243" t="s">
        <v>21</v>
      </c>
      <c r="I50" s="243" t="s">
        <v>43</v>
      </c>
      <c r="J50" s="243" t="s">
        <v>21</v>
      </c>
      <c r="O50" s="57"/>
      <c r="P50" s="57"/>
      <c r="Q50" s="57"/>
      <c r="R50" s="57"/>
      <c r="S50" s="57"/>
    </row>
    <row r="51" spans="4:19" ht="12.75" x14ac:dyDescent="0.2">
      <c r="D51" s="114" t="s">
        <v>267</v>
      </c>
      <c r="H51" s="243" t="s">
        <v>21</v>
      </c>
      <c r="I51" s="243" t="s">
        <v>43</v>
      </c>
      <c r="J51" s="243" t="s">
        <v>21</v>
      </c>
      <c r="O51" s="57"/>
      <c r="P51" s="57"/>
      <c r="Q51" s="57"/>
      <c r="R51" s="57"/>
      <c r="S51" s="57"/>
    </row>
    <row r="52" spans="4:19" ht="11.25" customHeight="1" x14ac:dyDescent="0.2">
      <c r="O52" s="71"/>
      <c r="P52" s="71"/>
      <c r="Q52" s="71"/>
      <c r="R52" s="71"/>
      <c r="S52" s="71"/>
    </row>
    <row r="53" spans="4:19" ht="11.25" customHeight="1" x14ac:dyDescent="0.2">
      <c r="D53" s="120" t="s">
        <v>158</v>
      </c>
      <c r="E53" s="91"/>
      <c r="F53" s="91"/>
      <c r="G53" s="91"/>
      <c r="H53" s="118" t="s">
        <v>52</v>
      </c>
      <c r="I53" s="119" t="s">
        <v>43</v>
      </c>
      <c r="J53" s="119" t="s">
        <v>21</v>
      </c>
      <c r="K53" s="91"/>
      <c r="L53" s="91"/>
      <c r="O53" s="121">
        <f>LOOKUP(2,1/(O47:O51&lt;&gt;""),O47:O51)</f>
        <v>-6.9720598862145419E-2</v>
      </c>
      <c r="P53" s="121">
        <f>LOOKUP(2,1/(P47:P51&lt;&gt;""),P47:P51)</f>
        <v>-6.9720598862145419E-2</v>
      </c>
      <c r="Q53" s="121">
        <f>LOOKUP(2,1/(Q47:Q51&lt;&gt;""),Q47:Q51)</f>
        <v>-6.9720598862145419E-2</v>
      </c>
      <c r="R53" s="121">
        <f>LOOKUP(2,1/(R47:R51&lt;&gt;""),R47:R51)</f>
        <v>-6.9720598862145419E-2</v>
      </c>
      <c r="S53" s="121">
        <f>LOOKUP(2,1/(S47:S51&lt;&gt;""),S47:S51)</f>
        <v>-2.8343520443469883E-2</v>
      </c>
    </row>
    <row r="54" spans="4:19" ht="11.25" customHeight="1" x14ac:dyDescent="0.2">
      <c r="O54" s="71"/>
      <c r="P54" s="71"/>
      <c r="Q54" s="71"/>
      <c r="R54" s="71"/>
      <c r="S54" s="71"/>
    </row>
    <row r="55" spans="4:19" ht="12.75" x14ac:dyDescent="0.2">
      <c r="D55" s="117" t="s">
        <v>98</v>
      </c>
      <c r="O55" s="71"/>
      <c r="P55" s="71"/>
      <c r="Q55" s="71"/>
      <c r="R55" s="71"/>
      <c r="S55" s="71"/>
    </row>
    <row r="56" spans="4:19" ht="12.75" x14ac:dyDescent="0.2">
      <c r="D56" s="114" t="s">
        <v>229</v>
      </c>
      <c r="H56" s="243" t="s">
        <v>79</v>
      </c>
      <c r="I56" s="243" t="s">
        <v>43</v>
      </c>
      <c r="J56" s="243" t="s">
        <v>21</v>
      </c>
      <c r="O56" s="255">
        <v>2.734062802565429E-2</v>
      </c>
      <c r="P56" s="255">
        <v>2.8632860846278342E-2</v>
      </c>
      <c r="Q56" s="255">
        <v>2.9925093666902394E-2</v>
      </c>
      <c r="R56" s="255">
        <v>3.1217326487526443E-2</v>
      </c>
      <c r="S56" s="255">
        <v>3.2509559308150492E-2</v>
      </c>
    </row>
    <row r="57" spans="4:19" ht="12.75" x14ac:dyDescent="0.2">
      <c r="D57" s="114" t="s">
        <v>264</v>
      </c>
      <c r="H57" s="243" t="s">
        <v>21</v>
      </c>
      <c r="I57" s="243" t="s">
        <v>43</v>
      </c>
      <c r="J57" s="243" t="s">
        <v>21</v>
      </c>
      <c r="O57" s="94"/>
      <c r="P57" s="94"/>
      <c r="Q57" s="94"/>
      <c r="R57" s="94"/>
      <c r="S57" s="94"/>
    </row>
    <row r="58" spans="4:19" ht="12.75" x14ac:dyDescent="0.2">
      <c r="D58" s="114" t="s">
        <v>265</v>
      </c>
      <c r="H58" s="243" t="s">
        <v>21</v>
      </c>
      <c r="I58" s="243" t="s">
        <v>43</v>
      </c>
      <c r="J58" s="243" t="s">
        <v>21</v>
      </c>
      <c r="O58" s="94"/>
      <c r="P58" s="94"/>
      <c r="Q58" s="94"/>
      <c r="R58" s="94"/>
      <c r="S58" s="94"/>
    </row>
    <row r="59" spans="4:19" ht="12.75" x14ac:dyDescent="0.2">
      <c r="D59" s="114" t="s">
        <v>266</v>
      </c>
      <c r="H59" s="243" t="s">
        <v>21</v>
      </c>
      <c r="I59" s="243" t="s">
        <v>43</v>
      </c>
      <c r="J59" s="243" t="s">
        <v>21</v>
      </c>
      <c r="O59" s="94"/>
      <c r="P59" s="94"/>
      <c r="Q59" s="94"/>
      <c r="R59" s="94"/>
      <c r="S59" s="94"/>
    </row>
    <row r="60" spans="4:19" ht="12.75" x14ac:dyDescent="0.2">
      <c r="D60" s="114" t="s">
        <v>267</v>
      </c>
      <c r="H60" s="243" t="s">
        <v>21</v>
      </c>
      <c r="I60" s="243" t="s">
        <v>43</v>
      </c>
      <c r="J60" s="243" t="s">
        <v>21</v>
      </c>
      <c r="O60" s="57"/>
      <c r="P60" s="57"/>
      <c r="Q60" s="57"/>
      <c r="R60" s="57"/>
      <c r="S60" s="57"/>
    </row>
    <row r="61" spans="4:19" ht="11.25" customHeight="1" x14ac:dyDescent="0.2">
      <c r="O61" s="71"/>
      <c r="P61" s="71"/>
      <c r="Q61" s="71"/>
      <c r="R61" s="71"/>
      <c r="S61" s="71"/>
    </row>
    <row r="62" spans="4:19" ht="11.25" customHeight="1" x14ac:dyDescent="0.2">
      <c r="D62" s="120" t="s">
        <v>158</v>
      </c>
      <c r="E62" s="91"/>
      <c r="F62" s="91"/>
      <c r="G62" s="91"/>
      <c r="H62" s="118" t="s">
        <v>52</v>
      </c>
      <c r="I62" s="119" t="s">
        <v>43</v>
      </c>
      <c r="J62" s="119" t="s">
        <v>21</v>
      </c>
      <c r="K62" s="91"/>
      <c r="L62" s="91"/>
      <c r="O62" s="121">
        <f>LOOKUP(2,1/(O56:O60&lt;&gt;""),O56:O60)</f>
        <v>2.734062802565429E-2</v>
      </c>
      <c r="P62" s="121">
        <f>LOOKUP(2,1/(P56:P60&lt;&gt;""),P56:P60)</f>
        <v>2.8632860846278342E-2</v>
      </c>
      <c r="Q62" s="121">
        <f>LOOKUP(2,1/(Q56:Q60&lt;&gt;""),Q56:Q60)</f>
        <v>2.9925093666902394E-2</v>
      </c>
      <c r="R62" s="121">
        <f>LOOKUP(2,1/(R56:R60&lt;&gt;""),R56:R60)</f>
        <v>3.1217326487526443E-2</v>
      </c>
      <c r="S62" s="121">
        <f>LOOKUP(2,1/(S56:S60&lt;&gt;""),S56:S60)</f>
        <v>3.2509559308150492E-2</v>
      </c>
    </row>
    <row r="63" spans="4:19" ht="11.25" customHeight="1" x14ac:dyDescent="0.2"/>
    <row r="64" spans="4:19" ht="12.75" x14ac:dyDescent="0.2">
      <c r="D64" s="117" t="s">
        <v>178</v>
      </c>
      <c r="O64" s="71"/>
      <c r="P64" s="71"/>
      <c r="Q64" s="71"/>
      <c r="R64" s="71"/>
      <c r="S64" s="71"/>
    </row>
    <row r="65" spans="3:21" ht="12.75" x14ac:dyDescent="0.2">
      <c r="D65" s="114" t="s">
        <v>229</v>
      </c>
      <c r="H65" s="243" t="s">
        <v>79</v>
      </c>
      <c r="I65" s="243" t="s">
        <v>43</v>
      </c>
      <c r="J65" s="243" t="s">
        <v>21</v>
      </c>
      <c r="O65" s="57">
        <v>0.02</v>
      </c>
    </row>
    <row r="66" spans="3:21" ht="11.25" customHeight="1" x14ac:dyDescent="0.2"/>
    <row r="67" spans="3:21" ht="11.25" customHeight="1" x14ac:dyDescent="0.2"/>
    <row r="68" spans="3:21" s="8" customFormat="1" ht="15" x14ac:dyDescent="0.2">
      <c r="C68" s="8" t="s">
        <v>691</v>
      </c>
    </row>
    <row r="71" spans="3:21" ht="11.25" customHeight="1" x14ac:dyDescent="0.2">
      <c r="D71" s="70" t="s">
        <v>95</v>
      </c>
      <c r="H71" s="54" t="str">
        <f>Lookup!E$19</f>
        <v>Source</v>
      </c>
      <c r="I71" s="54" t="str">
        <f>Lookup!F$19</f>
        <v>Unit</v>
      </c>
      <c r="J71" s="54" t="str">
        <f>Lookup!G$19</f>
        <v>Basis</v>
      </c>
      <c r="M71" s="54" t="str">
        <f t="shared" ref="M71:S71" si="2">M$9</f>
        <v>FY23</v>
      </c>
      <c r="N71" s="54" t="str">
        <f t="shared" si="2"/>
        <v>FY24</v>
      </c>
      <c r="O71" s="54" t="str">
        <f t="shared" si="2"/>
        <v>FY25</v>
      </c>
      <c r="P71" s="54" t="str">
        <f t="shared" si="2"/>
        <v>FY26</v>
      </c>
      <c r="Q71" s="54" t="str">
        <f t="shared" si="2"/>
        <v>FY27</v>
      </c>
      <c r="R71" s="54" t="str">
        <f t="shared" si="2"/>
        <v>FY28</v>
      </c>
      <c r="S71" s="54" t="str">
        <f t="shared" si="2"/>
        <v>FY29</v>
      </c>
      <c r="U71" s="107" t="s">
        <v>483</v>
      </c>
    </row>
    <row r="73" spans="3:21" ht="12.75" x14ac:dyDescent="0.2">
      <c r="D73" s="7" t="s">
        <v>109</v>
      </c>
      <c r="H73" s="243" t="str">
        <f>NA</f>
        <v>N/A</v>
      </c>
      <c r="I73" s="243" t="str">
        <f>I85</f>
        <v>$000's</v>
      </c>
      <c r="J73" s="243" t="str">
        <f>J85</f>
        <v>Nominal</v>
      </c>
      <c r="M73" s="67"/>
      <c r="N73" s="67"/>
      <c r="O73" s="67"/>
      <c r="P73" s="67"/>
      <c r="Q73" s="67"/>
      <c r="R73" s="67"/>
      <c r="S73" s="67"/>
    </row>
    <row r="74" spans="3:21" ht="12.75" x14ac:dyDescent="0.2">
      <c r="D74" s="7" t="s">
        <v>110</v>
      </c>
      <c r="H74" s="243" t="str">
        <f>NA</f>
        <v>N/A</v>
      </c>
      <c r="I74" s="243" t="str">
        <f t="shared" ref="I74:J76" si="3">I73</f>
        <v>$000's</v>
      </c>
      <c r="J74" s="243" t="str">
        <f t="shared" si="3"/>
        <v>Nominal</v>
      </c>
      <c r="M74" s="95"/>
      <c r="N74" s="95"/>
      <c r="O74" s="67"/>
      <c r="P74" s="67"/>
      <c r="Q74" s="67"/>
      <c r="R74" s="67"/>
      <c r="S74" s="67"/>
      <c r="U74" s="107" t="s">
        <v>234</v>
      </c>
    </row>
    <row r="75" spans="3:21" ht="12.75" x14ac:dyDescent="0.2">
      <c r="D75" s="7" t="s">
        <v>111</v>
      </c>
      <c r="H75" s="243" t="str">
        <f>NA</f>
        <v>N/A</v>
      </c>
      <c r="I75" s="243" t="str">
        <f t="shared" si="3"/>
        <v>$000's</v>
      </c>
      <c r="J75" s="243" t="str">
        <f t="shared" si="3"/>
        <v>Nominal</v>
      </c>
      <c r="M75" s="67"/>
      <c r="N75" s="67"/>
      <c r="O75" s="67"/>
      <c r="P75" s="67"/>
      <c r="Q75" s="67"/>
      <c r="R75" s="67"/>
      <c r="S75" s="67"/>
    </row>
    <row r="76" spans="3:21" ht="12.75" x14ac:dyDescent="0.2">
      <c r="D76" s="7" t="s">
        <v>165</v>
      </c>
      <c r="H76" s="243" t="str">
        <f>NA</f>
        <v>N/A</v>
      </c>
      <c r="I76" s="243" t="str">
        <f t="shared" si="3"/>
        <v>$000's</v>
      </c>
      <c r="J76" s="243" t="str">
        <f t="shared" si="3"/>
        <v>Nominal</v>
      </c>
      <c r="M76" s="67"/>
      <c r="N76" s="67"/>
      <c r="O76" s="67"/>
      <c r="P76" s="67"/>
      <c r="Q76" s="67"/>
      <c r="R76" s="67"/>
      <c r="S76" s="67"/>
    </row>
    <row r="77" spans="3:21" x14ac:dyDescent="0.2">
      <c r="M77" s="145"/>
    </row>
    <row r="79" spans="3:21" s="8" customFormat="1" ht="15" x14ac:dyDescent="0.2">
      <c r="C79" s="8" t="s">
        <v>692</v>
      </c>
    </row>
    <row r="82" spans="2:21" ht="11.25" customHeight="1" x14ac:dyDescent="0.2">
      <c r="D82" s="70" t="s">
        <v>95</v>
      </c>
      <c r="H82" s="54" t="str">
        <f>Lookup!E$19</f>
        <v>Source</v>
      </c>
      <c r="I82" s="54" t="str">
        <f>Lookup!F$19</f>
        <v>Unit</v>
      </c>
      <c r="J82" s="54" t="str">
        <f>Lookup!G$19</f>
        <v>Basis</v>
      </c>
      <c r="M82" s="54" t="str">
        <f t="shared" ref="M82:S82" si="4">M$9</f>
        <v>FY23</v>
      </c>
      <c r="N82" s="54" t="str">
        <f t="shared" si="4"/>
        <v>FY24</v>
      </c>
      <c r="O82" s="54" t="str">
        <f t="shared" si="4"/>
        <v>FY25</v>
      </c>
      <c r="P82" s="54" t="str">
        <f t="shared" si="4"/>
        <v>FY26</v>
      </c>
      <c r="Q82" s="54" t="str">
        <f t="shared" si="4"/>
        <v>FY27</v>
      </c>
      <c r="R82" s="54" t="str">
        <f t="shared" si="4"/>
        <v>FY28</v>
      </c>
      <c r="S82" s="54" t="str">
        <f t="shared" si="4"/>
        <v>FY29</v>
      </c>
    </row>
    <row r="83" spans="2:21" x14ac:dyDescent="0.2">
      <c r="M83" s="146" t="s">
        <v>221</v>
      </c>
      <c r="N83" s="146" t="s">
        <v>221</v>
      </c>
      <c r="O83" s="146" t="s">
        <v>221</v>
      </c>
      <c r="P83" s="146" t="s">
        <v>221</v>
      </c>
      <c r="Q83" s="146" t="s">
        <v>221</v>
      </c>
      <c r="R83" s="146" t="s">
        <v>221</v>
      </c>
      <c r="S83" s="146" t="s">
        <v>221</v>
      </c>
      <c r="U83" s="107" t="s">
        <v>483</v>
      </c>
    </row>
    <row r="84" spans="2:21" ht="12.75" x14ac:dyDescent="0.2">
      <c r="D84" s="7" t="s">
        <v>107</v>
      </c>
      <c r="H84" s="243" t="str">
        <f>NA</f>
        <v>N/A</v>
      </c>
      <c r="I84" s="243" t="s">
        <v>47</v>
      </c>
      <c r="J84" s="243" t="s">
        <v>40</v>
      </c>
      <c r="M84" s="67"/>
      <c r="N84" s="67"/>
      <c r="O84" s="67"/>
      <c r="P84" s="67"/>
      <c r="Q84" s="67"/>
      <c r="R84" s="67"/>
      <c r="S84" s="67"/>
    </row>
    <row r="85" spans="2:21" ht="12.75" x14ac:dyDescent="0.2">
      <c r="D85" s="7" t="s">
        <v>225</v>
      </c>
      <c r="H85" s="243" t="str">
        <f>NA</f>
        <v>N/A</v>
      </c>
      <c r="I85" s="243" t="str">
        <f>I84</f>
        <v>$000's</v>
      </c>
      <c r="J85" s="243" t="str">
        <f>J84</f>
        <v>Nominal</v>
      </c>
      <c r="M85" s="67"/>
      <c r="N85" s="67"/>
    </row>
    <row r="86" spans="2:21" ht="12.75" x14ac:dyDescent="0.2">
      <c r="D86" s="7"/>
      <c r="H86" s="80"/>
      <c r="I86" s="84"/>
      <c r="J86" s="84"/>
      <c r="M86" s="66"/>
      <c r="N86" s="66"/>
    </row>
    <row r="87" spans="2:21" ht="12.75" x14ac:dyDescent="0.2">
      <c r="D87" s="7" t="s">
        <v>224</v>
      </c>
      <c r="H87" s="243" t="str">
        <f>H76</f>
        <v>N/A</v>
      </c>
      <c r="I87" s="243" t="str">
        <f>I76</f>
        <v>$000's</v>
      </c>
      <c r="J87" s="243" t="str">
        <f>J76</f>
        <v>Nominal</v>
      </c>
      <c r="M87" s="67"/>
    </row>
    <row r="89" spans="2:21" ht="12.75" x14ac:dyDescent="0.2">
      <c r="D89" s="81" t="s">
        <v>97</v>
      </c>
      <c r="H89" s="243" t="str">
        <f>NA</f>
        <v>N/A</v>
      </c>
      <c r="I89" s="243" t="s">
        <v>43</v>
      </c>
      <c r="J89" s="243" t="s">
        <v>21</v>
      </c>
      <c r="M89" s="94"/>
      <c r="N89" s="94"/>
    </row>
    <row r="92" spans="2:21" s="2" customFormat="1" ht="15.75" x14ac:dyDescent="0.2">
      <c r="B92" s="2" t="s">
        <v>693</v>
      </c>
    </row>
    <row r="93" spans="2:21" ht="11.25" customHeight="1" x14ac:dyDescent="0.2"/>
    <row r="94" spans="2:21" x14ac:dyDescent="0.2">
      <c r="D94" s="105" t="s">
        <v>484</v>
      </c>
    </row>
    <row r="97" spans="3:17" s="8" customFormat="1" ht="15" x14ac:dyDescent="0.2">
      <c r="C97" s="8" t="s">
        <v>694</v>
      </c>
    </row>
    <row r="99" spans="3:17" ht="12.75" x14ac:dyDescent="0.2">
      <c r="C99" s="170" t="s">
        <v>5</v>
      </c>
      <c r="D99" s="70" t="str">
        <f>D$9</f>
        <v>Tariff</v>
      </c>
      <c r="H99" s="54" t="str">
        <f>Lookup!E$19</f>
        <v>Source</v>
      </c>
      <c r="I99" s="54" t="str">
        <f>Lookup!F$19</f>
        <v>Unit</v>
      </c>
      <c r="J99" s="54" t="str">
        <f>Lookup!G$19</f>
        <v>Basis</v>
      </c>
      <c r="M99" s="156" t="s">
        <v>254</v>
      </c>
      <c r="O99" s="156" t="s">
        <v>258</v>
      </c>
    </row>
    <row r="101" spans="3:17" ht="12.75" x14ac:dyDescent="0.2">
      <c r="C101" s="169">
        <v>1</v>
      </c>
      <c r="D101" s="85" t="str" cm="1">
        <f t="array" ref="D101:D108">LU_Tariffs</f>
        <v>Residential Accumulation</v>
      </c>
      <c r="H101" s="243" t="s">
        <v>79</v>
      </c>
      <c r="I101" s="243" t="s">
        <v>21</v>
      </c>
      <c r="J101" s="243" t="s">
        <v>21</v>
      </c>
      <c r="M101" s="64" t="s">
        <v>255</v>
      </c>
      <c r="O101" s="94">
        <v>0.93</v>
      </c>
      <c r="Q101" s="107" t="s">
        <v>259</v>
      </c>
    </row>
    <row r="102" spans="3:17" ht="12.75" x14ac:dyDescent="0.2">
      <c r="C102" s="169">
        <v>2</v>
      </c>
      <c r="D102" s="85" t="str">
        <v>Non-Residential Accumulation</v>
      </c>
      <c r="H102" s="243" t="s">
        <v>79</v>
      </c>
      <c r="I102" s="243" t="s">
        <v>21</v>
      </c>
      <c r="J102" s="243" t="s">
        <v>21</v>
      </c>
      <c r="M102" s="64" t="s">
        <v>255</v>
      </c>
      <c r="O102" s="94">
        <v>0.91</v>
      </c>
    </row>
    <row r="103" spans="3:17" ht="12.75" x14ac:dyDescent="0.2">
      <c r="C103" s="169" t="s">
        <v>491</v>
      </c>
      <c r="D103" s="85" t="str">
        <v>LV Smart Meter - Res</v>
      </c>
      <c r="H103" s="243" t="s">
        <v>79</v>
      </c>
      <c r="I103" s="243" t="s">
        <v>21</v>
      </c>
      <c r="J103" s="243" t="s">
        <v>21</v>
      </c>
      <c r="M103" s="64" t="s">
        <v>255</v>
      </c>
      <c r="O103" s="94">
        <v>0.93</v>
      </c>
    </row>
    <row r="104" spans="3:17" ht="12.75" x14ac:dyDescent="0.2">
      <c r="C104" s="169" t="s">
        <v>492</v>
      </c>
      <c r="D104" s="85" t="str">
        <v>LV Smart Meter - Small Comm</v>
      </c>
      <c r="H104" s="243" t="s">
        <v>79</v>
      </c>
      <c r="I104" s="243" t="s">
        <v>21</v>
      </c>
      <c r="J104" s="243" t="s">
        <v>21</v>
      </c>
      <c r="M104" s="64" t="s">
        <v>255</v>
      </c>
      <c r="O104" s="94">
        <v>0.93</v>
      </c>
    </row>
    <row r="105" spans="3:17" ht="12.75" x14ac:dyDescent="0.2">
      <c r="C105" s="169" t="s">
        <v>493</v>
      </c>
      <c r="D105" s="85" t="str">
        <v>LV Smart Meter - Med Comm</v>
      </c>
      <c r="H105" s="243" t="s">
        <v>79</v>
      </c>
      <c r="I105" s="243" t="s">
        <v>21</v>
      </c>
      <c r="J105" s="243" t="s">
        <v>21</v>
      </c>
      <c r="M105" s="64" t="s">
        <v>255</v>
      </c>
      <c r="O105" s="94">
        <v>0.93</v>
      </c>
    </row>
    <row r="106" spans="3:17" ht="12.75" x14ac:dyDescent="0.2">
      <c r="C106" s="169">
        <v>4</v>
      </c>
      <c r="D106" s="85" t="str">
        <v>Unmetered</v>
      </c>
      <c r="H106" s="243" t="s">
        <v>79</v>
      </c>
      <c r="I106" s="243" t="s">
        <v>21</v>
      </c>
      <c r="J106" s="243" t="s">
        <v>21</v>
      </c>
      <c r="M106" s="64" t="s">
        <v>255</v>
      </c>
      <c r="O106" s="94">
        <v>0.9</v>
      </c>
    </row>
    <row r="107" spans="3:17" ht="12.75" x14ac:dyDescent="0.2">
      <c r="C107" s="169">
        <v>5</v>
      </c>
      <c r="D107" s="85" t="str">
        <v>LV Majors</v>
      </c>
      <c r="H107" s="243" t="s">
        <v>79</v>
      </c>
      <c r="I107" s="243" t="s">
        <v>21</v>
      </c>
      <c r="J107" s="243" t="s">
        <v>21</v>
      </c>
      <c r="M107" s="64" t="s">
        <v>255</v>
      </c>
      <c r="O107" s="94">
        <v>0.94</v>
      </c>
    </row>
    <row r="108" spans="3:17" ht="12.75" x14ac:dyDescent="0.2">
      <c r="C108" s="169">
        <v>6</v>
      </c>
      <c r="D108" s="85" t="str">
        <v>HV Smart Meters</v>
      </c>
      <c r="H108" s="243" t="s">
        <v>79</v>
      </c>
      <c r="I108" s="243" t="s">
        <v>21</v>
      </c>
      <c r="J108" s="243" t="s">
        <v>21</v>
      </c>
      <c r="M108" s="64" t="s">
        <v>69</v>
      </c>
      <c r="O108" s="94">
        <v>0.9</v>
      </c>
    </row>
    <row r="111" spans="3:17" s="8" customFormat="1" ht="15" x14ac:dyDescent="0.2">
      <c r="C111" s="8" t="s">
        <v>695</v>
      </c>
    </row>
    <row r="112" spans="3:17" ht="11.25" customHeight="1" x14ac:dyDescent="0.2"/>
    <row r="113" spans="3:19" ht="11.25" customHeight="1" x14ac:dyDescent="0.2">
      <c r="C113" s="170" t="s">
        <v>5</v>
      </c>
      <c r="D113" s="70" t="str">
        <f>D$9</f>
        <v>Tariff</v>
      </c>
      <c r="H113" s="54" t="str">
        <f>Lookup!E$19</f>
        <v>Source</v>
      </c>
      <c r="I113" s="54" t="str">
        <f>Lookup!F$19</f>
        <v>Unit</v>
      </c>
      <c r="M113" s="54" t="str">
        <f t="shared" ref="M113:S113" si="5">M$9</f>
        <v>FY23</v>
      </c>
      <c r="N113" s="54" t="str">
        <f t="shared" si="5"/>
        <v>FY24</v>
      </c>
      <c r="O113" s="54" t="str">
        <f t="shared" si="5"/>
        <v>FY25</v>
      </c>
      <c r="P113" s="54" t="str">
        <f t="shared" si="5"/>
        <v>FY26</v>
      </c>
      <c r="Q113" s="54" t="str">
        <f t="shared" si="5"/>
        <v>FY27</v>
      </c>
      <c r="R113" s="54" t="str">
        <f t="shared" si="5"/>
        <v>FY28</v>
      </c>
      <c r="S113" s="54" t="str">
        <f t="shared" si="5"/>
        <v>FY29</v>
      </c>
    </row>
    <row r="114" spans="3:19" ht="11.25" customHeight="1" x14ac:dyDescent="0.2"/>
    <row r="115" spans="3:19" ht="12.75" x14ac:dyDescent="0.2">
      <c r="C115" s="169">
        <v>1</v>
      </c>
      <c r="D115" s="85" t="str" cm="1">
        <f t="array" ref="D115:D122">LU_Tariffs</f>
        <v>Residential Accumulation</v>
      </c>
      <c r="H115" s="243" t="s">
        <v>79</v>
      </c>
      <c r="I115" s="243" t="s">
        <v>262</v>
      </c>
      <c r="M115" s="69"/>
      <c r="N115" s="69"/>
      <c r="O115" s="258">
        <v>103.57062893230574</v>
      </c>
      <c r="P115" s="258">
        <v>79.29435577523067</v>
      </c>
      <c r="Q115" s="258">
        <v>53.785106164476602</v>
      </c>
      <c r="R115" s="258">
        <v>27.61790684765932</v>
      </c>
      <c r="S115" s="258">
        <v>23.919677833900824</v>
      </c>
    </row>
    <row r="116" spans="3:19" ht="12.75" x14ac:dyDescent="0.2">
      <c r="C116" s="169">
        <v>2</v>
      </c>
      <c r="D116" s="85" t="str">
        <v>Non-Residential Accumulation</v>
      </c>
      <c r="H116" s="243" t="s">
        <v>79</v>
      </c>
      <c r="I116" s="243" t="s">
        <v>262</v>
      </c>
      <c r="M116" s="69"/>
      <c r="N116" s="69"/>
      <c r="O116" s="258">
        <v>11.859630418586233</v>
      </c>
      <c r="P116" s="258">
        <v>8.9093257354559121</v>
      </c>
      <c r="Q116" s="258">
        <v>5.8041457206353204</v>
      </c>
      <c r="R116" s="258">
        <v>2.6095523682284614</v>
      </c>
      <c r="S116" s="258">
        <v>0</v>
      </c>
    </row>
    <row r="117" spans="3:19" ht="12.75" x14ac:dyDescent="0.2">
      <c r="C117" s="169" t="s">
        <v>491</v>
      </c>
      <c r="D117" s="85" t="str">
        <v>LV Smart Meter - Res</v>
      </c>
      <c r="H117" s="243" t="s">
        <v>79</v>
      </c>
      <c r="I117" s="243" t="s">
        <v>262</v>
      </c>
      <c r="M117" s="69"/>
      <c r="N117" s="69"/>
      <c r="O117" s="258">
        <v>82.716308286319915</v>
      </c>
      <c r="P117" s="258">
        <v>111.09660687829764</v>
      </c>
      <c r="Q117" s="258">
        <v>139.71863988374764</v>
      </c>
      <c r="R117" s="258">
        <v>169.12251479938038</v>
      </c>
      <c r="S117" s="258">
        <v>174.92580206255437</v>
      </c>
    </row>
    <row r="118" spans="3:19" ht="12.75" x14ac:dyDescent="0.2">
      <c r="C118" s="169" t="s">
        <v>492</v>
      </c>
      <c r="D118" s="85" t="str">
        <v>LV Smart Meter - Small Comm</v>
      </c>
      <c r="H118" s="243" t="s">
        <v>79</v>
      </c>
      <c r="I118" s="243" t="s">
        <v>262</v>
      </c>
      <c r="M118" s="69"/>
      <c r="N118" s="69"/>
      <c r="O118" s="258">
        <v>58.679254350943772</v>
      </c>
      <c r="P118" s="258">
        <v>62.732242390363297</v>
      </c>
      <c r="Q118" s="258">
        <v>66.554233450241426</v>
      </c>
      <c r="R118" s="258">
        <v>70.496687063648281</v>
      </c>
      <c r="S118" s="258">
        <v>74.201334501438538</v>
      </c>
    </row>
    <row r="119" spans="3:19" ht="12.75" x14ac:dyDescent="0.2">
      <c r="C119" s="169" t="s">
        <v>493</v>
      </c>
      <c r="D119" s="85" t="str">
        <v>LV Smart Meter - Med Comm</v>
      </c>
      <c r="H119" s="243" t="s">
        <v>79</v>
      </c>
      <c r="I119" s="243" t="s">
        <v>262</v>
      </c>
      <c r="M119" s="69"/>
      <c r="N119" s="69"/>
      <c r="O119" s="258">
        <v>43.212802677086472</v>
      </c>
      <c r="P119" s="258">
        <v>46.185459310793632</v>
      </c>
      <c r="Q119" s="258">
        <v>48.978134808691252</v>
      </c>
      <c r="R119" s="258">
        <v>51.907452736710539</v>
      </c>
      <c r="S119" s="258">
        <v>54.598676342351354</v>
      </c>
    </row>
    <row r="120" spans="3:19" ht="12.75" x14ac:dyDescent="0.2">
      <c r="C120" s="169">
        <v>4</v>
      </c>
      <c r="D120" s="85" t="str">
        <v>Unmetered</v>
      </c>
      <c r="H120" s="243" t="s">
        <v>79</v>
      </c>
      <c r="I120" s="243" t="s">
        <v>262</v>
      </c>
      <c r="M120" s="69"/>
      <c r="N120" s="69"/>
      <c r="O120" s="258">
        <v>0</v>
      </c>
      <c r="P120" s="258">
        <v>0</v>
      </c>
      <c r="Q120" s="258">
        <v>0</v>
      </c>
      <c r="R120" s="258">
        <v>0</v>
      </c>
      <c r="S120" s="258">
        <v>0</v>
      </c>
    </row>
    <row r="121" spans="3:19" ht="12.75" x14ac:dyDescent="0.2">
      <c r="C121" s="169">
        <v>5</v>
      </c>
      <c r="D121" s="85" t="str">
        <v>LV Majors</v>
      </c>
      <c r="H121" s="243" t="s">
        <v>79</v>
      </c>
      <c r="I121" s="243" t="s">
        <v>262</v>
      </c>
      <c r="M121" s="69"/>
      <c r="N121" s="69"/>
      <c r="O121" s="258">
        <v>46.861850113043268</v>
      </c>
      <c r="P121" s="258">
        <v>47.876820801184941</v>
      </c>
      <c r="Q121" s="258">
        <v>48.641609846347158</v>
      </c>
      <c r="R121" s="258">
        <v>49.438031139827714</v>
      </c>
      <c r="S121" s="258">
        <v>50.016811792298412</v>
      </c>
    </row>
    <row r="122" spans="3:19" ht="12.75" x14ac:dyDescent="0.2">
      <c r="C122" s="169">
        <v>6</v>
      </c>
      <c r="D122" s="85" t="str">
        <v>HV Smart Meters</v>
      </c>
      <c r="H122" s="243" t="s">
        <v>79</v>
      </c>
      <c r="I122" s="243" t="s">
        <v>262</v>
      </c>
      <c r="M122" s="69"/>
      <c r="N122" s="69"/>
      <c r="O122" s="258">
        <v>29.985644647526218</v>
      </c>
      <c r="P122" s="258">
        <v>30.96647830550355</v>
      </c>
      <c r="Q122" s="258">
        <v>31.416008962341049</v>
      </c>
      <c r="R122" s="258">
        <v>31.884674799648074</v>
      </c>
      <c r="S122" s="258">
        <v>32.211858079600795</v>
      </c>
    </row>
    <row r="123" spans="3:19" ht="11.25" customHeight="1" x14ac:dyDescent="0.2"/>
    <row r="124" spans="3:19" ht="11.25" customHeight="1" x14ac:dyDescent="0.2">
      <c r="D124" s="62" t="s">
        <v>51</v>
      </c>
      <c r="H124" s="56" t="s">
        <v>52</v>
      </c>
      <c r="I124" s="56" t="s">
        <v>262</v>
      </c>
      <c r="M124" s="55" t="str">
        <f>NA</f>
        <v>N/A</v>
      </c>
      <c r="N124" s="55" t="str">
        <f>NA</f>
        <v>N/A</v>
      </c>
      <c r="O124" s="65">
        <f>SUM(O115:O122)</f>
        <v>376.88611942581161</v>
      </c>
      <c r="P124" s="65">
        <f>SUM(P115:P122)</f>
        <v>387.06128919682959</v>
      </c>
      <c r="Q124" s="65">
        <f>SUM(Q115:Q122)</f>
        <v>394.89787883648046</v>
      </c>
      <c r="R124" s="65">
        <f>SUM(R115:R122)</f>
        <v>403.07681975510275</v>
      </c>
      <c r="S124" s="65">
        <f>SUM(S115:S122)</f>
        <v>409.87416061214435</v>
      </c>
    </row>
    <row r="125" spans="3:19" ht="11.25" customHeight="1" x14ac:dyDescent="0.2"/>
    <row r="126" spans="3:19" ht="11.25" customHeight="1" x14ac:dyDescent="0.2"/>
    <row r="127" spans="3:19" s="2" customFormat="1" ht="15.75" x14ac:dyDescent="0.2">
      <c r="C127" s="2" t="s">
        <v>696</v>
      </c>
    </row>
    <row r="129" spans="1:19" ht="11.25" customHeight="1" x14ac:dyDescent="0.2">
      <c r="D129" s="105" t="s">
        <v>270</v>
      </c>
    </row>
    <row r="130" spans="1:19" ht="11.25" customHeight="1" x14ac:dyDescent="0.2"/>
    <row r="131" spans="1:19" ht="11.25" customHeight="1" x14ac:dyDescent="0.2"/>
    <row r="132" spans="1:19" ht="12.75" x14ac:dyDescent="0.2">
      <c r="C132" s="170" t="s">
        <v>5</v>
      </c>
      <c r="D132" s="70" t="str">
        <f>D$9</f>
        <v>Tariff</v>
      </c>
      <c r="E132" s="54" t="str">
        <f>E$9</f>
        <v>Tariff Components</v>
      </c>
      <c r="F132" s="54" t="s">
        <v>138</v>
      </c>
      <c r="H132" s="54" t="str">
        <f>Lookup!E$19</f>
        <v>Source</v>
      </c>
      <c r="I132" s="54" t="str">
        <f>Lookup!F$19</f>
        <v>Unit</v>
      </c>
      <c r="J132" s="54" t="str">
        <f>Lookup!G$19</f>
        <v>Basis</v>
      </c>
      <c r="O132" s="54" t="str">
        <f>O$9</f>
        <v>FY25</v>
      </c>
      <c r="P132" s="54" t="str">
        <f>P$9</f>
        <v>FY26</v>
      </c>
      <c r="Q132" s="54" t="str">
        <f>Q$9</f>
        <v>FY27</v>
      </c>
      <c r="R132" s="54" t="str">
        <f>R$9</f>
        <v>FY28</v>
      </c>
      <c r="S132" s="54" t="str">
        <f>S$9</f>
        <v>FY29</v>
      </c>
    </row>
    <row r="134" spans="1:19" ht="12.75" x14ac:dyDescent="0.2">
      <c r="A134" s="59" cm="1">
        <f t="array" ref="A134">IF(SUMPRODUCT(($D$134:$D$158=$D134)*($O$134:$S$158))=COUNTA($O$132:$S$132),0,1)</f>
        <v>0</v>
      </c>
      <c r="C134" s="169">
        <v>1</v>
      </c>
      <c r="D134" s="85" t="s">
        <v>242</v>
      </c>
      <c r="E134" s="243" t="s">
        <v>105</v>
      </c>
      <c r="H134" s="243" t="s">
        <v>79</v>
      </c>
      <c r="I134" s="243" t="s">
        <v>43</v>
      </c>
      <c r="J134" s="243" t="s">
        <v>21</v>
      </c>
      <c r="O134" s="94">
        <v>0.7</v>
      </c>
      <c r="P134" s="94">
        <v>0.7</v>
      </c>
      <c r="Q134" s="94">
        <v>0.7</v>
      </c>
      <c r="R134" s="94">
        <v>0.7</v>
      </c>
      <c r="S134" s="94">
        <v>0.7</v>
      </c>
    </row>
    <row r="135" spans="1:19" ht="12.75" x14ac:dyDescent="0.2">
      <c r="C135" s="169">
        <v>1</v>
      </c>
      <c r="D135" s="85" t="s">
        <v>242</v>
      </c>
      <c r="E135" s="243" t="s">
        <v>275</v>
      </c>
      <c r="H135" s="243" t="s">
        <v>79</v>
      </c>
      <c r="I135" s="243" t="s">
        <v>43</v>
      </c>
      <c r="J135" s="243" t="s">
        <v>21</v>
      </c>
      <c r="O135" s="94">
        <v>0.30000000000000004</v>
      </c>
      <c r="P135" s="94">
        <v>0.30000000000000004</v>
      </c>
      <c r="Q135" s="94">
        <v>0.30000000000000004</v>
      </c>
      <c r="R135" s="94">
        <v>0.30000000000000004</v>
      </c>
      <c r="S135" s="94">
        <v>0.30000000000000004</v>
      </c>
    </row>
    <row r="136" spans="1:19" ht="12.75" x14ac:dyDescent="0.2">
      <c r="A136" s="59" cm="1">
        <f t="array" ref="A136">IF(SUMPRODUCT(($D$134:$D$158=$D136)*($O$134:$S$158))=COUNTA($O$132:$S$132),0,1)</f>
        <v>0</v>
      </c>
      <c r="C136" s="169">
        <v>2</v>
      </c>
      <c r="D136" s="85" t="s">
        <v>243</v>
      </c>
      <c r="E136" s="243" t="s">
        <v>105</v>
      </c>
      <c r="H136" s="243" t="s">
        <v>79</v>
      </c>
      <c r="I136" s="243" t="s">
        <v>43</v>
      </c>
      <c r="J136" s="243" t="s">
        <v>21</v>
      </c>
      <c r="O136" s="94">
        <v>0.28860000000000002</v>
      </c>
      <c r="P136" s="94">
        <v>0.28860000000000002</v>
      </c>
      <c r="Q136" s="94">
        <v>0.28860000000000002</v>
      </c>
      <c r="R136" s="94">
        <v>0.28860000000000002</v>
      </c>
      <c r="S136" s="94">
        <v>0.28860000000000002</v>
      </c>
    </row>
    <row r="137" spans="1:19" ht="12.75" x14ac:dyDescent="0.2">
      <c r="C137" s="169">
        <v>2</v>
      </c>
      <c r="D137" s="85" t="s">
        <v>243</v>
      </c>
      <c r="E137" s="243" t="s">
        <v>275</v>
      </c>
      <c r="H137" s="243" t="s">
        <v>79</v>
      </c>
      <c r="I137" s="243" t="s">
        <v>43</v>
      </c>
      <c r="J137" s="243" t="s">
        <v>21</v>
      </c>
      <c r="O137" s="94">
        <v>0.71140000000000003</v>
      </c>
      <c r="P137" s="94">
        <v>0.71140000000000003</v>
      </c>
      <c r="Q137" s="94">
        <v>0.71140000000000003</v>
      </c>
      <c r="R137" s="94">
        <v>0.71140000000000003</v>
      </c>
      <c r="S137" s="94">
        <v>0.71140000000000003</v>
      </c>
    </row>
    <row r="138" spans="1:19" ht="12.75" x14ac:dyDescent="0.2">
      <c r="A138" s="59" cm="1">
        <f t="array" ref="A138">IF(SUMPRODUCT(($D$134:$D$158=$D138)*($O$134:$S$158))=COUNTA($O$132:$S$132),0,1)</f>
        <v>0</v>
      </c>
      <c r="C138" s="169" t="s">
        <v>491</v>
      </c>
      <c r="D138" s="85" t="s">
        <v>244</v>
      </c>
      <c r="E138" s="243" t="s">
        <v>105</v>
      </c>
      <c r="H138" s="243" t="s">
        <v>79</v>
      </c>
      <c r="I138" s="243" t="s">
        <v>43</v>
      </c>
      <c r="J138" s="243" t="s">
        <v>21</v>
      </c>
      <c r="O138" s="94">
        <v>0.9</v>
      </c>
      <c r="P138" s="94">
        <v>0.9</v>
      </c>
      <c r="Q138" s="94">
        <v>0.9</v>
      </c>
      <c r="R138" s="94">
        <v>0.9</v>
      </c>
      <c r="S138" s="94">
        <v>0.9</v>
      </c>
    </row>
    <row r="139" spans="1:19" ht="12.75" x14ac:dyDescent="0.2">
      <c r="C139" s="169" t="s">
        <v>491</v>
      </c>
      <c r="D139" s="85" t="s">
        <v>244</v>
      </c>
      <c r="E139" s="243" t="s">
        <v>272</v>
      </c>
      <c r="H139" s="243" t="s">
        <v>79</v>
      </c>
      <c r="I139" s="243" t="s">
        <v>43</v>
      </c>
      <c r="J139" s="243" t="s">
        <v>21</v>
      </c>
      <c r="O139" s="94">
        <v>0</v>
      </c>
      <c r="P139" s="94">
        <v>0</v>
      </c>
      <c r="Q139" s="94">
        <v>0</v>
      </c>
      <c r="R139" s="94">
        <v>0</v>
      </c>
      <c r="S139" s="94">
        <v>0</v>
      </c>
    </row>
    <row r="140" spans="1:19" ht="12.75" x14ac:dyDescent="0.2">
      <c r="C140" s="169" t="s">
        <v>491</v>
      </c>
      <c r="D140" s="85" t="s">
        <v>244</v>
      </c>
      <c r="E140" s="243" t="s">
        <v>273</v>
      </c>
      <c r="H140" s="243" t="s">
        <v>79</v>
      </c>
      <c r="I140" s="243" t="s">
        <v>43</v>
      </c>
      <c r="J140" s="243" t="s">
        <v>21</v>
      </c>
      <c r="O140" s="94">
        <v>9.9999999999999978E-2</v>
      </c>
      <c r="P140" s="94">
        <v>9.9999999999999978E-2</v>
      </c>
      <c r="Q140" s="94">
        <v>9.9999999999999978E-2</v>
      </c>
      <c r="R140" s="94">
        <v>9.9999999999999978E-2</v>
      </c>
      <c r="S140" s="94">
        <v>9.9999999999999978E-2</v>
      </c>
    </row>
    <row r="141" spans="1:19" ht="12.75" x14ac:dyDescent="0.2">
      <c r="C141" s="169" t="s">
        <v>491</v>
      </c>
      <c r="D141" s="85" t="s">
        <v>244</v>
      </c>
      <c r="E141" s="243" t="s">
        <v>274</v>
      </c>
      <c r="H141" s="243" t="s">
        <v>79</v>
      </c>
      <c r="I141" s="243" t="s">
        <v>43</v>
      </c>
      <c r="J141" s="243" t="s">
        <v>21</v>
      </c>
      <c r="O141" s="94">
        <v>0</v>
      </c>
      <c r="P141" s="94">
        <v>0</v>
      </c>
      <c r="Q141" s="94">
        <v>0</v>
      </c>
      <c r="R141" s="94">
        <v>0</v>
      </c>
      <c r="S141" s="94">
        <v>0</v>
      </c>
    </row>
    <row r="142" spans="1:19" ht="12.75" x14ac:dyDescent="0.2">
      <c r="A142" s="59" cm="1">
        <f t="array" ref="A142">IF(SUMPRODUCT(($D$134:$D$158=$D142)*($O$134:$S$158))=COUNTA($O$132:$S$132),0,1)</f>
        <v>0</v>
      </c>
      <c r="C142" s="169" t="s">
        <v>492</v>
      </c>
      <c r="D142" s="85" t="s">
        <v>245</v>
      </c>
      <c r="E142" s="243" t="s">
        <v>105</v>
      </c>
      <c r="H142" s="243" t="s">
        <v>79</v>
      </c>
      <c r="I142" s="243" t="s">
        <v>43</v>
      </c>
      <c r="J142" s="243" t="s">
        <v>21</v>
      </c>
      <c r="O142" s="94">
        <v>0.2</v>
      </c>
      <c r="P142" s="94">
        <v>0.34</v>
      </c>
      <c r="Q142" s="94">
        <v>0.34</v>
      </c>
      <c r="R142" s="94">
        <v>0.34</v>
      </c>
      <c r="S142" s="94">
        <v>0.34</v>
      </c>
    </row>
    <row r="143" spans="1:19" ht="12.75" x14ac:dyDescent="0.2">
      <c r="C143" s="169" t="s">
        <v>492</v>
      </c>
      <c r="D143" s="85" t="s">
        <v>245</v>
      </c>
      <c r="E143" s="243" t="s">
        <v>272</v>
      </c>
      <c r="H143" s="243" t="s">
        <v>79</v>
      </c>
      <c r="I143" s="243" t="s">
        <v>43</v>
      </c>
      <c r="J143" s="243" t="s">
        <v>21</v>
      </c>
      <c r="O143" s="94">
        <v>0</v>
      </c>
      <c r="P143" s="94">
        <v>0</v>
      </c>
      <c r="Q143" s="94">
        <v>0</v>
      </c>
      <c r="R143" s="94">
        <v>0</v>
      </c>
      <c r="S143" s="94">
        <v>0</v>
      </c>
    </row>
    <row r="144" spans="1:19" ht="12.75" x14ac:dyDescent="0.2">
      <c r="C144" s="169" t="s">
        <v>492</v>
      </c>
      <c r="D144" s="85" t="s">
        <v>245</v>
      </c>
      <c r="E144" s="243" t="s">
        <v>273</v>
      </c>
      <c r="H144" s="243" t="s">
        <v>79</v>
      </c>
      <c r="I144" s="243" t="s">
        <v>43</v>
      </c>
      <c r="J144" s="243" t="s">
        <v>21</v>
      </c>
      <c r="O144" s="94">
        <v>0.8</v>
      </c>
      <c r="P144" s="94">
        <v>0.65999999999999992</v>
      </c>
      <c r="Q144" s="94">
        <v>0.65999999999999992</v>
      </c>
      <c r="R144" s="94">
        <v>0.65999999999999992</v>
      </c>
      <c r="S144" s="94">
        <v>0.65999999999999992</v>
      </c>
    </row>
    <row r="145" spans="1:19" ht="12.75" x14ac:dyDescent="0.2">
      <c r="C145" s="169" t="s">
        <v>492</v>
      </c>
      <c r="D145" s="85" t="s">
        <v>245</v>
      </c>
      <c r="E145" s="243" t="s">
        <v>274</v>
      </c>
      <c r="H145" s="243" t="s">
        <v>79</v>
      </c>
      <c r="I145" s="243" t="s">
        <v>43</v>
      </c>
      <c r="J145" s="243" t="s">
        <v>21</v>
      </c>
      <c r="O145" s="94">
        <v>0</v>
      </c>
      <c r="P145" s="94">
        <v>0</v>
      </c>
      <c r="Q145" s="94">
        <v>0</v>
      </c>
      <c r="R145" s="94">
        <v>0</v>
      </c>
      <c r="S145" s="94">
        <v>0</v>
      </c>
    </row>
    <row r="146" spans="1:19" ht="12.75" x14ac:dyDescent="0.2">
      <c r="A146" s="59" cm="1">
        <f t="array" ref="A146">IF(SUMPRODUCT(($D$134:$D$158=$D146)*($O$134:$S$158))=COUNTA($O$132:$S$132),0,1)</f>
        <v>0</v>
      </c>
      <c r="C146" s="169" t="s">
        <v>493</v>
      </c>
      <c r="D146" s="85" t="s">
        <v>246</v>
      </c>
      <c r="E146" s="243" t="s">
        <v>105</v>
      </c>
      <c r="H146" s="243" t="s">
        <v>79</v>
      </c>
      <c r="I146" s="243" t="s">
        <v>43</v>
      </c>
      <c r="J146" s="243" t="s">
        <v>21</v>
      </c>
      <c r="O146" s="94">
        <v>0.33</v>
      </c>
      <c r="P146" s="94">
        <v>0.33</v>
      </c>
      <c r="Q146" s="94">
        <v>0.33</v>
      </c>
      <c r="R146" s="94">
        <v>0.33</v>
      </c>
      <c r="S146" s="94">
        <v>0.33</v>
      </c>
    </row>
    <row r="147" spans="1:19" ht="12.75" x14ac:dyDescent="0.2">
      <c r="C147" s="169" t="s">
        <v>493</v>
      </c>
      <c r="D147" s="85" t="s">
        <v>246</v>
      </c>
      <c r="E147" s="243" t="s">
        <v>272</v>
      </c>
      <c r="H147" s="243" t="s">
        <v>79</v>
      </c>
      <c r="I147" s="243" t="s">
        <v>43</v>
      </c>
      <c r="J147" s="243" t="s">
        <v>21</v>
      </c>
      <c r="O147" s="94">
        <v>0</v>
      </c>
      <c r="P147" s="94">
        <v>0</v>
      </c>
      <c r="Q147" s="94">
        <v>0</v>
      </c>
      <c r="R147" s="94">
        <v>0</v>
      </c>
      <c r="S147" s="94">
        <v>0</v>
      </c>
    </row>
    <row r="148" spans="1:19" ht="12.75" x14ac:dyDescent="0.2">
      <c r="C148" s="169" t="s">
        <v>493</v>
      </c>
      <c r="D148" s="85" t="s">
        <v>246</v>
      </c>
      <c r="E148" s="243" t="s">
        <v>273</v>
      </c>
      <c r="H148" s="243" t="s">
        <v>79</v>
      </c>
      <c r="I148" s="243" t="s">
        <v>43</v>
      </c>
      <c r="J148" s="243" t="s">
        <v>21</v>
      </c>
      <c r="O148" s="94">
        <v>0.66999999999999993</v>
      </c>
      <c r="P148" s="94">
        <v>0.66999999999999993</v>
      </c>
      <c r="Q148" s="94">
        <v>0.66999999999999993</v>
      </c>
      <c r="R148" s="94">
        <v>0.66999999999999993</v>
      </c>
      <c r="S148" s="94">
        <v>0.66999999999999993</v>
      </c>
    </row>
    <row r="149" spans="1:19" ht="12.75" x14ac:dyDescent="0.2">
      <c r="C149" s="169" t="s">
        <v>493</v>
      </c>
      <c r="D149" s="85" t="s">
        <v>246</v>
      </c>
      <c r="E149" s="243" t="s">
        <v>274</v>
      </c>
      <c r="H149" s="243" t="s">
        <v>79</v>
      </c>
      <c r="I149" s="243" t="s">
        <v>43</v>
      </c>
      <c r="J149" s="243" t="s">
        <v>21</v>
      </c>
      <c r="O149" s="94">
        <v>0</v>
      </c>
      <c r="P149" s="94">
        <v>0</v>
      </c>
      <c r="Q149" s="94">
        <v>0</v>
      </c>
      <c r="R149" s="94">
        <v>0</v>
      </c>
      <c r="S149" s="94">
        <v>0</v>
      </c>
    </row>
    <row r="150" spans="1:19" ht="12.75" x14ac:dyDescent="0.2">
      <c r="A150" s="59" cm="1">
        <f t="array" ref="A150">IF(SUMPRODUCT(($D$134:$D$158=$D150)*($O$134:$S$158))=COUNTA($O$132:$S$132),0,1)</f>
        <v>0</v>
      </c>
      <c r="C150" s="169">
        <v>4</v>
      </c>
      <c r="D150" s="85" t="s">
        <v>247</v>
      </c>
      <c r="E150" s="243" t="s">
        <v>275</v>
      </c>
      <c r="H150" s="243" t="s">
        <v>79</v>
      </c>
      <c r="I150" s="243" t="s">
        <v>43</v>
      </c>
      <c r="J150" s="243" t="s">
        <v>21</v>
      </c>
      <c r="O150" s="94">
        <v>1</v>
      </c>
      <c r="P150" s="94">
        <v>1</v>
      </c>
      <c r="Q150" s="94">
        <v>1</v>
      </c>
      <c r="R150" s="94">
        <v>1</v>
      </c>
      <c r="S150" s="94">
        <v>1</v>
      </c>
    </row>
    <row r="151" spans="1:19" ht="12.75" x14ac:dyDescent="0.2">
      <c r="A151" s="59" cm="1">
        <f t="array" ref="A151">IF(SUMPRODUCT(($D$134:$D$158=$D151)*($O$134:$S$158))=COUNTA($O$132:$S$132),0,1)</f>
        <v>0</v>
      </c>
      <c r="C151" s="169">
        <v>5</v>
      </c>
      <c r="D151" s="85" t="s">
        <v>248</v>
      </c>
      <c r="E151" s="243" t="s">
        <v>105</v>
      </c>
      <c r="H151" s="243" t="s">
        <v>79</v>
      </c>
      <c r="I151" s="243" t="s">
        <v>43</v>
      </c>
      <c r="J151" s="243" t="s">
        <v>21</v>
      </c>
      <c r="O151" s="94">
        <v>0.875</v>
      </c>
      <c r="P151" s="94">
        <v>0.85</v>
      </c>
      <c r="Q151" s="94">
        <v>0.85</v>
      </c>
      <c r="R151" s="94">
        <v>0.85</v>
      </c>
      <c r="S151" s="94">
        <v>0.85</v>
      </c>
    </row>
    <row r="152" spans="1:19" ht="12.75" x14ac:dyDescent="0.2">
      <c r="C152" s="169">
        <v>5</v>
      </c>
      <c r="D152" s="85" t="s">
        <v>248</v>
      </c>
      <c r="E152" s="243" t="s">
        <v>271</v>
      </c>
      <c r="H152" s="243" t="s">
        <v>79</v>
      </c>
      <c r="I152" s="243" t="s">
        <v>43</v>
      </c>
      <c r="J152" s="243" t="s">
        <v>21</v>
      </c>
      <c r="O152" s="94">
        <v>0.125</v>
      </c>
      <c r="P152" s="94">
        <v>0.15000000000000002</v>
      </c>
      <c r="Q152" s="94">
        <v>0.15000000000000002</v>
      </c>
      <c r="R152" s="94">
        <v>0.15000000000000002</v>
      </c>
      <c r="S152" s="94">
        <v>0.15000000000000002</v>
      </c>
    </row>
    <row r="153" spans="1:19" ht="12.75" x14ac:dyDescent="0.2">
      <c r="C153" s="169">
        <v>5</v>
      </c>
      <c r="D153" s="85" t="s">
        <v>248</v>
      </c>
      <c r="E153" s="243" t="s">
        <v>276</v>
      </c>
      <c r="H153" s="243" t="s">
        <v>79</v>
      </c>
      <c r="I153" s="243" t="s">
        <v>43</v>
      </c>
      <c r="J153" s="243" t="s">
        <v>21</v>
      </c>
      <c r="O153" s="94">
        <v>0</v>
      </c>
      <c r="P153" s="94">
        <v>0</v>
      </c>
      <c r="Q153" s="94">
        <v>0</v>
      </c>
      <c r="R153" s="94">
        <v>0</v>
      </c>
      <c r="S153" s="94">
        <v>0</v>
      </c>
    </row>
    <row r="154" spans="1:19" ht="12.75" x14ac:dyDescent="0.2">
      <c r="C154" s="169">
        <v>5</v>
      </c>
      <c r="D154" s="85" t="s">
        <v>248</v>
      </c>
      <c r="E154" s="243" t="s">
        <v>277</v>
      </c>
      <c r="H154" s="243" t="s">
        <v>79</v>
      </c>
      <c r="I154" s="243" t="s">
        <v>43</v>
      </c>
      <c r="J154" s="243" t="s">
        <v>21</v>
      </c>
      <c r="O154" s="94">
        <v>0</v>
      </c>
      <c r="P154" s="94">
        <v>0</v>
      </c>
      <c r="Q154" s="94">
        <v>0</v>
      </c>
      <c r="R154" s="94">
        <v>0</v>
      </c>
      <c r="S154" s="94">
        <v>0</v>
      </c>
    </row>
    <row r="155" spans="1:19" ht="12.75" x14ac:dyDescent="0.2">
      <c r="A155" s="59" cm="1">
        <f t="array" ref="A155">IF(SUMPRODUCT(($D$134:$D$158=$D155)*($O$134:$S$158))=COUNTA($O$132:$S$132),0,1)</f>
        <v>0</v>
      </c>
      <c r="C155" s="169">
        <v>6</v>
      </c>
      <c r="D155" s="85" t="s">
        <v>249</v>
      </c>
      <c r="E155" s="243" t="s">
        <v>105</v>
      </c>
      <c r="H155" s="243" t="s">
        <v>79</v>
      </c>
      <c r="I155" s="243" t="s">
        <v>43</v>
      </c>
      <c r="J155" s="243" t="s">
        <v>21</v>
      </c>
      <c r="O155" s="94">
        <v>0.25</v>
      </c>
      <c r="P155" s="94">
        <v>0.25</v>
      </c>
      <c r="Q155" s="94">
        <v>0.25</v>
      </c>
      <c r="R155" s="94">
        <v>0.25</v>
      </c>
      <c r="S155" s="94">
        <v>0.25</v>
      </c>
    </row>
    <row r="156" spans="1:19" ht="12.75" x14ac:dyDescent="0.2">
      <c r="C156" s="169">
        <v>6</v>
      </c>
      <c r="D156" s="85" t="s">
        <v>249</v>
      </c>
      <c r="E156" s="243" t="s">
        <v>271</v>
      </c>
      <c r="H156" s="243" t="s">
        <v>79</v>
      </c>
      <c r="I156" s="243" t="s">
        <v>43</v>
      </c>
      <c r="J156" s="243" t="s">
        <v>21</v>
      </c>
      <c r="O156" s="94">
        <v>0.75</v>
      </c>
      <c r="P156" s="94">
        <v>0.75</v>
      </c>
      <c r="Q156" s="94">
        <v>0.75</v>
      </c>
      <c r="R156" s="94">
        <v>0.75</v>
      </c>
      <c r="S156" s="94">
        <v>0.75</v>
      </c>
    </row>
    <row r="157" spans="1:19" ht="12.75" x14ac:dyDescent="0.2">
      <c r="C157" s="169">
        <v>6</v>
      </c>
      <c r="D157" s="85" t="s">
        <v>249</v>
      </c>
      <c r="E157" s="243" t="s">
        <v>276</v>
      </c>
      <c r="H157" s="243" t="s">
        <v>79</v>
      </c>
      <c r="I157" s="243" t="s">
        <v>43</v>
      </c>
      <c r="J157" s="243" t="s">
        <v>21</v>
      </c>
      <c r="O157" s="94">
        <v>0</v>
      </c>
      <c r="P157" s="94">
        <v>0</v>
      </c>
      <c r="Q157" s="94">
        <v>0</v>
      </c>
      <c r="R157" s="94">
        <v>0</v>
      </c>
      <c r="S157" s="94">
        <v>0</v>
      </c>
    </row>
    <row r="158" spans="1:19" ht="12.75" x14ac:dyDescent="0.2">
      <c r="C158" s="169">
        <v>6</v>
      </c>
      <c r="D158" s="85" t="s">
        <v>249</v>
      </c>
      <c r="E158" s="243" t="s">
        <v>277</v>
      </c>
      <c r="H158" s="243" t="s">
        <v>79</v>
      </c>
      <c r="I158" s="243" t="s">
        <v>43</v>
      </c>
      <c r="J158" s="243" t="s">
        <v>21</v>
      </c>
      <c r="O158" s="94">
        <v>0</v>
      </c>
      <c r="P158" s="94">
        <v>0</v>
      </c>
      <c r="Q158" s="94">
        <v>0</v>
      </c>
      <c r="R158" s="94">
        <v>0</v>
      </c>
      <c r="S158" s="94">
        <v>0</v>
      </c>
    </row>
    <row r="159" spans="1:19" ht="12.75" x14ac:dyDescent="0.2">
      <c r="D159" s="85"/>
    </row>
    <row r="161" spans="3:13" s="2" customFormat="1" ht="15.75" x14ac:dyDescent="0.2">
      <c r="C161" s="2" t="s">
        <v>697</v>
      </c>
    </row>
    <row r="162" spans="3:13" ht="11.25" customHeight="1" x14ac:dyDescent="0.2"/>
    <row r="163" spans="3:13" ht="11.25" customHeight="1" x14ac:dyDescent="0.2">
      <c r="D163" s="105" t="s">
        <v>149</v>
      </c>
    </row>
    <row r="164" spans="3:13" ht="11.25" customHeight="1" x14ac:dyDescent="0.2"/>
    <row r="165" spans="3:13" s="8" customFormat="1" ht="15" x14ac:dyDescent="0.2">
      <c r="C165" s="8" t="s">
        <v>687</v>
      </c>
    </row>
    <row r="166" spans="3:13" ht="11.25" customHeight="1" x14ac:dyDescent="0.2"/>
    <row r="167" spans="3:13" ht="11.25" customHeight="1" x14ac:dyDescent="0.2">
      <c r="C167" s="170" t="s">
        <v>5</v>
      </c>
      <c r="D167" s="70" t="str">
        <f>D$9</f>
        <v>Tariff</v>
      </c>
      <c r="H167" s="54" t="str">
        <f>Lookup!E$19</f>
        <v>Source</v>
      </c>
      <c r="I167" s="54" t="str">
        <f>Lookup!F$19</f>
        <v>Unit</v>
      </c>
      <c r="J167" s="54" t="str">
        <f>Lookup!G$19</f>
        <v>Basis</v>
      </c>
      <c r="M167" s="61" t="s">
        <v>202</v>
      </c>
    </row>
    <row r="168" spans="3:13" ht="11.25" customHeight="1" x14ac:dyDescent="0.2"/>
    <row r="169" spans="3:13" ht="12.75" x14ac:dyDescent="0.2">
      <c r="C169" s="169">
        <v>1</v>
      </c>
      <c r="D169" s="85" t="str" cm="1">
        <f t="array" ref="D169:D176">LU_Tariffs</f>
        <v>Residential Accumulation</v>
      </c>
      <c r="H169" s="243" t="s">
        <v>79</v>
      </c>
      <c r="I169" s="243" t="s">
        <v>193</v>
      </c>
      <c r="J169" s="84" t="s">
        <v>238</v>
      </c>
      <c r="M169" s="158">
        <v>0.58246772800655788</v>
      </c>
    </row>
    <row r="170" spans="3:13" ht="12.75" x14ac:dyDescent="0.2">
      <c r="C170" s="169">
        <v>2</v>
      </c>
      <c r="D170" s="85" t="str">
        <v>Non-Residential Accumulation</v>
      </c>
      <c r="H170" s="243" t="s">
        <v>79</v>
      </c>
      <c r="I170" s="243" t="s">
        <v>193</v>
      </c>
      <c r="J170" s="84" t="s">
        <v>238</v>
      </c>
      <c r="M170" s="158">
        <v>0.43462968913722722</v>
      </c>
    </row>
    <row r="171" spans="3:13" ht="12.75" x14ac:dyDescent="0.2">
      <c r="C171" s="169" t="s">
        <v>491</v>
      </c>
      <c r="D171" s="85" t="str">
        <v>LV Smart Meter - Res</v>
      </c>
      <c r="H171" s="243" t="s">
        <v>79</v>
      </c>
      <c r="I171" s="243" t="s">
        <v>193</v>
      </c>
      <c r="J171" s="84" t="s">
        <v>238</v>
      </c>
      <c r="M171" s="158">
        <v>0.58246772800655788</v>
      </c>
    </row>
    <row r="172" spans="3:13" ht="12.75" x14ac:dyDescent="0.2">
      <c r="C172" s="169" t="s">
        <v>492</v>
      </c>
      <c r="D172" s="85" t="str">
        <v>LV Smart Meter - Small Comm</v>
      </c>
      <c r="H172" s="243" t="s">
        <v>79</v>
      </c>
      <c r="I172" s="243" t="s">
        <v>193</v>
      </c>
      <c r="J172" s="84" t="s">
        <v>238</v>
      </c>
      <c r="M172" s="158">
        <v>0.43462968913722722</v>
      </c>
    </row>
    <row r="173" spans="3:13" ht="12.75" x14ac:dyDescent="0.2">
      <c r="C173" s="169" t="s">
        <v>493</v>
      </c>
      <c r="D173" s="85" t="str">
        <v>LV Smart Meter - Med Comm</v>
      </c>
      <c r="H173" s="243" t="s">
        <v>79</v>
      </c>
      <c r="I173" s="243" t="s">
        <v>193</v>
      </c>
      <c r="J173" s="84" t="s">
        <v>238</v>
      </c>
      <c r="M173" s="158">
        <v>0.37761392060597815</v>
      </c>
    </row>
    <row r="174" spans="3:13" ht="12.75" x14ac:dyDescent="0.2">
      <c r="C174" s="169">
        <v>4</v>
      </c>
      <c r="D174" s="85" t="str">
        <v>Unmetered</v>
      </c>
      <c r="H174" s="243" t="s">
        <v>79</v>
      </c>
      <c r="I174" s="243" t="s">
        <v>193</v>
      </c>
      <c r="J174" s="84" t="s">
        <v>238</v>
      </c>
      <c r="M174" s="158">
        <v>0.24</v>
      </c>
    </row>
    <row r="175" spans="3:13" ht="12.75" x14ac:dyDescent="0.2">
      <c r="C175" s="169">
        <v>5</v>
      </c>
      <c r="D175" s="85" t="str">
        <v>LV Majors</v>
      </c>
      <c r="H175" s="243" t="s">
        <v>79</v>
      </c>
      <c r="I175" s="243" t="s">
        <v>193</v>
      </c>
      <c r="J175" s="84" t="s">
        <v>238</v>
      </c>
      <c r="M175" s="158">
        <v>0.29370010253806522</v>
      </c>
    </row>
    <row r="176" spans="3:13" ht="12.75" x14ac:dyDescent="0.2">
      <c r="C176" s="169">
        <v>6</v>
      </c>
      <c r="D176" s="85" t="str">
        <v>HV Smart Meters</v>
      </c>
      <c r="H176" s="243" t="s">
        <v>79</v>
      </c>
      <c r="I176" s="243" t="s">
        <v>193</v>
      </c>
      <c r="J176" s="84" t="s">
        <v>238</v>
      </c>
      <c r="M176" s="158">
        <v>0.28343234534436584</v>
      </c>
    </row>
    <row r="177" spans="3:15" ht="11.25" customHeight="1" x14ac:dyDescent="0.2"/>
    <row r="178" spans="3:15" ht="11.25" customHeight="1" x14ac:dyDescent="0.2"/>
    <row r="179" spans="3:15" s="8" customFormat="1" ht="15" x14ac:dyDescent="0.2">
      <c r="C179" s="8" t="s">
        <v>698</v>
      </c>
    </row>
    <row r="180" spans="3:15" ht="11.25" customHeight="1" x14ac:dyDescent="0.2"/>
    <row r="181" spans="3:15" ht="25.5" x14ac:dyDescent="0.2">
      <c r="C181" s="170" t="s">
        <v>5</v>
      </c>
      <c r="D181" s="70" t="str">
        <f>D$9</f>
        <v>Tariff</v>
      </c>
      <c r="H181" s="54" t="str">
        <f>Lookup!E$19</f>
        <v>Source</v>
      </c>
      <c r="I181" s="54" t="str">
        <f>Lookup!F$19</f>
        <v>Unit</v>
      </c>
      <c r="J181" s="54" t="str">
        <f>Lookup!G$19</f>
        <v>Basis</v>
      </c>
      <c r="M181" s="61" t="s">
        <v>292</v>
      </c>
      <c r="O181" s="61" t="s">
        <v>293</v>
      </c>
    </row>
    <row r="182" spans="3:15" ht="11.25" customHeight="1" x14ac:dyDescent="0.2"/>
    <row r="183" spans="3:15" ht="12.75" x14ac:dyDescent="0.2">
      <c r="C183" s="169">
        <v>1</v>
      </c>
      <c r="D183" s="85" t="str" cm="1">
        <f t="array" ref="D183:D190">LU_Tariffs</f>
        <v>Residential Accumulation</v>
      </c>
      <c r="H183" s="243" t="s">
        <v>79</v>
      </c>
      <c r="I183" s="243" t="str">
        <f t="shared" ref="I183:I190" si="6">Percent</f>
        <v>Percent</v>
      </c>
      <c r="J183" s="243" t="str">
        <f t="shared" ref="J183:J190" si="7">NA</f>
        <v>N/A</v>
      </c>
      <c r="M183" s="94">
        <v>0.47189845777771766</v>
      </c>
      <c r="O183" s="94" t="s">
        <v>290</v>
      </c>
    </row>
    <row r="184" spans="3:15" ht="12.75" x14ac:dyDescent="0.2">
      <c r="C184" s="169">
        <v>2</v>
      </c>
      <c r="D184" s="85" t="str">
        <v>Non-Residential Accumulation</v>
      </c>
      <c r="H184" s="243" t="s">
        <v>79</v>
      </c>
      <c r="I184" s="243" t="str">
        <f t="shared" si="6"/>
        <v>Percent</v>
      </c>
      <c r="J184" s="243" t="str">
        <f t="shared" si="7"/>
        <v>N/A</v>
      </c>
      <c r="M184" s="94">
        <v>0.31325964328802514</v>
      </c>
      <c r="O184" s="94" t="s">
        <v>291</v>
      </c>
    </row>
    <row r="185" spans="3:15" ht="12.75" x14ac:dyDescent="0.2">
      <c r="C185" s="169" t="s">
        <v>491</v>
      </c>
      <c r="D185" s="85" t="str">
        <v>LV Smart Meter - Res</v>
      </c>
      <c r="H185" s="243" t="s">
        <v>79</v>
      </c>
      <c r="I185" s="243" t="str">
        <f t="shared" si="6"/>
        <v>Percent</v>
      </c>
      <c r="J185" s="243" t="str">
        <f t="shared" si="7"/>
        <v>N/A</v>
      </c>
      <c r="M185" s="94">
        <v>0.47189845777771766</v>
      </c>
      <c r="O185" s="94" t="s">
        <v>290</v>
      </c>
    </row>
    <row r="186" spans="3:15" ht="12.75" x14ac:dyDescent="0.2">
      <c r="C186" s="169" t="s">
        <v>492</v>
      </c>
      <c r="D186" s="85" t="str">
        <v>LV Smart Meter - Small Comm</v>
      </c>
      <c r="H186" s="243" t="s">
        <v>79</v>
      </c>
      <c r="I186" s="243" t="str">
        <f t="shared" si="6"/>
        <v>Percent</v>
      </c>
      <c r="J186" s="243" t="str">
        <f t="shared" si="7"/>
        <v>N/A</v>
      </c>
      <c r="M186" s="94">
        <v>0.31325964328802514</v>
      </c>
      <c r="O186" s="94" t="s">
        <v>291</v>
      </c>
    </row>
    <row r="187" spans="3:15" ht="12.75" x14ac:dyDescent="0.2">
      <c r="C187" s="169" t="s">
        <v>493</v>
      </c>
      <c r="D187" s="85" t="str">
        <v>LV Smart Meter - Med Comm</v>
      </c>
      <c r="H187" s="243" t="s">
        <v>79</v>
      </c>
      <c r="I187" s="243" t="str">
        <f t="shared" si="6"/>
        <v>Percent</v>
      </c>
      <c r="J187" s="243" t="str">
        <f t="shared" si="7"/>
        <v>N/A</v>
      </c>
      <c r="M187" s="94">
        <v>0.31325964328802514</v>
      </c>
      <c r="O187" s="94" t="s">
        <v>291</v>
      </c>
    </row>
    <row r="188" spans="3:15" ht="12.75" x14ac:dyDescent="0.2">
      <c r="C188" s="169">
        <v>4</v>
      </c>
      <c r="D188" s="85" t="str">
        <v>Unmetered</v>
      </c>
      <c r="H188" s="243" t="s">
        <v>79</v>
      </c>
      <c r="I188" s="243" t="str">
        <f t="shared" si="6"/>
        <v>Percent</v>
      </c>
      <c r="J188" s="243" t="str">
        <f t="shared" si="7"/>
        <v>N/A</v>
      </c>
      <c r="M188" s="94">
        <v>1.1569289237552519E-2</v>
      </c>
      <c r="O188" s="94" t="str">
        <f>NA</f>
        <v>N/A</v>
      </c>
    </row>
    <row r="189" spans="3:15" ht="12.75" x14ac:dyDescent="0.2">
      <c r="C189" s="169">
        <v>5</v>
      </c>
      <c r="D189" s="85" t="str">
        <v>LV Majors</v>
      </c>
      <c r="H189" s="243" t="s">
        <v>79</v>
      </c>
      <c r="I189" s="243" t="str">
        <f t="shared" si="6"/>
        <v>Percent</v>
      </c>
      <c r="J189" s="243" t="str">
        <f t="shared" si="7"/>
        <v>N/A</v>
      </c>
      <c r="M189" s="94">
        <v>0.10917538007563128</v>
      </c>
      <c r="O189" s="94" t="str">
        <f>NA</f>
        <v>N/A</v>
      </c>
    </row>
    <row r="190" spans="3:15" ht="12.75" x14ac:dyDescent="0.2">
      <c r="C190" s="169">
        <v>6</v>
      </c>
      <c r="D190" s="85" t="str">
        <v>HV Smart Meters</v>
      </c>
      <c r="H190" s="243" t="s">
        <v>79</v>
      </c>
      <c r="I190" s="243" t="str">
        <f t="shared" si="6"/>
        <v>Percent</v>
      </c>
      <c r="J190" s="243" t="str">
        <f t="shared" si="7"/>
        <v>N/A</v>
      </c>
      <c r="M190" s="255">
        <v>9.4097229621073336E-2</v>
      </c>
      <c r="O190" s="94" t="str">
        <f>NA</f>
        <v>N/A</v>
      </c>
    </row>
    <row r="191" spans="3:15" ht="11.25" customHeight="1" x14ac:dyDescent="0.2"/>
    <row r="192" spans="3:15" ht="11.25" customHeight="1" x14ac:dyDescent="0.2"/>
    <row r="193" spans="2:2" s="2" customFormat="1" ht="15.75" x14ac:dyDescent="0.2">
      <c r="B193" s="2" t="s">
        <v>20</v>
      </c>
    </row>
  </sheetData>
  <conditionalFormatting sqref="B2">
    <cfRule type="cellIs" dxfId="27" priority="9" operator="notEqual">
      <formula>"No Errors Found"</formula>
    </cfRule>
  </conditionalFormatting>
  <conditionalFormatting sqref="M84:S84">
    <cfRule type="expression" dxfId="26" priority="1">
      <formula>M$83=No_Input</formula>
    </cfRule>
  </conditionalFormatting>
  <dataValidations count="6">
    <dataValidation type="list" allowBlank="1" showInputMessage="1" showErrorMessage="1" sqref="I115:I122 I44 I89 I84:I86 I65 I32:I35 I29:I30 I53 I47:I51 I56:I60 I62 I27 I101:I108 I134:I158 I169:I176 I183:I190" xr:uid="{00000000-0002-0000-0600-000000000000}">
      <formula1>LU_Units</formula1>
    </dataValidation>
    <dataValidation type="list" allowBlank="1" showInputMessage="1" showErrorMessage="1" sqref="J27 J44 J84:J86 J65 J32:J35 J89 J29:J30 J53 J47:J51 J56:J60 J62 J101:J108 J134:J158 J169:J176 J183:J190" xr:uid="{00000000-0002-0000-0600-000001000000}">
      <formula1>LU_Basis</formula1>
    </dataValidation>
    <dataValidation type="list" allowBlank="1" showInputMessage="1" showErrorMessage="1" sqref="D115:D122 D101:D108 D159 D169:D176 D183:D190" xr:uid="{00000000-0002-0000-0600-000002000000}">
      <formula1>LU_Tariff_Assignments</formula1>
    </dataValidation>
    <dataValidation type="list" allowBlank="1" showInputMessage="1" showErrorMessage="1" sqref="M83:S83" xr:uid="{00000000-0002-0000-0600-000003000000}">
      <formula1>LU_Revenue_Input</formula1>
    </dataValidation>
    <dataValidation type="list" allowBlank="1" showInputMessage="1" showErrorMessage="1" sqref="M101:M108" xr:uid="{00000000-0002-0000-0600-000004000000}">
      <formula1>LU_Voltage_Level</formula1>
    </dataValidation>
    <dataValidation type="list" allowBlank="1" showInputMessage="1" showErrorMessage="1" sqref="D134:D158" xr:uid="{00000000-0002-0000-0600-000005000000}">
      <formula1>LU_Tariffs</formula1>
    </dataValidation>
  </dataValidations>
  <hyperlinks>
    <hyperlink ref="B3:E3" location="TOC!A1" display="TOC!A1"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6" tint="0.59999389629810485"/>
  </sheetPr>
  <dimension ref="A1:W81"/>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1640625" customWidth="1"/>
    <col min="2" max="3" width="2.83203125" customWidth="1"/>
    <col min="4" max="4" width="34.1640625" bestFit="1" customWidth="1"/>
    <col min="5" max="5" width="23.1640625" bestFit="1" customWidth="1"/>
    <col min="6" max="6" width="14.6640625" bestFit="1" customWidth="1"/>
    <col min="7" max="7" width="2.33203125" customWidth="1"/>
    <col min="8" max="8" width="12.1640625" bestFit="1" customWidth="1"/>
    <col min="9" max="9" width="7.1640625" bestFit="1" customWidth="1"/>
    <col min="10" max="10" width="10" bestFit="1" customWidth="1"/>
    <col min="11" max="11" width="12.83203125" customWidth="1"/>
    <col min="12" max="12" width="2.33203125" customWidth="1"/>
    <col min="13" max="13" width="16" customWidth="1"/>
    <col min="14" max="14" width="11.83203125" customWidth="1"/>
    <col min="15" max="19" width="15.33203125" customWidth="1"/>
    <col min="20" max="20" width="4.1640625" customWidth="1"/>
    <col min="21" max="21" width="82" bestFit="1" customWidth="1"/>
    <col min="22" max="22" width="4.1640625" customWidth="1"/>
    <col min="23" max="23" width="72.83203125" bestFit="1" customWidth="1"/>
    <col min="24" max="24" width="10.83203125" customWidth="1"/>
  </cols>
  <sheetData>
    <row r="1" spans="1:21" ht="19.5" x14ac:dyDescent="0.2">
      <c r="A1" s="59">
        <f>IF(SUM($A10:$A81)&gt;0,1,0)</f>
        <v>0</v>
      </c>
      <c r="B1" s="3" t="s">
        <v>699</v>
      </c>
    </row>
    <row r="2" spans="1:21" x14ac:dyDescent="0.2">
      <c r="B2" s="13" t="str">
        <f ca="1">Title_Msg</f>
        <v>No Errors Found</v>
      </c>
    </row>
    <row r="3" spans="1:21" x14ac:dyDescent="0.2">
      <c r="B3" s="46" t="str">
        <f>TOC!B1</f>
        <v>Table of contents</v>
      </c>
      <c r="C3" s="42"/>
      <c r="D3" s="42"/>
      <c r="E3" s="42"/>
    </row>
    <row r="4" spans="1:21" ht="12.75" x14ac:dyDescent="0.2">
      <c r="B4" s="40" t="str">
        <f>Model_Name</f>
        <v>Pricing Model - Power and Water Corporation</v>
      </c>
    </row>
    <row r="5" spans="1:21" ht="12.75" hidden="1" outlineLevel="1" x14ac:dyDescent="0.2">
      <c r="B5" s="10"/>
      <c r="J5" s="51"/>
      <c r="K5" s="51"/>
      <c r="L5" s="51"/>
      <c r="M5" s="51"/>
      <c r="N5" s="51"/>
      <c r="O5" s="51"/>
      <c r="P5" s="51"/>
      <c r="Q5" s="51"/>
      <c r="R5" s="51"/>
      <c r="S5" s="51"/>
    </row>
    <row r="6" spans="1:21" ht="12.75" hidden="1" outlineLevel="1" x14ac:dyDescent="0.2">
      <c r="B6" s="10"/>
      <c r="J6" s="51"/>
      <c r="K6" s="51"/>
      <c r="L6" s="51"/>
      <c r="M6" s="51"/>
      <c r="N6" s="51"/>
      <c r="O6" s="51"/>
      <c r="P6" s="51"/>
      <c r="Q6" s="51"/>
      <c r="R6" s="51"/>
      <c r="S6" s="51"/>
    </row>
    <row r="7" spans="1:21" ht="12.75" hidden="1" outlineLevel="1" x14ac:dyDescent="0.2">
      <c r="B7" s="10"/>
      <c r="J7" s="52"/>
      <c r="K7" s="52"/>
      <c r="L7" s="52"/>
      <c r="M7" s="52"/>
      <c r="N7" s="52"/>
      <c r="O7" s="52"/>
      <c r="P7" s="52"/>
      <c r="Q7" s="52"/>
      <c r="R7" s="52"/>
      <c r="S7" s="52"/>
    </row>
    <row r="8" spans="1:21" ht="12.75" hidden="1" outlineLevel="1" x14ac:dyDescent="0.2">
      <c r="B8" s="10"/>
      <c r="J8" s="53"/>
      <c r="K8" s="53"/>
      <c r="L8" s="53"/>
      <c r="M8" s="53"/>
      <c r="N8" s="53"/>
      <c r="O8" s="53"/>
      <c r="P8" s="53"/>
      <c r="Q8" s="53"/>
      <c r="R8" s="53"/>
      <c r="S8" s="53"/>
    </row>
    <row r="9" spans="1:21" ht="12.75" collapsed="1" x14ac:dyDescent="0.2">
      <c r="B9" s="5" t="str">
        <f>Lookup!B19</f>
        <v>FY</v>
      </c>
      <c r="D9" s="244" t="s">
        <v>118</v>
      </c>
      <c r="E9" s="50" t="s">
        <v>61</v>
      </c>
      <c r="F9" s="50" t="s">
        <v>62</v>
      </c>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row>
    <row r="11" spans="1:21" s="2" customFormat="1" ht="15.75" x14ac:dyDescent="0.2">
      <c r="B11" s="2" t="s">
        <v>700</v>
      </c>
    </row>
    <row r="12" spans="1:21" ht="11.25" customHeight="1" x14ac:dyDescent="0.2"/>
    <row r="13" spans="1:21" ht="11.25" customHeight="1" x14ac:dyDescent="0.2">
      <c r="D13" s="105" t="s">
        <v>216</v>
      </c>
    </row>
    <row r="14" spans="1:21" ht="11.25" customHeight="1" x14ac:dyDescent="0.2"/>
    <row r="15" spans="1:21" ht="11.25" customHeight="1" x14ac:dyDescent="0.2"/>
    <row r="16" spans="1:21" s="8" customFormat="1" ht="15" x14ac:dyDescent="0.2">
      <c r="C16" s="8" t="s">
        <v>128</v>
      </c>
    </row>
    <row r="17" spans="1:23" ht="11.25" customHeight="1" x14ac:dyDescent="0.2"/>
    <row r="18" spans="1:23" ht="11.25" customHeight="1" x14ac:dyDescent="0.2">
      <c r="D18" s="70" t="s">
        <v>129</v>
      </c>
      <c r="F18" s="54" t="str">
        <f>F$9</f>
        <v>Tariff Class</v>
      </c>
      <c r="H18" s="54" t="str">
        <f>Lookup!E$19</f>
        <v>Source</v>
      </c>
      <c r="I18" s="54" t="str">
        <f>Lookup!F$19</f>
        <v>Unit</v>
      </c>
      <c r="J18" s="54" t="str">
        <f>Lookup!G$19</f>
        <v>Basis</v>
      </c>
      <c r="O18" s="54" t="str">
        <f>O$9</f>
        <v>FY25</v>
      </c>
      <c r="P18" s="54" t="str">
        <f>P$9</f>
        <v>FY26</v>
      </c>
      <c r="Q18" s="54" t="str">
        <f>Q$9</f>
        <v>FY27</v>
      </c>
      <c r="R18" s="54" t="str">
        <f>R$9</f>
        <v>FY28</v>
      </c>
      <c r="S18" s="54" t="str">
        <f>S$9</f>
        <v>FY29</v>
      </c>
    </row>
    <row r="19" spans="1:23" ht="11.25" customHeight="1" x14ac:dyDescent="0.2"/>
    <row r="20" spans="1:23" ht="12.75" x14ac:dyDescent="0.2">
      <c r="D20" s="76" t="str">
        <f>C28</f>
        <v>System access charge</v>
      </c>
      <c r="F20" s="63" t="s">
        <v>21</v>
      </c>
      <c r="H20" s="243" t="s">
        <v>130</v>
      </c>
      <c r="I20" s="243" t="s">
        <v>47</v>
      </c>
      <c r="J20" s="243" t="s">
        <v>40</v>
      </c>
      <c r="O20" s="66">
        <f>O41</f>
        <v>74554.898567520111</v>
      </c>
      <c r="P20" s="66">
        <f>P41</f>
        <v>83329.249318961607</v>
      </c>
      <c r="Q20" s="66">
        <f>Q41</f>
        <v>92458.8966600852</v>
      </c>
      <c r="R20" s="66">
        <f>R41</f>
        <v>101553.64657009262</v>
      </c>
      <c r="S20" s="66">
        <f>S41</f>
        <v>103321.6154430982</v>
      </c>
    </row>
    <row r="21" spans="1:23" ht="12.75" x14ac:dyDescent="0.2">
      <c r="D21" s="76" t="str">
        <f>C45</f>
        <v>Consumption</v>
      </c>
      <c r="F21" s="63" t="s">
        <v>21</v>
      </c>
      <c r="H21" s="243" t="s">
        <v>130</v>
      </c>
      <c r="I21" s="243" t="s">
        <v>47</v>
      </c>
      <c r="J21" s="243" t="s">
        <v>40</v>
      </c>
      <c r="O21" s="66">
        <f>O64</f>
        <v>89517.938934730628</v>
      </c>
      <c r="P21" s="66">
        <f>P64</f>
        <v>96691.827308899534</v>
      </c>
      <c r="Q21" s="66">
        <f>Q64</f>
        <v>105335.74668040693</v>
      </c>
      <c r="R21" s="66">
        <f>R64</f>
        <v>114560.07399221719</v>
      </c>
      <c r="S21" s="66">
        <f>S64</f>
        <v>124651.42103742468</v>
      </c>
    </row>
    <row r="22" spans="1:23" ht="12.75" x14ac:dyDescent="0.2">
      <c r="D22" s="76" t="str">
        <f>C68</f>
        <v>Demand</v>
      </c>
      <c r="F22" s="63" t="s">
        <v>21</v>
      </c>
      <c r="H22" s="243" t="s">
        <v>130</v>
      </c>
      <c r="I22" s="243" t="s">
        <v>47</v>
      </c>
      <c r="J22" s="243" t="s">
        <v>40</v>
      </c>
      <c r="O22" s="66">
        <f>O77</f>
        <v>9377.3967681395116</v>
      </c>
      <c r="P22" s="66">
        <f>P77</f>
        <v>10717.02514996132</v>
      </c>
      <c r="Q22" s="66">
        <f>Q77</f>
        <v>11954.396081058288</v>
      </c>
      <c r="R22" s="66">
        <f>R77</f>
        <v>14541.109392346534</v>
      </c>
      <c r="S22" s="66">
        <f>S77</f>
        <v>15860.22166150148</v>
      </c>
    </row>
    <row r="23" spans="1:23" ht="11.25" customHeight="1" x14ac:dyDescent="0.2">
      <c r="Q23" s="145"/>
    </row>
    <row r="24" spans="1:23" ht="11.25" customHeight="1" x14ac:dyDescent="0.2">
      <c r="D24" s="62" t="s">
        <v>51</v>
      </c>
      <c r="F24" s="56" t="s">
        <v>21</v>
      </c>
      <c r="H24" s="56" t="s">
        <v>52</v>
      </c>
      <c r="I24" s="56" t="str">
        <f>Thousands</f>
        <v>$000's</v>
      </c>
      <c r="J24" s="56" t="str">
        <f>Nominal</f>
        <v>Nominal</v>
      </c>
      <c r="O24" s="68">
        <f>SUM(O20:O22)</f>
        <v>173450.23427039024</v>
      </c>
      <c r="P24" s="68">
        <f>SUM(P20:P22)</f>
        <v>190738.10177782245</v>
      </c>
      <c r="Q24" s="68">
        <f>SUM(Q20:Q22)</f>
        <v>209749.03942155041</v>
      </c>
      <c r="R24" s="68">
        <f>SUM(R20:R22)</f>
        <v>230654.82995465634</v>
      </c>
      <c r="S24" s="68">
        <f>SUM(S20:S22)</f>
        <v>243833.25814202437</v>
      </c>
    </row>
    <row r="25" spans="1:23" ht="11.25" customHeight="1" x14ac:dyDescent="0.2"/>
    <row r="26" spans="1:23" ht="12.75" hidden="1" outlineLevel="1" x14ac:dyDescent="0.2">
      <c r="A26" s="59">
        <f>IF(SUM($O26:$S26)=0,0,1)</f>
        <v>0</v>
      </c>
      <c r="D26" s="81" t="s">
        <v>127</v>
      </c>
      <c r="E26" s="80"/>
      <c r="F26" s="80"/>
      <c r="G26" s="82"/>
      <c r="H26" s="80"/>
      <c r="I26" s="80"/>
      <c r="J26" s="80"/>
      <c r="K26" s="58"/>
      <c r="O26" s="59">
        <f t="shared" ref="O26:S26" si="0">IF(ISERROR(O24)&lt;&gt;0,0,1)</f>
        <v>0</v>
      </c>
      <c r="P26" s="59">
        <f t="shared" si="0"/>
        <v>0</v>
      </c>
      <c r="Q26" s="59">
        <f t="shared" si="0"/>
        <v>0</v>
      </c>
      <c r="R26" s="59">
        <f t="shared" si="0"/>
        <v>0</v>
      </c>
      <c r="S26" s="59">
        <f t="shared" si="0"/>
        <v>0</v>
      </c>
    </row>
    <row r="27" spans="1:23" ht="11.25" customHeight="1" collapsed="1" x14ac:dyDescent="0.2"/>
    <row r="28" spans="1:23" s="8" customFormat="1" ht="15" x14ac:dyDescent="0.2">
      <c r="C28" s="8" t="str">
        <f>Inputs_Prices!C16</f>
        <v>System access charge</v>
      </c>
    </row>
    <row r="29" spans="1:23" ht="11.25" customHeight="1" x14ac:dyDescent="0.2"/>
    <row r="30" spans="1:23" ht="11.25" customHeight="1" x14ac:dyDescent="0.2">
      <c r="C30" s="170" t="s">
        <v>5</v>
      </c>
      <c r="D30" s="70" t="str">
        <f>D$9</f>
        <v>Tariff</v>
      </c>
      <c r="E30" s="54" t="str">
        <f>E$9</f>
        <v>Tariff Components</v>
      </c>
      <c r="F30" s="54" t="str">
        <f>F$9</f>
        <v>Tariff Class</v>
      </c>
      <c r="H30" s="54" t="str">
        <f>Lookup!E$19</f>
        <v>Source</v>
      </c>
      <c r="I30" s="54" t="str">
        <f>Lookup!F$19</f>
        <v>Unit</v>
      </c>
      <c r="J30" s="54" t="str">
        <f>Lookup!G$19</f>
        <v>Basis</v>
      </c>
      <c r="O30" s="54" t="str">
        <f>O$9</f>
        <v>FY25</v>
      </c>
      <c r="P30" s="54" t="str">
        <f>P$9</f>
        <v>FY26</v>
      </c>
      <c r="Q30" s="54" t="str">
        <f>Q$9</f>
        <v>FY27</v>
      </c>
      <c r="R30" s="54" t="str">
        <f>R$9</f>
        <v>FY28</v>
      </c>
      <c r="S30" s="54" t="str">
        <f>S$9</f>
        <v>FY29</v>
      </c>
      <c r="U30" s="70" t="s">
        <v>510</v>
      </c>
      <c r="W30" s="70" t="s">
        <v>517</v>
      </c>
    </row>
    <row r="31" spans="1:23" ht="11.25" customHeight="1" x14ac:dyDescent="0.2">
      <c r="D31" s="1"/>
    </row>
    <row r="32" spans="1:23" ht="12.75" x14ac:dyDescent="0.2">
      <c r="C32" s="169">
        <f>Inputs_Prices!C20</f>
        <v>1</v>
      </c>
      <c r="D32" s="76" t="str">
        <f>Inputs_Prices!D20</f>
        <v>Residential Accumulation</v>
      </c>
      <c r="E32" s="243" t="s">
        <v>105</v>
      </c>
      <c r="F32" s="63" t="str">
        <f>Inputs_Prices!F20</f>
        <v>LV &lt;750MWh</v>
      </c>
      <c r="H32" s="243" t="s">
        <v>52</v>
      </c>
      <c r="I32" s="243" t="s">
        <v>47</v>
      </c>
      <c r="J32" s="243" t="s">
        <v>40</v>
      </c>
      <c r="O32" s="66">
        <f>Inputs_Prices!O20*Inputs_Volumes!O20*Dollars_to_Thousands</f>
        <v>29958.790872997331</v>
      </c>
      <c r="P32" s="66">
        <f>Inputs_Prices!P20*Inputs_Volumes!P20*Dollars_to_Thousands</f>
        <v>25341.495203694278</v>
      </c>
      <c r="Q32" s="66">
        <f>Inputs_Prices!Q20*Inputs_Volumes!Q20*Dollars_to_Thousands</f>
        <v>18861.771915309826</v>
      </c>
      <c r="R32" s="66">
        <f>Inputs_Prices!R20*Inputs_Volumes!R20*Dollars_to_Thousands</f>
        <v>10546.164518818243</v>
      </c>
      <c r="S32" s="66">
        <f>Inputs_Prices!S20*Inputs_Volumes!S20*Dollars_to_Thousands</f>
        <v>9033.8253826633772</v>
      </c>
      <c r="U32" s="76" t="str">
        <f>Inputs_Prices!$U20</f>
        <v xml:space="preserve">Revenue from Fixed Customer Charges </v>
      </c>
      <c r="W32" s="76" t="str">
        <f>Inputs_Prices!$W20</f>
        <v xml:space="preserve">Revenue from residential Customers </v>
      </c>
    </row>
    <row r="33" spans="1:23" ht="12.75" x14ac:dyDescent="0.2">
      <c r="C33" s="169">
        <f>Inputs_Prices!C21</f>
        <v>2</v>
      </c>
      <c r="D33" s="76" t="str">
        <f>Inputs_Prices!D21</f>
        <v>Non-Residential Accumulation</v>
      </c>
      <c r="E33" s="243" t="s">
        <v>105</v>
      </c>
      <c r="F33" s="63" t="str">
        <f>Inputs_Prices!F21</f>
        <v>LV &lt;750MWh</v>
      </c>
      <c r="H33" s="243" t="s">
        <v>52</v>
      </c>
      <c r="I33" s="243" t="s">
        <v>47</v>
      </c>
      <c r="J33" s="243" t="s">
        <v>40</v>
      </c>
      <c r="O33" s="66">
        <f>Inputs_Prices!O21*Inputs_Volumes!O21*Dollars_to_Thousands</f>
        <v>1374.3339917469211</v>
      </c>
      <c r="P33" s="66">
        <f>Inputs_Prices!P21*Inputs_Volumes!P21*Dollars_to_Thousands</f>
        <v>1140.6916515098253</v>
      </c>
      <c r="Q33" s="66">
        <f>Inputs_Prices!Q21*Inputs_Volumes!Q21*Dollars_to_Thousands</f>
        <v>815.44041274222093</v>
      </c>
      <c r="R33" s="66">
        <f>Inputs_Prices!R21*Inputs_Volumes!R21*Dollars_to_Thousands</f>
        <v>399.21170194458949</v>
      </c>
      <c r="S33" s="66">
        <f>Inputs_Prices!S21*Inputs_Volumes!S21*Dollars_to_Thousands</f>
        <v>0</v>
      </c>
      <c r="U33" s="76" t="str">
        <f>Inputs_Prices!$U21</f>
        <v xml:space="preserve">Revenue from Fixed Customer Charges </v>
      </c>
      <c r="W33" s="76" t="str">
        <f>Inputs_Prices!$W21</f>
        <v xml:space="preserve">Revenue from Non residential customers not on demand tariffs </v>
      </c>
    </row>
    <row r="34" spans="1:23" ht="12.75" x14ac:dyDescent="0.2">
      <c r="C34" s="169" t="str">
        <f>Inputs_Prices!C22</f>
        <v>3a</v>
      </c>
      <c r="D34" s="76" t="str">
        <f>Inputs_Prices!D22</f>
        <v>LV Smart Meter - Res</v>
      </c>
      <c r="E34" s="243" t="s">
        <v>105</v>
      </c>
      <c r="F34" s="63" t="str">
        <f>Inputs_Prices!F22</f>
        <v>LV &lt;750MWh</v>
      </c>
      <c r="H34" s="243" t="s">
        <v>52</v>
      </c>
      <c r="I34" s="243" t="s">
        <v>47</v>
      </c>
      <c r="J34" s="243" t="s">
        <v>40</v>
      </c>
      <c r="O34" s="66">
        <f>Inputs_Prices!O22*Inputs_Volumes!O22*Dollars_to_Thousands</f>
        <v>23926.48</v>
      </c>
      <c r="P34" s="66">
        <f>Inputs_Prices!P22*Inputs_Volumes!P22*Dollars_to_Thousands</f>
        <v>35505.10125</v>
      </c>
      <c r="Q34" s="66">
        <f>Inputs_Prices!Q22*Inputs_Volumes!Q22*Dollars_to_Thousands</f>
        <v>48997.599999999999</v>
      </c>
      <c r="R34" s="66">
        <f>Inputs_Prices!R22*Inputs_Volumes!R22*Dollars_to_Thousands</f>
        <v>64581.065999999999</v>
      </c>
      <c r="S34" s="66">
        <f>Inputs_Prices!S22*Inputs_Volumes!S22*Dollars_to_Thousands</f>
        <v>66064.817500000005</v>
      </c>
      <c r="U34" s="76" t="str">
        <f>Inputs_Prices!$U22</f>
        <v xml:space="preserve">Revenue from Fixed Customer Charges </v>
      </c>
      <c r="W34" s="76" t="str">
        <f>Inputs_Prices!$W22</f>
        <v xml:space="preserve">Revenue from residential Customers </v>
      </c>
    </row>
    <row r="35" spans="1:23" ht="12.75" x14ac:dyDescent="0.2">
      <c r="C35" s="169" t="str">
        <f>Inputs_Prices!C23</f>
        <v>3b</v>
      </c>
      <c r="D35" s="76" t="str">
        <f>Inputs_Prices!D23</f>
        <v>LV Smart Meter - Small Comm</v>
      </c>
      <c r="E35" s="243" t="s">
        <v>105</v>
      </c>
      <c r="F35" s="63" t="str">
        <f>Inputs_Prices!F23</f>
        <v>LV &lt;750MWh</v>
      </c>
      <c r="H35" s="243" t="s">
        <v>52</v>
      </c>
      <c r="I35" s="243" t="s">
        <v>47</v>
      </c>
      <c r="J35" s="243" t="s">
        <v>40</v>
      </c>
      <c r="O35" s="66">
        <f>Inputs_Prices!O23*Inputs_Volumes!O23*Dollars_to_Thousands</f>
        <v>8499.9375</v>
      </c>
      <c r="P35" s="66">
        <f>Inputs_Prices!P23*Inputs_Volumes!P23*Dollars_to_Thousands</f>
        <v>9816.6750000000011</v>
      </c>
      <c r="Q35" s="66">
        <f>Inputs_Prices!Q23*Inputs_Volumes!Q23*Dollars_to_Thousands</f>
        <v>11220.465</v>
      </c>
      <c r="R35" s="66">
        <f>Inputs_Prices!R23*Inputs_Volumes!R23*Dollars_to_Thousands</f>
        <v>12745.4925</v>
      </c>
      <c r="S35" s="66">
        <f>Inputs_Prices!S23*Inputs_Volumes!S23*Dollars_to_Thousands</f>
        <v>14288.8375</v>
      </c>
      <c r="U35" s="76" t="str">
        <f>Inputs_Prices!$U23</f>
        <v xml:space="preserve">Revenue from Fixed Customer Charges </v>
      </c>
      <c r="W35" s="76" t="str">
        <f>Inputs_Prices!$W23</f>
        <v xml:space="preserve">Revenue from Non residential customers not on demand tariffs </v>
      </c>
    </row>
    <row r="36" spans="1:23" ht="12.75" x14ac:dyDescent="0.2">
      <c r="C36" s="169" t="str">
        <f>Inputs_Prices!C24</f>
        <v>3c</v>
      </c>
      <c r="D36" s="76" t="str">
        <f>Inputs_Prices!D24</f>
        <v>LV Smart Meter - Med Comm</v>
      </c>
      <c r="E36" s="243" t="s">
        <v>105</v>
      </c>
      <c r="F36" s="63" t="str">
        <f>Inputs_Prices!F24</f>
        <v>LV &lt;750MWh</v>
      </c>
      <c r="H36" s="243" t="s">
        <v>52</v>
      </c>
      <c r="I36" s="243" t="s">
        <v>47</v>
      </c>
      <c r="J36" s="243" t="s">
        <v>40</v>
      </c>
      <c r="O36" s="66">
        <f>Inputs_Prices!O24*Inputs_Volumes!O24*Dollars_to_Thousands</f>
        <v>2624.7150000000001</v>
      </c>
      <c r="P36" s="66">
        <f>Inputs_Prices!P24*Inputs_Volumes!P24*Dollars_to_Thousands</f>
        <v>2917.08</v>
      </c>
      <c r="Q36" s="66">
        <f>Inputs_Prices!Q24*Inputs_Volumes!Q24*Dollars_to_Thousands</f>
        <v>3224.7750000000001</v>
      </c>
      <c r="R36" s="66">
        <f>Inputs_Prices!R24*Inputs_Volumes!R24*Dollars_to_Thousands</f>
        <v>3472.1505000000002</v>
      </c>
      <c r="S36" s="66">
        <f>Inputs_Prices!S24*Inputs_Volumes!S24*Dollars_to_Thousands</f>
        <v>3704.75</v>
      </c>
      <c r="U36" s="76" t="str">
        <f>Inputs_Prices!$U24</f>
        <v xml:space="preserve">Revenue from Fixed Customer Charges </v>
      </c>
      <c r="W36" s="76" t="str">
        <f>Inputs_Prices!$W24</f>
        <v xml:space="preserve">Revenue from Non residential customers not on demand tariffs </v>
      </c>
    </row>
    <row r="37" spans="1:23" ht="12.75" x14ac:dyDescent="0.2">
      <c r="C37" s="169">
        <f>Inputs_Prices!C25</f>
        <v>4</v>
      </c>
      <c r="D37" s="76" t="str">
        <f>Inputs_Prices!D25</f>
        <v>Unmetered</v>
      </c>
      <c r="E37" s="243" t="s">
        <v>105</v>
      </c>
      <c r="F37" s="63" t="str">
        <f>Inputs_Prices!F25</f>
        <v>LV &lt;750MWh</v>
      </c>
      <c r="H37" s="243" t="s">
        <v>52</v>
      </c>
      <c r="I37" s="243" t="s">
        <v>47</v>
      </c>
      <c r="J37" s="243" t="s">
        <v>40</v>
      </c>
      <c r="O37" s="66">
        <f>Inputs_Prices!O25*Inputs_Volumes!O25*Dollars_to_Thousands</f>
        <v>0</v>
      </c>
      <c r="P37" s="66">
        <f>Inputs_Prices!P25*Inputs_Volumes!P25*Dollars_to_Thousands</f>
        <v>0</v>
      </c>
      <c r="Q37" s="66">
        <f>Inputs_Prices!Q25*Inputs_Volumes!Q25*Dollars_to_Thousands</f>
        <v>0</v>
      </c>
      <c r="R37" s="66">
        <f>Inputs_Prices!R25*Inputs_Volumes!R25*Dollars_to_Thousands</f>
        <v>0</v>
      </c>
      <c r="S37" s="66">
        <f>Inputs_Prices!S25*Inputs_Volumes!S25*Dollars_to_Thousands</f>
        <v>0</v>
      </c>
      <c r="U37" s="76" t="str">
        <f>Inputs_Prices!$U25</f>
        <v xml:space="preserve">Revenue from Fixed Customer Charges </v>
      </c>
      <c r="W37" s="76" t="str">
        <f>Inputs_Prices!$W25</f>
        <v>Revenue from unmetered supplies</v>
      </c>
    </row>
    <row r="38" spans="1:23" ht="12.75" x14ac:dyDescent="0.2">
      <c r="C38" s="169">
        <f>Inputs_Prices!C26</f>
        <v>5</v>
      </c>
      <c r="D38" s="76" t="str">
        <f>Inputs_Prices!D26</f>
        <v>LV Majors</v>
      </c>
      <c r="E38" s="243" t="s">
        <v>105</v>
      </c>
      <c r="F38" s="63" t="str">
        <f>Inputs_Prices!F26</f>
        <v>LV &gt;750MWh</v>
      </c>
      <c r="H38" s="243" t="s">
        <v>52</v>
      </c>
      <c r="I38" s="243" t="s">
        <v>47</v>
      </c>
      <c r="J38" s="243" t="s">
        <v>40</v>
      </c>
      <c r="O38" s="66">
        <f>Inputs_Prices!O26*Inputs_Volumes!O26*Dollars_to_Thousands</f>
        <v>5480.5912027758613</v>
      </c>
      <c r="P38" s="66">
        <f>Inputs_Prices!P26*Inputs_Volumes!P26*Dollars_to_Thousands</f>
        <v>5788.4121643990111</v>
      </c>
      <c r="Q38" s="66">
        <f>Inputs_Prices!Q26*Inputs_Volumes!Q26*Dollars_to_Thousands</f>
        <v>6388.6305841515432</v>
      </c>
      <c r="R38" s="66">
        <f>Inputs_Prices!R26*Inputs_Volumes!R26*Dollars_to_Thousands</f>
        <v>6719.8069394830873</v>
      </c>
      <c r="S38" s="66">
        <f>Inputs_Prices!S26*Inputs_Volumes!S26*Dollars_to_Thousands</f>
        <v>7016.291503700364</v>
      </c>
      <c r="U38" s="76" t="str">
        <f>Inputs_Prices!$U26</f>
        <v xml:space="preserve">Revenue from Fixed Customer Charges </v>
      </c>
      <c r="W38" s="76" t="str">
        <f>Inputs_Prices!$W26</f>
        <v xml:space="preserve">Revenue from Non-residential low voltage demand tariff customers </v>
      </c>
    </row>
    <row r="39" spans="1:23" ht="12.75" x14ac:dyDescent="0.2">
      <c r="C39" s="169">
        <f>Inputs_Prices!C27</f>
        <v>6</v>
      </c>
      <c r="D39" s="76" t="str">
        <f>Inputs_Prices!D27</f>
        <v>HV Smart Meters</v>
      </c>
      <c r="E39" s="243" t="s">
        <v>105</v>
      </c>
      <c r="F39" s="63" t="str">
        <f>Inputs_Prices!F27</f>
        <v>HV</v>
      </c>
      <c r="H39" s="243" t="s">
        <v>52</v>
      </c>
      <c r="I39" s="243" t="s">
        <v>47</v>
      </c>
      <c r="J39" s="243" t="s">
        <v>40</v>
      </c>
      <c r="O39" s="66">
        <f>Inputs_Prices!O27*Inputs_Volumes!O27*Dollars_to_Thousands</f>
        <v>2690.05</v>
      </c>
      <c r="P39" s="66">
        <f>Inputs_Prices!P27*Inputs_Volumes!P27*Dollars_to_Thousands</f>
        <v>2819.7940493584942</v>
      </c>
      <c r="Q39" s="66">
        <f>Inputs_Prices!Q27*Inputs_Volumes!Q27*Dollars_to_Thousands</f>
        <v>2950.2137478816276</v>
      </c>
      <c r="R39" s="66">
        <f>Inputs_Prices!R27*Inputs_Volumes!R27*Dollars_to_Thousands</f>
        <v>3089.7544098466983</v>
      </c>
      <c r="S39" s="66">
        <f>Inputs_Prices!S27*Inputs_Volumes!S27*Dollars_to_Thousands</f>
        <v>3213.0935567344609</v>
      </c>
      <c r="U39" s="76" t="str">
        <f>Inputs_Prices!$U27</f>
        <v xml:space="preserve">Revenue from Fixed Customer Charges </v>
      </c>
      <c r="W39" s="76" t="str">
        <f>Inputs_Prices!$W27</f>
        <v xml:space="preserve">Revenue from Non-residential high voltage demand tariff customers </v>
      </c>
    </row>
    <row r="40" spans="1:23" ht="11.25" customHeight="1" x14ac:dyDescent="0.2"/>
    <row r="41" spans="1:23" ht="12.75" x14ac:dyDescent="0.2">
      <c r="D41" s="62" t="s">
        <v>51</v>
      </c>
      <c r="E41" s="56" t="s">
        <v>21</v>
      </c>
      <c r="F41" s="56" t="s">
        <v>21</v>
      </c>
      <c r="H41" s="56" t="s">
        <v>52</v>
      </c>
      <c r="I41" s="56" t="str">
        <f>Thousands</f>
        <v>$000's</v>
      </c>
      <c r="J41" s="56" t="str">
        <f>Nominal</f>
        <v>Nominal</v>
      </c>
      <c r="O41" s="68">
        <f>SUM(O32:O39)</f>
        <v>74554.898567520111</v>
      </c>
      <c r="P41" s="68">
        <f>SUM(P32:P39)</f>
        <v>83329.249318961607</v>
      </c>
      <c r="Q41" s="68">
        <f>SUM(Q32:Q39)</f>
        <v>92458.8966600852</v>
      </c>
      <c r="R41" s="68">
        <f>SUM(R32:R39)</f>
        <v>101553.64657009262</v>
      </c>
      <c r="S41" s="68">
        <f>SUM(S32:S39)</f>
        <v>103321.6154430982</v>
      </c>
    </row>
    <row r="42" spans="1:23" ht="11.25" customHeight="1" x14ac:dyDescent="0.2">
      <c r="O42" s="71"/>
      <c r="P42" s="71"/>
      <c r="Q42" s="71"/>
      <c r="R42" s="71"/>
      <c r="S42" s="71"/>
    </row>
    <row r="43" spans="1:23" ht="12.75" hidden="1" outlineLevel="1" x14ac:dyDescent="0.2">
      <c r="A43" s="59">
        <f>IF(SUM($O43:$S43)=0,0,1)</f>
        <v>0</v>
      </c>
      <c r="D43" s="81" t="s">
        <v>127</v>
      </c>
      <c r="E43" s="80"/>
      <c r="F43" s="80"/>
      <c r="G43" s="82"/>
      <c r="H43" s="80"/>
      <c r="I43" s="80"/>
      <c r="J43" s="80"/>
      <c r="K43" s="58"/>
      <c r="O43" s="59">
        <f>IF(ISERROR(O41)&lt;&gt;0,0,1)</f>
        <v>0</v>
      </c>
      <c r="P43" s="59">
        <f>IF(ISERROR(P41)&lt;&gt;0,0,1)</f>
        <v>0</v>
      </c>
      <c r="Q43" s="59">
        <f>IF(ISERROR(Q41)&lt;&gt;0,0,1)</f>
        <v>0</v>
      </c>
      <c r="R43" s="59">
        <f>IF(ISERROR(R41)&lt;&gt;0,0,1)</f>
        <v>0</v>
      </c>
      <c r="S43" s="59">
        <f>IF(ISERROR(S41)&lt;&gt;0,0,1)</f>
        <v>0</v>
      </c>
    </row>
    <row r="44" spans="1:23" ht="11.25" customHeight="1" collapsed="1" x14ac:dyDescent="0.2"/>
    <row r="45" spans="1:23" s="8" customFormat="1" ht="15" x14ac:dyDescent="0.2">
      <c r="C45" s="8" t="str">
        <f>Inputs_Prices!C30</f>
        <v>Consumption</v>
      </c>
    </row>
    <row r="46" spans="1:23" ht="11.25" customHeight="1" x14ac:dyDescent="0.2"/>
    <row r="47" spans="1:23" ht="11.25" customHeight="1" x14ac:dyDescent="0.2">
      <c r="C47" s="170" t="s">
        <v>5</v>
      </c>
      <c r="D47" s="70" t="str">
        <f>D$9</f>
        <v>Tariff</v>
      </c>
      <c r="E47" s="54" t="str">
        <f>E$9</f>
        <v>Tariff Components</v>
      </c>
      <c r="F47" s="54" t="str">
        <f>F$9</f>
        <v>Tariff Class</v>
      </c>
      <c r="H47" s="54" t="str">
        <f>Lookup!E$19</f>
        <v>Source</v>
      </c>
      <c r="I47" s="54" t="str">
        <f>Lookup!F$19</f>
        <v>Unit</v>
      </c>
      <c r="J47" s="54" t="str">
        <f>Lookup!G$19</f>
        <v>Basis</v>
      </c>
      <c r="O47" s="54" t="str">
        <f>O$9</f>
        <v>FY25</v>
      </c>
      <c r="P47" s="54" t="str">
        <f>P$9</f>
        <v>FY26</v>
      </c>
      <c r="Q47" s="54" t="str">
        <f>Q$9</f>
        <v>FY27</v>
      </c>
      <c r="R47" s="54" t="str">
        <f>R$9</f>
        <v>FY28</v>
      </c>
      <c r="S47" s="54" t="str">
        <f>S$9</f>
        <v>FY29</v>
      </c>
      <c r="U47" s="70" t="s">
        <v>510</v>
      </c>
      <c r="W47" s="70" t="s">
        <v>517</v>
      </c>
    </row>
    <row r="48" spans="1:23" ht="11.25" customHeight="1" x14ac:dyDescent="0.2">
      <c r="D48" s="1"/>
    </row>
    <row r="49" spans="3:23" ht="12.75" x14ac:dyDescent="0.2">
      <c r="C49" s="169">
        <f>Inputs_Prices!C34</f>
        <v>1</v>
      </c>
      <c r="D49" s="76" t="str">
        <f>Inputs_Prices!D34</f>
        <v>Residential Accumulation</v>
      </c>
      <c r="E49" s="63" t="s">
        <v>275</v>
      </c>
      <c r="F49" s="63" t="str">
        <f>Inputs_Prices!F34</f>
        <v>LV &lt;750MWh</v>
      </c>
      <c r="H49" s="243" t="s">
        <v>52</v>
      </c>
      <c r="I49" s="243" t="s">
        <v>47</v>
      </c>
      <c r="J49" s="243" t="s">
        <v>40</v>
      </c>
      <c r="O49" s="66">
        <f>Inputs_Prices!O34*Inputs_Volumes!O34*Dollars_to_Thousands</f>
        <v>23227.83163693445</v>
      </c>
      <c r="P49" s="66">
        <f>Inputs_Prices!P34*Inputs_Volumes!P34*Dollars_to_Thousands</f>
        <v>17523.72691888897</v>
      </c>
      <c r="Q49" s="66">
        <f>Inputs_Prices!Q34*Inputs_Volumes!Q34*Dollars_to_Thousands</f>
        <v>13046.386746028275</v>
      </c>
      <c r="R49" s="66">
        <f>Inputs_Prices!R34*Inputs_Volumes!R34*Dollars_to_Thousands</f>
        <v>14305.070515338377</v>
      </c>
      <c r="S49" s="66">
        <f>Inputs_Prices!S34*Inputs_Volumes!S34*Dollars_to_Thousands</f>
        <v>6695.5366404869919</v>
      </c>
      <c r="U49" s="76" t="str">
        <f>Inputs_Prices!$U34</f>
        <v>Revenue from Energy Delivery charges where time of use is not a determinant</v>
      </c>
      <c r="W49" s="76" t="str">
        <f>Inputs_Prices!$W34</f>
        <v xml:space="preserve">Revenue from residential Customers </v>
      </c>
    </row>
    <row r="50" spans="3:23" ht="12.75" x14ac:dyDescent="0.2">
      <c r="C50" s="169">
        <f>Inputs_Prices!C35</f>
        <v>2</v>
      </c>
      <c r="D50" s="76" t="str">
        <f>Inputs_Prices!D35</f>
        <v>Non-Residential Accumulation</v>
      </c>
      <c r="E50" s="63" t="s">
        <v>275</v>
      </c>
      <c r="F50" s="63" t="str">
        <f>Inputs_Prices!F35</f>
        <v>LV &lt;750MWh</v>
      </c>
      <c r="H50" s="243" t="s">
        <v>52</v>
      </c>
      <c r="I50" s="243" t="s">
        <v>47</v>
      </c>
      <c r="J50" s="243" t="s">
        <v>40</v>
      </c>
      <c r="O50" s="66">
        <f>Inputs_Prices!O35*Inputs_Volumes!O35*Dollars_to_Thousands</f>
        <v>2175.9060749668292</v>
      </c>
      <c r="P50" s="66">
        <f>Inputs_Prices!P35*Inputs_Volumes!P35*Dollars_to_Thousands</f>
        <v>1643.3090354506669</v>
      </c>
      <c r="Q50" s="66">
        <f>Inputs_Prices!Q35*Inputs_Volumes!Q35*Dollars_to_Thousands</f>
        <v>1105.4101175735818</v>
      </c>
      <c r="R50" s="66">
        <f>Inputs_Prices!R35*Inputs_Volumes!R35*Dollars_to_Thousands</f>
        <v>506.30930543491525</v>
      </c>
      <c r="S50" s="66">
        <f>Inputs_Prices!S35*Inputs_Volumes!S35*Dollars_to_Thousands</f>
        <v>0</v>
      </c>
      <c r="U50" s="76" t="str">
        <f>Inputs_Prices!$U35</f>
        <v>Revenue from Energy Delivery charges where time of use is not a determinant</v>
      </c>
      <c r="W50" s="76" t="str">
        <f>Inputs_Prices!$W35</f>
        <v xml:space="preserve">Revenue from Non residential customers not on demand tariffs </v>
      </c>
    </row>
    <row r="51" spans="3:23" ht="12.75" x14ac:dyDescent="0.2">
      <c r="C51" s="169" t="str">
        <f>Inputs_Prices!C36</f>
        <v>3a</v>
      </c>
      <c r="D51" s="76" t="str">
        <f>Inputs_Prices!D36</f>
        <v>LV Smart Meter - Res</v>
      </c>
      <c r="E51" s="63" t="s">
        <v>272</v>
      </c>
      <c r="F51" s="63" t="str">
        <f>Inputs_Prices!F36</f>
        <v>LV &lt;750MWh</v>
      </c>
      <c r="H51" s="243" t="s">
        <v>52</v>
      </c>
      <c r="I51" s="243" t="s">
        <v>47</v>
      </c>
      <c r="J51" s="243" t="s">
        <v>40</v>
      </c>
      <c r="O51" s="66">
        <f>Inputs_Prices!O36*Inputs_Volumes!O36*Dollars_to_Thousands</f>
        <v>5525.9838963232369</v>
      </c>
      <c r="P51" s="66">
        <f>Inputs_Prices!P36*Inputs_Volumes!P36*Dollars_to_Thousands</f>
        <v>8127.6019271434061</v>
      </c>
      <c r="Q51" s="66">
        <f>Inputs_Prices!Q36*Inputs_Volumes!Q36*Dollars_to_Thousands</f>
        <v>10882.435422745613</v>
      </c>
      <c r="R51" s="66">
        <f>Inputs_Prices!R36*Inputs_Volumes!R36*Dollars_to_Thousands</f>
        <v>11314.166699368949</v>
      </c>
      <c r="S51" s="66">
        <f>Inputs_Prices!S36*Inputs_Volumes!S36*Dollars_to_Thousands</f>
        <v>14938.468518625938</v>
      </c>
      <c r="U51" s="76" t="str">
        <f>Inputs_Prices!$U36</f>
        <v xml:space="preserve">Revenue from On–Peak Energy Delivery charges </v>
      </c>
      <c r="W51" s="76" t="str">
        <f>Inputs_Prices!$W36</f>
        <v xml:space="preserve">Revenue from residential Customers </v>
      </c>
    </row>
    <row r="52" spans="3:23" ht="12.75" x14ac:dyDescent="0.2">
      <c r="C52" s="169" t="str">
        <f>Inputs_Prices!C37</f>
        <v>3a</v>
      </c>
      <c r="D52" s="76" t="str">
        <f>Inputs_Prices!D37</f>
        <v>LV Smart Meter - Res</v>
      </c>
      <c r="E52" s="63" t="s">
        <v>273</v>
      </c>
      <c r="F52" s="63" t="str">
        <f>Inputs_Prices!F37</f>
        <v>LV &lt;750MWh</v>
      </c>
      <c r="H52" s="243" t="s">
        <v>52</v>
      </c>
      <c r="I52" s="243" t="s">
        <v>47</v>
      </c>
      <c r="J52" s="243" t="s">
        <v>40</v>
      </c>
      <c r="O52" s="66">
        <f>Inputs_Prices!O37*Inputs_Volumes!O37*Dollars_to_Thousands</f>
        <v>6868.0255829120179</v>
      </c>
      <c r="P52" s="66">
        <f>Inputs_Prices!P37*Inputs_Volumes!P37*Dollars_to_Thousands</f>
        <v>9940.8856294290144</v>
      </c>
      <c r="Q52" s="66">
        <f>Inputs_Prices!Q37*Inputs_Volumes!Q37*Dollars_to_Thousands</f>
        <v>15470.290899608257</v>
      </c>
      <c r="R52" s="66">
        <f>Inputs_Prices!R37*Inputs_Volumes!R37*Dollars_to_Thousands</f>
        <v>17811.775159818946</v>
      </c>
      <c r="S52" s="66">
        <f>Inputs_Prices!S37*Inputs_Volumes!S37*Dollars_to_Thousands</f>
        <v>24372.656823938742</v>
      </c>
      <c r="U52" s="76" t="str">
        <f>Inputs_Prices!$U37</f>
        <v>Revenue from Shoulder period Energy Delivery Charges</v>
      </c>
      <c r="W52" s="76" t="str">
        <f>Inputs_Prices!$W37</f>
        <v xml:space="preserve">Revenue from residential Customers </v>
      </c>
    </row>
    <row r="53" spans="3:23" ht="12.75" x14ac:dyDescent="0.2">
      <c r="C53" s="169" t="str">
        <f>Inputs_Prices!C38</f>
        <v>3a</v>
      </c>
      <c r="D53" s="76" t="str">
        <f>Inputs_Prices!D38</f>
        <v>LV Smart Meter - Res</v>
      </c>
      <c r="E53" s="63" t="s">
        <v>274</v>
      </c>
      <c r="F53" s="63" t="str">
        <f>Inputs_Prices!F38</f>
        <v>LV &lt;750MWh</v>
      </c>
      <c r="H53" s="243" t="s">
        <v>52</v>
      </c>
      <c r="I53" s="243" t="s">
        <v>47</v>
      </c>
      <c r="J53" s="243" t="s">
        <v>40</v>
      </c>
      <c r="O53" s="66">
        <f>Inputs_Prices!O38*Inputs_Volumes!O38*Dollars_to_Thousands</f>
        <v>0</v>
      </c>
      <c r="P53" s="66">
        <f>Inputs_Prices!P38*Inputs_Volumes!P38*Dollars_to_Thousands</f>
        <v>0</v>
      </c>
      <c r="Q53" s="66">
        <f>Inputs_Prices!Q38*Inputs_Volumes!Q38*Dollars_to_Thousands</f>
        <v>0</v>
      </c>
      <c r="R53" s="66">
        <f>Inputs_Prices!R38*Inputs_Volumes!R38*Dollars_to_Thousands</f>
        <v>0</v>
      </c>
      <c r="S53" s="66">
        <f>Inputs_Prices!S38*Inputs_Volumes!S38*Dollars_to_Thousands</f>
        <v>0</v>
      </c>
      <c r="U53" s="76" t="str">
        <f>Inputs_Prices!$U38</f>
        <v xml:space="preserve">Revenue from Off–Peak Energy Delivery charges </v>
      </c>
      <c r="W53" s="76" t="str">
        <f>Inputs_Prices!$W38</f>
        <v xml:space="preserve">Revenue from residential Customers </v>
      </c>
    </row>
    <row r="54" spans="3:23" ht="12.75" x14ac:dyDescent="0.2">
      <c r="C54" s="169" t="str">
        <f>Inputs_Prices!C39</f>
        <v>3b</v>
      </c>
      <c r="D54" s="76" t="str">
        <f>Inputs_Prices!D39</f>
        <v>LV Smart Meter - Small Comm</v>
      </c>
      <c r="E54" s="63" t="s">
        <v>272</v>
      </c>
      <c r="F54" s="63" t="str">
        <f>Inputs_Prices!F39</f>
        <v>LV &lt;750MWh</v>
      </c>
      <c r="H54" s="243" t="s">
        <v>52</v>
      </c>
      <c r="I54" s="243" t="s">
        <v>47</v>
      </c>
      <c r="J54" s="243" t="s">
        <v>40</v>
      </c>
      <c r="O54" s="66">
        <f>Inputs_Prices!O39*Inputs_Volumes!O39*Dollars_to_Thousands</f>
        <v>8007.6376177378443</v>
      </c>
      <c r="P54" s="66">
        <f>Inputs_Prices!P39*Inputs_Volumes!P39*Dollars_to_Thousands</f>
        <v>8626.9560094970693</v>
      </c>
      <c r="Q54" s="66">
        <f>Inputs_Prices!Q39*Inputs_Volumes!Q39*Dollars_to_Thousands</f>
        <v>9169.358544443754</v>
      </c>
      <c r="R54" s="66">
        <f>Inputs_Prices!R39*Inputs_Volumes!R39*Dollars_to_Thousands</f>
        <v>9691.0947925963737</v>
      </c>
      <c r="S54" s="66">
        <f>Inputs_Prices!S39*Inputs_Volumes!S39*Dollars_to_Thousands</f>
        <v>10159.697482964348</v>
      </c>
      <c r="U54" s="76" t="str">
        <f>Inputs_Prices!$U39</f>
        <v xml:space="preserve">Revenue from On–Peak Energy Delivery charges </v>
      </c>
      <c r="W54" s="76" t="str">
        <f>Inputs_Prices!$W39</f>
        <v xml:space="preserve">Revenue from Non residential customers not on demand tariffs </v>
      </c>
    </row>
    <row r="55" spans="3:23" ht="12.75" x14ac:dyDescent="0.2">
      <c r="C55" s="169" t="str">
        <f>Inputs_Prices!C40</f>
        <v>3b</v>
      </c>
      <c r="D55" s="76" t="str">
        <f>Inputs_Prices!D40</f>
        <v>LV Smart Meter - Small Comm</v>
      </c>
      <c r="E55" s="63" t="s">
        <v>273</v>
      </c>
      <c r="F55" s="63" t="str">
        <f>Inputs_Prices!F40</f>
        <v>LV &lt;750MWh</v>
      </c>
      <c r="H55" s="243" t="s">
        <v>52</v>
      </c>
      <c r="I55" s="243" t="s">
        <v>47</v>
      </c>
      <c r="J55" s="243" t="s">
        <v>40</v>
      </c>
      <c r="O55" s="66">
        <f>Inputs_Prices!O40*Inputs_Volumes!O40*Dollars_to_Thousands</f>
        <v>7446.8181599915079</v>
      </c>
      <c r="P55" s="66">
        <f>Inputs_Prices!P40*Inputs_Volumes!P40*Dollars_to_Thousands</f>
        <v>8049.5942164480612</v>
      </c>
      <c r="Q55" s="66">
        <f>Inputs_Prices!Q40*Inputs_Volumes!Q40*Dollars_to_Thousands</f>
        <v>9170.7378514318425</v>
      </c>
      <c r="R55" s="66">
        <f>Inputs_Prices!R40*Inputs_Volumes!R40*Dollars_to_Thousands</f>
        <v>10158.87506840778</v>
      </c>
      <c r="S55" s="66">
        <f>Inputs_Prices!S40*Inputs_Volumes!S40*Dollars_to_Thousands</f>
        <v>10853.886313876483</v>
      </c>
      <c r="U55" s="76" t="str">
        <f>Inputs_Prices!$U40</f>
        <v>Revenue from Shoulder period Energy Delivery Charges</v>
      </c>
      <c r="W55" s="76" t="str">
        <f>Inputs_Prices!$W40</f>
        <v xml:space="preserve">Revenue from Non residential customers not on demand tariffs </v>
      </c>
    </row>
    <row r="56" spans="3:23" ht="12.75" x14ac:dyDescent="0.2">
      <c r="C56" s="169" t="str">
        <f>Inputs_Prices!C41</f>
        <v>3b</v>
      </c>
      <c r="D56" s="76" t="str">
        <f>Inputs_Prices!D41</f>
        <v>LV Smart Meter - Small Comm</v>
      </c>
      <c r="E56" s="63" t="s">
        <v>274</v>
      </c>
      <c r="F56" s="63" t="str">
        <f>Inputs_Prices!F41</f>
        <v>LV &lt;750MWh</v>
      </c>
      <c r="H56" s="243" t="s">
        <v>52</v>
      </c>
      <c r="I56" s="243" t="s">
        <v>47</v>
      </c>
      <c r="J56" s="243" t="s">
        <v>40</v>
      </c>
      <c r="O56" s="66">
        <f>Inputs_Prices!O41*Inputs_Volumes!O41*Dollars_to_Thousands</f>
        <v>0</v>
      </c>
      <c r="P56" s="66">
        <f>Inputs_Prices!P41*Inputs_Volumes!P41*Dollars_to_Thousands</f>
        <v>0</v>
      </c>
      <c r="Q56" s="66">
        <f>Inputs_Prices!Q41*Inputs_Volumes!Q41*Dollars_to_Thousands</f>
        <v>0</v>
      </c>
      <c r="R56" s="66">
        <f>Inputs_Prices!R41*Inputs_Volumes!R41*Dollars_to_Thousands</f>
        <v>0</v>
      </c>
      <c r="S56" s="66">
        <f>Inputs_Prices!S41*Inputs_Volumes!S41*Dollars_to_Thousands</f>
        <v>0</v>
      </c>
      <c r="U56" s="76" t="str">
        <f>Inputs_Prices!$U41</f>
        <v xml:space="preserve">Revenue from Off–Peak Energy Delivery charges </v>
      </c>
      <c r="W56" s="76" t="str">
        <f>Inputs_Prices!$W41</f>
        <v xml:space="preserve">Revenue from Non residential customers not on demand tariffs </v>
      </c>
    </row>
    <row r="57" spans="3:23" ht="12.75" x14ac:dyDescent="0.2">
      <c r="C57" s="169" t="str">
        <f>Inputs_Prices!C42</f>
        <v>3c</v>
      </c>
      <c r="D57" s="76" t="str">
        <f>Inputs_Prices!D42</f>
        <v>LV Smart Meter - Med Comm</v>
      </c>
      <c r="E57" s="63" t="s">
        <v>272</v>
      </c>
      <c r="F57" s="63" t="str">
        <f>Inputs_Prices!F42</f>
        <v>LV &lt;750MWh</v>
      </c>
      <c r="H57" s="243" t="s">
        <v>52</v>
      </c>
      <c r="I57" s="243" t="s">
        <v>47</v>
      </c>
      <c r="J57" s="243" t="s">
        <v>40</v>
      </c>
      <c r="O57" s="66">
        <f>Inputs_Prices!O42*Inputs_Volumes!O42*Dollars_to_Thousands</f>
        <v>7826.5187317368755</v>
      </c>
      <c r="P57" s="66">
        <f>Inputs_Prices!P42*Inputs_Volumes!P42*Dollars_to_Thousands</f>
        <v>8578.2271912952983</v>
      </c>
      <c r="Q57" s="66">
        <f>Inputs_Prices!Q42*Inputs_Volumes!Q42*Dollars_to_Thousands</f>
        <v>9012.0738064857142</v>
      </c>
      <c r="R57" s="66">
        <f>Inputs_Prices!R42*Inputs_Volumes!R42*Dollars_to_Thousands</f>
        <v>10303.48947290513</v>
      </c>
      <c r="S57" s="66">
        <f>Inputs_Prices!S42*Inputs_Volumes!S42*Dollars_to_Thousands</f>
        <v>11560.184552625034</v>
      </c>
      <c r="U57" s="76" t="str">
        <f>Inputs_Prices!$U42</f>
        <v xml:space="preserve">Revenue from On–Peak Energy Delivery charges </v>
      </c>
      <c r="W57" s="76" t="str">
        <f>Inputs_Prices!$W42</f>
        <v xml:space="preserve">Revenue from Non residential customers not on demand tariffs </v>
      </c>
    </row>
    <row r="58" spans="3:23" ht="12.75" x14ac:dyDescent="0.2">
      <c r="C58" s="169" t="str">
        <f>Inputs_Prices!C43</f>
        <v>3c</v>
      </c>
      <c r="D58" s="76" t="str">
        <f>Inputs_Prices!D43</f>
        <v>LV Smart Meter - Med Comm</v>
      </c>
      <c r="E58" s="63" t="s">
        <v>273</v>
      </c>
      <c r="F58" s="63" t="str">
        <f>Inputs_Prices!F43</f>
        <v>LV &lt;750MWh</v>
      </c>
      <c r="H58" s="243" t="s">
        <v>52</v>
      </c>
      <c r="I58" s="243" t="s">
        <v>47</v>
      </c>
      <c r="J58" s="243" t="s">
        <v>40</v>
      </c>
      <c r="O58" s="66">
        <f>Inputs_Prices!O43*Inputs_Volumes!O43*Dollars_to_Thousands</f>
        <v>9923.3416663871249</v>
      </c>
      <c r="P58" s="66">
        <f>Inputs_Prices!P43*Inputs_Volumes!P43*Dollars_to_Thousands</f>
        <v>12846.191680163021</v>
      </c>
      <c r="Q58" s="66">
        <f>Inputs_Prices!Q43*Inputs_Volumes!Q43*Dollars_to_Thousands</f>
        <v>14461.691749852693</v>
      </c>
      <c r="R58" s="66">
        <f>Inputs_Prices!R43*Inputs_Volumes!R43*Dollars_to_Thousands</f>
        <v>15982.46029087257</v>
      </c>
      <c r="S58" s="66">
        <f>Inputs_Prices!S43*Inputs_Volumes!S43*Dollars_to_Thousands</f>
        <v>19953.552884347413</v>
      </c>
      <c r="U58" s="76" t="str">
        <f>Inputs_Prices!$U43</f>
        <v>Revenue from Shoulder period Energy Delivery Charges</v>
      </c>
      <c r="W58" s="76" t="str">
        <f>Inputs_Prices!$W43</f>
        <v xml:space="preserve">Revenue from Non residential customers not on demand tariffs </v>
      </c>
    </row>
    <row r="59" spans="3:23" ht="12.75" x14ac:dyDescent="0.2">
      <c r="C59" s="169" t="str">
        <f>Inputs_Prices!C44</f>
        <v>3c</v>
      </c>
      <c r="D59" s="76" t="str">
        <f>Inputs_Prices!D44</f>
        <v>LV Smart Meter - Med Comm</v>
      </c>
      <c r="E59" s="63" t="s">
        <v>274</v>
      </c>
      <c r="F59" s="63" t="str">
        <f>Inputs_Prices!F44</f>
        <v>LV &lt;750MWh</v>
      </c>
      <c r="H59" s="243" t="s">
        <v>52</v>
      </c>
      <c r="I59" s="243" t="s">
        <v>47</v>
      </c>
      <c r="J59" s="243" t="s">
        <v>40</v>
      </c>
      <c r="O59" s="66">
        <f>Inputs_Prices!O44*Inputs_Volumes!O44*Dollars_to_Thousands</f>
        <v>0</v>
      </c>
      <c r="P59" s="66">
        <f>Inputs_Prices!P44*Inputs_Volumes!P44*Dollars_to_Thousands</f>
        <v>0</v>
      </c>
      <c r="Q59" s="66">
        <f>Inputs_Prices!Q44*Inputs_Volumes!Q44*Dollars_to_Thousands</f>
        <v>0</v>
      </c>
      <c r="R59" s="66">
        <f>Inputs_Prices!R44*Inputs_Volumes!R44*Dollars_to_Thousands</f>
        <v>0</v>
      </c>
      <c r="S59" s="66">
        <f>Inputs_Prices!S44*Inputs_Volumes!S44*Dollars_to_Thousands</f>
        <v>0</v>
      </c>
      <c r="U59" s="76" t="str">
        <f>Inputs_Prices!$U44</f>
        <v xml:space="preserve">Revenue from Off–Peak Energy Delivery charges </v>
      </c>
      <c r="W59" s="76" t="str">
        <f>Inputs_Prices!$W44</f>
        <v xml:space="preserve">Revenue from Non residential customers not on demand tariffs </v>
      </c>
    </row>
    <row r="60" spans="3:23" ht="12.75" x14ac:dyDescent="0.2">
      <c r="C60" s="169">
        <f>Inputs_Prices!C45</f>
        <v>4</v>
      </c>
      <c r="D60" s="76" t="str">
        <f>Inputs_Prices!D45</f>
        <v>Unmetered</v>
      </c>
      <c r="E60" s="63" t="s">
        <v>275</v>
      </c>
      <c r="F60" s="63" t="str">
        <f>Inputs_Prices!F45</f>
        <v>LV &lt;750MWh</v>
      </c>
      <c r="H60" s="243" t="s">
        <v>52</v>
      </c>
      <c r="I60" s="243" t="s">
        <v>47</v>
      </c>
      <c r="J60" s="243" t="s">
        <v>40</v>
      </c>
      <c r="O60" s="66">
        <f>Inputs_Prices!O45*Inputs_Volumes!O45*Dollars_to_Thousands</f>
        <v>1544.8025402418621</v>
      </c>
      <c r="P60" s="66">
        <f>Inputs_Prices!P45*Inputs_Volumes!P45*Dollars_to_Thousands</f>
        <v>2370.4851289301669</v>
      </c>
      <c r="Q60" s="66">
        <f>Inputs_Prices!Q45*Inputs_Volumes!Q45*Dollars_to_Thousands</f>
        <v>2531.6215144252769</v>
      </c>
      <c r="R60" s="66">
        <f>Inputs_Prices!R45*Inputs_Volumes!R45*Dollars_to_Thousands</f>
        <v>2572.3544844245166</v>
      </c>
      <c r="S60" s="66">
        <f>Inputs_Prices!S45*Inputs_Volumes!S45*Dollars_to_Thousands</f>
        <v>2725.8733893718359</v>
      </c>
      <c r="U60" s="76" t="str">
        <f>Inputs_Prices!$U45</f>
        <v>Revenue from unmetered supplies</v>
      </c>
      <c r="W60" s="76" t="str">
        <f>Inputs_Prices!$W45</f>
        <v>Revenue from unmetered supplies</v>
      </c>
    </row>
    <row r="61" spans="3:23" ht="12.75" x14ac:dyDescent="0.2">
      <c r="C61" s="169">
        <f>Inputs_Prices!C46</f>
        <v>5</v>
      </c>
      <c r="D61" s="76" t="str">
        <f>Inputs_Prices!D46</f>
        <v>LV Majors</v>
      </c>
      <c r="E61" s="63" t="s">
        <v>275</v>
      </c>
      <c r="F61" s="63" t="str">
        <f>Inputs_Prices!F46</f>
        <v>LV &gt;750MWh</v>
      </c>
      <c r="H61" s="243" t="s">
        <v>52</v>
      </c>
      <c r="I61" s="243" t="s">
        <v>47</v>
      </c>
      <c r="J61" s="243" t="s">
        <v>40</v>
      </c>
      <c r="O61" s="66">
        <f>Inputs_Prices!O46*Inputs_Volumes!O46*Dollars_to_Thousands</f>
        <v>6136.7442387348237</v>
      </c>
      <c r="P61" s="66">
        <f>Inputs_Prices!P46*Inputs_Volumes!P46*Dollars_to_Thousands</f>
        <v>6682.672681216708</v>
      </c>
      <c r="Q61" s="66">
        <f>Inputs_Prices!Q46*Inputs_Volumes!Q46*Dollars_to_Thousands</f>
        <v>7280.2343328937905</v>
      </c>
      <c r="R61" s="66">
        <f>Inputs_Prices!R46*Inputs_Volumes!R46*Dollars_to_Thousands</f>
        <v>7850.2532145003488</v>
      </c>
      <c r="S61" s="66">
        <f>Inputs_Prices!S46*Inputs_Volumes!S46*Dollars_to_Thousands</f>
        <v>8440.8342395525524</v>
      </c>
      <c r="U61" s="76" t="str">
        <f>Inputs_Prices!$U46</f>
        <v>Revenue from Energy Delivery charges where time of use is not a determinant</v>
      </c>
      <c r="W61" s="76" t="str">
        <f>Inputs_Prices!$W46</f>
        <v xml:space="preserve">Revenue from Non-residential low voltage demand tariff customers </v>
      </c>
    </row>
    <row r="62" spans="3:23" ht="12.75" x14ac:dyDescent="0.2">
      <c r="C62" s="169">
        <f>Inputs_Prices!C47</f>
        <v>6</v>
      </c>
      <c r="D62" s="76" t="str">
        <f>Inputs_Prices!D47</f>
        <v>HV Smart Meters</v>
      </c>
      <c r="E62" s="63" t="s">
        <v>275</v>
      </c>
      <c r="F62" s="63" t="str">
        <f>Inputs_Prices!F47</f>
        <v>HV</v>
      </c>
      <c r="H62" s="243" t="s">
        <v>52</v>
      </c>
      <c r="I62" s="243" t="s">
        <v>47</v>
      </c>
      <c r="J62" s="243" t="s">
        <v>40</v>
      </c>
      <c r="O62" s="66">
        <f>Inputs_Prices!O47*Inputs_Volumes!O47*Dollars_to_Thousands</f>
        <v>10834.328788764067</v>
      </c>
      <c r="P62" s="66">
        <f>Inputs_Prices!P47*Inputs_Volumes!P47*Dollars_to_Thousands</f>
        <v>12302.176890437158</v>
      </c>
      <c r="Q62" s="66">
        <f>Inputs_Prices!Q47*Inputs_Volumes!Q47*Dollars_to_Thousands</f>
        <v>13205.505694918127</v>
      </c>
      <c r="R62" s="66">
        <f>Inputs_Prices!R47*Inputs_Volumes!R47*Dollars_to_Thousands</f>
        <v>14064.224988549297</v>
      </c>
      <c r="S62" s="66">
        <f>Inputs_Prices!S47*Inputs_Volumes!S47*Dollars_to_Thousands</f>
        <v>14950.730191635335</v>
      </c>
      <c r="U62" s="76" t="str">
        <f>Inputs_Prices!$U47</f>
        <v>Revenue from Energy Delivery charges where time of use is not a determinant</v>
      </c>
      <c r="W62" s="76" t="str">
        <f>Inputs_Prices!$W47</f>
        <v xml:space="preserve">Revenue from Non-residential high voltage demand tariff customers </v>
      </c>
    </row>
    <row r="63" spans="3:23" ht="11.25" customHeight="1" x14ac:dyDescent="0.2"/>
    <row r="64" spans="3:23" ht="12.75" x14ac:dyDescent="0.2">
      <c r="D64" s="62" t="s">
        <v>51</v>
      </c>
      <c r="E64" s="56" t="s">
        <v>21</v>
      </c>
      <c r="F64" s="56" t="s">
        <v>21</v>
      </c>
      <c r="H64" s="56" t="s">
        <v>52</v>
      </c>
      <c r="I64" s="56" t="str">
        <f>Thousands</f>
        <v>$000's</v>
      </c>
      <c r="J64" s="56" t="str">
        <f>Nominal</f>
        <v>Nominal</v>
      </c>
      <c r="O64" s="68">
        <f>SUM(O49:O62)</f>
        <v>89517.938934730628</v>
      </c>
      <c r="P64" s="68">
        <f>SUM(P49:P62)</f>
        <v>96691.827308899534</v>
      </c>
      <c r="Q64" s="68">
        <f>SUM(Q49:Q62)</f>
        <v>105335.74668040693</v>
      </c>
      <c r="R64" s="68">
        <f>SUM(R49:R62)</f>
        <v>114560.07399221719</v>
      </c>
      <c r="S64" s="68">
        <f>SUM(S49:S62)</f>
        <v>124651.42103742468</v>
      </c>
    </row>
    <row r="65" spans="1:23" ht="11.25" customHeight="1" x14ac:dyDescent="0.2"/>
    <row r="66" spans="1:23" ht="11.25" hidden="1" customHeight="1" outlineLevel="1" x14ac:dyDescent="0.2">
      <c r="A66" s="59">
        <f>IF(SUM($O66:$S66)=0,0,1)</f>
        <v>0</v>
      </c>
      <c r="D66" s="81" t="s">
        <v>127</v>
      </c>
      <c r="E66" s="80"/>
      <c r="F66" s="80"/>
      <c r="G66" s="82"/>
      <c r="H66" s="80"/>
      <c r="I66" s="80"/>
      <c r="J66" s="80"/>
      <c r="K66" s="58"/>
      <c r="O66" s="59">
        <f>IF(ISERROR(O64)&lt;&gt;0,0,1)</f>
        <v>0</v>
      </c>
      <c r="P66" s="59">
        <f>IF(ISERROR(P64)&lt;&gt;0,0,1)</f>
        <v>0</v>
      </c>
      <c r="Q66" s="59">
        <f>IF(ISERROR(Q64)&lt;&gt;0,0,1)</f>
        <v>0</v>
      </c>
      <c r="R66" s="59">
        <f>IF(ISERROR(R64)&lt;&gt;0,0,1)</f>
        <v>0</v>
      </c>
      <c r="S66" s="59">
        <f>IF(ISERROR(S64)&lt;&gt;0,0,1)</f>
        <v>0</v>
      </c>
    </row>
    <row r="67" spans="1:23" ht="11.25" customHeight="1" collapsed="1" x14ac:dyDescent="0.2"/>
    <row r="68" spans="1:23" s="8" customFormat="1" ht="15" x14ac:dyDescent="0.2">
      <c r="C68" s="8" t="str">
        <f>Inputs_Prices!C50</f>
        <v>Demand</v>
      </c>
    </row>
    <row r="69" spans="1:23" ht="11.25" customHeight="1" x14ac:dyDescent="0.2"/>
    <row r="70" spans="1:23" ht="11.25" customHeight="1" x14ac:dyDescent="0.2">
      <c r="C70" s="170" t="s">
        <v>5</v>
      </c>
      <c r="D70" s="70" t="str">
        <f>D$9</f>
        <v>Tariff</v>
      </c>
      <c r="E70" s="54" t="str">
        <f>E$9</f>
        <v>Tariff Components</v>
      </c>
      <c r="F70" s="54" t="str">
        <f>F$9</f>
        <v>Tariff Class</v>
      </c>
      <c r="H70" s="54" t="str">
        <f>Lookup!E$19</f>
        <v>Source</v>
      </c>
      <c r="I70" s="54" t="str">
        <f>Lookup!F$19</f>
        <v>Unit</v>
      </c>
      <c r="J70" s="54" t="str">
        <f>Lookup!G$19</f>
        <v>Basis</v>
      </c>
      <c r="O70" s="54" t="str">
        <f>O$9</f>
        <v>FY25</v>
      </c>
      <c r="P70" s="54" t="str">
        <f>P$9</f>
        <v>FY26</v>
      </c>
      <c r="Q70" s="54" t="str">
        <f>Q$9</f>
        <v>FY27</v>
      </c>
      <c r="R70" s="54" t="str">
        <f>R$9</f>
        <v>FY28</v>
      </c>
      <c r="S70" s="54" t="str">
        <f>S$9</f>
        <v>FY29</v>
      </c>
      <c r="U70" s="70" t="s">
        <v>510</v>
      </c>
      <c r="W70" s="70" t="s">
        <v>517</v>
      </c>
    </row>
    <row r="71" spans="1:23" ht="11.25" customHeight="1" x14ac:dyDescent="0.2">
      <c r="D71" s="1"/>
    </row>
    <row r="72" spans="1:23" ht="12.75" x14ac:dyDescent="0.2">
      <c r="C72" s="169">
        <f>Inputs_Prices!C54</f>
        <v>5</v>
      </c>
      <c r="D72" s="76" t="str">
        <f>Inputs_Prices!D54</f>
        <v>LV Majors</v>
      </c>
      <c r="E72" s="63" t="s">
        <v>276</v>
      </c>
      <c r="F72" s="63" t="str">
        <f>Inputs_Prices!F54</f>
        <v>LV &gt;750MWh</v>
      </c>
      <c r="H72" s="243" t="s">
        <v>52</v>
      </c>
      <c r="I72" s="243" t="s">
        <v>47</v>
      </c>
      <c r="J72" s="243" t="s">
        <v>40</v>
      </c>
      <c r="O72" s="66">
        <f>Inputs_Prices!O54*Inputs_Volumes!O54*Dollars_to_Thousands</f>
        <v>5506.0407750000004</v>
      </c>
      <c r="P72" s="66">
        <f>Inputs_Prices!P54*Inputs_Volumes!P54*Dollars_to_Thousands</f>
        <v>5858.4273846000006</v>
      </c>
      <c r="Q72" s="66">
        <f>Inputs_Prices!Q54*Inputs_Volumes!Q54*Dollars_to_Thousands</f>
        <v>6209.0176483971572</v>
      </c>
      <c r="R72" s="66">
        <f>Inputs_Prices!R54*Inputs_Volumes!R54*Dollars_to_Thousands</f>
        <v>6922.1415871321833</v>
      </c>
      <c r="S72" s="66">
        <f>Inputs_Prices!S54*Inputs_Volumes!S54*Dollars_to_Thousands</f>
        <v>7268.2486664887929</v>
      </c>
      <c r="U72" s="76" t="str">
        <f>Inputs_Prices!$U54</f>
        <v>Revenue from Measured Maximum Demand charges</v>
      </c>
      <c r="W72" s="76" t="str">
        <f>Inputs_Prices!$W54</f>
        <v xml:space="preserve">Revenue from Non-residential low voltage demand tariff customers </v>
      </c>
    </row>
    <row r="73" spans="1:23" ht="12.75" x14ac:dyDescent="0.2">
      <c r="C73" s="169">
        <f>Inputs_Prices!C55</f>
        <v>5</v>
      </c>
      <c r="D73" s="76" t="str">
        <f>Inputs_Prices!D55</f>
        <v>LV Majors</v>
      </c>
      <c r="E73" s="63" t="s">
        <v>277</v>
      </c>
      <c r="F73" s="63" t="str">
        <f>Inputs_Prices!F55</f>
        <v>LV &gt;750MWh</v>
      </c>
      <c r="H73" s="243" t="s">
        <v>52</v>
      </c>
      <c r="I73" s="243" t="s">
        <v>47</v>
      </c>
      <c r="J73" s="243" t="s">
        <v>40</v>
      </c>
      <c r="O73" s="66">
        <f>Inputs_Prices!O55*Inputs_Volumes!O55*Dollars_to_Thousands</f>
        <v>736.61209600000007</v>
      </c>
      <c r="P73" s="66">
        <f>Inputs_Prices!P55*Inputs_Volumes!P55*Dollars_to_Thousands</f>
        <v>1001.9598624</v>
      </c>
      <c r="Q73" s="66">
        <f>Inputs_Prices!Q55*Inputs_Volumes!Q55*Dollars_to_Thousands</f>
        <v>1332.6066169919998</v>
      </c>
      <c r="R73" s="66">
        <f>Inputs_Prices!R55*Inputs_Volumes!R55*Dollars_to_Thousands</f>
        <v>1993.9126506742796</v>
      </c>
      <c r="S73" s="66">
        <f>Inputs_Prices!S55*Inputs_Volumes!S55*Dollars_to_Thousands</f>
        <v>2320.415847222193</v>
      </c>
      <c r="U73" s="76" t="str">
        <f>Inputs_Prices!$U55</f>
        <v>Revenue from Measured Maximum Demand charges</v>
      </c>
      <c r="W73" s="76" t="str">
        <f>Inputs_Prices!$W55</f>
        <v xml:space="preserve">Revenue from Non-residential low voltage demand tariff customers </v>
      </c>
    </row>
    <row r="74" spans="1:23" ht="12.75" x14ac:dyDescent="0.2">
      <c r="C74" s="169">
        <f>Inputs_Prices!C56</f>
        <v>6</v>
      </c>
      <c r="D74" s="76" t="str">
        <f>Inputs_Prices!D56</f>
        <v>HV Smart Meters</v>
      </c>
      <c r="E74" s="63" t="s">
        <v>276</v>
      </c>
      <c r="F74" s="63" t="str">
        <f>Inputs_Prices!F56</f>
        <v>HV</v>
      </c>
      <c r="H74" s="243" t="s">
        <v>52</v>
      </c>
      <c r="I74" s="243" t="s">
        <v>47</v>
      </c>
      <c r="J74" s="243" t="s">
        <v>40</v>
      </c>
      <c r="O74" s="66">
        <f>Inputs_Prices!O56*Inputs_Volumes!O56*Dollars_to_Thousands</f>
        <v>2488.3542683921996</v>
      </c>
      <c r="P74" s="66">
        <f>Inputs_Prices!P56*Inputs_Volumes!P56*Dollars_to_Thousands</f>
        <v>3079.1217613398039</v>
      </c>
      <c r="Q74" s="66">
        <f>Inputs_Prices!Q56*Inputs_Volumes!Q56*Dollars_to_Thousands</f>
        <v>3466.3177512694429</v>
      </c>
      <c r="R74" s="66">
        <f>Inputs_Prices!R56*Inputs_Volumes!R56*Dollars_to_Thousands</f>
        <v>4205.601218224162</v>
      </c>
      <c r="S74" s="66">
        <f>Inputs_Prices!S56*Inputs_Volumes!S56*Dollars_to_Thousands</f>
        <v>4531.9757043511081</v>
      </c>
      <c r="U74" s="76" t="str">
        <f>Inputs_Prices!$U56</f>
        <v>Revenue from Measured Maximum Demand charges</v>
      </c>
      <c r="W74" s="76" t="str">
        <f>Inputs_Prices!$W56</f>
        <v xml:space="preserve">Revenue from Non-residential high voltage demand tariff customers </v>
      </c>
    </row>
    <row r="75" spans="1:23" ht="12.75" x14ac:dyDescent="0.2">
      <c r="C75" s="169">
        <f>Inputs_Prices!C57</f>
        <v>6</v>
      </c>
      <c r="D75" s="76" t="str">
        <f>Inputs_Prices!D57</f>
        <v>HV Smart Meters</v>
      </c>
      <c r="E75" s="63" t="s">
        <v>277</v>
      </c>
      <c r="F75" s="63" t="str">
        <f>Inputs_Prices!F57</f>
        <v>HV</v>
      </c>
      <c r="H75" s="243" t="s">
        <v>52</v>
      </c>
      <c r="I75" s="243" t="s">
        <v>47</v>
      </c>
      <c r="J75" s="243" t="s">
        <v>40</v>
      </c>
      <c r="O75" s="66">
        <f>Inputs_Prices!O57*Inputs_Volumes!O57*Dollars_to_Thousands</f>
        <v>646.38962874731158</v>
      </c>
      <c r="P75" s="66">
        <f>Inputs_Prices!P57*Inputs_Volumes!P57*Dollars_to_Thousands</f>
        <v>777.51614162151679</v>
      </c>
      <c r="Q75" s="66">
        <f>Inputs_Prices!Q57*Inputs_Volumes!Q57*Dollars_to_Thousands</f>
        <v>946.45406439968963</v>
      </c>
      <c r="R75" s="66">
        <f>Inputs_Prices!R57*Inputs_Volumes!R57*Dollars_to_Thousands</f>
        <v>1419.453936315909</v>
      </c>
      <c r="S75" s="66">
        <f>Inputs_Prices!S57*Inputs_Volumes!S57*Dollars_to_Thousands</f>
        <v>1739.5814434393865</v>
      </c>
      <c r="U75" s="76" t="str">
        <f>Inputs_Prices!$U57</f>
        <v>Revenue from Measured Maximum Demand charges</v>
      </c>
      <c r="W75" s="76" t="str">
        <f>Inputs_Prices!$W57</f>
        <v xml:space="preserve">Revenue from Non-residential high voltage demand tariff customers </v>
      </c>
    </row>
    <row r="76" spans="1:23" ht="11.25" customHeight="1" x14ac:dyDescent="0.2"/>
    <row r="77" spans="1:23" ht="11.25" customHeight="1" x14ac:dyDescent="0.2">
      <c r="D77" s="62" t="s">
        <v>51</v>
      </c>
      <c r="E77" s="56" t="s">
        <v>21</v>
      </c>
      <c r="F77" s="56" t="s">
        <v>21</v>
      </c>
      <c r="H77" s="56" t="s">
        <v>52</v>
      </c>
      <c r="I77" s="56" t="str">
        <f>Thousands</f>
        <v>$000's</v>
      </c>
      <c r="J77" s="56" t="str">
        <f>Nominal</f>
        <v>Nominal</v>
      </c>
      <c r="O77" s="68">
        <f>SUM(O72:O75)</f>
        <v>9377.3967681395116</v>
      </c>
      <c r="P77" s="68">
        <f>SUM(P72:P75)</f>
        <v>10717.02514996132</v>
      </c>
      <c r="Q77" s="68">
        <f>SUM(Q72:Q75)</f>
        <v>11954.396081058288</v>
      </c>
      <c r="R77" s="68">
        <f>SUM(R72:R75)</f>
        <v>14541.109392346534</v>
      </c>
      <c r="S77" s="68">
        <f>SUM(S72:S75)</f>
        <v>15860.22166150148</v>
      </c>
    </row>
    <row r="78" spans="1:23" ht="11.25" customHeight="1" x14ac:dyDescent="0.2"/>
    <row r="79" spans="1:23" ht="11.25" hidden="1" customHeight="1" outlineLevel="1" x14ac:dyDescent="0.2">
      <c r="A79" s="59">
        <f>IF(SUM($O79:$S79)=0,0,1)</f>
        <v>0</v>
      </c>
      <c r="D79" s="81" t="s">
        <v>127</v>
      </c>
      <c r="E79" s="80"/>
      <c r="F79" s="80"/>
      <c r="G79" s="82"/>
      <c r="H79" s="80"/>
      <c r="I79" s="80"/>
      <c r="J79" s="80"/>
      <c r="K79" s="58"/>
      <c r="O79" s="59">
        <f>IF(ISERROR(O77)&lt;&gt;0,0,1)</f>
        <v>0</v>
      </c>
      <c r="P79" s="59">
        <f>IF(ISERROR(P77)&lt;&gt;0,0,1)</f>
        <v>0</v>
      </c>
      <c r="Q79" s="59">
        <f>IF(ISERROR(Q77)&lt;&gt;0,0,1)</f>
        <v>0</v>
      </c>
      <c r="R79" s="59">
        <f>IF(ISERROR(R77)&lt;&gt;0,0,1)</f>
        <v>0</v>
      </c>
      <c r="S79" s="59">
        <f>IF(ISERROR(S77)&lt;&gt;0,0,1)</f>
        <v>0</v>
      </c>
    </row>
    <row r="80" spans="1:23" ht="11.25" customHeight="1" collapsed="1" x14ac:dyDescent="0.2"/>
    <row r="81" spans="2:2" s="2" customFormat="1" ht="15.75" x14ac:dyDescent="0.2">
      <c r="B81" s="2" t="s">
        <v>20</v>
      </c>
    </row>
  </sheetData>
  <conditionalFormatting sqref="B2">
    <cfRule type="cellIs" dxfId="25" priority="1" operator="notEqual">
      <formula>"No Errors Found"</formula>
    </cfRule>
  </conditionalFormatting>
  <dataValidations count="3">
    <dataValidation type="list" allowBlank="1" showInputMessage="1" showErrorMessage="1" sqref="K79 K66 K43 K26" xr:uid="{00000000-0002-0000-0700-000000000000}">
      <formula1>LU_Timing</formula1>
    </dataValidation>
    <dataValidation type="list" allowBlank="1" showInputMessage="1" showErrorMessage="1" sqref="I66 I43 I79 I20:I22 I26 I72:I75 I32:I39 I49:I62" xr:uid="{00000000-0002-0000-0700-000001000000}">
      <formula1>LU_Units</formula1>
    </dataValidation>
    <dataValidation type="list" allowBlank="1" showInputMessage="1" showErrorMessage="1" sqref="J43 J66 J79 J20:J22 J26 J72:J75 J32:J39 J49:J62" xr:uid="{00000000-0002-0000-0700-000002000000}">
      <formula1>LU_Basis</formula1>
    </dataValidation>
  </dataValidations>
  <hyperlinks>
    <hyperlink ref="B3:E3" location="TOC!A1" display="TOC!A1"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6" tint="0.59999389629810485"/>
  </sheetPr>
  <dimension ref="A1:V110"/>
  <sheetViews>
    <sheetView showGridLines="0" zoomScaleNormal="100" workbookViewId="0">
      <pane xSplit="5" ySplit="9" topLeftCell="F10" activePane="bottomRight" state="frozen"/>
      <selection activeCell="D242" sqref="D242"/>
      <selection pane="topRight" activeCell="D242" sqref="D242"/>
      <selection pane="bottomLeft" activeCell="D242" sqref="D242"/>
      <selection pane="bottomRight" activeCell="F10" sqref="F10"/>
    </sheetView>
  </sheetViews>
  <sheetFormatPr defaultColWidth="9.1640625" defaultRowHeight="11.25" outlineLevelRow="1" x14ac:dyDescent="0.2"/>
  <cols>
    <col min="1" max="1" width="3.1640625" customWidth="1"/>
    <col min="2" max="3" width="2.83203125" customWidth="1"/>
    <col min="4" max="4" width="34.1640625" customWidth="1"/>
    <col min="5" max="5" width="17.6640625" customWidth="1"/>
    <col min="6" max="7" width="3.33203125" customWidth="1"/>
    <col min="8" max="10" width="11.1640625" customWidth="1"/>
    <col min="11" max="12" width="3.33203125" customWidth="1"/>
    <col min="13" max="19" width="16.1640625" customWidth="1"/>
    <col min="20" max="20" width="4.1640625" customWidth="1"/>
    <col min="21" max="21" width="15.6640625" customWidth="1"/>
    <col min="22" max="22" width="17.33203125" customWidth="1"/>
    <col min="23" max="24" width="10.83203125" customWidth="1"/>
  </cols>
  <sheetData>
    <row r="1" spans="1:22" ht="19.5" x14ac:dyDescent="0.2">
      <c r="A1" s="59">
        <f ca="1">IF(SUM($A10:$A110)&gt;0,1,0)</f>
        <v>0</v>
      </c>
      <c r="B1" s="3" t="s">
        <v>701</v>
      </c>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244"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75" x14ac:dyDescent="0.2">
      <c r="B11" s="2" t="s">
        <v>702</v>
      </c>
    </row>
    <row r="12" spans="1:22" ht="11.25" customHeight="1" x14ac:dyDescent="0.2"/>
    <row r="13" spans="1:22" ht="11.25" customHeight="1" x14ac:dyDescent="0.2">
      <c r="D13" s="105" t="s">
        <v>131</v>
      </c>
    </row>
    <row r="14" spans="1:22" ht="11.25" customHeight="1" x14ac:dyDescent="0.2"/>
    <row r="15" spans="1:22" ht="11.25" customHeight="1" x14ac:dyDescent="0.2"/>
    <row r="16" spans="1:22" ht="11.25" customHeight="1" x14ac:dyDescent="0.2">
      <c r="D16" s="70" t="s">
        <v>703</v>
      </c>
      <c r="H16" s="54" t="str">
        <f>Lookup!E$19</f>
        <v>Source</v>
      </c>
      <c r="I16" s="54" t="str">
        <f>Lookup!F$19</f>
        <v>Unit</v>
      </c>
      <c r="J16" s="54" t="str">
        <f>Lookup!G$19</f>
        <v>Basis</v>
      </c>
      <c r="O16" s="54" t="str">
        <f>O$9</f>
        <v>FY25</v>
      </c>
      <c r="P16" s="54" t="str">
        <f>P$9</f>
        <v>FY26</v>
      </c>
      <c r="Q16" s="54" t="str">
        <f>Q$9</f>
        <v>FY27</v>
      </c>
      <c r="R16" s="54" t="str">
        <f>R$9</f>
        <v>FY28</v>
      </c>
      <c r="S16" s="54" t="str">
        <f>S$9</f>
        <v>FY29</v>
      </c>
    </row>
    <row r="17" spans="1:19" ht="11.25" customHeight="1" x14ac:dyDescent="0.2">
      <c r="D17" s="1"/>
    </row>
    <row r="18" spans="1:19" ht="12.75" x14ac:dyDescent="0.2">
      <c r="D18" s="75" t="str">
        <f>Inputs_Other!$D$34</f>
        <v>Real 2024 (End Period) to Nominal (End Period)</v>
      </c>
      <c r="E18" s="82"/>
      <c r="F18" s="82"/>
      <c r="G18" s="82"/>
      <c r="H18" s="243" t="s">
        <v>52</v>
      </c>
      <c r="I18" s="243" t="s">
        <v>45</v>
      </c>
      <c r="J18" s="243" t="s">
        <v>21</v>
      </c>
      <c r="O18" s="142">
        <f>Inputs_Other!O34</f>
        <v>1.0279978112784547</v>
      </c>
      <c r="P18" s="142">
        <f>Inputs_Other!P34</f>
        <v>1.0567794999932933</v>
      </c>
      <c r="Q18" s="142">
        <f>Inputs_Other!Q34</f>
        <v>1.0863670129970453</v>
      </c>
      <c r="R18" s="142">
        <f>Inputs_Other!R34</f>
        <v>1.116782911606075</v>
      </c>
      <c r="S18" s="142">
        <f>Inputs_Other!S34</f>
        <v>1.1480503888042251</v>
      </c>
    </row>
    <row r="19" spans="1:19" ht="11.25" customHeight="1" x14ac:dyDescent="0.2"/>
    <row r="20" spans="1:19" ht="11.25" customHeight="1" x14ac:dyDescent="0.2"/>
    <row r="21" spans="1:19" s="2" customFormat="1" ht="15.75" x14ac:dyDescent="0.2">
      <c r="B21" s="2" t="s">
        <v>128</v>
      </c>
    </row>
    <row r="22" spans="1:19" ht="11.25" customHeight="1" x14ac:dyDescent="0.2"/>
    <row r="23" spans="1:19" s="8" customFormat="1" ht="15" x14ac:dyDescent="0.2">
      <c r="C23" s="8" t="s">
        <v>551</v>
      </c>
    </row>
    <row r="24" spans="1:19" ht="11.25" customHeight="1" x14ac:dyDescent="0.2"/>
    <row r="25" spans="1:19" ht="11.25" customHeight="1" x14ac:dyDescent="0.2">
      <c r="D25" s="70" t="s">
        <v>62</v>
      </c>
      <c r="H25" s="54" t="str">
        <f>Lookup!E$19</f>
        <v>Source</v>
      </c>
      <c r="I25" s="54" t="str">
        <f>Lookup!F$19</f>
        <v>Unit</v>
      </c>
      <c r="J25" s="54" t="str">
        <f>Lookup!G$19</f>
        <v>Basis</v>
      </c>
      <c r="O25" s="54" t="str">
        <f>O$9</f>
        <v>FY25</v>
      </c>
      <c r="P25" s="54" t="str">
        <f>P$9</f>
        <v>FY26</v>
      </c>
      <c r="Q25" s="54" t="str">
        <f>Q$9</f>
        <v>FY27</v>
      </c>
      <c r="R25" s="54" t="str">
        <f>R$9</f>
        <v>FY28</v>
      </c>
      <c r="S25" s="54" t="str">
        <f>S$9</f>
        <v>FY29</v>
      </c>
    </row>
    <row r="26" spans="1:19" ht="11.25" customHeight="1" x14ac:dyDescent="0.2">
      <c r="D26" s="1"/>
    </row>
    <row r="27" spans="1:19" ht="12.75" x14ac:dyDescent="0.2">
      <c r="D27" s="85" t="s">
        <v>64</v>
      </c>
      <c r="E27" s="82"/>
      <c r="F27" s="82"/>
      <c r="G27" s="82"/>
      <c r="H27" s="243" t="s">
        <v>52</v>
      </c>
      <c r="I27" s="243" t="s">
        <v>47</v>
      </c>
      <c r="J27" s="243" t="s">
        <v>40</v>
      </c>
      <c r="O27" s="66">
        <f t="shared" ref="O27:S29" si="0">SUMIF($E$82:$E$89,$D27,O$82:O$89)</f>
        <v>567102.29100985709</v>
      </c>
      <c r="P27" s="66">
        <f t="shared" si="0"/>
        <v>579541.9970280421</v>
      </c>
      <c r="Q27" s="66">
        <f t="shared" si="0"/>
        <v>597361.67183462635</v>
      </c>
      <c r="R27" s="66">
        <f t="shared" si="0"/>
        <v>613740.36817662534</v>
      </c>
      <c r="S27" s="66">
        <f t="shared" si="0"/>
        <v>632530.44323623879</v>
      </c>
    </row>
    <row r="28" spans="1:19" ht="12.75" x14ac:dyDescent="0.2">
      <c r="D28" s="85" t="s">
        <v>70</v>
      </c>
      <c r="E28" s="82"/>
      <c r="F28" s="82"/>
      <c r="G28" s="82"/>
      <c r="H28" s="243" t="s">
        <v>52</v>
      </c>
      <c r="I28" s="243" t="s">
        <v>47</v>
      </c>
      <c r="J28" s="243" t="s">
        <v>40</v>
      </c>
      <c r="O28" s="66">
        <f t="shared" si="0"/>
        <v>74112.984593500441</v>
      </c>
      <c r="P28" s="66">
        <f t="shared" si="0"/>
        <v>75423.377095320233</v>
      </c>
      <c r="Q28" s="66">
        <f t="shared" si="0"/>
        <v>77429.199944427222</v>
      </c>
      <c r="R28" s="66">
        <f t="shared" si="0"/>
        <v>79226.991108665272</v>
      </c>
      <c r="S28" s="66">
        <f t="shared" si="0"/>
        <v>81317.192391944598</v>
      </c>
    </row>
    <row r="29" spans="1:19" ht="12.75" x14ac:dyDescent="0.2">
      <c r="D29" s="85" t="s">
        <v>69</v>
      </c>
      <c r="E29" s="82"/>
      <c r="F29" s="82"/>
      <c r="G29" s="82"/>
      <c r="H29" s="243" t="s">
        <v>52</v>
      </c>
      <c r="I29" s="243" t="s">
        <v>47</v>
      </c>
      <c r="J29" s="243" t="s">
        <v>40</v>
      </c>
      <c r="O29" s="66">
        <f t="shared" si="0"/>
        <v>105225.82919447497</v>
      </c>
      <c r="P29" s="66">
        <f t="shared" si="0"/>
        <v>113378.94117469146</v>
      </c>
      <c r="Q29" s="66">
        <f t="shared" si="0"/>
        <v>116175.07806624392</v>
      </c>
      <c r="R29" s="66">
        <f t="shared" si="0"/>
        <v>118714.21034762279</v>
      </c>
      <c r="S29" s="66">
        <f t="shared" si="0"/>
        <v>121622.17709490749</v>
      </c>
    </row>
    <row r="30" spans="1:19" ht="11.25" customHeight="1" x14ac:dyDescent="0.2"/>
    <row r="31" spans="1:19" ht="12.75" hidden="1" outlineLevel="1" x14ac:dyDescent="0.2">
      <c r="D31" s="81" t="s">
        <v>90</v>
      </c>
      <c r="E31" s="82"/>
      <c r="F31" s="80"/>
      <c r="G31" s="82"/>
      <c r="H31" s="243" t="s">
        <v>52</v>
      </c>
      <c r="I31" s="243" t="s">
        <v>47</v>
      </c>
      <c r="J31" s="243" t="s">
        <v>40</v>
      </c>
      <c r="K31" s="78"/>
      <c r="O31" s="66">
        <f>SUM(O82:O89)</f>
        <v>746441.10479783243</v>
      </c>
      <c r="P31" s="66">
        <f>SUM(P82:P89)</f>
        <v>768344.31529805379</v>
      </c>
      <c r="Q31" s="66">
        <f>SUM(Q82:Q89)</f>
        <v>790965.94984529749</v>
      </c>
      <c r="R31" s="66">
        <f>SUM(R82:R89)</f>
        <v>811681.56963291334</v>
      </c>
      <c r="S31" s="66">
        <f>SUM(S82:S89)</f>
        <v>835469.81272309087</v>
      </c>
    </row>
    <row r="32" spans="1:19" ht="12.75" hidden="1" outlineLevel="1" x14ac:dyDescent="0.2">
      <c r="A32" s="59">
        <f>IF(SUM($M32:$S32)=0,0,1)</f>
        <v>0</v>
      </c>
      <c r="D32" s="81" t="s">
        <v>55</v>
      </c>
      <c r="E32" s="82"/>
      <c r="F32" s="80"/>
      <c r="G32" s="82"/>
      <c r="H32" s="80"/>
      <c r="I32" s="84"/>
      <c r="J32" s="84"/>
      <c r="K32" s="78"/>
      <c r="O32" s="59">
        <f>IF(ROUND(O31-SUM(O27:O29),2)=0,0,1)</f>
        <v>0</v>
      </c>
      <c r="P32" s="59">
        <f>IF(ROUND(P31-SUM(P27:P29),2)=0,0,1)</f>
        <v>0</v>
      </c>
      <c r="Q32" s="59">
        <f>IF(ROUND(Q31-SUM(Q27:Q29),2)=0,0,1)</f>
        <v>0</v>
      </c>
      <c r="R32" s="59">
        <f>IF(ROUND(R31-SUM(R27:R29),2)=0,0,1)</f>
        <v>0</v>
      </c>
      <c r="S32" s="59">
        <f>IF(ROUND(S31-SUM(S27:S29),2)=0,0,1)</f>
        <v>0</v>
      </c>
    </row>
    <row r="33" spans="1:19" ht="11.25" customHeight="1" collapsed="1" x14ac:dyDescent="0.2"/>
    <row r="34" spans="1:19" ht="11.25" customHeight="1" x14ac:dyDescent="0.2"/>
    <row r="35" spans="1:19" s="8" customFormat="1" ht="15" x14ac:dyDescent="0.2">
      <c r="C35" s="8" t="s">
        <v>200</v>
      </c>
    </row>
    <row r="36" spans="1:19" ht="11.25" customHeight="1" x14ac:dyDescent="0.2"/>
    <row r="37" spans="1:19" ht="11.25" customHeight="1" x14ac:dyDescent="0.2">
      <c r="D37" s="70" t="s">
        <v>62</v>
      </c>
      <c r="H37" s="54" t="str">
        <f>Lookup!E$19</f>
        <v>Source</v>
      </c>
      <c r="I37" s="54" t="str">
        <f>Lookup!F$19</f>
        <v>Unit</v>
      </c>
      <c r="J37" s="54" t="str">
        <f>Lookup!G$19</f>
        <v>Basis</v>
      </c>
      <c r="O37" s="54" t="str">
        <f>O$9</f>
        <v>FY25</v>
      </c>
      <c r="P37" s="54" t="str">
        <f>P$9</f>
        <v>FY26</v>
      </c>
      <c r="Q37" s="54" t="str">
        <f>Q$9</f>
        <v>FY27</v>
      </c>
      <c r="R37" s="54" t="str">
        <f>R$9</f>
        <v>FY28</v>
      </c>
      <c r="S37" s="54" t="str">
        <f>S$9</f>
        <v>FY29</v>
      </c>
    </row>
    <row r="38" spans="1:19" ht="11.25" customHeight="1" x14ac:dyDescent="0.2">
      <c r="D38" s="1"/>
    </row>
    <row r="39" spans="1:19" ht="12.75" x14ac:dyDescent="0.2">
      <c r="D39" s="85" t="s">
        <v>64</v>
      </c>
      <c r="E39" s="82"/>
      <c r="F39" s="82"/>
      <c r="G39" s="82"/>
      <c r="H39" s="243" t="s">
        <v>52</v>
      </c>
      <c r="I39" s="243" t="s">
        <v>47</v>
      </c>
      <c r="J39" s="243" t="s">
        <v>40</v>
      </c>
      <c r="O39" s="66">
        <f t="shared" ref="O39:S41" ca="1" si="1">SUMIF($E$98:$E$105,$D39,O$98:O$105)</f>
        <v>55116.752593134886</v>
      </c>
      <c r="P39" s="66">
        <f t="shared" ca="1" si="1"/>
        <v>58168.336271946784</v>
      </c>
      <c r="Q39" s="66">
        <f t="shared" ca="1" si="1"/>
        <v>61007.611420396897</v>
      </c>
      <c r="R39" s="66">
        <f t="shared" ca="1" si="1"/>
        <v>64014.850559367165</v>
      </c>
      <c r="S39" s="66">
        <f t="shared" ca="1" si="1"/>
        <v>66921.533527087944</v>
      </c>
    </row>
    <row r="40" spans="1:19" ht="12.75" x14ac:dyDescent="0.2">
      <c r="D40" s="85" t="s">
        <v>70</v>
      </c>
      <c r="E40" s="82"/>
      <c r="F40" s="82"/>
      <c r="G40" s="82"/>
      <c r="H40" s="243" t="s">
        <v>52</v>
      </c>
      <c r="I40" s="243" t="s">
        <v>47</v>
      </c>
      <c r="J40" s="243" t="s">
        <v>40</v>
      </c>
      <c r="O40" s="66">
        <f t="shared" ca="1" si="1"/>
        <v>7552.6365556471674</v>
      </c>
      <c r="P40" s="66">
        <f t="shared" ca="1" si="1"/>
        <v>7970.794399875489</v>
      </c>
      <c r="Q40" s="66">
        <f t="shared" ca="1" si="1"/>
        <v>8359.8596526131096</v>
      </c>
      <c r="R40" s="66">
        <f t="shared" ca="1" si="1"/>
        <v>8771.9409742435982</v>
      </c>
      <c r="S40" s="66">
        <f t="shared" ca="1" si="1"/>
        <v>9170.2431057160429</v>
      </c>
    </row>
    <row r="41" spans="1:19" ht="12.75" x14ac:dyDescent="0.2">
      <c r="D41" s="85" t="s">
        <v>69</v>
      </c>
      <c r="E41" s="82"/>
      <c r="F41" s="82"/>
      <c r="G41" s="82"/>
      <c r="H41" s="243" t="s">
        <v>52</v>
      </c>
      <c r="I41" s="243" t="s">
        <v>47</v>
      </c>
      <c r="J41" s="243" t="s">
        <v>40</v>
      </c>
      <c r="O41" s="66">
        <f t="shared" ca="1" si="1"/>
        <v>6509.5461607637053</v>
      </c>
      <c r="P41" s="66">
        <f t="shared" ca="1" si="1"/>
        <v>6869.9524598665566</v>
      </c>
      <c r="Q41" s="66">
        <f t="shared" ca="1" si="1"/>
        <v>7205.2841289578046</v>
      </c>
      <c r="R41" s="66">
        <f t="shared" ca="1" si="1"/>
        <v>7560.4531305876362</v>
      </c>
      <c r="S41" s="66">
        <f t="shared" ca="1" si="1"/>
        <v>7903.7459782769411</v>
      </c>
    </row>
    <row r="42" spans="1:19" ht="11.25" customHeight="1" x14ac:dyDescent="0.2"/>
    <row r="43" spans="1:19" ht="12.75" hidden="1" outlineLevel="1" x14ac:dyDescent="0.2">
      <c r="D43" s="81" t="s">
        <v>90</v>
      </c>
      <c r="E43" s="82"/>
      <c r="F43" s="80"/>
      <c r="G43" s="82"/>
      <c r="H43" s="243" t="s">
        <v>52</v>
      </c>
      <c r="I43" s="243" t="s">
        <v>47</v>
      </c>
      <c r="J43" s="243" t="s">
        <v>40</v>
      </c>
      <c r="K43" s="78"/>
      <c r="O43" s="66">
        <f ca="1">SUM(O98:O105)</f>
        <v>69178.935309545763</v>
      </c>
      <c r="P43" s="66">
        <f ca="1">SUM(P98:P105)</f>
        <v>73009.083131688836</v>
      </c>
      <c r="Q43" s="66">
        <f ca="1">SUM(Q98:Q105)</f>
        <v>76572.755201967811</v>
      </c>
      <c r="R43" s="66">
        <f ca="1">SUM(R98:R105)</f>
        <v>80347.244664198399</v>
      </c>
      <c r="S43" s="66">
        <f ca="1">SUM(S98:S105)</f>
        <v>83995.522611080931</v>
      </c>
    </row>
    <row r="44" spans="1:19" ht="12.75" hidden="1" outlineLevel="1" x14ac:dyDescent="0.2">
      <c r="A44" s="59">
        <f ca="1">IF(SUM($M44:$S44)=0,0,1)</f>
        <v>0</v>
      </c>
      <c r="D44" s="81" t="s">
        <v>55</v>
      </c>
      <c r="E44" s="82"/>
      <c r="F44" s="80"/>
      <c r="G44" s="82"/>
      <c r="H44" s="80"/>
      <c r="I44" s="84"/>
      <c r="J44" s="84"/>
      <c r="K44" s="78"/>
      <c r="O44" s="59">
        <f ca="1">IF(ROUND(O43-SUM(O39:O41),2)=0,0,1)</f>
        <v>0</v>
      </c>
      <c r="P44" s="59">
        <f ca="1">IF(ROUND(P43-SUM(P39:P41),2)=0,0,1)</f>
        <v>0</v>
      </c>
      <c r="Q44" s="59">
        <f ca="1">IF(ROUND(Q43-SUM(Q39:Q41),2)=0,0,1)</f>
        <v>0</v>
      </c>
      <c r="R44" s="59">
        <f ca="1">IF(ROUND(R43-SUM(R39:R41),2)=0,0,1)</f>
        <v>0</v>
      </c>
      <c r="S44" s="59">
        <f ca="1">IF(ROUND(S43-SUM(S39:S41),2)=0,0,1)</f>
        <v>0</v>
      </c>
    </row>
    <row r="45" spans="1:19" ht="11.25" customHeight="1" collapsed="1" x14ac:dyDescent="0.2"/>
    <row r="46" spans="1:19" ht="11.25" customHeight="1" x14ac:dyDescent="0.2"/>
    <row r="47" spans="1:19" s="2" customFormat="1" ht="15.75" x14ac:dyDescent="0.2">
      <c r="B47" s="2" t="s">
        <v>7</v>
      </c>
    </row>
    <row r="48" spans="1:19" ht="11.25" customHeight="1" x14ac:dyDescent="0.2"/>
    <row r="49" spans="3:19" ht="11.25" customHeight="1" x14ac:dyDescent="0.2">
      <c r="D49" s="105" t="s">
        <v>135</v>
      </c>
    </row>
    <row r="50" spans="3:19" ht="11.25" customHeight="1" x14ac:dyDescent="0.2">
      <c r="D50" s="105" t="s">
        <v>136</v>
      </c>
    </row>
    <row r="51" spans="3:19" ht="11.25" customHeight="1" x14ac:dyDescent="0.2"/>
    <row r="52" spans="3:19" ht="11.25" customHeight="1" x14ac:dyDescent="0.2"/>
    <row r="53" spans="3:19" s="8" customFormat="1" ht="15" x14ac:dyDescent="0.2">
      <c r="C53" s="8" t="s">
        <v>133</v>
      </c>
    </row>
    <row r="54" spans="3:19" ht="11.25" customHeight="1" x14ac:dyDescent="0.2"/>
    <row r="55" spans="3:19" ht="11.25" customHeight="1" x14ac:dyDescent="0.2">
      <c r="D55" s="70" t="str">
        <f>C53</f>
        <v>Forecast revenue</v>
      </c>
      <c r="H55" s="54" t="str">
        <f>H$9</f>
        <v>Source</v>
      </c>
      <c r="I55" s="54" t="str">
        <f>I$9</f>
        <v>Unit</v>
      </c>
      <c r="J55" s="54" t="str">
        <f>J$9</f>
        <v>Basis</v>
      </c>
      <c r="O55" s="54" t="str">
        <f>O$9</f>
        <v>FY25</v>
      </c>
      <c r="P55" s="54" t="str">
        <f>P$9</f>
        <v>FY26</v>
      </c>
      <c r="Q55" s="54" t="str">
        <f>Q$9</f>
        <v>FY27</v>
      </c>
      <c r="R55" s="54" t="str">
        <f>R$9</f>
        <v>FY28</v>
      </c>
      <c r="S55" s="54" t="str">
        <f>S$9</f>
        <v>FY29</v>
      </c>
    </row>
    <row r="56" spans="3:19" ht="11.25" customHeight="1" x14ac:dyDescent="0.2">
      <c r="D56" s="1"/>
    </row>
    <row r="57" spans="3:19" ht="12.75" x14ac:dyDescent="0.2">
      <c r="D57" s="75" t="s">
        <v>134</v>
      </c>
      <c r="E57" s="82"/>
      <c r="F57" s="82"/>
      <c r="G57" s="82"/>
      <c r="H57" s="243" t="s">
        <v>52</v>
      </c>
      <c r="I57" s="243" t="s">
        <v>47</v>
      </c>
      <c r="J57" s="243" t="s">
        <v>40</v>
      </c>
      <c r="O57" s="66">
        <f>Calc_Revenue!O24</f>
        <v>173450.23427039024</v>
      </c>
      <c r="P57" s="66">
        <f>Calc_Revenue!P24</f>
        <v>190738.10177782245</v>
      </c>
      <c r="Q57" s="66">
        <f>Calc_Revenue!Q24</f>
        <v>209749.03942155041</v>
      </c>
      <c r="R57" s="66">
        <f>Calc_Revenue!R24</f>
        <v>230654.82995465634</v>
      </c>
      <c r="S57" s="66">
        <f>Calc_Revenue!S24</f>
        <v>243833.25814202437</v>
      </c>
    </row>
    <row r="58" spans="3:19" ht="12.75" x14ac:dyDescent="0.2">
      <c r="D58" s="75" t="s">
        <v>294</v>
      </c>
      <c r="E58" s="82"/>
      <c r="F58" s="82"/>
      <c r="G58" s="82"/>
      <c r="H58" s="243" t="s">
        <v>52</v>
      </c>
      <c r="I58" s="243" t="s">
        <v>47</v>
      </c>
      <c r="J58" s="243" t="s">
        <v>40</v>
      </c>
      <c r="O58" s="66">
        <f ca="1">Calc_LRMC_Tariff!O67</f>
        <v>69178.935309545763</v>
      </c>
      <c r="P58" s="66">
        <f ca="1">Calc_LRMC_Tariff!P67</f>
        <v>73009.083131688836</v>
      </c>
      <c r="Q58" s="66">
        <f ca="1">Calc_LRMC_Tariff!Q67</f>
        <v>76572.755201967826</v>
      </c>
      <c r="R58" s="66">
        <f ca="1">Calc_LRMC_Tariff!R67</f>
        <v>80347.244664198399</v>
      </c>
      <c r="S58" s="66">
        <f ca="1">Calc_LRMC_Tariff!S67</f>
        <v>83995.522611080945</v>
      </c>
    </row>
    <row r="59" spans="3:19" ht="11.25" customHeight="1" x14ac:dyDescent="0.2">
      <c r="D59" s="1"/>
    </row>
    <row r="60" spans="3:19" ht="11.25" customHeight="1" x14ac:dyDescent="0.2">
      <c r="D60" s="1"/>
    </row>
    <row r="61" spans="3:19" s="8" customFormat="1" ht="15" x14ac:dyDescent="0.2">
      <c r="C61" s="8" t="s">
        <v>74</v>
      </c>
    </row>
    <row r="62" spans="3:19" ht="11.25" customHeight="1" x14ac:dyDescent="0.2"/>
    <row r="63" spans="3:19" ht="11.25" customHeight="1" x14ac:dyDescent="0.2">
      <c r="C63" s="170" t="s">
        <v>5</v>
      </c>
      <c r="D63" s="70" t="s">
        <v>118</v>
      </c>
      <c r="E63" s="54" t="s">
        <v>62</v>
      </c>
      <c r="H63" s="54" t="str">
        <f>H$9</f>
        <v>Source</v>
      </c>
      <c r="I63" s="54" t="str">
        <f>I$9</f>
        <v>Unit</v>
      </c>
      <c r="J63" s="54" t="str">
        <f>J$9</f>
        <v>Basis</v>
      </c>
      <c r="M63" s="54" t="s">
        <v>293</v>
      </c>
      <c r="O63" s="54" t="str">
        <f>O$9</f>
        <v>FY25</v>
      </c>
      <c r="P63" s="54" t="str">
        <f>P$9</f>
        <v>FY26</v>
      </c>
      <c r="Q63" s="54" t="str">
        <f>Q$9</f>
        <v>FY27</v>
      </c>
      <c r="R63" s="54" t="str">
        <f>R$9</f>
        <v>FY28</v>
      </c>
      <c r="S63" s="54" t="str">
        <f>S$9</f>
        <v>FY29</v>
      </c>
    </row>
    <row r="64" spans="3:19" ht="11.25" customHeight="1" x14ac:dyDescent="0.2"/>
    <row r="65" spans="1:19" ht="12.75" x14ac:dyDescent="0.2">
      <c r="C65" s="169">
        <v>1</v>
      </c>
      <c r="D65" s="75" t="str" cm="1">
        <f t="array" ref="D65:D72">LU_Tariffs</f>
        <v>Residential Accumulation</v>
      </c>
      <c r="E65" s="53" t="str">
        <f>Inputs_Prices!F20</f>
        <v>LV &lt;750MWh</v>
      </c>
      <c r="H65" s="243" t="s">
        <v>52</v>
      </c>
      <c r="I65" s="243" t="s">
        <v>82</v>
      </c>
      <c r="J65" s="243" t="s">
        <v>21</v>
      </c>
      <c r="M65" s="243" t="str">
        <f>Inputs_Other!O183</f>
        <v>Residential</v>
      </c>
      <c r="O65" s="77">
        <f>SUMIF(Inputs_Volumes!$D$34:$D$47,$D65,Inputs_Volumes!O$34:O$47)</f>
        <v>393692061.64295679</v>
      </c>
      <c r="P65" s="77">
        <f>SUMIF(Inputs_Volumes!$D$34:$D$47,$D65,Inputs_Volumes!P$34:P$47)</f>
        <v>292062115.31481612</v>
      </c>
      <c r="Q65" s="77">
        <f>SUMIF(Inputs_Volumes!$D$34:$D$47,$D65,Inputs_Volumes!Q$34:Q$47)</f>
        <v>194722190.23922795</v>
      </c>
      <c r="R65" s="77">
        <f>SUMIF(Inputs_Volumes!$D$34:$D$47,$D65,Inputs_Volumes!R$34:R$47)</f>
        <v>191372180.80720237</v>
      </c>
      <c r="S65" s="77">
        <f>SUMIF(Inputs_Volumes!$D$34:$D$47,$D65,Inputs_Volumes!S$34:S$47)</f>
        <v>83694208.006087393</v>
      </c>
    </row>
    <row r="66" spans="1:19" ht="12.75" x14ac:dyDescent="0.2">
      <c r="C66" s="169">
        <v>2</v>
      </c>
      <c r="D66" s="75" t="str">
        <v>Non-Residential Accumulation</v>
      </c>
      <c r="E66" s="53" t="str">
        <f>Inputs_Prices!F21</f>
        <v>LV &lt;750MWh</v>
      </c>
      <c r="H66" s="243" t="s">
        <v>52</v>
      </c>
      <c r="I66" s="243" t="s">
        <v>82</v>
      </c>
      <c r="J66" s="243" t="s">
        <v>21</v>
      </c>
      <c r="M66" s="243" t="str">
        <f>Inputs_Other!O184</f>
        <v>Commercial</v>
      </c>
      <c r="O66" s="77">
        <f>SUMIF(Inputs_Volumes!$D$34:$D$47,$D66,Inputs_Volumes!O$34:O$47)</f>
        <v>30798387.472991213</v>
      </c>
      <c r="P66" s="77">
        <f>SUMIF(Inputs_Volumes!$D$34:$D$47,$D66,Inputs_Volumes!P$34:P$47)</f>
        <v>22418950.006148253</v>
      </c>
      <c r="Q66" s="77">
        <f>SUMIF(Inputs_Volumes!$D$34:$D$47,$D66,Inputs_Volumes!Q$34:Q$47)</f>
        <v>14355975.55290366</v>
      </c>
      <c r="R66" s="77">
        <f>SUMIF(Inputs_Volumes!$D$34:$D$47,$D66,Inputs_Volumes!R$34:R$47)</f>
        <v>6320965.1115470063</v>
      </c>
      <c r="S66" s="77">
        <f>SUMIF(Inputs_Volumes!$D$34:$D$47,$D66,Inputs_Volumes!S$34:S$47)</f>
        <v>0</v>
      </c>
    </row>
    <row r="67" spans="1:19" ht="12.75" x14ac:dyDescent="0.2">
      <c r="C67" s="169" t="s">
        <v>491</v>
      </c>
      <c r="D67" s="75" t="str">
        <v>LV Smart Meter - Res</v>
      </c>
      <c r="E67" s="53" t="str">
        <f>Inputs_Prices!F22</f>
        <v>LV &lt;750MWh</v>
      </c>
      <c r="H67" s="243" t="s">
        <v>52</v>
      </c>
      <c r="I67" s="243" t="s">
        <v>82</v>
      </c>
      <c r="J67" s="243" t="s">
        <v>21</v>
      </c>
      <c r="M67" s="243" t="str">
        <f>Inputs_Other!O185</f>
        <v>Residential</v>
      </c>
      <c r="O67" s="77">
        <f>SUMIF(Inputs_Volumes!$D$34:$D$47,$D67,Inputs_Volumes!O$34:O$47)</f>
        <v>210199002.08508646</v>
      </c>
      <c r="P67" s="77">
        <f>SUMIF(Inputs_Volumes!$D$34:$D$47,$D67,Inputs_Volumes!P$34:P$47)</f>
        <v>301232932.13298005</v>
      </c>
      <c r="Q67" s="77">
        <f>SUMIF(Inputs_Volumes!$D$34:$D$47,$D67,Inputs_Volumes!Q$34:Q$47)</f>
        <v>393251817.88108206</v>
      </c>
      <c r="R67" s="77">
        <f>SUMIF(Inputs_Volumes!$D$34:$D$47,$D67,Inputs_Volumes!R$34:R$47)</f>
        <v>389383831.61625826</v>
      </c>
      <c r="S67" s="77">
        <f>SUMIF(Inputs_Volumes!$D$34:$D$47,$D67,Inputs_Volumes!S$34:S$47)</f>
        <v>490747426.98181319</v>
      </c>
    </row>
    <row r="68" spans="1:19" ht="12.75" x14ac:dyDescent="0.2">
      <c r="C68" s="169" t="s">
        <v>492</v>
      </c>
      <c r="D68" s="75" t="str">
        <v>LV Smart Meter - Small Comm</v>
      </c>
      <c r="E68" s="53" t="str">
        <f>Inputs_Prices!F23</f>
        <v>LV &lt;750MWh</v>
      </c>
      <c r="H68" s="243" t="s">
        <v>52</v>
      </c>
      <c r="I68" s="243" t="s">
        <v>82</v>
      </c>
      <c r="J68" s="243" t="s">
        <v>21</v>
      </c>
      <c r="M68" s="243" t="str">
        <f>Inputs_Other!O186</f>
        <v>Commercial</v>
      </c>
      <c r="O68" s="77">
        <f>SUMIF(Inputs_Volumes!$D$34:$D$47,$D68,Inputs_Volumes!O$34:O$47)</f>
        <v>239450306.58881414</v>
      </c>
      <c r="P68" s="77">
        <f>SUMIF(Inputs_Volumes!$D$34:$D$47,$D68,Inputs_Volumes!P$34:P$47)</f>
        <v>248047714.90745056</v>
      </c>
      <c r="Q68" s="77">
        <f>SUMIF(Inputs_Volumes!$D$34:$D$47,$D68,Inputs_Volumes!Q$34:Q$47)</f>
        <v>258668816.54903626</v>
      </c>
      <c r="R68" s="77">
        <f>SUMIF(Inputs_Volumes!$D$34:$D$47,$D68,Inputs_Volumes!R$34:R$47)</f>
        <v>268324341.64549941</v>
      </c>
      <c r="S68" s="77">
        <f>SUMIF(Inputs_Volumes!$D$34:$D$47,$D68,Inputs_Volumes!S$34:S$47)</f>
        <v>278718159.12172163</v>
      </c>
    </row>
    <row r="69" spans="1:19" ht="12.75" x14ac:dyDescent="0.2">
      <c r="C69" s="169" t="s">
        <v>493</v>
      </c>
      <c r="D69" s="75" t="str">
        <v>LV Smart Meter - Med Comm</v>
      </c>
      <c r="E69" s="53" t="str">
        <f>Inputs_Prices!F24</f>
        <v>LV &lt;750MWh</v>
      </c>
      <c r="H69" s="243" t="s">
        <v>52</v>
      </c>
      <c r="I69" s="243" t="s">
        <v>82</v>
      </c>
      <c r="J69" s="243" t="s">
        <v>21</v>
      </c>
      <c r="M69" s="243" t="str">
        <f>Inputs_Other!O187</f>
        <v>Commercial</v>
      </c>
      <c r="O69" s="77">
        <f>SUMIF(Inputs_Volumes!$D$34:$D$47,$D69,Inputs_Volumes!O$34:O$47)</f>
        <v>208345966.6606659</v>
      </c>
      <c r="P69" s="77">
        <f>SUMIF(Inputs_Volumes!$D$34:$D$47,$D69,Inputs_Volumes!P$34:P$47)</f>
        <v>215770236.55872625</v>
      </c>
      <c r="Q69" s="77">
        <f>SUMIF(Inputs_Volumes!$D$34:$D$47,$D69,Inputs_Volumes!Q$34:Q$47)</f>
        <v>224911926.02525628</v>
      </c>
      <c r="R69" s="77">
        <f>SUMIF(Inputs_Volumes!$D$34:$D$47,$D69,Inputs_Volumes!R$34:R$47)</f>
        <v>233433366.60536474</v>
      </c>
      <c r="S69" s="77">
        <f>SUMIF(Inputs_Volumes!$D$34:$D$47,$D69,Inputs_Volumes!S$34:S$47)</f>
        <v>242313446.58578914</v>
      </c>
    </row>
    <row r="70" spans="1:19" ht="12.75" x14ac:dyDescent="0.2">
      <c r="C70" s="169">
        <v>4</v>
      </c>
      <c r="D70" s="75" t="str">
        <v>Unmetered</v>
      </c>
      <c r="E70" s="53" t="str">
        <f>Inputs_Prices!F25</f>
        <v>LV &lt;750MWh</v>
      </c>
      <c r="H70" s="243" t="s">
        <v>52</v>
      </c>
      <c r="I70" s="243" t="s">
        <v>82</v>
      </c>
      <c r="J70" s="243" t="s">
        <v>21</v>
      </c>
      <c r="M70" s="243" t="str">
        <f>Inputs_Other!O188</f>
        <v>N/A</v>
      </c>
      <c r="O70" s="77">
        <f>SUMIF(Inputs_Volumes!$D$34:$D$47,$D70,Inputs_Volumes!O$34:O$47)</f>
        <v>15740002.447825788</v>
      </c>
      <c r="P70" s="77">
        <f>SUMIF(Inputs_Volumes!$D$34:$D$47,$D70,Inputs_Volumes!P$34:P$47)</f>
        <v>15824967.147750689</v>
      </c>
      <c r="Q70" s="77">
        <f>SUMIF(Inputs_Volumes!$D$34:$D$47,$D70,Inputs_Volumes!Q$34:Q$47)</f>
        <v>15835500.809565751</v>
      </c>
      <c r="R70" s="77">
        <f>SUMIF(Inputs_Volumes!$D$34:$D$47,$D70,Inputs_Volumes!R$34:R$47)</f>
        <v>15719594.747155443</v>
      </c>
      <c r="S70" s="77">
        <f>SUMIF(Inputs_Volumes!$D$34:$D$47,$D70,Inputs_Volumes!S$34:S$47)</f>
        <v>15527883.640118232</v>
      </c>
    </row>
    <row r="71" spans="1:19" ht="12.75" x14ac:dyDescent="0.2">
      <c r="C71" s="169">
        <v>5</v>
      </c>
      <c r="D71" s="75" t="str">
        <v>LV Majors</v>
      </c>
      <c r="E71" s="53" t="str">
        <f>Inputs_Prices!F26</f>
        <v>LV &gt;750MWh</v>
      </c>
      <c r="H71" s="243" t="s">
        <v>52</v>
      </c>
      <c r="I71" s="243" t="s">
        <v>82</v>
      </c>
      <c r="J71" s="243" t="s">
        <v>21</v>
      </c>
      <c r="M71" s="243" t="str">
        <f>Inputs_Other!O189</f>
        <v>N/A</v>
      </c>
      <c r="O71" s="77">
        <f>SUMIF(Inputs_Volumes!$D$34:$D$47,$D71,Inputs_Volumes!O$34:O$47)</f>
        <v>245469769.54939294</v>
      </c>
      <c r="P71" s="77">
        <f>SUMIF(Inputs_Volumes!$D$34:$D$47,$D71,Inputs_Volumes!P$34:P$47)</f>
        <v>243006279.31697118</v>
      </c>
      <c r="Q71" s="77">
        <f>SUMIF(Inputs_Volumes!$D$34:$D$47,$D71,Inputs_Volumes!Q$34:Q$47)</f>
        <v>242674477.76312637</v>
      </c>
      <c r="R71" s="77">
        <f>SUMIF(Inputs_Volumes!$D$34:$D$47,$D71,Inputs_Volumes!R$34:R$47)</f>
        <v>241546252.7538569</v>
      </c>
      <c r="S71" s="77">
        <f>SUMIF(Inputs_Volumes!$D$34:$D$47,$D71,Inputs_Volumes!S$34:S$47)</f>
        <v>241166692.55864429</v>
      </c>
    </row>
    <row r="72" spans="1:19" ht="12.75" x14ac:dyDescent="0.2">
      <c r="C72" s="169">
        <v>6</v>
      </c>
      <c r="D72" s="75" t="str">
        <v>HV Smart Meters</v>
      </c>
      <c r="E72" s="53" t="str">
        <f>Inputs_Prices!F27</f>
        <v>HV</v>
      </c>
      <c r="H72" s="243" t="s">
        <v>52</v>
      </c>
      <c r="I72" s="243" t="s">
        <v>82</v>
      </c>
      <c r="J72" s="243" t="s">
        <v>21</v>
      </c>
      <c r="M72" s="243" t="str">
        <f>Inputs_Other!O190</f>
        <v>N/A</v>
      </c>
      <c r="O72" s="77">
        <f>SUMIF(Inputs_Volumes!$D$34:$D$47,$D72,Inputs_Volumes!O$34:O$47)</f>
        <v>361144292.95880222</v>
      </c>
      <c r="P72" s="77">
        <f>SUMIF(Inputs_Volumes!$D$34:$D$47,$D72,Inputs_Volumes!P$34:P$47)</f>
        <v>378528519.70575869</v>
      </c>
      <c r="Q72" s="77">
        <f>SUMIF(Inputs_Volumes!$D$34:$D$47,$D72,Inputs_Volumes!Q$34:Q$47)</f>
        <v>377300162.71194649</v>
      </c>
      <c r="R72" s="77">
        <f>SUMIF(Inputs_Volumes!$D$34:$D$47,$D72,Inputs_Volumes!R$34:R$47)</f>
        <v>375045999.69464791</v>
      </c>
      <c r="S72" s="77">
        <f>SUMIF(Inputs_Volumes!$D$34:$D$47,$D72,Inputs_Volumes!S$34:S$47)</f>
        <v>373768254.79088336</v>
      </c>
    </row>
    <row r="73" spans="1:19" ht="11.25" customHeight="1" x14ac:dyDescent="0.2">
      <c r="O73" s="71"/>
      <c r="P73" s="71"/>
      <c r="Q73" s="71"/>
      <c r="R73" s="71"/>
      <c r="S73" s="71"/>
    </row>
    <row r="74" spans="1:19" ht="12.75" hidden="1" outlineLevel="1" x14ac:dyDescent="0.2">
      <c r="D74" s="81" t="s">
        <v>90</v>
      </c>
      <c r="E74" s="82"/>
      <c r="F74" s="80"/>
      <c r="G74" s="82"/>
      <c r="H74" s="243" t="s">
        <v>52</v>
      </c>
      <c r="I74" s="243" t="s">
        <v>47</v>
      </c>
      <c r="J74" s="243" t="s">
        <v>40</v>
      </c>
      <c r="K74" s="78"/>
      <c r="O74" s="77">
        <f>SUM(Inputs_Volumes!O34:O47)</f>
        <v>1704839789.4065354</v>
      </c>
      <c r="P74" s="77">
        <f>SUM(Inputs_Volumes!P34:P47)</f>
        <v>1716891715.0906014</v>
      </c>
      <c r="Q74" s="77">
        <f>SUM(Inputs_Volumes!Q34:Q47)</f>
        <v>1721720867.532145</v>
      </c>
      <c r="R74" s="77">
        <f>SUM(Inputs_Volumes!R34:R47)</f>
        <v>1721146532.9815321</v>
      </c>
      <c r="S74" s="77">
        <f>SUM(Inputs_Volumes!S34:S47)</f>
        <v>1725936071.6850572</v>
      </c>
    </row>
    <row r="75" spans="1:19" ht="12.75" hidden="1" outlineLevel="1" x14ac:dyDescent="0.2">
      <c r="A75" s="59">
        <f>IF(SUM($M75:$S75)=0,0,1)</f>
        <v>0</v>
      </c>
      <c r="D75" s="81" t="s">
        <v>55</v>
      </c>
      <c r="E75" s="82"/>
      <c r="F75" s="80"/>
      <c r="G75" s="82"/>
      <c r="H75" s="80"/>
      <c r="I75" s="84"/>
      <c r="J75" s="84"/>
      <c r="K75" s="78"/>
      <c r="O75" s="59">
        <f>IF(ROUND(O74-SUM(O65:O72),2)=0,0,1)</f>
        <v>0</v>
      </c>
      <c r="P75" s="59">
        <f>IF(ROUND(P74-SUM(P65:P72),2)=0,0,1)</f>
        <v>0</v>
      </c>
      <c r="Q75" s="59">
        <f>IF(ROUND(Q74-SUM(Q65:Q72),2)=0,0,1)</f>
        <v>0</v>
      </c>
      <c r="R75" s="59">
        <f>IF(ROUND(R74-SUM(R65:R72),2)=0,0,1)</f>
        <v>0</v>
      </c>
      <c r="S75" s="59">
        <f>IF(ROUND(S74-SUM(S65:S72),2)=0,0,1)</f>
        <v>0</v>
      </c>
    </row>
    <row r="76" spans="1:19" ht="11.25" customHeight="1" collapsed="1" x14ac:dyDescent="0.2"/>
    <row r="77" spans="1:19" ht="11.25" customHeight="1" x14ac:dyDescent="0.2"/>
    <row r="78" spans="1:19" s="8" customFormat="1" ht="15" x14ac:dyDescent="0.2">
      <c r="C78" s="8" t="s">
        <v>104</v>
      </c>
    </row>
    <row r="79" spans="1:19" ht="11.25" customHeight="1" x14ac:dyDescent="0.2"/>
    <row r="80" spans="1:19" ht="11.25" customHeight="1" x14ac:dyDescent="0.2">
      <c r="C80" s="170" t="s">
        <v>5</v>
      </c>
      <c r="D80" s="70" t="s">
        <v>118</v>
      </c>
      <c r="E80" s="54" t="s">
        <v>62</v>
      </c>
      <c r="H80" s="54" t="str">
        <f>H$9</f>
        <v>Source</v>
      </c>
      <c r="I80" s="54" t="str">
        <f>I$9</f>
        <v>Unit</v>
      </c>
      <c r="J80" s="54" t="str">
        <f>J$9</f>
        <v>Basis</v>
      </c>
      <c r="M80" s="54" t="s">
        <v>295</v>
      </c>
      <c r="O80" s="54" t="str">
        <f>O$9</f>
        <v>FY25</v>
      </c>
      <c r="P80" s="54" t="str">
        <f>P$9</f>
        <v>FY26</v>
      </c>
      <c r="Q80" s="54" t="str">
        <f>Q$9</f>
        <v>FY27</v>
      </c>
      <c r="R80" s="54" t="str">
        <f>R$9</f>
        <v>FY28</v>
      </c>
      <c r="S80" s="54" t="str">
        <f>S$9</f>
        <v>FY29</v>
      </c>
    </row>
    <row r="81" spans="1:19" ht="11.25" customHeight="1" x14ac:dyDescent="0.2"/>
    <row r="82" spans="1:19" ht="12.75" x14ac:dyDescent="0.2">
      <c r="C82" s="169">
        <v>1</v>
      </c>
      <c r="D82" s="75" t="str" cm="1">
        <f t="array" ref="D82:D89">LU_Tariffs</f>
        <v>Residential Accumulation</v>
      </c>
      <c r="E82" s="53" t="str">
        <f>Inputs_Prices!F20</f>
        <v>LV &lt;750MWh</v>
      </c>
      <c r="H82" s="243" t="s">
        <v>52</v>
      </c>
      <c r="I82" s="243" t="s">
        <v>47</v>
      </c>
      <c r="J82" s="243" t="s">
        <v>40</v>
      </c>
      <c r="M82" s="87">
        <f>Inputs_Other!$M169</f>
        <v>0.58246772800655788</v>
      </c>
      <c r="O82" s="66">
        <f t="shared" ref="O82:S89" si="2">O65*$M82*O$18*Dollars_to_Thousands</f>
        <v>235733.18055628362</v>
      </c>
      <c r="P82" s="66">
        <f t="shared" si="2"/>
        <v>179775.90113262722</v>
      </c>
      <c r="Q82" s="66">
        <f t="shared" si="2"/>
        <v>123215.08582172473</v>
      </c>
      <c r="R82" s="66">
        <f t="shared" si="2"/>
        <v>124485.69088836249</v>
      </c>
      <c r="S82" s="66">
        <f t="shared" si="2"/>
        <v>55966.509524581365</v>
      </c>
    </row>
    <row r="83" spans="1:19" ht="12.75" x14ac:dyDescent="0.2">
      <c r="C83" s="169">
        <v>2</v>
      </c>
      <c r="D83" s="75" t="str">
        <v>Non-Residential Accumulation</v>
      </c>
      <c r="E83" s="53" t="str">
        <f>Inputs_Prices!F21</f>
        <v>LV &lt;750MWh</v>
      </c>
      <c r="H83" s="243" t="s">
        <v>52</v>
      </c>
      <c r="I83" s="243" t="s">
        <v>47</v>
      </c>
      <c r="J83" s="243" t="s">
        <v>40</v>
      </c>
      <c r="M83" s="87">
        <f>Inputs_Other!$M170</f>
        <v>0.43462968913722722</v>
      </c>
      <c r="O83" s="66">
        <f t="shared" si="2"/>
        <v>13760.669295373173</v>
      </c>
      <c r="P83" s="66">
        <f t="shared" si="2"/>
        <v>10297.197385340889</v>
      </c>
      <c r="Q83" s="66">
        <f t="shared" si="2"/>
        <v>6778.423036093578</v>
      </c>
      <c r="R83" s="66">
        <f t="shared" si="2"/>
        <v>3068.1143539441655</v>
      </c>
      <c r="S83" s="66">
        <f t="shared" si="2"/>
        <v>0</v>
      </c>
    </row>
    <row r="84" spans="1:19" ht="12.75" x14ac:dyDescent="0.2">
      <c r="C84" s="169" t="s">
        <v>491</v>
      </c>
      <c r="D84" s="75" t="str">
        <v>LV Smart Meter - Res</v>
      </c>
      <c r="E84" s="53" t="str">
        <f>Inputs_Prices!F22</f>
        <v>LV &lt;750MWh</v>
      </c>
      <c r="H84" s="243" t="s">
        <v>52</v>
      </c>
      <c r="I84" s="243" t="s">
        <v>47</v>
      </c>
      <c r="J84" s="243" t="s">
        <v>40</v>
      </c>
      <c r="M84" s="87">
        <f>Inputs_Other!$M171</f>
        <v>0.58246772800655788</v>
      </c>
      <c r="O84" s="66">
        <f t="shared" si="2"/>
        <v>125862.0229843814</v>
      </c>
      <c r="P84" s="66">
        <f t="shared" si="2"/>
        <v>185420.90529836962</v>
      </c>
      <c r="Q84" s="66">
        <f t="shared" si="2"/>
        <v>248839.41799461812</v>
      </c>
      <c r="R84" s="66">
        <f t="shared" si="2"/>
        <v>253290.29065275416</v>
      </c>
      <c r="S84" s="66">
        <f t="shared" si="2"/>
        <v>328163.93392890203</v>
      </c>
    </row>
    <row r="85" spans="1:19" ht="12.75" x14ac:dyDescent="0.2">
      <c r="C85" s="169" t="s">
        <v>492</v>
      </c>
      <c r="D85" s="75" t="str">
        <v>LV Smart Meter - Small Comm</v>
      </c>
      <c r="E85" s="53" t="str">
        <f>Inputs_Prices!F23</f>
        <v>LV &lt;750MWh</v>
      </c>
      <c r="H85" s="243" t="s">
        <v>52</v>
      </c>
      <c r="I85" s="243" t="s">
        <v>47</v>
      </c>
      <c r="J85" s="243" t="s">
        <v>40</v>
      </c>
      <c r="M85" s="87">
        <f>Inputs_Other!$M172</f>
        <v>0.43462968913722722</v>
      </c>
      <c r="O85" s="66">
        <f t="shared" si="2"/>
        <v>106986.00647627896</v>
      </c>
      <c r="P85" s="66">
        <f t="shared" si="2"/>
        <v>113930.23672760367</v>
      </c>
      <c r="Q85" s="66">
        <f t="shared" si="2"/>
        <v>122134.9714865189</v>
      </c>
      <c r="R85" s="66">
        <f t="shared" si="2"/>
        <v>130241.14982240285</v>
      </c>
      <c r="S85" s="66">
        <f t="shared" si="2"/>
        <v>139073.89056942871</v>
      </c>
    </row>
    <row r="86" spans="1:19" ht="12.75" x14ac:dyDescent="0.2">
      <c r="C86" s="169" t="s">
        <v>493</v>
      </c>
      <c r="D86" s="75" t="str">
        <v>LV Smart Meter - Med Comm</v>
      </c>
      <c r="E86" s="53" t="str">
        <f>Inputs_Prices!F24</f>
        <v>LV &lt;750MWh</v>
      </c>
      <c r="H86" s="243" t="s">
        <v>52</v>
      </c>
      <c r="I86" s="243" t="s">
        <v>47</v>
      </c>
      <c r="J86" s="243" t="s">
        <v>40</v>
      </c>
      <c r="M86" s="87">
        <f>Inputs_Other!$M173</f>
        <v>0.37761392060597815</v>
      </c>
      <c r="O86" s="66">
        <f t="shared" si="2"/>
        <v>80877.046561728275</v>
      </c>
      <c r="P86" s="66">
        <f t="shared" si="2"/>
        <v>86104.116275346256</v>
      </c>
      <c r="Q86" s="66">
        <f t="shared" si="2"/>
        <v>92265.013724359029</v>
      </c>
      <c r="R86" s="66">
        <f t="shared" si="2"/>
        <v>98441.832509322616</v>
      </c>
      <c r="S86" s="66">
        <f t="shared" si="2"/>
        <v>105047.67892924399</v>
      </c>
    </row>
    <row r="87" spans="1:19" ht="12.75" x14ac:dyDescent="0.2">
      <c r="C87" s="169">
        <v>4</v>
      </c>
      <c r="D87" s="75" t="str">
        <v>Unmetered</v>
      </c>
      <c r="E87" s="53" t="str">
        <f>Inputs_Prices!F25</f>
        <v>LV &lt;750MWh</v>
      </c>
      <c r="H87" s="243" t="s">
        <v>52</v>
      </c>
      <c r="I87" s="243" t="s">
        <v>47</v>
      </c>
      <c r="J87" s="243" t="s">
        <v>40</v>
      </c>
      <c r="M87" s="87">
        <f>Inputs_Other!$M174</f>
        <v>0.24</v>
      </c>
      <c r="O87" s="66">
        <f t="shared" si="2"/>
        <v>3883.3651358117831</v>
      </c>
      <c r="P87" s="66">
        <f t="shared" si="2"/>
        <v>4013.6402087544643</v>
      </c>
      <c r="Q87" s="66">
        <f t="shared" si="2"/>
        <v>4128.7597713120567</v>
      </c>
      <c r="R87" s="66">
        <f t="shared" si="2"/>
        <v>4213.2899498389961</v>
      </c>
      <c r="S87" s="66">
        <f t="shared" si="2"/>
        <v>4278.4302840826813</v>
      </c>
    </row>
    <row r="88" spans="1:19" ht="12.75" x14ac:dyDescent="0.2">
      <c r="C88" s="169">
        <v>5</v>
      </c>
      <c r="D88" s="75" t="str">
        <v>LV Majors</v>
      </c>
      <c r="E88" s="53" t="str">
        <f>Inputs_Prices!F26</f>
        <v>LV &gt;750MWh</v>
      </c>
      <c r="H88" s="243" t="s">
        <v>52</v>
      </c>
      <c r="I88" s="243" t="s">
        <v>47</v>
      </c>
      <c r="J88" s="243" t="s">
        <v>40</v>
      </c>
      <c r="M88" s="87">
        <f>Inputs_Other!$M175</f>
        <v>0.29370010253806522</v>
      </c>
      <c r="O88" s="66">
        <f t="shared" si="2"/>
        <v>74112.984593500441</v>
      </c>
      <c r="P88" s="66">
        <f t="shared" si="2"/>
        <v>75423.377095320233</v>
      </c>
      <c r="Q88" s="66">
        <f t="shared" si="2"/>
        <v>77429.199944427222</v>
      </c>
      <c r="R88" s="66">
        <f t="shared" si="2"/>
        <v>79226.991108665272</v>
      </c>
      <c r="S88" s="66">
        <f t="shared" si="2"/>
        <v>81317.192391944598</v>
      </c>
    </row>
    <row r="89" spans="1:19" ht="12.75" x14ac:dyDescent="0.2">
      <c r="C89" s="169">
        <v>6</v>
      </c>
      <c r="D89" s="75" t="str">
        <v>HV Smart Meters</v>
      </c>
      <c r="E89" s="53" t="str">
        <f>Inputs_Prices!F27</f>
        <v>HV</v>
      </c>
      <c r="H89" s="243" t="s">
        <v>52</v>
      </c>
      <c r="I89" s="243" t="s">
        <v>47</v>
      </c>
      <c r="J89" s="243" t="s">
        <v>40</v>
      </c>
      <c r="M89" s="87">
        <f>Inputs_Other!$M176</f>
        <v>0.28343234534436584</v>
      </c>
      <c r="O89" s="66">
        <f t="shared" si="2"/>
        <v>105225.82919447497</v>
      </c>
      <c r="P89" s="66">
        <f t="shared" si="2"/>
        <v>113378.94117469146</v>
      </c>
      <c r="Q89" s="66">
        <f t="shared" si="2"/>
        <v>116175.07806624392</v>
      </c>
      <c r="R89" s="66">
        <f t="shared" si="2"/>
        <v>118714.21034762279</v>
      </c>
      <c r="S89" s="66">
        <f t="shared" si="2"/>
        <v>121622.17709490749</v>
      </c>
    </row>
    <row r="90" spans="1:19" ht="11.25" customHeight="1" x14ac:dyDescent="0.2">
      <c r="O90" s="71"/>
      <c r="P90" s="71"/>
      <c r="Q90" s="71"/>
      <c r="R90" s="71"/>
      <c r="S90" s="71"/>
    </row>
    <row r="91" spans="1:19" ht="12.75" hidden="1" outlineLevel="1" x14ac:dyDescent="0.2">
      <c r="A91" s="59">
        <f>IF(SUM($O91:$S91)=0,0,1)</f>
        <v>0</v>
      </c>
      <c r="D91" s="81" t="s">
        <v>127</v>
      </c>
      <c r="E91" s="80"/>
      <c r="F91" s="80"/>
      <c r="G91" s="82"/>
      <c r="H91" s="80"/>
      <c r="I91" s="80"/>
      <c r="J91" s="80"/>
      <c r="K91" s="58"/>
      <c r="O91" s="59">
        <f>IF(ISERROR(SUM(O82:O89))&lt;&gt;0,0,1)</f>
        <v>0</v>
      </c>
      <c r="P91" s="59">
        <f>IF(ISERROR(SUM(P82:P89))&lt;&gt;0,0,1)</f>
        <v>0</v>
      </c>
      <c r="Q91" s="59">
        <f>IF(ISERROR(SUM(Q82:Q89))&lt;&gt;0,0,1)</f>
        <v>0</v>
      </c>
      <c r="R91" s="59">
        <f>IF(ISERROR(SUM(R82:R89))&lt;&gt;0,0,1)</f>
        <v>0</v>
      </c>
      <c r="S91" s="59">
        <f>IF(ISERROR(SUM(S82:S89))&lt;&gt;0,0,1)</f>
        <v>0</v>
      </c>
    </row>
    <row r="92" spans="1:19" ht="11.25" customHeight="1" collapsed="1" x14ac:dyDescent="0.2"/>
    <row r="93" spans="1:19" ht="11.25" customHeight="1" x14ac:dyDescent="0.2"/>
    <row r="94" spans="1:19" s="8" customFormat="1" ht="15" x14ac:dyDescent="0.2">
      <c r="C94" s="8" t="s">
        <v>704</v>
      </c>
    </row>
    <row r="95" spans="1:19" ht="11.25" customHeight="1" x14ac:dyDescent="0.2"/>
    <row r="96" spans="1:19" ht="11.25" customHeight="1" x14ac:dyDescent="0.2">
      <c r="C96" s="170" t="s">
        <v>5</v>
      </c>
      <c r="D96" s="70" t="s">
        <v>118</v>
      </c>
      <c r="E96" s="54" t="s">
        <v>62</v>
      </c>
      <c r="H96" s="54" t="str">
        <f>H$9</f>
        <v>Source</v>
      </c>
      <c r="I96" s="54" t="str">
        <f>I$9</f>
        <v>Unit</v>
      </c>
      <c r="J96" s="54" t="str">
        <f>J$9</f>
        <v>Basis</v>
      </c>
      <c r="M96" s="54" t="s">
        <v>289</v>
      </c>
      <c r="O96" s="54" t="str">
        <f>O$9</f>
        <v>FY25</v>
      </c>
      <c r="P96" s="54" t="str">
        <f>P$9</f>
        <v>FY26</v>
      </c>
      <c r="Q96" s="54" t="str">
        <f>Q$9</f>
        <v>FY27</v>
      </c>
      <c r="R96" s="54" t="str">
        <f>R$9</f>
        <v>FY28</v>
      </c>
      <c r="S96" s="54" t="str">
        <f>S$9</f>
        <v>FY29</v>
      </c>
    </row>
    <row r="97" spans="1:19" ht="11.25" customHeight="1" x14ac:dyDescent="0.2"/>
    <row r="98" spans="1:19" ht="12.75" x14ac:dyDescent="0.2">
      <c r="C98" s="169">
        <v>1</v>
      </c>
      <c r="D98" s="75" t="str" cm="1">
        <f t="array" ref="D98:D105">LU_Tariffs</f>
        <v>Residential Accumulation</v>
      </c>
      <c r="E98" s="53" t="str">
        <f>Inputs_Prices!F20</f>
        <v>LV &lt;750MWh</v>
      </c>
      <c r="H98" s="243" t="s">
        <v>52</v>
      </c>
      <c r="I98" s="243" t="s">
        <v>47</v>
      </c>
      <c r="J98" s="243" t="s">
        <v>40</v>
      </c>
      <c r="M98" s="126">
        <f>Inputs_Other!$M183</f>
        <v>0.47189845777771766</v>
      </c>
      <c r="O98" s="66">
        <f t="shared" ref="O98:S105" ca="1" si="3">O$58*$M98*IF($M65=NA,1,SUMIF($D$65:$D$72,$D65,O$65:O$72)/SUMIF($M$65:$M$72,$M65,O$65:O$72))</f>
        <v>21282.394370440346</v>
      </c>
      <c r="P98" s="66">
        <f t="shared" ca="1" si="3"/>
        <v>16960.160420347245</v>
      </c>
      <c r="Q98" s="66">
        <f t="shared" ca="1" si="3"/>
        <v>11966.858330512368</v>
      </c>
      <c r="R98" s="66">
        <f t="shared" ca="1" si="3"/>
        <v>12494.090215106469</v>
      </c>
      <c r="S98" s="66">
        <f t="shared" ca="1" si="3"/>
        <v>5775.0292598755432</v>
      </c>
    </row>
    <row r="99" spans="1:19" ht="12.75" x14ac:dyDescent="0.2">
      <c r="C99" s="169">
        <v>2</v>
      </c>
      <c r="D99" s="75" t="str">
        <v>Non-Residential Accumulation</v>
      </c>
      <c r="E99" s="53" t="str">
        <f>Inputs_Prices!F21</f>
        <v>LV &lt;750MWh</v>
      </c>
      <c r="H99" s="243" t="s">
        <v>52</v>
      </c>
      <c r="I99" s="243" t="s">
        <v>47</v>
      </c>
      <c r="J99" s="243" t="s">
        <v>40</v>
      </c>
      <c r="M99" s="126">
        <f>Inputs_Other!$M184</f>
        <v>0.31325964328802514</v>
      </c>
      <c r="O99" s="66">
        <f t="shared" ca="1" si="3"/>
        <v>1394.5640070288241</v>
      </c>
      <c r="P99" s="66">
        <f t="shared" ca="1" si="3"/>
        <v>1054.5051299491358</v>
      </c>
      <c r="Q99" s="66">
        <f t="shared" ca="1" si="3"/>
        <v>691.5718073934039</v>
      </c>
      <c r="R99" s="66">
        <f t="shared" ca="1" si="3"/>
        <v>313.13229766296263</v>
      </c>
      <c r="S99" s="66">
        <f t="shared" ca="1" si="3"/>
        <v>0</v>
      </c>
    </row>
    <row r="100" spans="1:19" ht="12.75" x14ac:dyDescent="0.2">
      <c r="C100" s="169" t="s">
        <v>491</v>
      </c>
      <c r="D100" s="75" t="str">
        <v>LV Smart Meter - Res</v>
      </c>
      <c r="E100" s="53" t="str">
        <f>Inputs_Prices!F22</f>
        <v>LV &lt;750MWh</v>
      </c>
      <c r="H100" s="243" t="s">
        <v>52</v>
      </c>
      <c r="I100" s="243" t="s">
        <v>47</v>
      </c>
      <c r="J100" s="243" t="s">
        <v>40</v>
      </c>
      <c r="M100" s="126">
        <f>Inputs_Other!$M185</f>
        <v>0.47189845777771766</v>
      </c>
      <c r="O100" s="66">
        <f t="shared" ca="1" si="3"/>
        <v>11363.038512838793</v>
      </c>
      <c r="P100" s="66">
        <f t="shared" ca="1" si="3"/>
        <v>17492.713313261902</v>
      </c>
      <c r="Q100" s="66">
        <f t="shared" ca="1" si="3"/>
        <v>24167.706757086948</v>
      </c>
      <c r="R100" s="66">
        <f t="shared" ca="1" si="3"/>
        <v>25421.650628617706</v>
      </c>
      <c r="S100" s="66">
        <f t="shared" ca="1" si="3"/>
        <v>33862.328320526962</v>
      </c>
    </row>
    <row r="101" spans="1:19" ht="12.75" x14ac:dyDescent="0.2">
      <c r="C101" s="169" t="s">
        <v>492</v>
      </c>
      <c r="D101" s="75" t="str">
        <v>LV Smart Meter - Small Comm</v>
      </c>
      <c r="E101" s="53" t="str">
        <f>Inputs_Prices!F23</f>
        <v>LV &lt;750MWh</v>
      </c>
      <c r="H101" s="243" t="s">
        <v>52</v>
      </c>
      <c r="I101" s="243" t="s">
        <v>47</v>
      </c>
      <c r="J101" s="243" t="s">
        <v>40</v>
      </c>
      <c r="M101" s="126">
        <f>Inputs_Other!$M186</f>
        <v>0.31325964328802514</v>
      </c>
      <c r="O101" s="66">
        <f t="shared" ca="1" si="3"/>
        <v>10842.411127323385</v>
      </c>
      <c r="P101" s="66">
        <f t="shared" ca="1" si="3"/>
        <v>11667.254165352708</v>
      </c>
      <c r="Q101" s="66">
        <f t="shared" ca="1" si="3"/>
        <v>12460.878072542253</v>
      </c>
      <c r="R101" s="66">
        <f t="shared" ca="1" si="3"/>
        <v>13292.434958210601</v>
      </c>
      <c r="S101" s="66">
        <f t="shared" ca="1" si="3"/>
        <v>14075.433594527763</v>
      </c>
    </row>
    <row r="102" spans="1:19" ht="12.75" x14ac:dyDescent="0.2">
      <c r="C102" s="169" t="s">
        <v>493</v>
      </c>
      <c r="D102" s="75" t="str">
        <v>LV Smart Meter - Med Comm</v>
      </c>
      <c r="E102" s="53" t="str">
        <f>Inputs_Prices!F24</f>
        <v>LV &lt;750MWh</v>
      </c>
      <c r="H102" s="243" t="s">
        <v>52</v>
      </c>
      <c r="I102" s="243" t="s">
        <v>47</v>
      </c>
      <c r="J102" s="243" t="s">
        <v>40</v>
      </c>
      <c r="M102" s="126">
        <f>Inputs_Other!$M187</f>
        <v>0.31325964328802514</v>
      </c>
      <c r="O102" s="66">
        <f t="shared" ca="1" si="3"/>
        <v>9433.9934637614624</v>
      </c>
      <c r="P102" s="66">
        <f t="shared" ca="1" si="3"/>
        <v>10149.040043316771</v>
      </c>
      <c r="Q102" s="66">
        <f t="shared" ca="1" si="3"/>
        <v>10834.704100214058</v>
      </c>
      <c r="R102" s="66">
        <f t="shared" ca="1" si="3"/>
        <v>11563.98194680891</v>
      </c>
      <c r="S102" s="66">
        <f t="shared" ca="1" si="3"/>
        <v>12236.973856410701</v>
      </c>
    </row>
    <row r="103" spans="1:19" ht="12.75" x14ac:dyDescent="0.2">
      <c r="C103" s="169">
        <v>4</v>
      </c>
      <c r="D103" s="75" t="str">
        <v>Unmetered</v>
      </c>
      <c r="E103" s="53" t="str">
        <f>Inputs_Prices!F25</f>
        <v>LV &lt;750MWh</v>
      </c>
      <c r="H103" s="243" t="s">
        <v>52</v>
      </c>
      <c r="I103" s="243" t="s">
        <v>47</v>
      </c>
      <c r="J103" s="243" t="s">
        <v>40</v>
      </c>
      <c r="M103" s="126">
        <f>Inputs_Other!$M188</f>
        <v>1.1569289237552519E-2</v>
      </c>
      <c r="O103" s="66">
        <f t="shared" ca="1" si="3"/>
        <v>800.35111174206975</v>
      </c>
      <c r="P103" s="66">
        <f t="shared" ca="1" si="3"/>
        <v>844.66319971902487</v>
      </c>
      <c r="Q103" s="66">
        <f t="shared" ca="1" si="3"/>
        <v>885.8923526478701</v>
      </c>
      <c r="R103" s="66">
        <f t="shared" ca="1" si="3"/>
        <v>929.56051296050964</v>
      </c>
      <c r="S103" s="66">
        <f t="shared" ca="1" si="3"/>
        <v>971.76849574697803</v>
      </c>
    </row>
    <row r="104" spans="1:19" ht="12.75" x14ac:dyDescent="0.2">
      <c r="C104" s="169">
        <v>5</v>
      </c>
      <c r="D104" s="75" t="str">
        <v>LV Majors</v>
      </c>
      <c r="E104" s="53" t="str">
        <f>Inputs_Prices!F26</f>
        <v>LV &gt;750MWh</v>
      </c>
      <c r="H104" s="243" t="s">
        <v>52</v>
      </c>
      <c r="I104" s="243" t="s">
        <v>47</v>
      </c>
      <c r="J104" s="243" t="s">
        <v>40</v>
      </c>
      <c r="M104" s="126">
        <f>Inputs_Other!$M189</f>
        <v>0.10917538007563128</v>
      </c>
      <c r="O104" s="66">
        <f t="shared" ca="1" si="3"/>
        <v>7552.6365556471674</v>
      </c>
      <c r="P104" s="66">
        <f t="shared" ca="1" si="3"/>
        <v>7970.794399875489</v>
      </c>
      <c r="Q104" s="66">
        <f t="shared" ca="1" si="3"/>
        <v>8359.8596526131096</v>
      </c>
      <c r="R104" s="66">
        <f t="shared" ca="1" si="3"/>
        <v>8771.9409742435982</v>
      </c>
      <c r="S104" s="66">
        <f t="shared" ca="1" si="3"/>
        <v>9170.2431057160429</v>
      </c>
    </row>
    <row r="105" spans="1:19" ht="12.75" x14ac:dyDescent="0.2">
      <c r="C105" s="169">
        <v>6</v>
      </c>
      <c r="D105" s="75" t="str">
        <v>HV Smart Meters</v>
      </c>
      <c r="E105" s="53" t="str">
        <f>Inputs_Prices!F27</f>
        <v>HV</v>
      </c>
      <c r="H105" s="243" t="s">
        <v>52</v>
      </c>
      <c r="I105" s="243" t="s">
        <v>47</v>
      </c>
      <c r="J105" s="243" t="s">
        <v>40</v>
      </c>
      <c r="M105" s="126">
        <f>Inputs_Other!$M190</f>
        <v>9.4097229621073336E-2</v>
      </c>
      <c r="O105" s="66">
        <f t="shared" ca="1" si="3"/>
        <v>6509.5461607637053</v>
      </c>
      <c r="P105" s="66">
        <f t="shared" ca="1" si="3"/>
        <v>6869.9524598665566</v>
      </c>
      <c r="Q105" s="66">
        <f t="shared" ca="1" si="3"/>
        <v>7205.2841289578046</v>
      </c>
      <c r="R105" s="66">
        <f t="shared" ca="1" si="3"/>
        <v>7560.4531305876362</v>
      </c>
      <c r="S105" s="66">
        <f t="shared" ca="1" si="3"/>
        <v>7903.7459782769411</v>
      </c>
    </row>
    <row r="106" spans="1:19" x14ac:dyDescent="0.2">
      <c r="O106" s="71"/>
      <c r="P106" s="71"/>
      <c r="Q106" s="71"/>
      <c r="R106" s="71"/>
      <c r="S106" s="71"/>
    </row>
    <row r="107" spans="1:19" ht="11.25" hidden="1" customHeight="1" outlineLevel="1" x14ac:dyDescent="0.2">
      <c r="A107" s="59">
        <f ca="1">IF(SUM($O107:$S107)=0,0,1)</f>
        <v>0</v>
      </c>
      <c r="D107" s="81" t="s">
        <v>127</v>
      </c>
      <c r="E107" s="80"/>
      <c r="F107" s="80"/>
      <c r="G107" s="82"/>
      <c r="H107" s="80"/>
      <c r="I107" s="80"/>
      <c r="J107" s="80"/>
      <c r="K107" s="58"/>
      <c r="O107" s="59">
        <f ca="1">IF(ISERROR(SUM(O98:O105))&lt;&gt;0,0,1)</f>
        <v>0</v>
      </c>
      <c r="P107" s="59">
        <f ca="1">IF(ISERROR(SUM(P98:P105))&lt;&gt;0,0,1)</f>
        <v>0</v>
      </c>
      <c r="Q107" s="59">
        <f ca="1">IF(ISERROR(SUM(Q98:Q105))&lt;&gt;0,0,1)</f>
        <v>0</v>
      </c>
      <c r="R107" s="59">
        <f ca="1">IF(ISERROR(SUM(R98:R105))&lt;&gt;0,0,1)</f>
        <v>0</v>
      </c>
      <c r="S107" s="59">
        <f ca="1">IF(ISERROR(SUM(S98:S105))&lt;&gt;0,0,1)</f>
        <v>0</v>
      </c>
    </row>
    <row r="108" spans="1:19" ht="11.25" customHeight="1" collapsed="1" x14ac:dyDescent="0.2"/>
    <row r="109" spans="1:19" ht="11.25" customHeight="1" x14ac:dyDescent="0.2"/>
    <row r="110" spans="1:19" s="2" customFormat="1" ht="15.75" x14ac:dyDescent="0.2">
      <c r="B110" s="2" t="s">
        <v>20</v>
      </c>
    </row>
  </sheetData>
  <conditionalFormatting sqref="B2">
    <cfRule type="cellIs" dxfId="24" priority="2" operator="notEqual">
      <formula>"No Errors Found"</formula>
    </cfRule>
  </conditionalFormatting>
  <dataValidations disablePrompts="1" count="4">
    <dataValidation type="list" allowBlank="1" showInputMessage="1" showErrorMessage="1" sqref="J31:J32 J27:J29 J43:J44 J39:J41 J98:J105 J82:J89 J91 J74:J75 J65:J72 J57:J58 J107 J18" xr:uid="{00000000-0002-0000-0800-000000000000}">
      <formula1>LU_Basis</formula1>
    </dataValidation>
    <dataValidation type="list" allowBlank="1" showInputMessage="1" showErrorMessage="1" sqref="I31:I32 I27:I29 I43:I44 I39:I41 I98:I105 I82:I89 I91 I74:I75 I65:I72 I57:I58 I107 I18" xr:uid="{00000000-0002-0000-0800-000001000000}">
      <formula1>LU_Units</formula1>
    </dataValidation>
    <dataValidation type="list" allowBlank="1" showInputMessage="1" showErrorMessage="1" sqref="D27:D29 D39:D41" xr:uid="{00000000-0002-0000-0800-000002000000}">
      <formula1>LU_Tariff_Classes</formula1>
    </dataValidation>
    <dataValidation type="list" allowBlank="1" showInputMessage="1" showErrorMessage="1" sqref="K43:K44 K31:K32 K91 K74:K75 K107" xr:uid="{00000000-0002-0000-0800-000003000000}">
      <formula1>LU_Timing</formula1>
    </dataValidation>
  </dataValidations>
  <hyperlinks>
    <hyperlink ref="B3:E3" location="TOC!A1" display="TOC!A1"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6" tint="0.59999389629810485"/>
  </sheetPr>
  <dimension ref="A1:AI201"/>
  <sheetViews>
    <sheetView showGridLines="0" zoomScaleNormal="100" workbookViewId="0">
      <pane xSplit="10" ySplit="9" topLeftCell="K10" activePane="bottomRight" state="frozen"/>
      <selection activeCell="D242" sqref="D242"/>
      <selection pane="topRight" activeCell="D242" sqref="D242"/>
      <selection pane="bottomLeft" activeCell="D242" sqref="D242"/>
      <selection pane="bottomRight" activeCell="K10" sqref="K10"/>
    </sheetView>
  </sheetViews>
  <sheetFormatPr defaultColWidth="9.1640625" defaultRowHeight="11.25" outlineLevelRow="1" x14ac:dyDescent="0.2"/>
  <cols>
    <col min="1" max="1" width="3.1640625" customWidth="1"/>
    <col min="2" max="3" width="2.83203125" customWidth="1"/>
    <col min="4" max="4" width="34.1640625" bestFit="1" customWidth="1"/>
    <col min="5" max="7" width="2.6640625" customWidth="1"/>
    <col min="8" max="8" width="12.1640625" bestFit="1" customWidth="1"/>
    <col min="9" max="9" width="10.83203125" customWidth="1"/>
    <col min="10" max="10" width="12.83203125" customWidth="1"/>
    <col min="11" max="11" width="2.6640625" customWidth="1"/>
    <col min="12" max="37" width="15.33203125" customWidth="1"/>
  </cols>
  <sheetData>
    <row r="1" spans="1:35" ht="19.5" x14ac:dyDescent="0.2">
      <c r="A1" s="59">
        <f ca="1">IF(SUM($A10:$A201)&gt;0,1,0)</f>
        <v>0</v>
      </c>
      <c r="B1" s="3" t="s">
        <v>705</v>
      </c>
    </row>
    <row r="2" spans="1:35" x14ac:dyDescent="0.2">
      <c r="B2" s="13" t="str">
        <f ca="1">Title_Msg</f>
        <v>No Errors Found</v>
      </c>
    </row>
    <row r="3" spans="1:35" x14ac:dyDescent="0.2">
      <c r="B3" s="46" t="str">
        <f>TOC!B1</f>
        <v>Table of contents</v>
      </c>
      <c r="C3" s="42"/>
      <c r="D3" s="42"/>
      <c r="E3" s="42"/>
    </row>
    <row r="4" spans="1:35" ht="12.75" x14ac:dyDescent="0.2">
      <c r="B4" s="40" t="str">
        <f>Model_Name</f>
        <v>Pricing Model - Power and Water Corporation</v>
      </c>
    </row>
    <row r="5" spans="1:35" ht="12.75" hidden="1" outlineLevel="1" x14ac:dyDescent="0.2">
      <c r="B5" s="10"/>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5" ht="12.75" hidden="1" outlineLevel="1" x14ac:dyDescent="0.2">
      <c r="B6" s="10"/>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12.75" hidden="1" outlineLevel="1" x14ac:dyDescent="0.2">
      <c r="B7" s="10"/>
      <c r="J7" s="52"/>
      <c r="K7" s="52"/>
      <c r="L7" s="52"/>
      <c r="M7" s="52"/>
      <c r="N7" s="52"/>
      <c r="O7" s="52"/>
      <c r="P7" s="52"/>
      <c r="Q7" s="52"/>
      <c r="R7" s="52"/>
      <c r="S7" s="52"/>
      <c r="T7" s="52"/>
      <c r="U7" s="52"/>
      <c r="V7" s="52"/>
      <c r="W7" s="52"/>
      <c r="X7" s="52"/>
      <c r="Y7" s="52"/>
      <c r="Z7" s="52"/>
      <c r="AA7" s="52"/>
      <c r="AB7" s="52"/>
      <c r="AC7" s="52"/>
      <c r="AD7" s="52"/>
      <c r="AE7" s="52"/>
      <c r="AF7" s="52"/>
      <c r="AG7" s="52"/>
      <c r="AH7" s="52"/>
      <c r="AI7" s="52"/>
    </row>
    <row r="8" spans="1:35" ht="12.75" hidden="1" outlineLevel="1" x14ac:dyDescent="0.2">
      <c r="B8" s="10" t="str">
        <f>Lookup!B18</f>
        <v>Year</v>
      </c>
      <c r="J8" s="53"/>
      <c r="K8" s="53"/>
      <c r="L8" s="53">
        <f>Lookup!L18</f>
        <v>2022</v>
      </c>
      <c r="M8" s="53">
        <f>Lookup!M18</f>
        <v>2023</v>
      </c>
      <c r="N8" s="53">
        <f>Lookup!N18</f>
        <v>2024</v>
      </c>
      <c r="O8" s="53">
        <f>Lookup!O18</f>
        <v>2025</v>
      </c>
      <c r="P8" s="53">
        <f>Lookup!P18</f>
        <v>2026</v>
      </c>
      <c r="Q8" s="53">
        <f>Lookup!Q18</f>
        <v>2027</v>
      </c>
      <c r="R8" s="53">
        <f>Lookup!R18</f>
        <v>2028</v>
      </c>
      <c r="S8" s="53">
        <f>Lookup!S18</f>
        <v>2029</v>
      </c>
      <c r="T8" s="53">
        <f>Lookup!T18</f>
        <v>2030</v>
      </c>
      <c r="U8" s="53">
        <f>Lookup!U18</f>
        <v>2031</v>
      </c>
      <c r="V8" s="53">
        <f>Lookup!V18</f>
        <v>2032</v>
      </c>
      <c r="W8" s="53">
        <f>Lookup!W18</f>
        <v>2033</v>
      </c>
      <c r="X8" s="53">
        <f>Lookup!X18</f>
        <v>2034</v>
      </c>
      <c r="Y8" s="53">
        <f>Lookup!Y18</f>
        <v>2035</v>
      </c>
      <c r="Z8" s="53">
        <f>Lookup!Z18</f>
        <v>2036</v>
      </c>
      <c r="AA8" s="53">
        <f>Lookup!AA18</f>
        <v>2037</v>
      </c>
      <c r="AB8" s="53">
        <f>Lookup!AB18</f>
        <v>2038</v>
      </c>
      <c r="AC8" s="53">
        <f>Lookup!AC18</f>
        <v>2039</v>
      </c>
      <c r="AD8" s="53">
        <f>Lookup!AD18</f>
        <v>2040</v>
      </c>
      <c r="AE8" s="53">
        <f>Lookup!AE18</f>
        <v>2041</v>
      </c>
      <c r="AF8" s="53">
        <f>Lookup!AF18</f>
        <v>2042</v>
      </c>
      <c r="AG8" s="53">
        <f>Lookup!AG18</f>
        <v>2043</v>
      </c>
      <c r="AH8" s="53">
        <f>Lookup!AH18</f>
        <v>2044</v>
      </c>
      <c r="AI8" s="53">
        <f>Lookup!AI18</f>
        <v>2045</v>
      </c>
    </row>
    <row r="9" spans="1:35" ht="12.75" collapsed="1" x14ac:dyDescent="0.2">
      <c r="B9" s="5" t="str">
        <f>Lookup!B19</f>
        <v>FY</v>
      </c>
      <c r="D9" s="50"/>
      <c r="E9" s="50"/>
      <c r="F9" s="50"/>
      <c r="H9" s="50" t="str">
        <f>Lookup!E19</f>
        <v>Source</v>
      </c>
      <c r="I9" s="50" t="str">
        <f>Lookup!F19</f>
        <v>Unit</v>
      </c>
      <c r="J9" s="50" t="str">
        <f>Lookup!G19</f>
        <v>Basis</v>
      </c>
      <c r="K9" s="50"/>
      <c r="L9" s="50" t="str">
        <f>Lookup!L19</f>
        <v>FY22</v>
      </c>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75" x14ac:dyDescent="0.2">
      <c r="B11" s="2" t="s">
        <v>706</v>
      </c>
    </row>
    <row r="12" spans="1:35" ht="11.25" customHeight="1" x14ac:dyDescent="0.2"/>
    <row r="13" spans="1:35" ht="11.25" customHeight="1" x14ac:dyDescent="0.2">
      <c r="D13" s="105" t="s">
        <v>481</v>
      </c>
    </row>
    <row r="14" spans="1:35" ht="11.25" customHeight="1" x14ac:dyDescent="0.2"/>
    <row r="15" spans="1:35" ht="11.25" customHeight="1" x14ac:dyDescent="0.2"/>
    <row r="16" spans="1:35" s="8" customFormat="1" ht="15" x14ac:dyDescent="0.2">
      <c r="C16" s="8" t="s">
        <v>478</v>
      </c>
    </row>
    <row r="17" spans="1:34" ht="11.25" customHeight="1" x14ac:dyDescent="0.2"/>
    <row r="18" spans="1:34" ht="11.25" customHeight="1" x14ac:dyDescent="0.2">
      <c r="N18" s="290" t="s">
        <v>708</v>
      </c>
      <c r="O18" s="290"/>
      <c r="P18" s="290"/>
      <c r="Q18" s="290"/>
      <c r="T18" s="290" t="s">
        <v>709</v>
      </c>
      <c r="U18" s="290"/>
      <c r="V18" s="290"/>
      <c r="Z18" s="290" t="s">
        <v>489</v>
      </c>
      <c r="AA18" s="290"/>
      <c r="AB18" s="290"/>
      <c r="AC18" s="290"/>
      <c r="AE18" s="290" t="s">
        <v>490</v>
      </c>
      <c r="AF18" s="290"/>
      <c r="AG18" s="290"/>
      <c r="AH18" s="290"/>
    </row>
    <row r="19" spans="1:34" ht="38.25" x14ac:dyDescent="0.2">
      <c r="D19" s="70" t="s">
        <v>707</v>
      </c>
      <c r="H19" s="54" t="str">
        <f>Lookup!E$19</f>
        <v>Source</v>
      </c>
      <c r="I19" s="54" t="str">
        <f>Lookup!F$19</f>
        <v>Unit</v>
      </c>
      <c r="J19" s="54" t="str">
        <f>Lookup!G$19</f>
        <v>Basis</v>
      </c>
      <c r="M19" s="61" t="s">
        <v>711</v>
      </c>
      <c r="N19" s="61" t="s">
        <v>487</v>
      </c>
      <c r="O19" s="61" t="s">
        <v>488</v>
      </c>
      <c r="P19" s="61" t="s">
        <v>486</v>
      </c>
      <c r="Q19" s="61" t="s">
        <v>51</v>
      </c>
      <c r="R19" s="61" t="s">
        <v>480</v>
      </c>
      <c r="T19" s="61" t="s">
        <v>256</v>
      </c>
      <c r="U19" s="61" t="s">
        <v>69</v>
      </c>
      <c r="V19" s="61" t="s">
        <v>255</v>
      </c>
      <c r="X19" s="61" t="s">
        <v>710</v>
      </c>
      <c r="Z19" s="61" t="s">
        <v>487</v>
      </c>
      <c r="AA19" s="61" t="s">
        <v>488</v>
      </c>
      <c r="AB19" s="61" t="s">
        <v>486</v>
      </c>
      <c r="AC19" s="61" t="s">
        <v>51</v>
      </c>
      <c r="AE19" s="61" t="s">
        <v>487</v>
      </c>
      <c r="AF19" s="61" t="s">
        <v>488</v>
      </c>
      <c r="AG19" s="61" t="s">
        <v>486</v>
      </c>
      <c r="AH19" s="61" t="s">
        <v>51</v>
      </c>
    </row>
    <row r="20" spans="1:34" ht="11.25" customHeight="1" x14ac:dyDescent="0.2">
      <c r="D20" s="1"/>
    </row>
    <row r="21" spans="1:34" ht="12.75" x14ac:dyDescent="0.2">
      <c r="D21" s="75" t="s">
        <v>256</v>
      </c>
      <c r="E21" s="82"/>
      <c r="F21" s="82"/>
      <c r="G21" s="82"/>
      <c r="H21" s="243" t="s">
        <v>52</v>
      </c>
      <c r="I21" s="243" t="s">
        <v>44</v>
      </c>
      <c r="J21" s="243" t="s">
        <v>238</v>
      </c>
      <c r="M21" s="87">
        <f ca="1">NPV(Inputs_LRMC!$M$27,OFFSET(Calc_LRMC!$M195,0,0,1,Inputs_LRMC!$M$25))-SUM($M22:$M$24)</f>
        <v>0</v>
      </c>
      <c r="N21" s="66">
        <f ca="1">NPV(Inputs_LRMC!$M$27,OFFSET($M103,0,0,1,Inputs_LRMC!$M$25))</f>
        <v>1160.529409734424</v>
      </c>
      <c r="O21" s="66">
        <f ca="1">NPV(Inputs_LRMC!$M$27,OFFSET($M154,0,0,1,Inputs_LRMC!$M$25))</f>
        <v>1751.9836337177719</v>
      </c>
      <c r="P21" s="66">
        <f ca="1">NPV(Inputs_LRMC!$M$27,OFFSET($M52,0,0,1,Inputs_LRMC!$M$25))</f>
        <v>1550.2843663890656</v>
      </c>
      <c r="Q21" s="66">
        <f ca="1">NPV(Inputs_LRMC!$M$27,OFFSET($M64,0,0,1,Inputs_LRMC!$M$25))</f>
        <v>4462.7974098412615</v>
      </c>
      <c r="R21" s="126">
        <f>Inputs_LRMC!Q40</f>
        <v>0.93850000000000022</v>
      </c>
      <c r="T21" s="165">
        <f ca="1">$M21/$M$25</f>
        <v>0</v>
      </c>
      <c r="U21" s="166"/>
      <c r="V21" s="95"/>
      <c r="X21" s="66" cm="1">
        <f t="array" aca="1" ref="X21" ca="1">SUMPRODUCT(TRANSPOSE($T21:$V21),Q$21:Q$23)</f>
        <v>0</v>
      </c>
      <c r="Z21" s="87">
        <f t="shared" ref="Z21:AB23" ca="1" si="0">$AC21*N21/$Q21</f>
        <v>9.524101978599365</v>
      </c>
      <c r="AA21" s="87">
        <f t="shared" ca="1" si="0"/>
        <v>14.377981852423355</v>
      </c>
      <c r="AB21" s="168">
        <f t="shared" ca="1" si="0"/>
        <v>12.722699035000419</v>
      </c>
      <c r="AC21" s="87">
        <f ca="1">IFERROR(X$21/$M$21,Q21/SUM($M$22:$M$23))</f>
        <v>36.624782866023139</v>
      </c>
      <c r="AE21" s="87">
        <f t="shared" ref="AE21:AH23" ca="1" si="1">Z21/$R21</f>
        <v>10.148217345337628</v>
      </c>
      <c r="AF21" s="87">
        <f t="shared" ca="1" si="1"/>
        <v>15.320172458629038</v>
      </c>
      <c r="AG21" s="87">
        <f t="shared" ca="1" si="1"/>
        <v>13.556418790623779</v>
      </c>
      <c r="AH21" s="87">
        <f t="shared" ca="1" si="1"/>
        <v>39.024808594590439</v>
      </c>
    </row>
    <row r="22" spans="1:34" ht="12.75" x14ac:dyDescent="0.2">
      <c r="D22" s="75" t="s">
        <v>69</v>
      </c>
      <c r="H22" s="243" t="s">
        <v>52</v>
      </c>
      <c r="I22" s="243" t="s">
        <v>44</v>
      </c>
      <c r="J22" s="243" t="s">
        <v>238</v>
      </c>
      <c r="M22" s="87">
        <f ca="1">NPV(Inputs_LRMC!$M$27,OFFSET(Calc_LRMC!$M196,0,0,1,Inputs_LRMC!$M$25))-SUM($M23:$M$24)</f>
        <v>37.56244642327627</v>
      </c>
      <c r="N22" s="66">
        <f ca="1">NPV(Inputs_LRMC!$M$27,OFFSET($M104,0,0,1,Inputs_LRMC!$M$25))</f>
        <v>2550.9990715200893</v>
      </c>
      <c r="O22" s="66">
        <f ca="1">NPV(Inputs_LRMC!$M$27,OFFSET($M155,0,0,1,Inputs_LRMC!$M$25))</f>
        <v>2359.3408698101912</v>
      </c>
      <c r="P22" s="66">
        <f ca="1">NPV(Inputs_LRMC!$M$27,OFFSET($M53,0,0,1,Inputs_LRMC!$M$25))</f>
        <v>2613.695846552208</v>
      </c>
      <c r="Q22" s="66">
        <f ca="1">NPV(Inputs_LRMC!$M$27,OFFSET($M65,0,0,1,Inputs_LRMC!$M$25))</f>
        <v>7524.0357878824871</v>
      </c>
      <c r="R22" s="126">
        <f>Inputs_LRMC!Q41</f>
        <v>0.97991949999999983</v>
      </c>
      <c r="T22" s="165">
        <f ca="1">$M22/$M$25</f>
        <v>0.30826325235723712</v>
      </c>
      <c r="U22" s="165">
        <f ca="1">$M22/SUM($M$22:$M$23)</f>
        <v>0.30826325235723712</v>
      </c>
      <c r="V22" s="95"/>
      <c r="X22" s="66" cm="1">
        <f t="array" aca="1" ref="X22" ca="1">SUMPRODUCT(TRANSPOSE($T22:$V22),Q$21:Q$23)</f>
        <v>3695.1001869940237</v>
      </c>
      <c r="Z22" s="87">
        <f t="shared" ca="1" si="0"/>
        <v>33.352761366552556</v>
      </c>
      <c r="AA22" s="87">
        <f t="shared" ca="1" si="0"/>
        <v>30.846946943906072</v>
      </c>
      <c r="AB22" s="168">
        <f t="shared" ca="1" si="0"/>
        <v>34.17248356851033</v>
      </c>
      <c r="AC22" s="87">
        <f ca="1">X22/$M22</f>
        <v>98.372191878968934</v>
      </c>
      <c r="AE22" s="87">
        <f t="shared" ca="1" si="1"/>
        <v>34.036225798703427</v>
      </c>
      <c r="AF22" s="87">
        <f t="shared" ca="1" si="1"/>
        <v>31.479062253487228</v>
      </c>
      <c r="AG22" s="87">
        <f t="shared" ca="1" si="1"/>
        <v>34.872745739328927</v>
      </c>
      <c r="AH22" s="87">
        <f t="shared" ca="1" si="1"/>
        <v>100.38803379151956</v>
      </c>
    </row>
    <row r="23" spans="1:34" ht="12.75" x14ac:dyDescent="0.2">
      <c r="D23" s="75" t="s">
        <v>255</v>
      </c>
      <c r="H23" s="243" t="s">
        <v>52</v>
      </c>
      <c r="I23" s="243" t="s">
        <v>44</v>
      </c>
      <c r="J23" s="243" t="s">
        <v>238</v>
      </c>
      <c r="M23" s="87">
        <f ca="1">NPV(Inputs_LRMC!$M$27,OFFSET(Calc_LRMC!$M197,0,0,1,Inputs_LRMC!$M$25))-SUM($M24:$M$24)</f>
        <v>84.289399802449879</v>
      </c>
      <c r="N23" s="66">
        <f ca="1">NPV(Inputs_LRMC!$M$27,OFFSET($M105,0,0,1,Inputs_LRMC!$M$25))</f>
        <v>965.68755888902228</v>
      </c>
      <c r="O23" s="66">
        <f ca="1">NPV(Inputs_LRMC!$M$27,OFFSET($M156,0,0,1,Inputs_LRMC!$M$25))</f>
        <v>3060.3338852490124</v>
      </c>
      <c r="P23" s="66">
        <f ca="1">NPV(Inputs_LRMC!$M$27,OFFSET($M54,0,0,1,Inputs_LRMC!$M$25))</f>
        <v>2142.9871765299667</v>
      </c>
      <c r="Q23" s="66">
        <f ca="1">NPV(Inputs_LRMC!$M$27,OFFSET($M66,0,0,1,Inputs_LRMC!$M$25))</f>
        <v>6169.0086206680016</v>
      </c>
      <c r="R23" s="126">
        <f>Inputs_LRMC!Q42</f>
        <v>1</v>
      </c>
      <c r="T23" s="165">
        <f ca="1">$M23/$M$25</f>
        <v>0.69173674764276294</v>
      </c>
      <c r="U23" s="165">
        <f ca="1">$M23/SUM($M$22:$M$23)</f>
        <v>0.69173674764276294</v>
      </c>
      <c r="V23" s="57">
        <v>1</v>
      </c>
      <c r="X23" s="66" cm="1">
        <f t="array" aca="1" ref="X23" ca="1">SUMPRODUCT(TRANSPOSE($T23:$V23),Q$21:Q$23)</f>
        <v>14460.741631397726</v>
      </c>
      <c r="Z23" s="87">
        <f t="shared" ca="1" si="0"/>
        <v>26.855847649191041</v>
      </c>
      <c r="AA23" s="87">
        <f t="shared" ca="1" si="0"/>
        <v>85.108128215359443</v>
      </c>
      <c r="AB23" s="168">
        <f t="shared" ca="1" si="0"/>
        <v>59.596643445701432</v>
      </c>
      <c r="AC23" s="87">
        <f ca="1">X23/$M23</f>
        <v>171.56061931025192</v>
      </c>
      <c r="AE23" s="87">
        <f t="shared" ca="1" si="1"/>
        <v>26.855847649191041</v>
      </c>
      <c r="AF23" s="87">
        <f t="shared" ca="1" si="1"/>
        <v>85.108128215359443</v>
      </c>
      <c r="AG23" s="87">
        <f t="shared" ca="1" si="1"/>
        <v>59.596643445701432</v>
      </c>
      <c r="AH23" s="87">
        <f t="shared" ca="1" si="1"/>
        <v>171.56061931025192</v>
      </c>
    </row>
    <row r="24" spans="1:34" ht="11.25" customHeight="1" x14ac:dyDescent="0.2"/>
    <row r="25" spans="1:34" ht="12.75" x14ac:dyDescent="0.2">
      <c r="D25" s="62" t="s">
        <v>51</v>
      </c>
      <c r="H25" s="56" t="s">
        <v>52</v>
      </c>
      <c r="I25" s="56" t="s">
        <v>44</v>
      </c>
      <c r="J25" s="162" t="s">
        <v>238</v>
      </c>
      <c r="M25" s="163">
        <f ca="1">SUM(M21:M23)</f>
        <v>121.85184622572615</v>
      </c>
      <c r="N25" s="68">
        <f ca="1">SUM(N21:N23)</f>
        <v>4677.2160401435358</v>
      </c>
      <c r="O25" s="68">
        <f ca="1">SUM(O21:O23)</f>
        <v>7171.6583887769757</v>
      </c>
      <c r="P25" s="68">
        <f ca="1">SUM(P21:P23)</f>
        <v>6306.9673894712405</v>
      </c>
      <c r="Q25" s="68">
        <f ca="1">SUM(Q21:Q23)</f>
        <v>18155.841818391749</v>
      </c>
      <c r="T25" s="164">
        <f ca="1">SUM(T21:T23)</f>
        <v>1</v>
      </c>
      <c r="U25" s="164">
        <f ca="1">SUM(U21:U23)</f>
        <v>1</v>
      </c>
      <c r="V25" s="164">
        <f>SUM(V21:V23)</f>
        <v>1</v>
      </c>
      <c r="X25" s="68">
        <f ca="1">SUM(X21:X23)</f>
        <v>18155.841818391749</v>
      </c>
    </row>
    <row r="26" spans="1:34" ht="11.25" customHeight="1" x14ac:dyDescent="0.2"/>
    <row r="27" spans="1:34" ht="12.75" hidden="1" outlineLevel="1" x14ac:dyDescent="0.2">
      <c r="D27" s="81" t="s">
        <v>90</v>
      </c>
      <c r="E27" s="82"/>
      <c r="G27" s="82"/>
      <c r="H27" s="243" t="s">
        <v>52</v>
      </c>
      <c r="I27" s="243" t="s">
        <v>47</v>
      </c>
      <c r="J27" s="243" t="s">
        <v>40</v>
      </c>
      <c r="K27" s="78"/>
      <c r="Q27" s="66">
        <f ca="1">NPV(Inputs_LRMC!$M$27,OFFSET($M68,0,0,1,Inputs_LRMC!$M$25))</f>
        <v>18155.841818391749</v>
      </c>
      <c r="T27" s="57">
        <v>1</v>
      </c>
      <c r="U27" s="57">
        <v>1</v>
      </c>
      <c r="V27" s="57">
        <v>1</v>
      </c>
      <c r="X27" s="66">
        <f ca="1">Q25</f>
        <v>18155.841818391749</v>
      </c>
    </row>
    <row r="28" spans="1:34" ht="12.75" hidden="1" outlineLevel="1" x14ac:dyDescent="0.2">
      <c r="A28" s="59">
        <f ca="1">IF(SUM($M28:$V28)=0,0,1)</f>
        <v>0</v>
      </c>
      <c r="D28" s="81" t="s">
        <v>55</v>
      </c>
      <c r="E28" s="82"/>
      <c r="F28" s="80"/>
      <c r="G28" s="82"/>
      <c r="H28" s="80"/>
      <c r="I28" s="84"/>
      <c r="J28" s="84"/>
      <c r="K28" s="78"/>
      <c r="Q28" s="59">
        <f ca="1">IF(ROUND(Q27-Q25,2)=0,0,1)</f>
        <v>0</v>
      </c>
      <c r="T28" s="59">
        <f ca="1">IF(ROUND(T27-SUM(T21:T23),2)=0,0,1)</f>
        <v>0</v>
      </c>
      <c r="U28" s="59">
        <f ca="1">IF(ROUND(U27-SUM(U21:U23),2)=0,0,1)</f>
        <v>0</v>
      </c>
      <c r="V28" s="59">
        <f>IF(ROUND(V27-SUM(V21:V23),2)=0,0,1)</f>
        <v>0</v>
      </c>
      <c r="X28" s="59">
        <f ca="1">IF(ROUND(X27-X25,2)=0,0,1)</f>
        <v>0</v>
      </c>
    </row>
    <row r="29" spans="1:34" ht="11.25" customHeight="1" collapsed="1" x14ac:dyDescent="0.2"/>
    <row r="30" spans="1:34" ht="11.25" customHeight="1" x14ac:dyDescent="0.2"/>
    <row r="31" spans="1:34" s="2" customFormat="1" ht="15.75" x14ac:dyDescent="0.2">
      <c r="B31" s="2" t="s">
        <v>306</v>
      </c>
    </row>
    <row r="32" spans="1:34" ht="11.25" customHeight="1" x14ac:dyDescent="0.2"/>
    <row r="33" spans="1:35" ht="11.25" customHeight="1" x14ac:dyDescent="0.2">
      <c r="D33" s="105" t="s">
        <v>663</v>
      </c>
    </row>
    <row r="34" spans="1:35" ht="11.25" customHeight="1" x14ac:dyDescent="0.2"/>
    <row r="35" spans="1:35" ht="11.25" customHeight="1" x14ac:dyDescent="0.2"/>
    <row r="36" spans="1:35" s="8" customFormat="1" ht="15" x14ac:dyDescent="0.2">
      <c r="C36" s="8" t="s">
        <v>712</v>
      </c>
    </row>
    <row r="37" spans="1:35" ht="11.25" customHeight="1" x14ac:dyDescent="0.2"/>
    <row r="38" spans="1:35" ht="11.25" customHeight="1" x14ac:dyDescent="0.2">
      <c r="D38" s="70" t="s">
        <v>713</v>
      </c>
      <c r="H38" s="54" t="str">
        <f>Lookup!E$19</f>
        <v>Source</v>
      </c>
      <c r="I38" s="54" t="str">
        <f>Lookup!F$19</f>
        <v>Unit</v>
      </c>
      <c r="J38" s="54" t="str">
        <f>Lookup!G$19</f>
        <v>Basis</v>
      </c>
      <c r="M38" s="54" t="str">
        <f t="shared" ref="M38:S38" si="2">M$9</f>
        <v>FY23</v>
      </c>
      <c r="N38" s="54" t="str">
        <f t="shared" si="2"/>
        <v>FY24</v>
      </c>
      <c r="O38" s="54" t="str">
        <f t="shared" si="2"/>
        <v>FY25</v>
      </c>
      <c r="P38" s="54" t="str">
        <f t="shared" si="2"/>
        <v>FY26</v>
      </c>
      <c r="Q38" s="54" t="str">
        <f t="shared" si="2"/>
        <v>FY27</v>
      </c>
      <c r="R38" s="54" t="str">
        <f t="shared" si="2"/>
        <v>FY28</v>
      </c>
      <c r="S38" s="54" t="str">
        <f t="shared" si="2"/>
        <v>FY29</v>
      </c>
      <c r="T38" s="54" t="str">
        <f t="shared" ref="T38:AI38" si="3">T$9</f>
        <v>FY30</v>
      </c>
      <c r="U38" s="54" t="str">
        <f t="shared" si="3"/>
        <v>FY31</v>
      </c>
      <c r="V38" s="54" t="str">
        <f t="shared" si="3"/>
        <v>FY32</v>
      </c>
      <c r="W38" s="54" t="str">
        <f t="shared" si="3"/>
        <v>FY33</v>
      </c>
      <c r="X38" s="54" t="str">
        <f t="shared" si="3"/>
        <v>FY34</v>
      </c>
      <c r="Y38" s="54" t="str">
        <f t="shared" si="3"/>
        <v>FY35</v>
      </c>
      <c r="Z38" s="54" t="str">
        <f t="shared" si="3"/>
        <v>FY36</v>
      </c>
      <c r="AA38" s="54" t="str">
        <f t="shared" si="3"/>
        <v>FY37</v>
      </c>
      <c r="AB38" s="54" t="str">
        <f t="shared" si="3"/>
        <v>FY38</v>
      </c>
      <c r="AC38" s="54" t="str">
        <f t="shared" si="3"/>
        <v>FY39</v>
      </c>
      <c r="AD38" s="54" t="str">
        <f t="shared" si="3"/>
        <v>FY40</v>
      </c>
      <c r="AE38" s="54" t="str">
        <f t="shared" si="3"/>
        <v>FY41</v>
      </c>
      <c r="AF38" s="54" t="str">
        <f t="shared" si="3"/>
        <v>FY42</v>
      </c>
      <c r="AG38" s="54" t="str">
        <f t="shared" si="3"/>
        <v>FY43</v>
      </c>
      <c r="AH38" s="54" t="str">
        <f t="shared" si="3"/>
        <v>FY44</v>
      </c>
      <c r="AI38" s="54" t="str">
        <f t="shared" si="3"/>
        <v>FY45</v>
      </c>
    </row>
    <row r="39" spans="1:35" ht="11.25" customHeight="1" x14ac:dyDescent="0.2">
      <c r="D39" s="1"/>
    </row>
    <row r="40" spans="1:35" ht="12.75" x14ac:dyDescent="0.2">
      <c r="D40" s="75" t="s">
        <v>256</v>
      </c>
      <c r="E40" s="82"/>
      <c r="F40" s="82"/>
      <c r="G40" s="82"/>
      <c r="H40" s="243" t="s">
        <v>52</v>
      </c>
      <c r="I40" s="243" t="s">
        <v>47</v>
      </c>
      <c r="J40" s="243" t="s">
        <v>238</v>
      </c>
      <c r="M40" s="66">
        <f>M103+M154</f>
        <v>194.60232111464325</v>
      </c>
      <c r="N40" s="66">
        <f t="shared" ref="N40:AI40" si="4">N103+N154</f>
        <v>425.73554684917531</v>
      </c>
      <c r="O40" s="66">
        <f t="shared" si="4"/>
        <v>234.09555004220607</v>
      </c>
      <c r="P40" s="66">
        <f t="shared" si="4"/>
        <v>253.62080275702181</v>
      </c>
      <c r="Q40" s="66">
        <f t="shared" si="4"/>
        <v>201.67525163690937</v>
      </c>
      <c r="R40" s="66">
        <f t="shared" si="4"/>
        <v>134.5214610404756</v>
      </c>
      <c r="S40" s="66">
        <f t="shared" si="4"/>
        <v>128.76316962437801</v>
      </c>
      <c r="T40" s="66">
        <f t="shared" si="4"/>
        <v>224.71630043782989</v>
      </c>
      <c r="U40" s="66">
        <f t="shared" si="4"/>
        <v>224.71630043782989</v>
      </c>
      <c r="V40" s="66">
        <f t="shared" si="4"/>
        <v>160.55857866527111</v>
      </c>
      <c r="W40" s="66">
        <f t="shared" si="4"/>
        <v>160.77991999992958</v>
      </c>
      <c r="X40" s="66">
        <f t="shared" si="4"/>
        <v>160.77991999992958</v>
      </c>
      <c r="Y40" s="66">
        <f t="shared" si="4"/>
        <v>160.77991999992958</v>
      </c>
      <c r="Z40" s="66">
        <f t="shared" si="4"/>
        <v>160.77991999992958</v>
      </c>
      <c r="AA40" s="66">
        <f t="shared" si="4"/>
        <v>160.77991999992895</v>
      </c>
      <c r="AB40" s="66">
        <f t="shared" si="4"/>
        <v>160.77991999992958</v>
      </c>
      <c r="AC40" s="66">
        <f t="shared" si="4"/>
        <v>160.77991999992958</v>
      </c>
      <c r="AD40" s="66">
        <f t="shared" si="4"/>
        <v>160.7799199999308</v>
      </c>
      <c r="AE40" s="66">
        <f t="shared" si="4"/>
        <v>160.77991999992958</v>
      </c>
      <c r="AF40" s="66">
        <f t="shared" si="4"/>
        <v>160.77991999992895</v>
      </c>
      <c r="AG40" s="66">
        <f t="shared" si="4"/>
        <v>160.77991999992958</v>
      </c>
      <c r="AH40" s="66">
        <f t="shared" si="4"/>
        <v>160.77991999992958</v>
      </c>
      <c r="AI40" s="66">
        <f t="shared" si="4"/>
        <v>160.77991999992958</v>
      </c>
    </row>
    <row r="41" spans="1:35" ht="12.75" x14ac:dyDescent="0.2">
      <c r="D41" s="75" t="s">
        <v>69</v>
      </c>
      <c r="H41" s="243" t="s">
        <v>52</v>
      </c>
      <c r="I41" s="243" t="s">
        <v>47</v>
      </c>
      <c r="J41" s="243" t="s">
        <v>238</v>
      </c>
      <c r="M41" s="66">
        <f t="shared" ref="M41:AI41" si="5">M104+M155</f>
        <v>364.60382178125053</v>
      </c>
      <c r="N41" s="66">
        <f t="shared" si="5"/>
        <v>596.69493915631597</v>
      </c>
      <c r="O41" s="66">
        <f t="shared" si="5"/>
        <v>542.11747492769041</v>
      </c>
      <c r="P41" s="66">
        <f t="shared" si="5"/>
        <v>376.83636871743369</v>
      </c>
      <c r="Q41" s="66">
        <f t="shared" si="5"/>
        <v>288.72058908912805</v>
      </c>
      <c r="R41" s="66">
        <f t="shared" si="5"/>
        <v>247.30152119911546</v>
      </c>
      <c r="S41" s="66">
        <f t="shared" si="5"/>
        <v>236.16018524749649</v>
      </c>
      <c r="T41" s="66">
        <f t="shared" si="5"/>
        <v>378.91927144549004</v>
      </c>
      <c r="U41" s="66">
        <f t="shared" si="5"/>
        <v>378.91927144549004</v>
      </c>
      <c r="V41" s="66">
        <f t="shared" si="5"/>
        <v>270.73576564597988</v>
      </c>
      <c r="W41" s="66">
        <f t="shared" si="5"/>
        <v>271.10899401039376</v>
      </c>
      <c r="X41" s="66">
        <f t="shared" si="5"/>
        <v>271.10899401039376</v>
      </c>
      <c r="Y41" s="66">
        <f t="shared" si="5"/>
        <v>271.10899401039376</v>
      </c>
      <c r="Z41" s="66">
        <f t="shared" si="5"/>
        <v>271.10899401039376</v>
      </c>
      <c r="AA41" s="66">
        <f t="shared" si="5"/>
        <v>271.10899401039273</v>
      </c>
      <c r="AB41" s="66">
        <f t="shared" si="5"/>
        <v>271.10899401039376</v>
      </c>
      <c r="AC41" s="66">
        <f t="shared" si="5"/>
        <v>271.10899401039376</v>
      </c>
      <c r="AD41" s="66">
        <f t="shared" si="5"/>
        <v>271.10899401039592</v>
      </c>
      <c r="AE41" s="66">
        <f t="shared" si="5"/>
        <v>271.10899401039376</v>
      </c>
      <c r="AF41" s="66">
        <f t="shared" si="5"/>
        <v>271.10899401039273</v>
      </c>
      <c r="AG41" s="66">
        <f t="shared" si="5"/>
        <v>271.10899401039376</v>
      </c>
      <c r="AH41" s="66">
        <f t="shared" si="5"/>
        <v>271.10899401039376</v>
      </c>
      <c r="AI41" s="66">
        <f t="shared" si="5"/>
        <v>271.10899401039376</v>
      </c>
    </row>
    <row r="42" spans="1:35" ht="12.75" x14ac:dyDescent="0.2">
      <c r="D42" s="75" t="s">
        <v>255</v>
      </c>
      <c r="H42" s="243" t="s">
        <v>52</v>
      </c>
      <c r="I42" s="243" t="s">
        <v>47</v>
      </c>
      <c r="J42" s="243" t="s">
        <v>238</v>
      </c>
      <c r="M42" s="66">
        <f t="shared" ref="M42:AI42" si="6">M105+M156</f>
        <v>440.64078030110181</v>
      </c>
      <c r="N42" s="66">
        <f t="shared" si="6"/>
        <v>277.90675047177228</v>
      </c>
      <c r="O42" s="66">
        <f t="shared" si="6"/>
        <v>352.15009231947619</v>
      </c>
      <c r="P42" s="66">
        <f t="shared" si="6"/>
        <v>297.49454334527366</v>
      </c>
      <c r="Q42" s="66">
        <f t="shared" si="6"/>
        <v>284.77294624589541</v>
      </c>
      <c r="R42" s="66">
        <f t="shared" si="6"/>
        <v>266.72107871175871</v>
      </c>
      <c r="S42" s="66">
        <f t="shared" si="6"/>
        <v>261.49889882280922</v>
      </c>
      <c r="T42" s="66">
        <f t="shared" si="6"/>
        <v>311.59787003115531</v>
      </c>
      <c r="U42" s="66">
        <f t="shared" si="6"/>
        <v>311.59787003115531</v>
      </c>
      <c r="V42" s="66">
        <f t="shared" si="6"/>
        <v>222.63498922798209</v>
      </c>
      <c r="W42" s="66">
        <f t="shared" si="6"/>
        <v>222.94190727662792</v>
      </c>
      <c r="X42" s="66">
        <f t="shared" si="6"/>
        <v>222.94190727662792</v>
      </c>
      <c r="Y42" s="66">
        <f t="shared" si="6"/>
        <v>222.94190727662792</v>
      </c>
      <c r="Z42" s="66">
        <f t="shared" si="6"/>
        <v>222.94190727662792</v>
      </c>
      <c r="AA42" s="66">
        <f t="shared" si="6"/>
        <v>222.94190727662792</v>
      </c>
      <c r="AB42" s="66">
        <f t="shared" si="6"/>
        <v>222.94190727662792</v>
      </c>
      <c r="AC42" s="66">
        <f t="shared" si="6"/>
        <v>222.94190727662792</v>
      </c>
      <c r="AD42" s="66">
        <f t="shared" si="6"/>
        <v>222.94190727663039</v>
      </c>
      <c r="AE42" s="66">
        <f t="shared" si="6"/>
        <v>222.94190727662792</v>
      </c>
      <c r="AF42" s="66">
        <f t="shared" si="6"/>
        <v>222.94190727662792</v>
      </c>
      <c r="AG42" s="66">
        <f t="shared" si="6"/>
        <v>222.94190727662792</v>
      </c>
      <c r="AH42" s="66">
        <f t="shared" si="6"/>
        <v>222.94190727662792</v>
      </c>
      <c r="AI42" s="66">
        <f t="shared" si="6"/>
        <v>222.94190727662792</v>
      </c>
    </row>
    <row r="43" spans="1:35" ht="11.25" customHeight="1" x14ac:dyDescent="0.2"/>
    <row r="44" spans="1:35" ht="12.75" x14ac:dyDescent="0.2">
      <c r="D44" s="62" t="s">
        <v>51</v>
      </c>
      <c r="H44" s="56" t="s">
        <v>52</v>
      </c>
      <c r="I44" s="56" t="str">
        <f>Thousands</f>
        <v>$000's</v>
      </c>
      <c r="J44" s="162" t="s">
        <v>238</v>
      </c>
      <c r="M44" s="68">
        <f t="shared" ref="M44:S44" si="7">SUM(M40:M42)</f>
        <v>999.84692319699559</v>
      </c>
      <c r="N44" s="68">
        <f t="shared" si="7"/>
        <v>1300.3372364772636</v>
      </c>
      <c r="O44" s="68">
        <f t="shared" si="7"/>
        <v>1128.3631172893727</v>
      </c>
      <c r="P44" s="68">
        <f t="shared" si="7"/>
        <v>927.95171481972909</v>
      </c>
      <c r="Q44" s="68">
        <f t="shared" si="7"/>
        <v>775.16878697193283</v>
      </c>
      <c r="R44" s="68">
        <f t="shared" si="7"/>
        <v>648.54406095134982</v>
      </c>
      <c r="S44" s="68">
        <f t="shared" si="7"/>
        <v>626.42225369468372</v>
      </c>
      <c r="T44" s="68">
        <f t="shared" ref="T44:AI44" si="8">SUM(T40:T42)</f>
        <v>915.23344191447518</v>
      </c>
      <c r="U44" s="68">
        <f t="shared" si="8"/>
        <v>915.23344191447518</v>
      </c>
      <c r="V44" s="68">
        <f t="shared" si="8"/>
        <v>653.92933353923308</v>
      </c>
      <c r="W44" s="68">
        <f t="shared" si="8"/>
        <v>654.83082128695128</v>
      </c>
      <c r="X44" s="68">
        <f t="shared" si="8"/>
        <v>654.83082128695128</v>
      </c>
      <c r="Y44" s="68">
        <f t="shared" si="8"/>
        <v>654.83082128695128</v>
      </c>
      <c r="Z44" s="68">
        <f t="shared" si="8"/>
        <v>654.83082128695128</v>
      </c>
      <c r="AA44" s="68">
        <f t="shared" si="8"/>
        <v>654.83082128694957</v>
      </c>
      <c r="AB44" s="68">
        <f t="shared" si="8"/>
        <v>654.83082128695128</v>
      </c>
      <c r="AC44" s="68">
        <f t="shared" si="8"/>
        <v>654.83082128695128</v>
      </c>
      <c r="AD44" s="68">
        <f t="shared" si="8"/>
        <v>654.83082128695719</v>
      </c>
      <c r="AE44" s="68">
        <f t="shared" si="8"/>
        <v>654.83082128695128</v>
      </c>
      <c r="AF44" s="68">
        <f t="shared" si="8"/>
        <v>654.83082128694957</v>
      </c>
      <c r="AG44" s="68">
        <f t="shared" si="8"/>
        <v>654.83082128695128</v>
      </c>
      <c r="AH44" s="68">
        <f t="shared" si="8"/>
        <v>654.83082128695128</v>
      </c>
      <c r="AI44" s="68">
        <f t="shared" si="8"/>
        <v>654.83082128695128</v>
      </c>
    </row>
    <row r="45" spans="1:35" ht="11.25" customHeight="1" x14ac:dyDescent="0.2">
      <c r="M45" s="145"/>
    </row>
    <row r="46" spans="1:35" ht="12.75" hidden="1" outlineLevel="1" x14ac:dyDescent="0.2">
      <c r="D46" s="81" t="s">
        <v>90</v>
      </c>
      <c r="E46" s="82"/>
      <c r="G46" s="82"/>
      <c r="H46" s="243" t="s">
        <v>52</v>
      </c>
      <c r="I46" s="243" t="s">
        <v>47</v>
      </c>
      <c r="J46" s="243" t="s">
        <v>40</v>
      </c>
      <c r="K46" s="78"/>
      <c r="M46" s="66">
        <f t="shared" ref="M46:AI46" si="9">M109+M160</f>
        <v>999.84692319699559</v>
      </c>
      <c r="N46" s="66">
        <f t="shared" si="9"/>
        <v>1300.3372364772636</v>
      </c>
      <c r="O46" s="66">
        <f t="shared" si="9"/>
        <v>1128.3631172893727</v>
      </c>
      <c r="P46" s="66">
        <f t="shared" si="9"/>
        <v>927.95171481972909</v>
      </c>
      <c r="Q46" s="66">
        <f t="shared" si="9"/>
        <v>775.16878697193283</v>
      </c>
      <c r="R46" s="66">
        <f t="shared" si="9"/>
        <v>648.54406095134971</v>
      </c>
      <c r="S46" s="66">
        <f t="shared" si="9"/>
        <v>626.4222536946836</v>
      </c>
      <c r="T46" s="66">
        <f t="shared" si="9"/>
        <v>915.23344191447541</v>
      </c>
      <c r="U46" s="66">
        <f t="shared" si="9"/>
        <v>915.23344191447541</v>
      </c>
      <c r="V46" s="66">
        <f t="shared" si="9"/>
        <v>653.92933353923308</v>
      </c>
      <c r="W46" s="66">
        <f t="shared" si="9"/>
        <v>654.83082128695128</v>
      </c>
      <c r="X46" s="66">
        <f t="shared" si="9"/>
        <v>654.83082128695128</v>
      </c>
      <c r="Y46" s="66">
        <f t="shared" si="9"/>
        <v>654.83082128695128</v>
      </c>
      <c r="Z46" s="66">
        <f t="shared" si="9"/>
        <v>654.83082128695128</v>
      </c>
      <c r="AA46" s="66">
        <f t="shared" si="9"/>
        <v>654.83082128694957</v>
      </c>
      <c r="AB46" s="66">
        <f t="shared" si="9"/>
        <v>654.83082128695128</v>
      </c>
      <c r="AC46" s="66">
        <f t="shared" si="9"/>
        <v>654.83082128695128</v>
      </c>
      <c r="AD46" s="66">
        <f t="shared" si="9"/>
        <v>654.83082128695696</v>
      </c>
      <c r="AE46" s="66">
        <f t="shared" si="9"/>
        <v>654.83082128695128</v>
      </c>
      <c r="AF46" s="66">
        <f t="shared" si="9"/>
        <v>654.83082128694957</v>
      </c>
      <c r="AG46" s="66">
        <f t="shared" si="9"/>
        <v>654.83082128695128</v>
      </c>
      <c r="AH46" s="66">
        <f t="shared" si="9"/>
        <v>654.83082128695128</v>
      </c>
      <c r="AI46" s="66">
        <f t="shared" si="9"/>
        <v>654.83082128695128</v>
      </c>
    </row>
    <row r="47" spans="1:35" ht="12.75" hidden="1" outlineLevel="1" x14ac:dyDescent="0.2">
      <c r="A47" s="59">
        <f>IF(SUM($M47:$AI47)=0,0,1)</f>
        <v>0</v>
      </c>
      <c r="D47" s="81" t="s">
        <v>55</v>
      </c>
      <c r="E47" s="82"/>
      <c r="F47" s="80"/>
      <c r="G47" s="82"/>
      <c r="H47" s="80"/>
      <c r="I47" s="84"/>
      <c r="J47" s="84"/>
      <c r="K47" s="78"/>
      <c r="M47" s="59">
        <f t="shared" ref="M47:S47" si="10">IF(ROUND(M46-M44,2)=0,0,1)</f>
        <v>0</v>
      </c>
      <c r="N47" s="59">
        <f t="shared" si="10"/>
        <v>0</v>
      </c>
      <c r="O47" s="59">
        <f t="shared" si="10"/>
        <v>0</v>
      </c>
      <c r="P47" s="59">
        <f t="shared" si="10"/>
        <v>0</v>
      </c>
      <c r="Q47" s="59">
        <f t="shared" si="10"/>
        <v>0</v>
      </c>
      <c r="R47" s="59">
        <f t="shared" si="10"/>
        <v>0</v>
      </c>
      <c r="S47" s="59">
        <f t="shared" si="10"/>
        <v>0</v>
      </c>
      <c r="T47" s="59">
        <f t="shared" ref="T47" si="11">IF(ROUND(T46-T44,2)=0,0,1)</f>
        <v>0</v>
      </c>
      <c r="U47" s="59">
        <f t="shared" ref="U47" si="12">IF(ROUND(U46-U44,2)=0,0,1)</f>
        <v>0</v>
      </c>
      <c r="V47" s="59">
        <f t="shared" ref="V47" si="13">IF(ROUND(V46-V44,2)=0,0,1)</f>
        <v>0</v>
      </c>
      <c r="W47" s="59">
        <f t="shared" ref="W47" si="14">IF(ROUND(W46-W44,2)=0,0,1)</f>
        <v>0</v>
      </c>
      <c r="X47" s="59">
        <f t="shared" ref="X47" si="15">IF(ROUND(X46-X44,2)=0,0,1)</f>
        <v>0</v>
      </c>
      <c r="Y47" s="59">
        <f t="shared" ref="Y47" si="16">IF(ROUND(Y46-Y44,2)=0,0,1)</f>
        <v>0</v>
      </c>
      <c r="Z47" s="59">
        <f t="shared" ref="Z47" si="17">IF(ROUND(Z46-Z44,2)=0,0,1)</f>
        <v>0</v>
      </c>
      <c r="AA47" s="59">
        <f t="shared" ref="AA47" si="18">IF(ROUND(AA46-AA44,2)=0,0,1)</f>
        <v>0</v>
      </c>
      <c r="AB47" s="59">
        <f t="shared" ref="AB47" si="19">IF(ROUND(AB46-AB44,2)=0,0,1)</f>
        <v>0</v>
      </c>
      <c r="AC47" s="59">
        <f t="shared" ref="AC47" si="20">IF(ROUND(AC46-AC44,2)=0,0,1)</f>
        <v>0</v>
      </c>
      <c r="AD47" s="59">
        <f t="shared" ref="AD47" si="21">IF(ROUND(AD46-AD44,2)=0,0,1)</f>
        <v>0</v>
      </c>
      <c r="AE47" s="59">
        <f t="shared" ref="AE47" si="22">IF(ROUND(AE46-AE44,2)=0,0,1)</f>
        <v>0</v>
      </c>
      <c r="AF47" s="59">
        <f t="shared" ref="AF47" si="23">IF(ROUND(AF46-AF44,2)=0,0,1)</f>
        <v>0</v>
      </c>
      <c r="AG47" s="59">
        <f t="shared" ref="AG47" si="24">IF(ROUND(AG46-AG44,2)=0,0,1)</f>
        <v>0</v>
      </c>
      <c r="AH47" s="59">
        <f t="shared" ref="AH47" si="25">IF(ROUND(AH46-AH44,2)=0,0,1)</f>
        <v>0</v>
      </c>
      <c r="AI47" s="59">
        <f t="shared" ref="AI47" si="26">IF(ROUND(AI46-AI44,2)=0,0,1)</f>
        <v>0</v>
      </c>
    </row>
    <row r="48" spans="1:35" ht="11.25" customHeight="1" collapsed="1" x14ac:dyDescent="0.2"/>
    <row r="49" spans="1:35" ht="11.25" customHeight="1" x14ac:dyDescent="0.2"/>
    <row r="50" spans="1:35" ht="11.25" customHeight="1" x14ac:dyDescent="0.2">
      <c r="D50" s="70" t="s">
        <v>486</v>
      </c>
      <c r="H50" s="54" t="str">
        <f>Lookup!E$19</f>
        <v>Source</v>
      </c>
      <c r="I50" s="54" t="str">
        <f>Lookup!F$19</f>
        <v>Unit</v>
      </c>
      <c r="J50" s="54" t="str">
        <f>Lookup!G$19</f>
        <v>Basis</v>
      </c>
      <c r="M50" s="54" t="str">
        <f t="shared" ref="M50:S50" si="27">M$9</f>
        <v>FY23</v>
      </c>
      <c r="N50" s="54" t="str">
        <f t="shared" si="27"/>
        <v>FY24</v>
      </c>
      <c r="O50" s="54" t="str">
        <f t="shared" si="27"/>
        <v>FY25</v>
      </c>
      <c r="P50" s="54" t="str">
        <f t="shared" si="27"/>
        <v>FY26</v>
      </c>
      <c r="Q50" s="54" t="str">
        <f t="shared" si="27"/>
        <v>FY27</v>
      </c>
      <c r="R50" s="54" t="str">
        <f t="shared" si="27"/>
        <v>FY28</v>
      </c>
      <c r="S50" s="54" t="str">
        <f t="shared" si="27"/>
        <v>FY29</v>
      </c>
      <c r="T50" s="54" t="str">
        <f t="shared" ref="T50:AI50" si="28">T$9</f>
        <v>FY30</v>
      </c>
      <c r="U50" s="54" t="str">
        <f t="shared" si="28"/>
        <v>FY31</v>
      </c>
      <c r="V50" s="54" t="str">
        <f t="shared" si="28"/>
        <v>FY32</v>
      </c>
      <c r="W50" s="54" t="str">
        <f t="shared" si="28"/>
        <v>FY33</v>
      </c>
      <c r="X50" s="54" t="str">
        <f t="shared" si="28"/>
        <v>FY34</v>
      </c>
      <c r="Y50" s="54" t="str">
        <f t="shared" si="28"/>
        <v>FY35</v>
      </c>
      <c r="Z50" s="54" t="str">
        <f t="shared" si="28"/>
        <v>FY36</v>
      </c>
      <c r="AA50" s="54" t="str">
        <f t="shared" si="28"/>
        <v>FY37</v>
      </c>
      <c r="AB50" s="54" t="str">
        <f t="shared" si="28"/>
        <v>FY38</v>
      </c>
      <c r="AC50" s="54" t="str">
        <f t="shared" si="28"/>
        <v>FY39</v>
      </c>
      <c r="AD50" s="54" t="str">
        <f t="shared" si="28"/>
        <v>FY40</v>
      </c>
      <c r="AE50" s="54" t="str">
        <f t="shared" si="28"/>
        <v>FY41</v>
      </c>
      <c r="AF50" s="54" t="str">
        <f t="shared" si="28"/>
        <v>FY42</v>
      </c>
      <c r="AG50" s="54" t="str">
        <f t="shared" si="28"/>
        <v>FY43</v>
      </c>
      <c r="AH50" s="54" t="str">
        <f t="shared" si="28"/>
        <v>FY44</v>
      </c>
      <c r="AI50" s="54" t="str">
        <f t="shared" si="28"/>
        <v>FY45</v>
      </c>
    </row>
    <row r="51" spans="1:35" ht="11.25" customHeight="1" x14ac:dyDescent="0.2">
      <c r="D51" s="1"/>
    </row>
    <row r="52" spans="1:35" ht="12.75" x14ac:dyDescent="0.2">
      <c r="D52" s="75" t="s">
        <v>256</v>
      </c>
      <c r="E52" s="82"/>
      <c r="F52" s="82"/>
      <c r="G52" s="82"/>
      <c r="H52" s="243" t="s">
        <v>52</v>
      </c>
      <c r="I52" s="243" t="s">
        <v>47</v>
      </c>
      <c r="J52" s="243" t="s">
        <v>238</v>
      </c>
      <c r="M52" s="66">
        <f>Inputs_LRMC!$O40*(M91+M142)</f>
        <v>103.58372017090261</v>
      </c>
      <c r="N52" s="66">
        <f>Inputs_LRMC!$O40*(N91+N142)</f>
        <v>226.61225980779341</v>
      </c>
      <c r="O52" s="66">
        <f>Inputs_LRMC!$O40*(O91+O142)</f>
        <v>124.60533774692358</v>
      </c>
      <c r="P52" s="66">
        <f>Inputs_LRMC!$O40*(P91+P142)</f>
        <v>134.99831919695544</v>
      </c>
      <c r="Q52" s="66">
        <f>Inputs_LRMC!$O40*(Q91+Q142)</f>
        <v>107.34852858536667</v>
      </c>
      <c r="R52" s="66">
        <f>Inputs_LRMC!$O40*(R91+R142)</f>
        <v>71.603634003875669</v>
      </c>
      <c r="S52" s="66">
        <f>Inputs_LRMC!$O40*(S91+S142)</f>
        <v>68.538587074881562</v>
      </c>
      <c r="T52" s="66">
        <f>Inputs_LRMC!$O40*(T91+T142)</f>
        <v>119.6129123695284</v>
      </c>
      <c r="U52" s="66">
        <f>Inputs_LRMC!$O40*(U91+U142)</f>
        <v>119.6129123695284</v>
      </c>
      <c r="V52" s="66">
        <f>Inputs_LRMC!$O40*(V91+V142)</f>
        <v>85.462777567301302</v>
      </c>
      <c r="W52" s="66">
        <f>Inputs_LRMC!$O40*(W91+W142)</f>
        <v>85.580594039068913</v>
      </c>
      <c r="X52" s="66">
        <f>Inputs_LRMC!$O40*(X91+X142)</f>
        <v>85.580594039068913</v>
      </c>
      <c r="Y52" s="66">
        <f>Inputs_LRMC!$O40*(Y91+Y142)</f>
        <v>85.580594039068913</v>
      </c>
      <c r="Z52" s="66">
        <f>Inputs_LRMC!$O40*(Z91+Z142)</f>
        <v>85.580594039068913</v>
      </c>
      <c r="AA52" s="66">
        <f>Inputs_LRMC!$O40*(AA91+AA142)</f>
        <v>85.580594039068586</v>
      </c>
      <c r="AB52" s="66">
        <f>Inputs_LRMC!$O40*(AB91+AB142)</f>
        <v>85.580594039068913</v>
      </c>
      <c r="AC52" s="66">
        <f>Inputs_LRMC!$O40*(AC91+AC142)</f>
        <v>85.580594039068913</v>
      </c>
      <c r="AD52" s="66">
        <f>Inputs_LRMC!$O40*(AD91+AD142)</f>
        <v>85.580594039069567</v>
      </c>
      <c r="AE52" s="66">
        <f>Inputs_LRMC!$O40*(AE91+AE142)</f>
        <v>85.580594039068913</v>
      </c>
      <c r="AF52" s="66">
        <f>Inputs_LRMC!$O40*(AF91+AF142)</f>
        <v>85.580594039068586</v>
      </c>
      <c r="AG52" s="66">
        <f>Inputs_LRMC!$O40*(AG91+AG142)</f>
        <v>85.580594039068913</v>
      </c>
      <c r="AH52" s="66">
        <f>Inputs_LRMC!$O40*(AH91+AH142)</f>
        <v>85.580594039068913</v>
      </c>
      <c r="AI52" s="66">
        <f>Inputs_LRMC!$O40*(AI91+AI142)</f>
        <v>85.580594039068913</v>
      </c>
    </row>
    <row r="53" spans="1:35" ht="12.75" x14ac:dyDescent="0.2">
      <c r="D53" s="75" t="s">
        <v>69</v>
      </c>
      <c r="H53" s="243" t="s">
        <v>52</v>
      </c>
      <c r="I53" s="243" t="s">
        <v>47</v>
      </c>
      <c r="J53" s="243" t="s">
        <v>238</v>
      </c>
      <c r="M53" s="66">
        <f>Inputs_LRMC!$O41*(M92+M143)</f>
        <v>194.07281491972319</v>
      </c>
      <c r="N53" s="66">
        <f>Inputs_LRMC!$O41*(N92+N143)</f>
        <v>317.61122504057704</v>
      </c>
      <c r="O53" s="66">
        <f>Inputs_LRMC!$O41*(O92+O143)</f>
        <v>288.56050894472469</v>
      </c>
      <c r="P53" s="66">
        <f>Inputs_LRMC!$O41*(P92+P143)</f>
        <v>200.58400508208805</v>
      </c>
      <c r="Q53" s="66">
        <f>Inputs_LRMC!$O41*(Q92+Q143)</f>
        <v>153.68137716182667</v>
      </c>
      <c r="R53" s="66">
        <f>Inputs_LRMC!$O41*(R92+R143)</f>
        <v>131.63466613862579</v>
      </c>
      <c r="S53" s="66">
        <f>Inputs_LRMC!$O41*(S92+S143)</f>
        <v>125.70431022646461</v>
      </c>
      <c r="T53" s="66">
        <f>Inputs_LRMC!$O41*(T92+T143)</f>
        <v>201.69270107343286</v>
      </c>
      <c r="U53" s="66">
        <f>Inputs_LRMC!$O41*(U92+U143)</f>
        <v>201.69270107343286</v>
      </c>
      <c r="V53" s="66">
        <f>Inputs_LRMC!$O41*(V92+V143)</f>
        <v>144.10834171092543</v>
      </c>
      <c r="W53" s="66">
        <f>Inputs_LRMC!$O41*(W92+W143)</f>
        <v>144.30700523270593</v>
      </c>
      <c r="X53" s="66">
        <f>Inputs_LRMC!$O41*(X92+X143)</f>
        <v>144.30700523270593</v>
      </c>
      <c r="Y53" s="66">
        <f>Inputs_LRMC!$O41*(Y92+Y143)</f>
        <v>144.30700523270593</v>
      </c>
      <c r="Z53" s="66">
        <f>Inputs_LRMC!$O41*(Z92+Z143)</f>
        <v>144.30700523270593</v>
      </c>
      <c r="AA53" s="66">
        <f>Inputs_LRMC!$O41*(AA92+AA143)</f>
        <v>144.30700523270536</v>
      </c>
      <c r="AB53" s="66">
        <f>Inputs_LRMC!$O41*(AB92+AB143)</f>
        <v>144.30700523270593</v>
      </c>
      <c r="AC53" s="66">
        <f>Inputs_LRMC!$O41*(AC92+AC143)</f>
        <v>144.30700523270593</v>
      </c>
      <c r="AD53" s="66">
        <f>Inputs_LRMC!$O41*(AD92+AD143)</f>
        <v>144.30700523270704</v>
      </c>
      <c r="AE53" s="66">
        <f>Inputs_LRMC!$O41*(AE92+AE143)</f>
        <v>144.30700523270593</v>
      </c>
      <c r="AF53" s="66">
        <f>Inputs_LRMC!$O41*(AF92+AF143)</f>
        <v>144.30700523270536</v>
      </c>
      <c r="AG53" s="66">
        <f>Inputs_LRMC!$O41*(AG92+AG143)</f>
        <v>144.30700523270593</v>
      </c>
      <c r="AH53" s="66">
        <f>Inputs_LRMC!$O41*(AH92+AH143)</f>
        <v>144.30700523270593</v>
      </c>
      <c r="AI53" s="66">
        <f>Inputs_LRMC!$O41*(AI92+AI143)</f>
        <v>144.30700523270593</v>
      </c>
    </row>
    <row r="54" spans="1:35" ht="12.75" x14ac:dyDescent="0.2">
      <c r="D54" s="75" t="s">
        <v>255</v>
      </c>
      <c r="H54" s="243" t="s">
        <v>52</v>
      </c>
      <c r="I54" s="243" t="s">
        <v>47</v>
      </c>
      <c r="J54" s="243" t="s">
        <v>238</v>
      </c>
      <c r="M54" s="66">
        <f>Inputs_LRMC!$O42*(M93+M144)</f>
        <v>234.54607849054574</v>
      </c>
      <c r="N54" s="66">
        <f>Inputs_LRMC!$O42*(N93+N144)</f>
        <v>147.9253428714978</v>
      </c>
      <c r="O54" s="66">
        <f>Inputs_LRMC!$O42*(O93+O144)</f>
        <v>187.4438928171312</v>
      </c>
      <c r="P54" s="66">
        <f>Inputs_LRMC!$O42*(P93+P144)</f>
        <v>158.35161345322979</v>
      </c>
      <c r="Q54" s="66">
        <f>Inputs_LRMC!$O42*(Q93+Q144)</f>
        <v>151.58010966786304</v>
      </c>
      <c r="R54" s="66">
        <f>Inputs_LRMC!$O42*(R93+R144)</f>
        <v>141.97138771373668</v>
      </c>
      <c r="S54" s="66">
        <f>Inputs_LRMC!$O42*(S93+S144)</f>
        <v>139.19170442321524</v>
      </c>
      <c r="T54" s="66">
        <f>Inputs_LRMC!$O42*(T93+T144)</f>
        <v>165.85858991960279</v>
      </c>
      <c r="U54" s="66">
        <f>Inputs_LRMC!$O42*(U93+U144)</f>
        <v>165.85858991960279</v>
      </c>
      <c r="V54" s="66">
        <f>Inputs_LRMC!$O42*(V93+V144)</f>
        <v>118.50506351801121</v>
      </c>
      <c r="W54" s="66">
        <f>Inputs_LRMC!$O42*(W93+W144)</f>
        <v>118.668431113445</v>
      </c>
      <c r="X54" s="66">
        <f>Inputs_LRMC!$O42*(X93+X144)</f>
        <v>118.668431113445</v>
      </c>
      <c r="Y54" s="66">
        <f>Inputs_LRMC!$O42*(Y93+Y144)</f>
        <v>118.668431113445</v>
      </c>
      <c r="Z54" s="66">
        <f>Inputs_LRMC!$O42*(Z93+Z144)</f>
        <v>118.668431113445</v>
      </c>
      <c r="AA54" s="66">
        <f>Inputs_LRMC!$O42*(AA93+AA144)</f>
        <v>118.668431113445</v>
      </c>
      <c r="AB54" s="66">
        <f>Inputs_LRMC!$O42*(AB93+AB144)</f>
        <v>118.668431113445</v>
      </c>
      <c r="AC54" s="66">
        <f>Inputs_LRMC!$O42*(AC93+AC144)</f>
        <v>118.668431113445</v>
      </c>
      <c r="AD54" s="66">
        <f>Inputs_LRMC!$O42*(AD93+AD144)</f>
        <v>118.66843111344632</v>
      </c>
      <c r="AE54" s="66">
        <f>Inputs_LRMC!$O42*(AE93+AE144)</f>
        <v>118.668431113445</v>
      </c>
      <c r="AF54" s="66">
        <f>Inputs_LRMC!$O42*(AF93+AF144)</f>
        <v>118.668431113445</v>
      </c>
      <c r="AG54" s="66">
        <f>Inputs_LRMC!$O42*(AG93+AG144)</f>
        <v>118.668431113445</v>
      </c>
      <c r="AH54" s="66">
        <f>Inputs_LRMC!$O42*(AH93+AH144)</f>
        <v>118.668431113445</v>
      </c>
      <c r="AI54" s="66">
        <f>Inputs_LRMC!$O42*(AI93+AI144)</f>
        <v>118.668431113445</v>
      </c>
    </row>
    <row r="55" spans="1:35" ht="11.25" customHeight="1" x14ac:dyDescent="0.2"/>
    <row r="56" spans="1:35" ht="11.25" customHeight="1" x14ac:dyDescent="0.2">
      <c r="D56" s="62" t="s">
        <v>51</v>
      </c>
      <c r="H56" s="56" t="s">
        <v>52</v>
      </c>
      <c r="I56" s="56" t="str">
        <f>Thousands</f>
        <v>$000's</v>
      </c>
      <c r="J56" s="162" t="s">
        <v>238</v>
      </c>
      <c r="M56" s="68">
        <f t="shared" ref="M56:S56" si="29">SUM(M52:M54)</f>
        <v>532.20261358117148</v>
      </c>
      <c r="N56" s="68">
        <f t="shared" si="29"/>
        <v>692.14882771986822</v>
      </c>
      <c r="O56" s="68">
        <f t="shared" si="29"/>
        <v>600.60973950877951</v>
      </c>
      <c r="P56" s="68">
        <f t="shared" si="29"/>
        <v>493.93393773227331</v>
      </c>
      <c r="Q56" s="68">
        <f t="shared" si="29"/>
        <v>412.61001541505635</v>
      </c>
      <c r="R56" s="68">
        <f t="shared" si="29"/>
        <v>345.20968785623813</v>
      </c>
      <c r="S56" s="68">
        <f t="shared" si="29"/>
        <v>333.43460172456139</v>
      </c>
      <c r="T56" s="68">
        <f t="shared" ref="T56:AI56" si="30">SUM(T52:T54)</f>
        <v>487.16420336256408</v>
      </c>
      <c r="U56" s="68">
        <f t="shared" si="30"/>
        <v>487.16420336256408</v>
      </c>
      <c r="V56" s="68">
        <f t="shared" si="30"/>
        <v>348.07618279623796</v>
      </c>
      <c r="W56" s="68">
        <f t="shared" si="30"/>
        <v>348.55603038521986</v>
      </c>
      <c r="X56" s="68">
        <f t="shared" si="30"/>
        <v>348.55603038521986</v>
      </c>
      <c r="Y56" s="68">
        <f t="shared" si="30"/>
        <v>348.55603038521986</v>
      </c>
      <c r="Z56" s="68">
        <f t="shared" si="30"/>
        <v>348.55603038521986</v>
      </c>
      <c r="AA56" s="68">
        <f t="shared" si="30"/>
        <v>348.55603038521895</v>
      </c>
      <c r="AB56" s="68">
        <f t="shared" si="30"/>
        <v>348.55603038521986</v>
      </c>
      <c r="AC56" s="68">
        <f t="shared" si="30"/>
        <v>348.55603038521986</v>
      </c>
      <c r="AD56" s="68">
        <f t="shared" si="30"/>
        <v>348.55603038522293</v>
      </c>
      <c r="AE56" s="68">
        <f t="shared" si="30"/>
        <v>348.55603038521986</v>
      </c>
      <c r="AF56" s="68">
        <f t="shared" si="30"/>
        <v>348.55603038521895</v>
      </c>
      <c r="AG56" s="68">
        <f t="shared" si="30"/>
        <v>348.55603038521986</v>
      </c>
      <c r="AH56" s="68">
        <f t="shared" si="30"/>
        <v>348.55603038521986</v>
      </c>
      <c r="AI56" s="68">
        <f t="shared" si="30"/>
        <v>348.55603038521986</v>
      </c>
    </row>
    <row r="57" spans="1:35" ht="11.25" customHeight="1" x14ac:dyDescent="0.2"/>
    <row r="58" spans="1:35" ht="12.75" hidden="1" outlineLevel="1" x14ac:dyDescent="0.2">
      <c r="D58" s="81" t="s">
        <v>90</v>
      </c>
      <c r="E58" s="82"/>
      <c r="G58" s="82"/>
      <c r="H58" s="243" t="s">
        <v>52</v>
      </c>
      <c r="I58" s="243" t="s">
        <v>47</v>
      </c>
      <c r="J58" s="243" t="s">
        <v>40</v>
      </c>
      <c r="K58" s="78"/>
      <c r="M58" s="66" cm="1">
        <f t="array" ref="M58">SUMPRODUCT(--M91:M93+M142:M144,Inputs_LRMC!$O$40:$O$42)</f>
        <v>532.20261358117148</v>
      </c>
      <c r="N58" s="66" cm="1">
        <f t="array" ref="N58">SUMPRODUCT(--N91:N93+N142:N144,Inputs_LRMC!$O$40:$O$42)</f>
        <v>692.14882771986822</v>
      </c>
      <c r="O58" s="66" cm="1">
        <f t="array" ref="O58">SUMPRODUCT(--O91:O93+O142:O144,Inputs_LRMC!$O$40:$O$42)</f>
        <v>600.60973950877951</v>
      </c>
      <c r="P58" s="66" cm="1">
        <f t="array" ref="P58">SUMPRODUCT(--P91:P93+P142:P144,Inputs_LRMC!$O$40:$O$42)</f>
        <v>493.93393773227331</v>
      </c>
      <c r="Q58" s="66" cm="1">
        <f t="array" ref="Q58">SUMPRODUCT(--Q91:Q93+Q142:Q144,Inputs_LRMC!$O$40:$O$42)</f>
        <v>412.61001541505635</v>
      </c>
      <c r="R58" s="66" cm="1">
        <f t="array" ref="R58">SUMPRODUCT(--R91:R93+R142:R144,Inputs_LRMC!$O$40:$O$42)</f>
        <v>345.20968785623813</v>
      </c>
      <c r="S58" s="66" cm="1">
        <f t="array" ref="S58">SUMPRODUCT(--S91:S93+S142:S144,Inputs_LRMC!$O$40:$O$42)</f>
        <v>333.43460172456139</v>
      </c>
      <c r="T58" s="66" cm="1">
        <f t="array" ref="T58">SUMPRODUCT(--T91:T93+T142:T144,Inputs_LRMC!$O$40:$O$42)</f>
        <v>487.16420336256408</v>
      </c>
      <c r="U58" s="66" cm="1">
        <f t="array" ref="U58">SUMPRODUCT(--U91:U93+U142:U144,Inputs_LRMC!$O$40:$O$42)</f>
        <v>487.16420336256408</v>
      </c>
      <c r="V58" s="66" cm="1">
        <f t="array" ref="V58">SUMPRODUCT(--V91:V93+V142:V144,Inputs_LRMC!$O$40:$O$42)</f>
        <v>348.07618279623796</v>
      </c>
      <c r="W58" s="66" cm="1">
        <f t="array" ref="W58">SUMPRODUCT(--W91:W93+W142:W144,Inputs_LRMC!$O$40:$O$42)</f>
        <v>348.55603038521986</v>
      </c>
      <c r="X58" s="66" cm="1">
        <f t="array" ref="X58">SUMPRODUCT(--X91:X93+X142:X144,Inputs_LRMC!$O$40:$O$42)</f>
        <v>348.55603038521986</v>
      </c>
      <c r="Y58" s="66" cm="1">
        <f t="array" ref="Y58">SUMPRODUCT(--Y91:Y93+Y142:Y144,Inputs_LRMC!$O$40:$O$42)</f>
        <v>348.55603038521986</v>
      </c>
      <c r="Z58" s="66" cm="1">
        <f t="array" ref="Z58">SUMPRODUCT(--Z91:Z93+Z142:Z144,Inputs_LRMC!$O$40:$O$42)</f>
        <v>348.55603038521986</v>
      </c>
      <c r="AA58" s="66" cm="1">
        <f t="array" ref="AA58">SUMPRODUCT(--AA91:AA93+AA142:AA144,Inputs_LRMC!$O$40:$O$42)</f>
        <v>348.55603038521895</v>
      </c>
      <c r="AB58" s="66" cm="1">
        <f t="array" ref="AB58">SUMPRODUCT(--AB91:AB93+AB142:AB144,Inputs_LRMC!$O$40:$O$42)</f>
        <v>348.55603038521986</v>
      </c>
      <c r="AC58" s="66" cm="1">
        <f t="array" ref="AC58">SUMPRODUCT(--AC91:AC93+AC142:AC144,Inputs_LRMC!$O$40:$O$42)</f>
        <v>348.55603038521986</v>
      </c>
      <c r="AD58" s="66" cm="1">
        <f t="array" ref="AD58">SUMPRODUCT(--AD91:AD93+AD142:AD144,Inputs_LRMC!$O$40:$O$42)</f>
        <v>348.55603038522293</v>
      </c>
      <c r="AE58" s="66" cm="1">
        <f t="array" ref="AE58">SUMPRODUCT(--AE91:AE93+AE142:AE144,Inputs_LRMC!$O$40:$O$42)</f>
        <v>348.55603038521986</v>
      </c>
      <c r="AF58" s="66" cm="1">
        <f t="array" ref="AF58">SUMPRODUCT(--AF91:AF93+AF142:AF144,Inputs_LRMC!$O$40:$O$42)</f>
        <v>348.55603038521895</v>
      </c>
      <c r="AG58" s="66" cm="1">
        <f t="array" ref="AG58">SUMPRODUCT(--AG91:AG93+AG142:AG144,Inputs_LRMC!$O$40:$O$42)</f>
        <v>348.55603038521986</v>
      </c>
      <c r="AH58" s="66" cm="1">
        <f t="array" ref="AH58">SUMPRODUCT(--AH91:AH93+AH142:AH144,Inputs_LRMC!$O$40:$O$42)</f>
        <v>348.55603038521986</v>
      </c>
      <c r="AI58" s="66" cm="1">
        <f t="array" ref="AI58">SUMPRODUCT(--AI91:AI93+AI142:AI144,Inputs_LRMC!$O$40:$O$42)</f>
        <v>348.55603038521986</v>
      </c>
    </row>
    <row r="59" spans="1:35" ht="12.75" hidden="1" outlineLevel="1" x14ac:dyDescent="0.2">
      <c r="A59" s="59">
        <f>IF(SUM($M59:$AI59)=0,0,1)</f>
        <v>0</v>
      </c>
      <c r="D59" s="81" t="s">
        <v>55</v>
      </c>
      <c r="E59" s="82"/>
      <c r="F59" s="80"/>
      <c r="G59" s="82"/>
      <c r="H59" s="80"/>
      <c r="I59" s="84"/>
      <c r="J59" s="84"/>
      <c r="K59" s="78"/>
      <c r="M59" s="59">
        <f t="shared" ref="M59:S59" si="31">IF(ROUND(M58-M56,2)=0,0,1)</f>
        <v>0</v>
      </c>
      <c r="N59" s="59">
        <f t="shared" si="31"/>
        <v>0</v>
      </c>
      <c r="O59" s="59">
        <f t="shared" si="31"/>
        <v>0</v>
      </c>
      <c r="P59" s="59">
        <f t="shared" si="31"/>
        <v>0</v>
      </c>
      <c r="Q59" s="59">
        <f t="shared" si="31"/>
        <v>0</v>
      </c>
      <c r="R59" s="59">
        <f t="shared" si="31"/>
        <v>0</v>
      </c>
      <c r="S59" s="59">
        <f t="shared" si="31"/>
        <v>0</v>
      </c>
      <c r="T59" s="59">
        <f t="shared" ref="T59" si="32">IF(ROUND(T58-T56,2)=0,0,1)</f>
        <v>0</v>
      </c>
      <c r="U59" s="59">
        <f t="shared" ref="U59" si="33">IF(ROUND(U58-U56,2)=0,0,1)</f>
        <v>0</v>
      </c>
      <c r="V59" s="59">
        <f t="shared" ref="V59" si="34">IF(ROUND(V58-V56,2)=0,0,1)</f>
        <v>0</v>
      </c>
      <c r="W59" s="59">
        <f t="shared" ref="W59" si="35">IF(ROUND(W58-W56,2)=0,0,1)</f>
        <v>0</v>
      </c>
      <c r="X59" s="59">
        <f t="shared" ref="X59" si="36">IF(ROUND(X58-X56,2)=0,0,1)</f>
        <v>0</v>
      </c>
      <c r="Y59" s="59">
        <f t="shared" ref="Y59" si="37">IF(ROUND(Y58-Y56,2)=0,0,1)</f>
        <v>0</v>
      </c>
      <c r="Z59" s="59">
        <f t="shared" ref="Z59" si="38">IF(ROUND(Z58-Z56,2)=0,0,1)</f>
        <v>0</v>
      </c>
      <c r="AA59" s="59">
        <f t="shared" ref="AA59" si="39">IF(ROUND(AA58-AA56,2)=0,0,1)</f>
        <v>0</v>
      </c>
      <c r="AB59" s="59">
        <f t="shared" ref="AB59" si="40">IF(ROUND(AB58-AB56,2)=0,0,1)</f>
        <v>0</v>
      </c>
      <c r="AC59" s="59">
        <f t="shared" ref="AC59" si="41">IF(ROUND(AC58-AC56,2)=0,0,1)</f>
        <v>0</v>
      </c>
      <c r="AD59" s="59">
        <f t="shared" ref="AD59" si="42">IF(ROUND(AD58-AD56,2)=0,0,1)</f>
        <v>0</v>
      </c>
      <c r="AE59" s="59">
        <f t="shared" ref="AE59" si="43">IF(ROUND(AE58-AE56,2)=0,0,1)</f>
        <v>0</v>
      </c>
      <c r="AF59" s="59">
        <f t="shared" ref="AF59" si="44">IF(ROUND(AF58-AF56,2)=0,0,1)</f>
        <v>0</v>
      </c>
      <c r="AG59" s="59">
        <f t="shared" ref="AG59" si="45">IF(ROUND(AG58-AG56,2)=0,0,1)</f>
        <v>0</v>
      </c>
      <c r="AH59" s="59">
        <f t="shared" ref="AH59" si="46">IF(ROUND(AH58-AH56,2)=0,0,1)</f>
        <v>0</v>
      </c>
      <c r="AI59" s="59">
        <f t="shared" ref="AI59" si="47">IF(ROUND(AI58-AI56,2)=0,0,1)</f>
        <v>0</v>
      </c>
    </row>
    <row r="60" spans="1:35" ht="11.25" customHeight="1" collapsed="1" x14ac:dyDescent="0.2"/>
    <row r="61" spans="1:35" ht="11.25" customHeight="1" x14ac:dyDescent="0.2"/>
    <row r="62" spans="1:35" ht="11.25" customHeight="1" x14ac:dyDescent="0.2">
      <c r="D62" s="70" t="s">
        <v>51</v>
      </c>
      <c r="H62" s="54" t="str">
        <f>Lookup!E$19</f>
        <v>Source</v>
      </c>
      <c r="I62" s="54" t="str">
        <f>Lookup!F$19</f>
        <v>Unit</v>
      </c>
      <c r="J62" s="54" t="str">
        <f>Lookup!G$19</f>
        <v>Basis</v>
      </c>
      <c r="M62" s="54" t="str">
        <f t="shared" ref="M62:S62" si="48">M$9</f>
        <v>FY23</v>
      </c>
      <c r="N62" s="54" t="str">
        <f t="shared" si="48"/>
        <v>FY24</v>
      </c>
      <c r="O62" s="54" t="str">
        <f t="shared" si="48"/>
        <v>FY25</v>
      </c>
      <c r="P62" s="54" t="str">
        <f t="shared" si="48"/>
        <v>FY26</v>
      </c>
      <c r="Q62" s="54" t="str">
        <f t="shared" si="48"/>
        <v>FY27</v>
      </c>
      <c r="R62" s="54" t="str">
        <f t="shared" si="48"/>
        <v>FY28</v>
      </c>
      <c r="S62" s="54" t="str">
        <f t="shared" si="48"/>
        <v>FY29</v>
      </c>
      <c r="T62" s="54" t="str">
        <f t="shared" ref="T62:AI62" si="49">T$9</f>
        <v>FY30</v>
      </c>
      <c r="U62" s="54" t="str">
        <f t="shared" si="49"/>
        <v>FY31</v>
      </c>
      <c r="V62" s="54" t="str">
        <f t="shared" si="49"/>
        <v>FY32</v>
      </c>
      <c r="W62" s="54" t="str">
        <f t="shared" si="49"/>
        <v>FY33</v>
      </c>
      <c r="X62" s="54" t="str">
        <f t="shared" si="49"/>
        <v>FY34</v>
      </c>
      <c r="Y62" s="54" t="str">
        <f t="shared" si="49"/>
        <v>FY35</v>
      </c>
      <c r="Z62" s="54" t="str">
        <f t="shared" si="49"/>
        <v>FY36</v>
      </c>
      <c r="AA62" s="54" t="str">
        <f t="shared" si="49"/>
        <v>FY37</v>
      </c>
      <c r="AB62" s="54" t="str">
        <f t="shared" si="49"/>
        <v>FY38</v>
      </c>
      <c r="AC62" s="54" t="str">
        <f t="shared" si="49"/>
        <v>FY39</v>
      </c>
      <c r="AD62" s="54" t="str">
        <f t="shared" si="49"/>
        <v>FY40</v>
      </c>
      <c r="AE62" s="54" t="str">
        <f t="shared" si="49"/>
        <v>FY41</v>
      </c>
      <c r="AF62" s="54" t="str">
        <f t="shared" si="49"/>
        <v>FY42</v>
      </c>
      <c r="AG62" s="54" t="str">
        <f t="shared" si="49"/>
        <v>FY43</v>
      </c>
      <c r="AH62" s="54" t="str">
        <f t="shared" si="49"/>
        <v>FY44</v>
      </c>
      <c r="AI62" s="54" t="str">
        <f t="shared" si="49"/>
        <v>FY45</v>
      </c>
    </row>
    <row r="63" spans="1:35" ht="11.25" customHeight="1" x14ac:dyDescent="0.2">
      <c r="D63" s="1"/>
    </row>
    <row r="64" spans="1:35" ht="12.75" x14ac:dyDescent="0.2">
      <c r="D64" s="75" t="s">
        <v>256</v>
      </c>
      <c r="E64" s="82"/>
      <c r="F64" s="82"/>
      <c r="G64" s="82"/>
      <c r="H64" s="243" t="s">
        <v>52</v>
      </c>
      <c r="I64" s="243" t="s">
        <v>47</v>
      </c>
      <c r="J64" s="243" t="s">
        <v>238</v>
      </c>
      <c r="M64" s="66">
        <f>M40+M52</f>
        <v>298.18604128554585</v>
      </c>
      <c r="N64" s="66">
        <f t="shared" ref="N64:AI64" si="50">N40+N52</f>
        <v>652.34780665696871</v>
      </c>
      <c r="O64" s="66">
        <f t="shared" si="50"/>
        <v>358.70088778912964</v>
      </c>
      <c r="P64" s="66">
        <f t="shared" si="50"/>
        <v>388.61912195397724</v>
      </c>
      <c r="Q64" s="66">
        <f t="shared" si="50"/>
        <v>309.02378022227606</v>
      </c>
      <c r="R64" s="66">
        <f t="shared" si="50"/>
        <v>206.12509504435127</v>
      </c>
      <c r="S64" s="66">
        <f t="shared" si="50"/>
        <v>197.30175669925956</v>
      </c>
      <c r="T64" s="66">
        <f t="shared" si="50"/>
        <v>344.32921280735832</v>
      </c>
      <c r="U64" s="66">
        <f t="shared" si="50"/>
        <v>344.32921280735832</v>
      </c>
      <c r="V64" s="66">
        <f t="shared" si="50"/>
        <v>246.02135623257243</v>
      </c>
      <c r="W64" s="66">
        <f t="shared" si="50"/>
        <v>246.36051403899847</v>
      </c>
      <c r="X64" s="66">
        <f t="shared" si="50"/>
        <v>246.36051403899847</v>
      </c>
      <c r="Y64" s="66">
        <f t="shared" si="50"/>
        <v>246.36051403899847</v>
      </c>
      <c r="Z64" s="66">
        <f t="shared" si="50"/>
        <v>246.36051403899847</v>
      </c>
      <c r="AA64" s="66">
        <f t="shared" si="50"/>
        <v>246.36051403899754</v>
      </c>
      <c r="AB64" s="66">
        <f t="shared" si="50"/>
        <v>246.36051403899847</v>
      </c>
      <c r="AC64" s="66">
        <f t="shared" si="50"/>
        <v>246.36051403899847</v>
      </c>
      <c r="AD64" s="66">
        <f t="shared" si="50"/>
        <v>246.36051403900035</v>
      </c>
      <c r="AE64" s="66">
        <f t="shared" si="50"/>
        <v>246.36051403899847</v>
      </c>
      <c r="AF64" s="66">
        <f t="shared" si="50"/>
        <v>246.36051403899754</v>
      </c>
      <c r="AG64" s="66">
        <f t="shared" si="50"/>
        <v>246.36051403899847</v>
      </c>
      <c r="AH64" s="66">
        <f t="shared" si="50"/>
        <v>246.36051403899847</v>
      </c>
      <c r="AI64" s="66">
        <f t="shared" si="50"/>
        <v>246.36051403899847</v>
      </c>
    </row>
    <row r="65" spans="1:35" ht="12.75" x14ac:dyDescent="0.2">
      <c r="D65" s="75" t="s">
        <v>69</v>
      </c>
      <c r="H65" s="243" t="s">
        <v>52</v>
      </c>
      <c r="I65" s="243" t="s">
        <v>47</v>
      </c>
      <c r="J65" s="243" t="s">
        <v>238</v>
      </c>
      <c r="M65" s="66">
        <f t="shared" ref="M65:AI65" si="51">M41+M53</f>
        <v>558.67663670097375</v>
      </c>
      <c r="N65" s="66">
        <f t="shared" si="51"/>
        <v>914.30616419689295</v>
      </c>
      <c r="O65" s="66">
        <f t="shared" si="51"/>
        <v>830.6779838724151</v>
      </c>
      <c r="P65" s="66">
        <f t="shared" si="51"/>
        <v>577.42037379952171</v>
      </c>
      <c r="Q65" s="66">
        <f t="shared" si="51"/>
        <v>442.40196625095473</v>
      </c>
      <c r="R65" s="66">
        <f t="shared" si="51"/>
        <v>378.93618733774122</v>
      </c>
      <c r="S65" s="66">
        <f t="shared" si="51"/>
        <v>361.86449547396109</v>
      </c>
      <c r="T65" s="66">
        <f t="shared" si="51"/>
        <v>580.61197251892293</v>
      </c>
      <c r="U65" s="66">
        <f t="shared" si="51"/>
        <v>580.61197251892293</v>
      </c>
      <c r="V65" s="66">
        <f t="shared" si="51"/>
        <v>414.84410735690528</v>
      </c>
      <c r="W65" s="66">
        <f t="shared" si="51"/>
        <v>415.41599924309969</v>
      </c>
      <c r="X65" s="66">
        <f t="shared" si="51"/>
        <v>415.41599924309969</v>
      </c>
      <c r="Y65" s="66">
        <f t="shared" si="51"/>
        <v>415.41599924309969</v>
      </c>
      <c r="Z65" s="66">
        <f t="shared" si="51"/>
        <v>415.41599924309969</v>
      </c>
      <c r="AA65" s="66">
        <f t="shared" si="51"/>
        <v>415.4159992430981</v>
      </c>
      <c r="AB65" s="66">
        <f t="shared" si="51"/>
        <v>415.41599924309969</v>
      </c>
      <c r="AC65" s="66">
        <f t="shared" si="51"/>
        <v>415.41599924309969</v>
      </c>
      <c r="AD65" s="66">
        <f t="shared" si="51"/>
        <v>415.41599924310299</v>
      </c>
      <c r="AE65" s="66">
        <f t="shared" si="51"/>
        <v>415.41599924309969</v>
      </c>
      <c r="AF65" s="66">
        <f t="shared" si="51"/>
        <v>415.4159992430981</v>
      </c>
      <c r="AG65" s="66">
        <f t="shared" si="51"/>
        <v>415.41599924309969</v>
      </c>
      <c r="AH65" s="66">
        <f t="shared" si="51"/>
        <v>415.41599924309969</v>
      </c>
      <c r="AI65" s="66">
        <f t="shared" si="51"/>
        <v>415.41599924309969</v>
      </c>
    </row>
    <row r="66" spans="1:35" ht="12.75" x14ac:dyDescent="0.2">
      <c r="D66" s="75" t="s">
        <v>255</v>
      </c>
      <c r="H66" s="243" t="s">
        <v>52</v>
      </c>
      <c r="I66" s="243" t="s">
        <v>47</v>
      </c>
      <c r="J66" s="243" t="s">
        <v>238</v>
      </c>
      <c r="M66" s="66">
        <f t="shared" ref="M66:AI66" si="52">M42+M54</f>
        <v>675.18685879164752</v>
      </c>
      <c r="N66" s="66">
        <f t="shared" si="52"/>
        <v>425.83209334327012</v>
      </c>
      <c r="O66" s="66">
        <f t="shared" si="52"/>
        <v>539.59398513660744</v>
      </c>
      <c r="P66" s="66">
        <f t="shared" si="52"/>
        <v>455.84615679850344</v>
      </c>
      <c r="Q66" s="66">
        <f t="shared" si="52"/>
        <v>436.35305591375845</v>
      </c>
      <c r="R66" s="66">
        <f t="shared" si="52"/>
        <v>408.69246642549535</v>
      </c>
      <c r="S66" s="66">
        <f t="shared" si="52"/>
        <v>400.69060324602447</v>
      </c>
      <c r="T66" s="66">
        <f t="shared" si="52"/>
        <v>477.45645995075813</v>
      </c>
      <c r="U66" s="66">
        <f t="shared" si="52"/>
        <v>477.45645995075813</v>
      </c>
      <c r="V66" s="66">
        <f t="shared" si="52"/>
        <v>341.14005274599333</v>
      </c>
      <c r="W66" s="66">
        <f t="shared" si="52"/>
        <v>341.61033839007291</v>
      </c>
      <c r="X66" s="66">
        <f t="shared" si="52"/>
        <v>341.61033839007291</v>
      </c>
      <c r="Y66" s="66">
        <f t="shared" si="52"/>
        <v>341.61033839007291</v>
      </c>
      <c r="Z66" s="66">
        <f t="shared" si="52"/>
        <v>341.61033839007291</v>
      </c>
      <c r="AA66" s="66">
        <f t="shared" si="52"/>
        <v>341.61033839007291</v>
      </c>
      <c r="AB66" s="66">
        <f t="shared" si="52"/>
        <v>341.61033839007291</v>
      </c>
      <c r="AC66" s="66">
        <f t="shared" si="52"/>
        <v>341.61033839007291</v>
      </c>
      <c r="AD66" s="66">
        <f t="shared" si="52"/>
        <v>341.61033839007672</v>
      </c>
      <c r="AE66" s="66">
        <f t="shared" si="52"/>
        <v>341.61033839007291</v>
      </c>
      <c r="AF66" s="66">
        <f t="shared" si="52"/>
        <v>341.61033839007291</v>
      </c>
      <c r="AG66" s="66">
        <f t="shared" si="52"/>
        <v>341.61033839007291</v>
      </c>
      <c r="AH66" s="66">
        <f t="shared" si="52"/>
        <v>341.61033839007291</v>
      </c>
      <c r="AI66" s="66">
        <f t="shared" si="52"/>
        <v>341.61033839007291</v>
      </c>
    </row>
    <row r="67" spans="1:35" ht="11.25" customHeight="1" x14ac:dyDescent="0.2"/>
    <row r="68" spans="1:35" ht="11.25" customHeight="1" x14ac:dyDescent="0.2">
      <c r="D68" s="62" t="s">
        <v>51</v>
      </c>
      <c r="H68" s="56" t="s">
        <v>52</v>
      </c>
      <c r="I68" s="56" t="str">
        <f>Thousands</f>
        <v>$000's</v>
      </c>
      <c r="J68" s="162" t="s">
        <v>238</v>
      </c>
      <c r="M68" s="68">
        <f t="shared" ref="M68:S68" si="53">SUM(M64:M66)</f>
        <v>1532.0495367781673</v>
      </c>
      <c r="N68" s="68">
        <f t="shared" si="53"/>
        <v>1992.4860641971318</v>
      </c>
      <c r="O68" s="68">
        <f t="shared" si="53"/>
        <v>1728.9728567981522</v>
      </c>
      <c r="P68" s="68">
        <f t="shared" si="53"/>
        <v>1421.8856525520023</v>
      </c>
      <c r="Q68" s="68">
        <f t="shared" si="53"/>
        <v>1187.7788023869894</v>
      </c>
      <c r="R68" s="68">
        <f t="shared" si="53"/>
        <v>993.75374880758784</v>
      </c>
      <c r="S68" s="68">
        <f t="shared" si="53"/>
        <v>959.85685541924511</v>
      </c>
      <c r="T68" s="68">
        <f t="shared" ref="T68:AI68" si="54">SUM(T64:T66)</f>
        <v>1402.3976452770394</v>
      </c>
      <c r="U68" s="68">
        <f t="shared" si="54"/>
        <v>1402.3976452770394</v>
      </c>
      <c r="V68" s="68">
        <f t="shared" si="54"/>
        <v>1002.005516335471</v>
      </c>
      <c r="W68" s="68">
        <f t="shared" si="54"/>
        <v>1003.3868516721711</v>
      </c>
      <c r="X68" s="68">
        <f t="shared" si="54"/>
        <v>1003.3868516721711</v>
      </c>
      <c r="Y68" s="68">
        <f t="shared" si="54"/>
        <v>1003.3868516721711</v>
      </c>
      <c r="Z68" s="68">
        <f t="shared" si="54"/>
        <v>1003.3868516721711</v>
      </c>
      <c r="AA68" s="68">
        <f t="shared" si="54"/>
        <v>1003.3868516721685</v>
      </c>
      <c r="AB68" s="68">
        <f t="shared" si="54"/>
        <v>1003.3868516721711</v>
      </c>
      <c r="AC68" s="68">
        <f t="shared" si="54"/>
        <v>1003.3868516721711</v>
      </c>
      <c r="AD68" s="68">
        <f t="shared" si="54"/>
        <v>1003.38685167218</v>
      </c>
      <c r="AE68" s="68">
        <f t="shared" si="54"/>
        <v>1003.3868516721711</v>
      </c>
      <c r="AF68" s="68">
        <f t="shared" si="54"/>
        <v>1003.3868516721685</v>
      </c>
      <c r="AG68" s="68">
        <f t="shared" si="54"/>
        <v>1003.3868516721711</v>
      </c>
      <c r="AH68" s="68">
        <f t="shared" si="54"/>
        <v>1003.3868516721711</v>
      </c>
      <c r="AI68" s="68">
        <f t="shared" si="54"/>
        <v>1003.3868516721711</v>
      </c>
    </row>
    <row r="69" spans="1:35" ht="11.25" customHeight="1" x14ac:dyDescent="0.2"/>
    <row r="70" spans="1:35" ht="12.75" hidden="1" outlineLevel="1" x14ac:dyDescent="0.2">
      <c r="D70" s="81" t="s">
        <v>90</v>
      </c>
      <c r="E70" s="82"/>
      <c r="G70" s="82"/>
      <c r="H70" s="243" t="s">
        <v>52</v>
      </c>
      <c r="I70" s="243" t="s">
        <v>47</v>
      </c>
      <c r="J70" s="243" t="s">
        <v>40</v>
      </c>
      <c r="K70" s="78"/>
      <c r="M70" s="66">
        <f>M44+M56</f>
        <v>1532.0495367781671</v>
      </c>
      <c r="N70" s="66">
        <f t="shared" ref="N70:AI70" si="55">N44+N56</f>
        <v>1992.4860641971318</v>
      </c>
      <c r="O70" s="66">
        <f t="shared" si="55"/>
        <v>1728.9728567981522</v>
      </c>
      <c r="P70" s="66">
        <f t="shared" si="55"/>
        <v>1421.8856525520023</v>
      </c>
      <c r="Q70" s="66">
        <f t="shared" si="55"/>
        <v>1187.7788023869891</v>
      </c>
      <c r="R70" s="66">
        <f t="shared" si="55"/>
        <v>993.75374880758795</v>
      </c>
      <c r="S70" s="66">
        <f t="shared" si="55"/>
        <v>959.85685541924511</v>
      </c>
      <c r="T70" s="66">
        <f t="shared" si="55"/>
        <v>1402.3976452770394</v>
      </c>
      <c r="U70" s="66">
        <f t="shared" si="55"/>
        <v>1402.3976452770394</v>
      </c>
      <c r="V70" s="66">
        <f t="shared" si="55"/>
        <v>1002.005516335471</v>
      </c>
      <c r="W70" s="66">
        <f t="shared" si="55"/>
        <v>1003.3868516721711</v>
      </c>
      <c r="X70" s="66">
        <f t="shared" si="55"/>
        <v>1003.3868516721711</v>
      </c>
      <c r="Y70" s="66">
        <f t="shared" si="55"/>
        <v>1003.3868516721711</v>
      </c>
      <c r="Z70" s="66">
        <f t="shared" si="55"/>
        <v>1003.3868516721711</v>
      </c>
      <c r="AA70" s="66">
        <f t="shared" si="55"/>
        <v>1003.3868516721685</v>
      </c>
      <c r="AB70" s="66">
        <f t="shared" si="55"/>
        <v>1003.3868516721711</v>
      </c>
      <c r="AC70" s="66">
        <f t="shared" si="55"/>
        <v>1003.3868516721711</v>
      </c>
      <c r="AD70" s="66">
        <f t="shared" si="55"/>
        <v>1003.3868516721801</v>
      </c>
      <c r="AE70" s="66">
        <f t="shared" si="55"/>
        <v>1003.3868516721711</v>
      </c>
      <c r="AF70" s="66">
        <f t="shared" si="55"/>
        <v>1003.3868516721685</v>
      </c>
      <c r="AG70" s="66">
        <f t="shared" si="55"/>
        <v>1003.3868516721711</v>
      </c>
      <c r="AH70" s="66">
        <f t="shared" si="55"/>
        <v>1003.3868516721711</v>
      </c>
      <c r="AI70" s="66">
        <f t="shared" si="55"/>
        <v>1003.3868516721711</v>
      </c>
    </row>
    <row r="71" spans="1:35" ht="12.75" hidden="1" outlineLevel="1" x14ac:dyDescent="0.2">
      <c r="A71" s="59">
        <f>IF(SUM($M71:$AI71)=0,0,1)</f>
        <v>0</v>
      </c>
      <c r="D71" s="81" t="s">
        <v>55</v>
      </c>
      <c r="E71" s="82"/>
      <c r="F71" s="80"/>
      <c r="G71" s="82"/>
      <c r="H71" s="80"/>
      <c r="I71" s="84"/>
      <c r="J71" s="84"/>
      <c r="K71" s="78"/>
      <c r="M71" s="59">
        <f t="shared" ref="M71:S71" si="56">IF(ROUND(M70-M68,2)=0,0,1)</f>
        <v>0</v>
      </c>
      <c r="N71" s="59">
        <f t="shared" si="56"/>
        <v>0</v>
      </c>
      <c r="O71" s="59">
        <f t="shared" si="56"/>
        <v>0</v>
      </c>
      <c r="P71" s="59">
        <f t="shared" si="56"/>
        <v>0</v>
      </c>
      <c r="Q71" s="59">
        <f t="shared" si="56"/>
        <v>0</v>
      </c>
      <c r="R71" s="59">
        <f t="shared" si="56"/>
        <v>0</v>
      </c>
      <c r="S71" s="59">
        <f t="shared" si="56"/>
        <v>0</v>
      </c>
      <c r="T71" s="59">
        <f t="shared" ref="T71" si="57">IF(ROUND(T70-T68,2)=0,0,1)</f>
        <v>0</v>
      </c>
      <c r="U71" s="59">
        <f t="shared" ref="U71" si="58">IF(ROUND(U70-U68,2)=0,0,1)</f>
        <v>0</v>
      </c>
      <c r="V71" s="59">
        <f t="shared" ref="V71" si="59">IF(ROUND(V70-V68,2)=0,0,1)</f>
        <v>0</v>
      </c>
      <c r="W71" s="59">
        <f t="shared" ref="W71" si="60">IF(ROUND(W70-W68,2)=0,0,1)</f>
        <v>0</v>
      </c>
      <c r="X71" s="59">
        <f t="shared" ref="X71" si="61">IF(ROUND(X70-X68,2)=0,0,1)</f>
        <v>0</v>
      </c>
      <c r="Y71" s="59">
        <f t="shared" ref="Y71" si="62">IF(ROUND(Y70-Y68,2)=0,0,1)</f>
        <v>0</v>
      </c>
      <c r="Z71" s="59">
        <f t="shared" ref="Z71" si="63">IF(ROUND(Z70-Z68,2)=0,0,1)</f>
        <v>0</v>
      </c>
      <c r="AA71" s="59">
        <f t="shared" ref="AA71" si="64">IF(ROUND(AA70-AA68,2)=0,0,1)</f>
        <v>0</v>
      </c>
      <c r="AB71" s="59">
        <f t="shared" ref="AB71" si="65">IF(ROUND(AB70-AB68,2)=0,0,1)</f>
        <v>0</v>
      </c>
      <c r="AC71" s="59">
        <f t="shared" ref="AC71" si="66">IF(ROUND(AC70-AC68,2)=0,0,1)</f>
        <v>0</v>
      </c>
      <c r="AD71" s="59">
        <f t="shared" ref="AD71" si="67">IF(ROUND(AD70-AD68,2)=0,0,1)</f>
        <v>0</v>
      </c>
      <c r="AE71" s="59">
        <f t="shared" ref="AE71" si="68">IF(ROUND(AE70-AE68,2)=0,0,1)</f>
        <v>0</v>
      </c>
      <c r="AF71" s="59">
        <f t="shared" ref="AF71" si="69">IF(ROUND(AF70-AF68,2)=0,0,1)</f>
        <v>0</v>
      </c>
      <c r="AG71" s="59">
        <f t="shared" ref="AG71" si="70">IF(ROUND(AG70-AG68,2)=0,0,1)</f>
        <v>0</v>
      </c>
      <c r="AH71" s="59">
        <f t="shared" ref="AH71" si="71">IF(ROUND(AH70-AH68,2)=0,0,1)</f>
        <v>0</v>
      </c>
      <c r="AI71" s="59">
        <f t="shared" ref="AI71" si="72">IF(ROUND(AI70-AI68,2)=0,0,1)</f>
        <v>0</v>
      </c>
    </row>
    <row r="72" spans="1:35" ht="11.25" customHeight="1" collapsed="1" x14ac:dyDescent="0.2"/>
    <row r="73" spans="1:35" ht="11.25" customHeight="1" x14ac:dyDescent="0.2"/>
    <row r="74" spans="1:35" s="8" customFormat="1" ht="15" x14ac:dyDescent="0.2">
      <c r="C74" s="8" t="s">
        <v>714</v>
      </c>
    </row>
    <row r="75" spans="1:35" ht="11.25" customHeight="1" x14ac:dyDescent="0.2"/>
    <row r="76" spans="1:35" ht="11.25" customHeight="1" x14ac:dyDescent="0.2">
      <c r="D76" s="70" t="s">
        <v>715</v>
      </c>
      <c r="H76" s="54" t="str">
        <f>Lookup!E$19</f>
        <v>Source</v>
      </c>
      <c r="I76" s="54" t="str">
        <f>Lookup!F$19</f>
        <v>Unit</v>
      </c>
      <c r="J76" s="54" t="str">
        <f>Lookup!G$19</f>
        <v>Basis</v>
      </c>
      <c r="M76" s="54" t="str">
        <f t="shared" ref="M76:S76" si="73">M$9</f>
        <v>FY23</v>
      </c>
      <c r="N76" s="54" t="str">
        <f t="shared" si="73"/>
        <v>FY24</v>
      </c>
      <c r="O76" s="54" t="str">
        <f t="shared" si="73"/>
        <v>FY25</v>
      </c>
      <c r="P76" s="54" t="str">
        <f t="shared" si="73"/>
        <v>FY26</v>
      </c>
      <c r="Q76" s="54" t="str">
        <f t="shared" si="73"/>
        <v>FY27</v>
      </c>
      <c r="R76" s="54" t="str">
        <f t="shared" si="73"/>
        <v>FY28</v>
      </c>
      <c r="S76" s="54" t="str">
        <f t="shared" si="73"/>
        <v>FY29</v>
      </c>
      <c r="U76" s="54" t="s">
        <v>664</v>
      </c>
    </row>
    <row r="77" spans="1:35" ht="11.25" customHeight="1" x14ac:dyDescent="0.2">
      <c r="D77" s="1"/>
    </row>
    <row r="78" spans="1:35" ht="12.75" x14ac:dyDescent="0.2">
      <c r="D78" s="75" t="s">
        <v>256</v>
      </c>
      <c r="E78" s="82"/>
      <c r="F78" s="82"/>
      <c r="G78" s="82"/>
      <c r="H78" s="243" t="s">
        <v>52</v>
      </c>
      <c r="I78" s="243" t="s">
        <v>47</v>
      </c>
      <c r="J78" s="243" t="s">
        <v>238</v>
      </c>
      <c r="M78" s="66">
        <f>SUMIF(Inputs_LRMC!$U$49:$U$57,$D78,Inputs_LRMC!M$49:M$57)+SUMIF(Inputs_LRMC!$U$65:$U$71,$D78,Inputs_LRMC!M$65:M$71)/Inputs_LRMC!M$73*Inputs_LRMC!M$49</f>
        <v>1146.00151506269</v>
      </c>
      <c r="N78" s="66">
        <f>SUMIF(Inputs_LRMC!$U$49:$U$57,$D78,Inputs_LRMC!N$49:N$57)+SUMIF(Inputs_LRMC!$U$65:$U$71,$D78,Inputs_LRMC!N$65:N$71)/Inputs_LRMC!N$73*Inputs_LRMC!N$49</f>
        <v>3386.1099629985874</v>
      </c>
      <c r="O78" s="66">
        <f>SUMIF(Inputs_LRMC!$U$49:$U$57,$D78,Inputs_LRMC!O$49:O$57)+SUMIF(Inputs_LRMC!$U$65:$U$71,$D78,Inputs_LRMC!O$65:O$71)/Inputs_LRMC!O$73*Inputs_LRMC!O$49</f>
        <v>1486.7811499634063</v>
      </c>
      <c r="P78" s="66">
        <f>SUMIF(Inputs_LRMC!$U$49:$U$57,$D78,Inputs_LRMC!P$49:P$57)+SUMIF(Inputs_LRMC!$U$65:$U$71,$D78,Inputs_LRMC!P$65:P$71)/Inputs_LRMC!P$73*Inputs_LRMC!P$49</f>
        <v>1504.0531068916725</v>
      </c>
      <c r="Q78" s="66">
        <f>SUMIF(Inputs_LRMC!$U$49:$U$57,$D78,Inputs_LRMC!Q$49:Q$57)+SUMIF(Inputs_LRMC!$U$65:$U$71,$D78,Inputs_LRMC!Q$65:Q$71)/Inputs_LRMC!Q$73*Inputs_LRMC!Q$49</f>
        <v>1512.5680783263517</v>
      </c>
      <c r="R78" s="66">
        <f>SUMIF(Inputs_LRMC!$U$49:$U$57,$D78,Inputs_LRMC!R$49:R$57)+SUMIF(Inputs_LRMC!$U$65:$U$71,$D78,Inputs_LRMC!R$65:R$71)/Inputs_LRMC!R$73*Inputs_LRMC!R$49</f>
        <v>1517.2328970649528</v>
      </c>
      <c r="S78" s="66">
        <f>SUMIF(Inputs_LRMC!$U$49:$U$57,$D78,Inputs_LRMC!S$49:S$57)+SUMIF(Inputs_LRMC!$U$65:$U$71,$D78,Inputs_LRMC!S$65:S$71)/Inputs_LRMC!S$73*Inputs_LRMC!S$49</f>
        <v>1525.6322513117088</v>
      </c>
      <c r="U78" s="126">
        <f t="array" ref="U78">AVERAGE($M78:$S78/($M$83:$S$83-$M$81:$S$81))</f>
        <v>0.26276204092088801</v>
      </c>
    </row>
    <row r="79" spans="1:35" ht="12.75" x14ac:dyDescent="0.2">
      <c r="D79" s="75" t="s">
        <v>69</v>
      </c>
      <c r="H79" s="243" t="s">
        <v>52</v>
      </c>
      <c r="I79" s="243" t="s">
        <v>47</v>
      </c>
      <c r="J79" s="243" t="s">
        <v>238</v>
      </c>
      <c r="M79" s="66">
        <f>SUMIF(Inputs_LRMC!$U$49:$U$57,$D79,Inputs_LRMC!M$49:M$57)+SUMIF(Inputs_LRMC!$U$65:$U$71,$D79,Inputs_LRMC!M$65:M$71)/Inputs_LRMC!M$73*Inputs_LRMC!M$49</f>
        <v>4365.9401636730618</v>
      </c>
      <c r="N79" s="66">
        <f>SUMIF(Inputs_LRMC!$U$49:$U$57,$D79,Inputs_LRMC!N$49:N$57)+SUMIF(Inputs_LRMC!$U$65:$U$71,$D79,Inputs_LRMC!N$65:N$71)/Inputs_LRMC!N$73*Inputs_LRMC!N$49</f>
        <v>8638.4626818786401</v>
      </c>
      <c r="O79" s="66">
        <f>SUMIF(Inputs_LRMC!$U$49:$U$57,$D79,Inputs_LRMC!O$49:O$57)+SUMIF(Inputs_LRMC!$U$65:$U$71,$D79,Inputs_LRMC!O$65:O$71)/Inputs_LRMC!O$73*Inputs_LRMC!O$49</f>
        <v>6048.5885502403107</v>
      </c>
      <c r="P79" s="66">
        <f>SUMIF(Inputs_LRMC!$U$49:$U$57,$D79,Inputs_LRMC!P$49:P$57)+SUMIF(Inputs_LRMC!$U$65:$U$71,$D79,Inputs_LRMC!P$65:P$71)/Inputs_LRMC!P$73*Inputs_LRMC!P$49</f>
        <v>2726.2540930622604</v>
      </c>
      <c r="Q79" s="66">
        <f>SUMIF(Inputs_LRMC!$U$49:$U$57,$D79,Inputs_LRMC!Q$49:Q$57)+SUMIF(Inputs_LRMC!$U$65:$U$71,$D79,Inputs_LRMC!Q$65:Q$71)/Inputs_LRMC!Q$73*Inputs_LRMC!Q$49</f>
        <v>1718.1460637152511</v>
      </c>
      <c r="R79" s="66">
        <f>SUMIF(Inputs_LRMC!$U$49:$U$57,$D79,Inputs_LRMC!R$49:R$57)+SUMIF(Inputs_LRMC!$U$65:$U$71,$D79,Inputs_LRMC!R$65:R$71)/Inputs_LRMC!R$73*Inputs_LRMC!R$49</f>
        <v>1723.4448929504556</v>
      </c>
      <c r="S79" s="66">
        <f>SUMIF(Inputs_LRMC!$U$49:$U$57,$D79,Inputs_LRMC!S$49:S$57)+SUMIF(Inputs_LRMC!$U$65:$U$71,$D79,Inputs_LRMC!S$65:S$71)/Inputs_LRMC!S$73*Inputs_LRMC!S$49</f>
        <v>1732.9858304088093</v>
      </c>
      <c r="U79" s="126">
        <f t="array" ref="U79">AVERAGE($M79:$S79/($M$83:$S$83-$M$81:$S$81))</f>
        <v>0.50442936287796425</v>
      </c>
    </row>
    <row r="80" spans="1:35" ht="12.75" x14ac:dyDescent="0.2">
      <c r="D80" s="75" t="s">
        <v>255</v>
      </c>
      <c r="H80" s="243" t="s">
        <v>52</v>
      </c>
      <c r="I80" s="243" t="s">
        <v>47</v>
      </c>
      <c r="J80" s="243" t="s">
        <v>238</v>
      </c>
      <c r="M80" s="66">
        <f>SUMIF(Inputs_LRMC!$U$49:$U$57,$D80,Inputs_LRMC!M$49:M$57)+SUMIF(Inputs_LRMC!$U$65:$U$71,$D80,Inputs_LRMC!M$65:M$71)/Inputs_LRMC!M$73*Inputs_LRMC!M$49</f>
        <v>2116.5409984038624</v>
      </c>
      <c r="N80" s="66">
        <f>SUMIF(Inputs_LRMC!$U$49:$U$57,$D80,Inputs_LRMC!N$49:N$57)+SUMIF(Inputs_LRMC!$U$65:$U$71,$D80,Inputs_LRMC!N$65:N$71)/Inputs_LRMC!N$73*Inputs_LRMC!N$49</f>
        <v>1126.2699598894196</v>
      </c>
      <c r="O80" s="66">
        <f>SUMIF(Inputs_LRMC!$U$49:$U$57,$D80,Inputs_LRMC!O$49:O$57)+SUMIF(Inputs_LRMC!$U$65:$U$71,$D80,Inputs_LRMC!O$65:O$71)/Inputs_LRMC!O$73*Inputs_LRMC!O$49</f>
        <v>1315.3619950729499</v>
      </c>
      <c r="P80" s="66">
        <f>SUMIF(Inputs_LRMC!$U$49:$U$57,$D80,Inputs_LRMC!P$49:P$57)+SUMIF(Inputs_LRMC!$U$65:$U$71,$D80,Inputs_LRMC!P$65:P$71)/Inputs_LRMC!P$73*Inputs_LRMC!P$49</f>
        <v>1330.6425733373014</v>
      </c>
      <c r="Q80" s="66">
        <f>SUMIF(Inputs_LRMC!$U$49:$U$57,$D80,Inputs_LRMC!Q$49:Q$57)+SUMIF(Inputs_LRMC!$U$65:$U$71,$D80,Inputs_LRMC!Q$65:Q$71)/Inputs_LRMC!Q$73*Inputs_LRMC!Q$49</f>
        <v>1338.1758070042633</v>
      </c>
      <c r="R80" s="66">
        <f>SUMIF(Inputs_LRMC!$U$49:$U$57,$D80,Inputs_LRMC!R$49:R$57)+SUMIF(Inputs_LRMC!$U$65:$U$71,$D80,Inputs_LRMC!R$65:R$71)/Inputs_LRMC!R$73*Inputs_LRMC!R$49</f>
        <v>1342.302793200457</v>
      </c>
      <c r="S80" s="66">
        <f>SUMIF(Inputs_LRMC!$U$49:$U$57,$D80,Inputs_LRMC!S$49:S$57)+SUMIF(Inputs_LRMC!$U$65:$U$71,$D80,Inputs_LRMC!S$65:S$71)/Inputs_LRMC!S$73*Inputs_LRMC!S$49</f>
        <v>1349.7337398193388</v>
      </c>
      <c r="U80" s="126">
        <f t="array" ref="U80">AVERAGE($M80:$S80/($M$83:$S$83-$M$81:$S$81))</f>
        <v>0.23280859620114772</v>
      </c>
    </row>
    <row r="81" spans="1:35" ht="12.75" x14ac:dyDescent="0.2">
      <c r="D81" s="75" t="s">
        <v>317</v>
      </c>
      <c r="H81" s="243" t="s">
        <v>52</v>
      </c>
      <c r="I81" s="243" t="s">
        <v>47</v>
      </c>
      <c r="J81" s="243" t="s">
        <v>238</v>
      </c>
      <c r="M81" s="66">
        <f>SUMIF(Inputs_LRMC!$U$49:$U$57,$D81,Inputs_LRMC!M$49:M$57)+SUMIF(Inputs_LRMC!$U$65:$U$71,$D81,Inputs_LRMC!M$65:M$71)/Inputs_LRMC!M$73*Inputs_LRMC!M$49</f>
        <v>4039.3934066110137</v>
      </c>
      <c r="N81" s="66">
        <f>SUMIF(Inputs_LRMC!$U$49:$U$57,$D81,Inputs_LRMC!N$49:N$57)+SUMIF(Inputs_LRMC!$U$65:$U$71,$D81,Inputs_LRMC!N$65:N$71)/Inputs_LRMC!N$73*Inputs_LRMC!N$49</f>
        <v>303.09211169028725</v>
      </c>
      <c r="O81" s="66">
        <f>SUMIF(Inputs_LRMC!$U$49:$U$57,$D81,Inputs_LRMC!O$49:O$57)+SUMIF(Inputs_LRMC!$U$65:$U$71,$D81,Inputs_LRMC!O$65:O$71)/Inputs_LRMC!O$73*Inputs_LRMC!O$49</f>
        <v>634.44456103390439</v>
      </c>
      <c r="P81" s="66">
        <f>SUMIF(Inputs_LRMC!$U$49:$U$57,$D81,Inputs_LRMC!P$49:P$57)+SUMIF(Inputs_LRMC!$U$65:$U$71,$D81,Inputs_LRMC!P$65:P$71)/Inputs_LRMC!P$73*Inputs_LRMC!P$49</f>
        <v>506.1108724462751</v>
      </c>
      <c r="Q81" s="66">
        <f>SUMIF(Inputs_LRMC!$U$49:$U$57,$D81,Inputs_LRMC!Q$49:Q$57)+SUMIF(Inputs_LRMC!$U$65:$U$71,$D81,Inputs_LRMC!Q$65:Q$71)/Inputs_LRMC!Q$73*Inputs_LRMC!Q$49</f>
        <v>2719.7843137968644</v>
      </c>
      <c r="R81" s="66">
        <f>SUMIF(Inputs_LRMC!$U$49:$U$57,$D81,Inputs_LRMC!R$49:R$57)+SUMIF(Inputs_LRMC!$U$65:$U$71,$D81,Inputs_LRMC!R$65:R$71)/Inputs_LRMC!R$73*Inputs_LRMC!R$49</f>
        <v>818.55553143869201</v>
      </c>
      <c r="S81" s="66">
        <f>SUMIF(Inputs_LRMC!$U$49:$U$57,$D81,Inputs_LRMC!S$49:S$57)+SUMIF(Inputs_LRMC!$U$65:$U$71,$D81,Inputs_LRMC!S$65:S$71)/Inputs_LRMC!S$73*Inputs_LRMC!S$49</f>
        <v>364.25026215366648</v>
      </c>
    </row>
    <row r="82" spans="1:35" ht="11.25" customHeight="1" x14ac:dyDescent="0.2"/>
    <row r="83" spans="1:35" ht="11.25" customHeight="1" x14ac:dyDescent="0.2">
      <c r="D83" s="62" t="s">
        <v>51</v>
      </c>
      <c r="H83" s="56" t="s">
        <v>52</v>
      </c>
      <c r="I83" s="56" t="str">
        <f>Thousands</f>
        <v>$000's</v>
      </c>
      <c r="J83" s="162" t="s">
        <v>238</v>
      </c>
      <c r="M83" s="68">
        <f t="shared" ref="M83" si="74">SUM(M78:M81)</f>
        <v>11667.876083750627</v>
      </c>
      <c r="N83" s="68">
        <f t="shared" ref="N83:U83" si="75">SUM(N78:N81)</f>
        <v>13453.934716456934</v>
      </c>
      <c r="O83" s="68">
        <f t="shared" si="75"/>
        <v>9485.1762563105713</v>
      </c>
      <c r="P83" s="68">
        <f t="shared" si="75"/>
        <v>6067.0606457375097</v>
      </c>
      <c r="Q83" s="68">
        <f t="shared" si="75"/>
        <v>7288.674262842731</v>
      </c>
      <c r="R83" s="68">
        <f t="shared" si="75"/>
        <v>5401.5361146545574</v>
      </c>
      <c r="S83" s="68">
        <f t="shared" si="75"/>
        <v>4972.602083693524</v>
      </c>
      <c r="U83" s="161">
        <f t="shared" si="75"/>
        <v>1</v>
      </c>
    </row>
    <row r="84" spans="1:35" ht="11.25" customHeight="1" x14ac:dyDescent="0.2"/>
    <row r="85" spans="1:35" ht="12.75" hidden="1" outlineLevel="1" x14ac:dyDescent="0.2">
      <c r="D85" s="81" t="s">
        <v>90</v>
      </c>
      <c r="E85" s="82"/>
      <c r="G85" s="82"/>
      <c r="H85" s="243" t="s">
        <v>52</v>
      </c>
      <c r="I85" s="243" t="s">
        <v>47</v>
      </c>
      <c r="J85" s="243" t="s">
        <v>40</v>
      </c>
      <c r="K85" s="78"/>
      <c r="M85" s="66">
        <f>Inputs_LRMC!M59</f>
        <v>11667.876083750629</v>
      </c>
      <c r="N85" s="66">
        <f>Inputs_LRMC!N59</f>
        <v>13453.934716456935</v>
      </c>
      <c r="O85" s="66">
        <f>Inputs_LRMC!O59</f>
        <v>9485.1762563105694</v>
      </c>
      <c r="P85" s="66">
        <f>Inputs_LRMC!P59</f>
        <v>6067.0606457375088</v>
      </c>
      <c r="Q85" s="66">
        <f>Inputs_LRMC!Q59</f>
        <v>7288.674262842731</v>
      </c>
      <c r="R85" s="66">
        <f>Inputs_LRMC!R59</f>
        <v>5401.5361146545574</v>
      </c>
      <c r="S85" s="66">
        <f>Inputs_LRMC!S59</f>
        <v>4972.6020836935231</v>
      </c>
    </row>
    <row r="86" spans="1:35" ht="12.75" hidden="1" outlineLevel="1" x14ac:dyDescent="0.2">
      <c r="A86" s="59">
        <f>IF(SUM($M86:$S86)=0,0,1)</f>
        <v>0</v>
      </c>
      <c r="D86" s="81" t="s">
        <v>55</v>
      </c>
      <c r="E86" s="82"/>
      <c r="F86" s="80"/>
      <c r="G86" s="82"/>
      <c r="H86" s="80"/>
      <c r="I86" s="84"/>
      <c r="J86" s="84"/>
      <c r="K86" s="78"/>
      <c r="M86" s="59">
        <f t="shared" ref="M86:S86" si="76">IF(ROUND(M85-M83,2)=0,0,1)</f>
        <v>0</v>
      </c>
      <c r="N86" s="59">
        <f t="shared" si="76"/>
        <v>0</v>
      </c>
      <c r="O86" s="59">
        <f t="shared" si="76"/>
        <v>0</v>
      </c>
      <c r="P86" s="59">
        <f t="shared" si="76"/>
        <v>0</v>
      </c>
      <c r="Q86" s="59">
        <f t="shared" si="76"/>
        <v>0</v>
      </c>
      <c r="R86" s="59">
        <f t="shared" si="76"/>
        <v>0</v>
      </c>
      <c r="S86" s="59">
        <f t="shared" si="76"/>
        <v>0</v>
      </c>
    </row>
    <row r="87" spans="1:35" ht="11.25" customHeight="1" collapsed="1" x14ac:dyDescent="0.2"/>
    <row r="88" spans="1:35" ht="11.25" customHeight="1" x14ac:dyDescent="0.2"/>
    <row r="89" spans="1:35" ht="11.25" customHeight="1" x14ac:dyDescent="0.2">
      <c r="D89" s="70" t="s">
        <v>716</v>
      </c>
      <c r="H89" s="54" t="str">
        <f>Lookup!E$19</f>
        <v>Source</v>
      </c>
      <c r="I89" s="54" t="str">
        <f>Lookup!F$19</f>
        <v>Unit</v>
      </c>
      <c r="J89" s="54" t="str">
        <f>Lookup!G$19</f>
        <v>Basis</v>
      </c>
      <c r="M89" s="54" t="str">
        <f t="shared" ref="M89:S89" si="77">M$9</f>
        <v>FY23</v>
      </c>
      <c r="N89" s="54" t="str">
        <f t="shared" si="77"/>
        <v>FY24</v>
      </c>
      <c r="O89" s="54" t="str">
        <f t="shared" si="77"/>
        <v>FY25</v>
      </c>
      <c r="P89" s="54" t="str">
        <f t="shared" si="77"/>
        <v>FY26</v>
      </c>
      <c r="Q89" s="54" t="str">
        <f t="shared" si="77"/>
        <v>FY27</v>
      </c>
      <c r="R89" s="54" t="str">
        <f t="shared" si="77"/>
        <v>FY28</v>
      </c>
      <c r="S89" s="54" t="str">
        <f t="shared" si="77"/>
        <v>FY29</v>
      </c>
      <c r="T89" s="54" t="str">
        <f t="shared" ref="T89:AI89" si="78">T$9</f>
        <v>FY30</v>
      </c>
      <c r="U89" s="54" t="str">
        <f t="shared" si="78"/>
        <v>FY31</v>
      </c>
      <c r="V89" s="54" t="str">
        <f t="shared" si="78"/>
        <v>FY32</v>
      </c>
      <c r="W89" s="54" t="str">
        <f t="shared" si="78"/>
        <v>FY33</v>
      </c>
      <c r="X89" s="54" t="str">
        <f t="shared" si="78"/>
        <v>FY34</v>
      </c>
      <c r="Y89" s="54" t="str">
        <f t="shared" si="78"/>
        <v>FY35</v>
      </c>
      <c r="Z89" s="54" t="str">
        <f t="shared" si="78"/>
        <v>FY36</v>
      </c>
      <c r="AA89" s="54" t="str">
        <f t="shared" si="78"/>
        <v>FY37</v>
      </c>
      <c r="AB89" s="54" t="str">
        <f t="shared" si="78"/>
        <v>FY38</v>
      </c>
      <c r="AC89" s="54" t="str">
        <f t="shared" si="78"/>
        <v>FY39</v>
      </c>
      <c r="AD89" s="54" t="str">
        <f t="shared" si="78"/>
        <v>FY40</v>
      </c>
      <c r="AE89" s="54" t="str">
        <f t="shared" si="78"/>
        <v>FY41</v>
      </c>
      <c r="AF89" s="54" t="str">
        <f t="shared" si="78"/>
        <v>FY42</v>
      </c>
      <c r="AG89" s="54" t="str">
        <f t="shared" si="78"/>
        <v>FY43</v>
      </c>
      <c r="AH89" s="54" t="str">
        <f t="shared" si="78"/>
        <v>FY44</v>
      </c>
      <c r="AI89" s="54" t="str">
        <f t="shared" si="78"/>
        <v>FY45</v>
      </c>
    </row>
    <row r="90" spans="1:35" ht="11.25" customHeight="1" x14ac:dyDescent="0.2">
      <c r="D90" s="1"/>
    </row>
    <row r="91" spans="1:35" ht="12.75" x14ac:dyDescent="0.2">
      <c r="D91" s="75" t="s">
        <v>256</v>
      </c>
      <c r="E91" s="82"/>
      <c r="F91" s="82"/>
      <c r="G91" s="82"/>
      <c r="H91" s="243" t="s">
        <v>52</v>
      </c>
      <c r="I91" s="243" t="s">
        <v>47</v>
      </c>
      <c r="J91" s="243" t="s">
        <v>238</v>
      </c>
      <c r="M91" s="66">
        <f>M78+M$81*$U78</f>
        <v>2207.4007706661787</v>
      </c>
      <c r="N91" s="66">
        <f t="shared" ref="N91:S91" si="79">N78+N$81*$U78</f>
        <v>3465.7510648533489</v>
      </c>
      <c r="O91" s="66">
        <f t="shared" si="79"/>
        <v>1653.4890976718318</v>
      </c>
      <c r="P91" s="66">
        <f t="shared" si="79"/>
        <v>1637.0398326679069</v>
      </c>
      <c r="Q91" s="66">
        <f t="shared" si="79"/>
        <v>2227.2241554842326</v>
      </c>
      <c r="R91" s="66">
        <f t="shared" si="79"/>
        <v>1732.3182191128656</v>
      </c>
      <c r="S91" s="96">
        <f t="shared" si="79"/>
        <v>1621.3433936011747</v>
      </c>
      <c r="T91" s="66">
        <f>AVERAGE($M91:$S91)</f>
        <v>2077.7952191510772</v>
      </c>
      <c r="U91" s="96">
        <f>AVERAGE($M91:$S91)</f>
        <v>2077.7952191510772</v>
      </c>
      <c r="V91" s="66">
        <f>Calc_LRMC!V195*SUM($M91:$U91)/SUM(Calc_LRMC!$M195:$U195)</f>
        <v>1484.5734221077946</v>
      </c>
      <c r="W91" s="66">
        <f>Calc_LRMC!W195*SUM($M91:$U91)/SUM(Calc_LRMC!$M195:$U195)</f>
        <v>1486.620011367487</v>
      </c>
      <c r="X91" s="66">
        <f>Calc_LRMC!X195*SUM($M91:$U91)/SUM(Calc_LRMC!$M195:$U195)</f>
        <v>1486.620011367487</v>
      </c>
      <c r="Y91" s="66">
        <f>Calc_LRMC!Y195*SUM($M91:$U91)/SUM(Calc_LRMC!$M195:$U195)</f>
        <v>1486.620011367487</v>
      </c>
      <c r="Z91" s="66">
        <f>Calc_LRMC!Z195*SUM($M91:$U91)/SUM(Calc_LRMC!$M195:$U195)</f>
        <v>1486.620011367487</v>
      </c>
      <c r="AA91" s="66">
        <f>Calc_LRMC!AA195*SUM($M91:$U91)/SUM(Calc_LRMC!$M195:$U195)</f>
        <v>1486.6200113674813</v>
      </c>
      <c r="AB91" s="66">
        <f>Calc_LRMC!AB195*SUM($M91:$U91)/SUM(Calc_LRMC!$M195:$U195)</f>
        <v>1486.620011367487</v>
      </c>
      <c r="AC91" s="66">
        <f>Calc_LRMC!AC195*SUM($M91:$U91)/SUM(Calc_LRMC!$M195:$U195)</f>
        <v>1486.620011367487</v>
      </c>
      <c r="AD91" s="66">
        <f>Calc_LRMC!AD195*SUM($M91:$U91)/SUM(Calc_LRMC!$M195:$U195)</f>
        <v>1486.6200113674984</v>
      </c>
      <c r="AE91" s="66">
        <f>Calc_LRMC!AE195*SUM($M91:$U91)/SUM(Calc_LRMC!$M195:$U195)</f>
        <v>1486.620011367487</v>
      </c>
      <c r="AF91" s="66">
        <f>Calc_LRMC!AF195*SUM($M91:$U91)/SUM(Calc_LRMC!$M195:$U195)</f>
        <v>1486.6200113674813</v>
      </c>
      <c r="AG91" s="66">
        <f>Calc_LRMC!AG195*SUM($M91:$U91)/SUM(Calc_LRMC!$M195:$U195)</f>
        <v>1486.620011367487</v>
      </c>
      <c r="AH91" s="66">
        <f>Calc_LRMC!AH195*SUM($M91:$U91)/SUM(Calc_LRMC!$M195:$U195)</f>
        <v>1486.620011367487</v>
      </c>
      <c r="AI91" s="66">
        <f>Calc_LRMC!AI195*SUM($M91:$U91)/SUM(Calc_LRMC!$M195:$U195)</f>
        <v>1486.620011367487</v>
      </c>
    </row>
    <row r="92" spans="1:35" ht="12.75" x14ac:dyDescent="0.2">
      <c r="D92" s="75" t="s">
        <v>69</v>
      </c>
      <c r="H92" s="243" t="s">
        <v>52</v>
      </c>
      <c r="I92" s="243" t="s">
        <v>47</v>
      </c>
      <c r="J92" s="243" t="s">
        <v>238</v>
      </c>
      <c r="M92" s="66">
        <f t="shared" ref="M92:S92" si="80">M79+M$81*$U79</f>
        <v>6403.5288061833053</v>
      </c>
      <c r="N92" s="66">
        <f t="shared" si="80"/>
        <v>8791.351242671908</v>
      </c>
      <c r="O92" s="66">
        <f t="shared" si="80"/>
        <v>6368.6210159440325</v>
      </c>
      <c r="P92" s="66">
        <f t="shared" si="80"/>
        <v>2981.5512779959454</v>
      </c>
      <c r="Q92" s="66">
        <f t="shared" si="80"/>
        <v>3090.0851322892845</v>
      </c>
      <c r="R92" s="66">
        <f t="shared" si="80"/>
        <v>2136.3483381543083</v>
      </c>
      <c r="S92" s="96">
        <f t="shared" si="80"/>
        <v>1916.7243580751147</v>
      </c>
      <c r="T92" s="66">
        <f t="shared" ref="T92:U93" si="81">AVERAGE($M92:$S92)</f>
        <v>4526.8871673305566</v>
      </c>
      <c r="U92" s="96">
        <f t="shared" si="81"/>
        <v>4526.8871673305566</v>
      </c>
      <c r="V92" s="66">
        <f>Calc_LRMC!V196*SUM($M92:$U92)/SUM(Calc_LRMC!$M196:$U196)</f>
        <v>3234.4363446199341</v>
      </c>
      <c r="W92" s="66">
        <f>Calc_LRMC!W196*SUM($M92:$U92)/SUM(Calc_LRMC!$M196:$U196)</f>
        <v>3238.8952434426405</v>
      </c>
      <c r="X92" s="66">
        <f>Calc_LRMC!X196*SUM($M92:$U92)/SUM(Calc_LRMC!$M196:$U196)</f>
        <v>3238.8952434426405</v>
      </c>
      <c r="Y92" s="66">
        <f>Calc_LRMC!Y196*SUM($M92:$U92)/SUM(Calc_LRMC!$M196:$U196)</f>
        <v>3238.8952434426405</v>
      </c>
      <c r="Z92" s="66">
        <f>Calc_LRMC!Z196*SUM($M92:$U92)/SUM(Calc_LRMC!$M196:$U196)</f>
        <v>3238.8952434426405</v>
      </c>
      <c r="AA92" s="66">
        <f>Calc_LRMC!AA196*SUM($M92:$U92)/SUM(Calc_LRMC!$M196:$U196)</f>
        <v>3238.8952434426278</v>
      </c>
      <c r="AB92" s="66">
        <f>Calc_LRMC!AB196*SUM($M92:$U92)/SUM(Calc_LRMC!$M196:$U196)</f>
        <v>3238.8952434426405</v>
      </c>
      <c r="AC92" s="66">
        <f>Calc_LRMC!AC196*SUM($M92:$U92)/SUM(Calc_LRMC!$M196:$U196)</f>
        <v>3238.8952434426405</v>
      </c>
      <c r="AD92" s="66">
        <f>Calc_LRMC!AD196*SUM($M92:$U92)/SUM(Calc_LRMC!$M196:$U196)</f>
        <v>3238.8952434426651</v>
      </c>
      <c r="AE92" s="66">
        <f>Calc_LRMC!AE196*SUM($M92:$U92)/SUM(Calc_LRMC!$M196:$U196)</f>
        <v>3238.8952434426405</v>
      </c>
      <c r="AF92" s="66">
        <f>Calc_LRMC!AF196*SUM($M92:$U92)/SUM(Calc_LRMC!$M196:$U196)</f>
        <v>3238.8952434426278</v>
      </c>
      <c r="AG92" s="66">
        <f>Calc_LRMC!AG196*SUM($M92:$U92)/SUM(Calc_LRMC!$M196:$U196)</f>
        <v>3238.8952434426405</v>
      </c>
      <c r="AH92" s="66">
        <f>Calc_LRMC!AH196*SUM($M92:$U92)/SUM(Calc_LRMC!$M196:$U196)</f>
        <v>3238.8952434426405</v>
      </c>
      <c r="AI92" s="66">
        <f>Calc_LRMC!AI196*SUM($M92:$U92)/SUM(Calc_LRMC!$M196:$U196)</f>
        <v>3238.8952434426405</v>
      </c>
    </row>
    <row r="93" spans="1:35" ht="12.75" x14ac:dyDescent="0.2">
      <c r="D93" s="75" t="s">
        <v>255</v>
      </c>
      <c r="H93" s="243" t="s">
        <v>52</v>
      </c>
      <c r="I93" s="243" t="s">
        <v>47</v>
      </c>
      <c r="J93" s="243" t="s">
        <v>238</v>
      </c>
      <c r="M93" s="66">
        <f t="shared" ref="M93:S93" si="82">M80+M$81*$U80</f>
        <v>3056.9465069011444</v>
      </c>
      <c r="N93" s="66">
        <f t="shared" si="82"/>
        <v>1196.8324089316768</v>
      </c>
      <c r="O93" s="66">
        <f t="shared" si="82"/>
        <v>1463.0661426947065</v>
      </c>
      <c r="P93" s="66">
        <f t="shared" si="82"/>
        <v>1448.469535073657</v>
      </c>
      <c r="Q93" s="66">
        <f t="shared" si="82"/>
        <v>1971.3649750692132</v>
      </c>
      <c r="R93" s="66">
        <f t="shared" si="82"/>
        <v>1532.8695573873833</v>
      </c>
      <c r="S93" s="96">
        <f t="shared" si="82"/>
        <v>1434.534332017234</v>
      </c>
      <c r="T93" s="66">
        <f t="shared" si="81"/>
        <v>1729.1547797250021</v>
      </c>
      <c r="U93" s="96">
        <f t="shared" si="81"/>
        <v>1729.1547797250021</v>
      </c>
      <c r="V93" s="66">
        <f>Calc_LRMC!V197*SUM($M93:$U93)/SUM(Calc_LRMC!$M197:$U197)</f>
        <v>1235.4717178236747</v>
      </c>
      <c r="W93" s="66">
        <f>Calc_LRMC!W197*SUM($M93:$U93)/SUM(Calc_LRMC!$M197:$U197)</f>
        <v>1237.1749027997043</v>
      </c>
      <c r="X93" s="66">
        <f>Calc_LRMC!X197*SUM($M93:$U93)/SUM(Calc_LRMC!$M197:$U197)</f>
        <v>1237.1749027997043</v>
      </c>
      <c r="Y93" s="66">
        <f>Calc_LRMC!Y197*SUM($M93:$U93)/SUM(Calc_LRMC!$M197:$U197)</f>
        <v>1237.1749027997043</v>
      </c>
      <c r="Z93" s="66">
        <f>Calc_LRMC!Z197*SUM($M93:$U93)/SUM(Calc_LRMC!$M197:$U197)</f>
        <v>1237.1749027997043</v>
      </c>
      <c r="AA93" s="66">
        <f>Calc_LRMC!AA197*SUM($M93:$U93)/SUM(Calc_LRMC!$M197:$U197)</f>
        <v>1237.1749027997043</v>
      </c>
      <c r="AB93" s="66">
        <f>Calc_LRMC!AB197*SUM($M93:$U93)/SUM(Calc_LRMC!$M197:$U197)</f>
        <v>1237.1749027997043</v>
      </c>
      <c r="AC93" s="66">
        <f>Calc_LRMC!AC197*SUM($M93:$U93)/SUM(Calc_LRMC!$M197:$U197)</f>
        <v>1237.1749027997043</v>
      </c>
      <c r="AD93" s="66">
        <f>Calc_LRMC!AD197*SUM($M93:$U93)/SUM(Calc_LRMC!$M197:$U197)</f>
        <v>1237.1749027997178</v>
      </c>
      <c r="AE93" s="66">
        <f>Calc_LRMC!AE197*SUM($M93:$U93)/SUM(Calc_LRMC!$M197:$U197)</f>
        <v>1237.1749027997043</v>
      </c>
      <c r="AF93" s="66">
        <f>Calc_LRMC!AF197*SUM($M93:$U93)/SUM(Calc_LRMC!$M197:$U197)</f>
        <v>1237.1749027997043</v>
      </c>
      <c r="AG93" s="66">
        <f>Calc_LRMC!AG197*SUM($M93:$U93)/SUM(Calc_LRMC!$M197:$U197)</f>
        <v>1237.1749027997043</v>
      </c>
      <c r="AH93" s="66">
        <f>Calc_LRMC!AH197*SUM($M93:$U93)/SUM(Calc_LRMC!$M197:$U197)</f>
        <v>1237.1749027997043</v>
      </c>
      <c r="AI93" s="66">
        <f>Calc_LRMC!AI197*SUM($M93:$U93)/SUM(Calc_LRMC!$M197:$U197)</f>
        <v>1237.1749027997043</v>
      </c>
    </row>
    <row r="94" spans="1:35" ht="11.25" customHeight="1" x14ac:dyDescent="0.2"/>
    <row r="95" spans="1:35" ht="11.25" customHeight="1" x14ac:dyDescent="0.2">
      <c r="D95" s="62" t="s">
        <v>51</v>
      </c>
      <c r="H95" s="56" t="s">
        <v>52</v>
      </c>
      <c r="I95" s="56" t="str">
        <f>Thousands</f>
        <v>$000's</v>
      </c>
      <c r="J95" s="162" t="s">
        <v>238</v>
      </c>
      <c r="M95" s="68">
        <f t="shared" ref="M95:S95" si="83">SUM(M91:M93)</f>
        <v>11667.876083750629</v>
      </c>
      <c r="N95" s="68">
        <f t="shared" si="83"/>
        <v>13453.934716456934</v>
      </c>
      <c r="O95" s="68">
        <f t="shared" si="83"/>
        <v>9485.1762563105713</v>
      </c>
      <c r="P95" s="68">
        <f t="shared" si="83"/>
        <v>6067.0606457375088</v>
      </c>
      <c r="Q95" s="68">
        <f t="shared" si="83"/>
        <v>7288.6742628427301</v>
      </c>
      <c r="R95" s="68">
        <f t="shared" si="83"/>
        <v>5401.5361146545565</v>
      </c>
      <c r="S95" s="68">
        <f t="shared" si="83"/>
        <v>4972.6020836935231</v>
      </c>
      <c r="T95" s="68">
        <f t="shared" ref="T95:AI95" si="84">SUM(T91:T93)</f>
        <v>8333.8371662066365</v>
      </c>
      <c r="U95" s="68">
        <f t="shared" si="84"/>
        <v>8333.8371662066365</v>
      </c>
      <c r="V95" s="68">
        <f t="shared" si="84"/>
        <v>5954.4814845514029</v>
      </c>
      <c r="W95" s="68">
        <f t="shared" si="84"/>
        <v>5962.6901576098317</v>
      </c>
      <c r="X95" s="68">
        <f t="shared" si="84"/>
        <v>5962.6901576098317</v>
      </c>
      <c r="Y95" s="68">
        <f t="shared" si="84"/>
        <v>5962.6901576098317</v>
      </c>
      <c r="Z95" s="68">
        <f t="shared" si="84"/>
        <v>5962.6901576098317</v>
      </c>
      <c r="AA95" s="68">
        <f t="shared" si="84"/>
        <v>5962.6901576098135</v>
      </c>
      <c r="AB95" s="68">
        <f t="shared" si="84"/>
        <v>5962.6901576098317</v>
      </c>
      <c r="AC95" s="68">
        <f t="shared" si="84"/>
        <v>5962.6901576098317</v>
      </c>
      <c r="AD95" s="68">
        <f t="shared" si="84"/>
        <v>5962.6901576098808</v>
      </c>
      <c r="AE95" s="68">
        <f t="shared" si="84"/>
        <v>5962.6901576098317</v>
      </c>
      <c r="AF95" s="68">
        <f t="shared" si="84"/>
        <v>5962.6901576098135</v>
      </c>
      <c r="AG95" s="68">
        <f t="shared" si="84"/>
        <v>5962.6901576098317</v>
      </c>
      <c r="AH95" s="68">
        <f t="shared" si="84"/>
        <v>5962.6901576098317</v>
      </c>
      <c r="AI95" s="68">
        <f t="shared" si="84"/>
        <v>5962.6901576098317</v>
      </c>
    </row>
    <row r="96" spans="1:35" ht="11.25" customHeight="1" x14ac:dyDescent="0.2"/>
    <row r="97" spans="1:35" ht="12.75" hidden="1" outlineLevel="1" x14ac:dyDescent="0.2">
      <c r="D97" s="81" t="s">
        <v>90</v>
      </c>
      <c r="E97" s="82"/>
      <c r="G97" s="82"/>
      <c r="H97" s="243" t="s">
        <v>52</v>
      </c>
      <c r="I97" s="243" t="s">
        <v>47</v>
      </c>
      <c r="J97" s="243" t="s">
        <v>40</v>
      </c>
      <c r="K97" s="78"/>
      <c r="M97" s="66">
        <f>M83</f>
        <v>11667.876083750627</v>
      </c>
      <c r="N97" s="66">
        <f t="shared" ref="N97:S97" si="85">N83</f>
        <v>13453.934716456934</v>
      </c>
      <c r="O97" s="66">
        <f t="shared" si="85"/>
        <v>9485.1762563105713</v>
      </c>
      <c r="P97" s="66">
        <f t="shared" si="85"/>
        <v>6067.0606457375097</v>
      </c>
      <c r="Q97" s="66">
        <f t="shared" si="85"/>
        <v>7288.674262842731</v>
      </c>
      <c r="R97" s="66">
        <f t="shared" si="85"/>
        <v>5401.5361146545574</v>
      </c>
      <c r="S97" s="96">
        <f t="shared" si="85"/>
        <v>4972.602083693524</v>
      </c>
      <c r="T97" s="66">
        <f t="shared" ref="T97:U97" si="86">AVERAGE($M97:$S97)</f>
        <v>8333.8371662066365</v>
      </c>
      <c r="U97" s="66">
        <f t="shared" si="86"/>
        <v>8333.8371662066365</v>
      </c>
    </row>
    <row r="98" spans="1:35" ht="12.75" hidden="1" outlineLevel="1" x14ac:dyDescent="0.2">
      <c r="A98" s="59">
        <f>IF(SUM($M98:$U98)=0,0,1)</f>
        <v>0</v>
      </c>
      <c r="D98" s="81" t="s">
        <v>55</v>
      </c>
      <c r="E98" s="82"/>
      <c r="F98" s="80"/>
      <c r="G98" s="82"/>
      <c r="H98" s="80"/>
      <c r="I98" s="84"/>
      <c r="J98" s="84"/>
      <c r="K98" s="78"/>
      <c r="M98" s="59">
        <f t="shared" ref="M98:S98" si="87">IF(ROUND(M97-M95,2)=0,0,1)</f>
        <v>0</v>
      </c>
      <c r="N98" s="59">
        <f t="shared" si="87"/>
        <v>0</v>
      </c>
      <c r="O98" s="59">
        <f t="shared" si="87"/>
        <v>0</v>
      </c>
      <c r="P98" s="59">
        <f t="shared" si="87"/>
        <v>0</v>
      </c>
      <c r="Q98" s="59">
        <f t="shared" si="87"/>
        <v>0</v>
      </c>
      <c r="R98" s="59">
        <f t="shared" si="87"/>
        <v>0</v>
      </c>
      <c r="S98" s="59">
        <f t="shared" si="87"/>
        <v>0</v>
      </c>
      <c r="T98" s="59">
        <f t="shared" ref="T98:U98" si="88">IF(ROUND(T97-T95,2)=0,0,1)</f>
        <v>0</v>
      </c>
      <c r="U98" s="59">
        <f t="shared" si="88"/>
        <v>0</v>
      </c>
    </row>
    <row r="99" spans="1:35" ht="11.25" customHeight="1" collapsed="1" x14ac:dyDescent="0.2"/>
    <row r="100" spans="1:35" ht="11.25" customHeight="1" x14ac:dyDescent="0.2"/>
    <row r="101" spans="1:35" ht="11.25" customHeight="1" x14ac:dyDescent="0.2">
      <c r="D101" s="70" t="s">
        <v>717</v>
      </c>
      <c r="H101" s="54" t="str">
        <f>Lookup!E$19</f>
        <v>Source</v>
      </c>
      <c r="I101" s="54" t="str">
        <f>Lookup!F$19</f>
        <v>Unit</v>
      </c>
      <c r="J101" s="54" t="str">
        <f>Lookup!G$19</f>
        <v>Basis</v>
      </c>
      <c r="M101" s="54" t="str">
        <f t="shared" ref="M101:AI101" si="89">M$9</f>
        <v>FY23</v>
      </c>
      <c r="N101" s="54" t="str">
        <f t="shared" si="89"/>
        <v>FY24</v>
      </c>
      <c r="O101" s="54" t="str">
        <f t="shared" si="89"/>
        <v>FY25</v>
      </c>
      <c r="P101" s="54" t="str">
        <f t="shared" si="89"/>
        <v>FY26</v>
      </c>
      <c r="Q101" s="54" t="str">
        <f t="shared" si="89"/>
        <v>FY27</v>
      </c>
      <c r="R101" s="54" t="str">
        <f t="shared" si="89"/>
        <v>FY28</v>
      </c>
      <c r="S101" s="54" t="str">
        <f t="shared" si="89"/>
        <v>FY29</v>
      </c>
      <c r="T101" s="54" t="str">
        <f t="shared" si="89"/>
        <v>FY30</v>
      </c>
      <c r="U101" s="54" t="str">
        <f t="shared" si="89"/>
        <v>FY31</v>
      </c>
      <c r="V101" s="54" t="str">
        <f t="shared" si="89"/>
        <v>FY32</v>
      </c>
      <c r="W101" s="54" t="str">
        <f t="shared" si="89"/>
        <v>FY33</v>
      </c>
      <c r="X101" s="54" t="str">
        <f t="shared" si="89"/>
        <v>FY34</v>
      </c>
      <c r="Y101" s="54" t="str">
        <f t="shared" si="89"/>
        <v>FY35</v>
      </c>
      <c r="Z101" s="54" t="str">
        <f t="shared" si="89"/>
        <v>FY36</v>
      </c>
      <c r="AA101" s="54" t="str">
        <f t="shared" si="89"/>
        <v>FY37</v>
      </c>
      <c r="AB101" s="54" t="str">
        <f t="shared" si="89"/>
        <v>FY38</v>
      </c>
      <c r="AC101" s="54" t="str">
        <f t="shared" si="89"/>
        <v>FY39</v>
      </c>
      <c r="AD101" s="54" t="str">
        <f t="shared" si="89"/>
        <v>FY40</v>
      </c>
      <c r="AE101" s="54" t="str">
        <f t="shared" si="89"/>
        <v>FY41</v>
      </c>
      <c r="AF101" s="54" t="str">
        <f t="shared" si="89"/>
        <v>FY42</v>
      </c>
      <c r="AG101" s="54" t="str">
        <f t="shared" si="89"/>
        <v>FY43</v>
      </c>
      <c r="AH101" s="54" t="str">
        <f t="shared" si="89"/>
        <v>FY44</v>
      </c>
      <c r="AI101" s="54" t="str">
        <f t="shared" si="89"/>
        <v>FY45</v>
      </c>
    </row>
    <row r="102" spans="1:35" ht="11.25" customHeight="1" x14ac:dyDescent="0.2">
      <c r="D102" s="1"/>
    </row>
    <row r="103" spans="1:35" ht="12.75" x14ac:dyDescent="0.2">
      <c r="D103" s="75" t="s">
        <v>256</v>
      </c>
      <c r="E103" s="82"/>
      <c r="F103" s="82"/>
      <c r="G103" s="82"/>
      <c r="H103" s="243" t="s">
        <v>52</v>
      </c>
      <c r="I103" s="243" t="s">
        <v>47</v>
      </c>
      <c r="J103" s="243" t="s">
        <v>238</v>
      </c>
      <c r="M103" s="66">
        <f>-PMT(Inputs_LRMC!$M$27,Inputs_LRMC!$M$26,M91)</f>
        <v>95.381805138321795</v>
      </c>
      <c r="N103" s="66">
        <f>-PMT(Inputs_LRMC!$M$27,Inputs_LRMC!$M$26,N91)</f>
        <v>149.75513151878158</v>
      </c>
      <c r="O103" s="66">
        <f>-PMT(Inputs_LRMC!$M$27,Inputs_LRMC!$M$26,O91)</f>
        <v>71.447277272118342</v>
      </c>
      <c r="P103" s="66">
        <f>-PMT(Inputs_LRMC!$M$27,Inputs_LRMC!$M$26,P91)</f>
        <v>70.736504398373512</v>
      </c>
      <c r="Q103" s="66">
        <f>-PMT(Inputs_LRMC!$M$27,Inputs_LRMC!$M$26,Q91)</f>
        <v>96.238373756501161</v>
      </c>
      <c r="R103" s="66">
        <f>-PMT(Inputs_LRMC!$M$27,Inputs_LRMC!$M$26,R91)</f>
        <v>74.853484246597503</v>
      </c>
      <c r="S103" s="66">
        <f>-PMT(Inputs_LRMC!$M$27,Inputs_LRMC!$M$26,S91)</f>
        <v>70.058261139458281</v>
      </c>
      <c r="T103" s="66">
        <f>-PMT(Inputs_LRMC!$M$27,Inputs_LRMC!$M$26,T91)</f>
        <v>89.781548210021739</v>
      </c>
      <c r="U103" s="66">
        <f>-PMT(Inputs_LRMC!$M$27,Inputs_LRMC!$M$26,U91)</f>
        <v>89.781548210021739</v>
      </c>
      <c r="V103" s="66">
        <f>-PMT(Inputs_LRMC!$M$27,Inputs_LRMC!$M$26,V91)</f>
        <v>64.148429566001695</v>
      </c>
      <c r="W103" s="66">
        <f>-PMT(Inputs_LRMC!$M$27,Inputs_LRMC!$M$26,W91)</f>
        <v>64.236862704451326</v>
      </c>
      <c r="X103" s="66">
        <f>-PMT(Inputs_LRMC!$M$27,Inputs_LRMC!$M$26,X91)</f>
        <v>64.236862704451326</v>
      </c>
      <c r="Y103" s="66">
        <f>-PMT(Inputs_LRMC!$M$27,Inputs_LRMC!$M$26,Y91)</f>
        <v>64.236862704451326</v>
      </c>
      <c r="Z103" s="66">
        <f>-PMT(Inputs_LRMC!$M$27,Inputs_LRMC!$M$26,Z91)</f>
        <v>64.236862704451326</v>
      </c>
      <c r="AA103" s="66">
        <f>-PMT(Inputs_LRMC!$M$27,Inputs_LRMC!$M$26,AA91)</f>
        <v>64.236862704451084</v>
      </c>
      <c r="AB103" s="66">
        <f>-PMT(Inputs_LRMC!$M$27,Inputs_LRMC!$M$26,AB91)</f>
        <v>64.236862704451326</v>
      </c>
      <c r="AC103" s="66">
        <f>-PMT(Inputs_LRMC!$M$27,Inputs_LRMC!$M$26,AC91)</f>
        <v>64.236862704451326</v>
      </c>
      <c r="AD103" s="66">
        <f>-PMT(Inputs_LRMC!$M$27,Inputs_LRMC!$M$26,AD91)</f>
        <v>64.236862704451809</v>
      </c>
      <c r="AE103" s="66">
        <f>-PMT(Inputs_LRMC!$M$27,Inputs_LRMC!$M$26,AE91)</f>
        <v>64.236862704451326</v>
      </c>
      <c r="AF103" s="66">
        <f>-PMT(Inputs_LRMC!$M$27,Inputs_LRMC!$M$26,AF91)</f>
        <v>64.236862704451084</v>
      </c>
      <c r="AG103" s="66">
        <f>-PMT(Inputs_LRMC!$M$27,Inputs_LRMC!$M$26,AG91)</f>
        <v>64.236862704451326</v>
      </c>
      <c r="AH103" s="66">
        <f>-PMT(Inputs_LRMC!$M$27,Inputs_LRMC!$M$26,AH91)</f>
        <v>64.236862704451326</v>
      </c>
      <c r="AI103" s="66">
        <f>-PMT(Inputs_LRMC!$M$27,Inputs_LRMC!$M$26,AI91)</f>
        <v>64.236862704451326</v>
      </c>
    </row>
    <row r="104" spans="1:35" ht="12.75" x14ac:dyDescent="0.2">
      <c r="D104" s="75" t="s">
        <v>69</v>
      </c>
      <c r="H104" s="243" t="s">
        <v>52</v>
      </c>
      <c r="I104" s="243" t="s">
        <v>47</v>
      </c>
      <c r="J104" s="243" t="s">
        <v>238</v>
      </c>
      <c r="M104" s="66">
        <f>-PMT(Inputs_LRMC!$M$27,Inputs_LRMC!$M$26,M92)</f>
        <v>276.69653146160545</v>
      </c>
      <c r="N104" s="66">
        <f>-PMT(Inputs_LRMC!$M$27,Inputs_LRMC!$M$26,N92)</f>
        <v>379.87435823808784</v>
      </c>
      <c r="O104" s="66">
        <f>-PMT(Inputs_LRMC!$M$27,Inputs_LRMC!$M$26,O92)</f>
        <v>275.18816556327926</v>
      </c>
      <c r="P104" s="66">
        <f>-PMT(Inputs_LRMC!$M$27,Inputs_LRMC!$M$26,P92)</f>
        <v>128.83285481589184</v>
      </c>
      <c r="Q104" s="66">
        <f>-PMT(Inputs_LRMC!$M$27,Inputs_LRMC!$M$26,Q92)</f>
        <v>133.52260353696079</v>
      </c>
      <c r="R104" s="66">
        <f>-PMT(Inputs_LRMC!$M$27,Inputs_LRMC!$M$26,R92)</f>
        <v>92.311628955314632</v>
      </c>
      <c r="S104" s="66">
        <f>-PMT(Inputs_LRMC!$M$27,Inputs_LRMC!$M$26,S92)</f>
        <v>82.821675001328131</v>
      </c>
      <c r="T104" s="66">
        <f>-PMT(Inputs_LRMC!$M$27,Inputs_LRMC!$M$26,T92)</f>
        <v>195.60683108178114</v>
      </c>
      <c r="U104" s="66">
        <f>-PMT(Inputs_LRMC!$M$27,Inputs_LRMC!$M$26,U92)</f>
        <v>195.60683108178114</v>
      </c>
      <c r="V104" s="66">
        <f>-PMT(Inputs_LRMC!$M$27,Inputs_LRMC!$M$26,V92)</f>
        <v>139.76002058825921</v>
      </c>
      <c r="W104" s="66">
        <f>-PMT(Inputs_LRMC!$M$27,Inputs_LRMC!$M$26,W92)</f>
        <v>139.95268964242038</v>
      </c>
      <c r="X104" s="66">
        <f>-PMT(Inputs_LRMC!$M$27,Inputs_LRMC!$M$26,X92)</f>
        <v>139.95268964242038</v>
      </c>
      <c r="Y104" s="66">
        <f>-PMT(Inputs_LRMC!$M$27,Inputs_LRMC!$M$26,Y92)</f>
        <v>139.95268964242038</v>
      </c>
      <c r="Z104" s="66">
        <f>-PMT(Inputs_LRMC!$M$27,Inputs_LRMC!$M$26,Z92)</f>
        <v>139.95268964242038</v>
      </c>
      <c r="AA104" s="66">
        <f>-PMT(Inputs_LRMC!$M$27,Inputs_LRMC!$M$26,AA92)</f>
        <v>139.95268964241984</v>
      </c>
      <c r="AB104" s="66">
        <f>-PMT(Inputs_LRMC!$M$27,Inputs_LRMC!$M$26,AB92)</f>
        <v>139.95268964242038</v>
      </c>
      <c r="AC104" s="66">
        <f>-PMT(Inputs_LRMC!$M$27,Inputs_LRMC!$M$26,AC92)</f>
        <v>139.95268964242038</v>
      </c>
      <c r="AD104" s="66">
        <f>-PMT(Inputs_LRMC!$M$27,Inputs_LRMC!$M$26,AD92)</f>
        <v>139.95268964242143</v>
      </c>
      <c r="AE104" s="66">
        <f>-PMT(Inputs_LRMC!$M$27,Inputs_LRMC!$M$26,AE92)</f>
        <v>139.95268964242038</v>
      </c>
      <c r="AF104" s="66">
        <f>-PMT(Inputs_LRMC!$M$27,Inputs_LRMC!$M$26,AF92)</f>
        <v>139.95268964241984</v>
      </c>
      <c r="AG104" s="66">
        <f>-PMT(Inputs_LRMC!$M$27,Inputs_LRMC!$M$26,AG92)</f>
        <v>139.95268964242038</v>
      </c>
      <c r="AH104" s="66">
        <f>-PMT(Inputs_LRMC!$M$27,Inputs_LRMC!$M$26,AH92)</f>
        <v>139.95268964242038</v>
      </c>
      <c r="AI104" s="66">
        <f>-PMT(Inputs_LRMC!$M$27,Inputs_LRMC!$M$26,AI92)</f>
        <v>139.95268964242038</v>
      </c>
    </row>
    <row r="105" spans="1:35" ht="12.75" x14ac:dyDescent="0.2">
      <c r="D105" s="75" t="s">
        <v>255</v>
      </c>
      <c r="H105" s="243" t="s">
        <v>52</v>
      </c>
      <c r="I105" s="243" t="s">
        <v>47</v>
      </c>
      <c r="J105" s="243" t="s">
        <v>238</v>
      </c>
      <c r="M105" s="66">
        <f>-PMT(Inputs_LRMC!$M$27,Inputs_LRMC!$M$26,M93)</f>
        <v>132.09068326614855</v>
      </c>
      <c r="N105" s="66">
        <f>-PMT(Inputs_LRMC!$M$27,Inputs_LRMC!$M$26,N93)</f>
        <v>51.715138061448599</v>
      </c>
      <c r="O105" s="66">
        <f>-PMT(Inputs_LRMC!$M$27,Inputs_LRMC!$M$26,O93)</f>
        <v>63.219099848763484</v>
      </c>
      <c r="P105" s="66">
        <f>-PMT(Inputs_LRMC!$M$27,Inputs_LRMC!$M$26,P93)</f>
        <v>62.588380315503862</v>
      </c>
      <c r="Q105" s="66">
        <f>-PMT(Inputs_LRMC!$M$27,Inputs_LRMC!$M$26,Q93)</f>
        <v>85.182696503189774</v>
      </c>
      <c r="R105" s="66">
        <f>-PMT(Inputs_LRMC!$M$27,Inputs_LRMC!$M$26,R93)</f>
        <v>66.235305961710083</v>
      </c>
      <c r="S105" s="66">
        <f>-PMT(Inputs_LRMC!$M$27,Inputs_LRMC!$M$26,S93)</f>
        <v>61.986240078826512</v>
      </c>
      <c r="T105" s="66">
        <f>-PMT(Inputs_LRMC!$M$27,Inputs_LRMC!$M$26,T93)</f>
        <v>74.7167920050844</v>
      </c>
      <c r="U105" s="66">
        <f>-PMT(Inputs_LRMC!$M$27,Inputs_LRMC!$M$26,U93)</f>
        <v>74.7167920050844</v>
      </c>
      <c r="V105" s="66">
        <f>-PMT(Inputs_LRMC!$M$27,Inputs_LRMC!$M$26,V93)</f>
        <v>53.384742910913118</v>
      </c>
      <c r="W105" s="66">
        <f>-PMT(Inputs_LRMC!$M$27,Inputs_LRMC!$M$26,W93)</f>
        <v>53.458337547490657</v>
      </c>
      <c r="X105" s="66">
        <f>-PMT(Inputs_LRMC!$M$27,Inputs_LRMC!$M$26,X93)</f>
        <v>53.458337547490657</v>
      </c>
      <c r="Y105" s="66">
        <f>-PMT(Inputs_LRMC!$M$27,Inputs_LRMC!$M$26,Y93)</f>
        <v>53.458337547490657</v>
      </c>
      <c r="Z105" s="66">
        <f>-PMT(Inputs_LRMC!$M$27,Inputs_LRMC!$M$26,Z93)</f>
        <v>53.458337547490657</v>
      </c>
      <c r="AA105" s="66">
        <f>-PMT(Inputs_LRMC!$M$27,Inputs_LRMC!$M$26,AA93)</f>
        <v>53.458337547490657</v>
      </c>
      <c r="AB105" s="66">
        <f>-PMT(Inputs_LRMC!$M$27,Inputs_LRMC!$M$26,AB93)</f>
        <v>53.458337547490657</v>
      </c>
      <c r="AC105" s="66">
        <f>-PMT(Inputs_LRMC!$M$27,Inputs_LRMC!$M$26,AC93)</f>
        <v>53.458337547490657</v>
      </c>
      <c r="AD105" s="66">
        <f>-PMT(Inputs_LRMC!$M$27,Inputs_LRMC!$M$26,AD93)</f>
        <v>53.45833754749124</v>
      </c>
      <c r="AE105" s="66">
        <f>-PMT(Inputs_LRMC!$M$27,Inputs_LRMC!$M$26,AE93)</f>
        <v>53.458337547490657</v>
      </c>
      <c r="AF105" s="66">
        <f>-PMT(Inputs_LRMC!$M$27,Inputs_LRMC!$M$26,AF93)</f>
        <v>53.458337547490657</v>
      </c>
      <c r="AG105" s="66">
        <f>-PMT(Inputs_LRMC!$M$27,Inputs_LRMC!$M$26,AG93)</f>
        <v>53.458337547490657</v>
      </c>
      <c r="AH105" s="66">
        <f>-PMT(Inputs_LRMC!$M$27,Inputs_LRMC!$M$26,AH93)</f>
        <v>53.458337547490657</v>
      </c>
      <c r="AI105" s="66">
        <f>-PMT(Inputs_LRMC!$M$27,Inputs_LRMC!$M$26,AI93)</f>
        <v>53.458337547490657</v>
      </c>
    </row>
    <row r="106" spans="1:35" ht="11.25" customHeight="1" x14ac:dyDescent="0.2"/>
    <row r="107" spans="1:35" ht="11.25" customHeight="1" x14ac:dyDescent="0.2">
      <c r="D107" s="62" t="s">
        <v>51</v>
      </c>
      <c r="H107" s="56" t="s">
        <v>52</v>
      </c>
      <c r="I107" s="56" t="str">
        <f>Thousands</f>
        <v>$000's</v>
      </c>
      <c r="J107" s="162" t="s">
        <v>238</v>
      </c>
      <c r="M107" s="68">
        <f t="shared" ref="M107:S107" si="90">SUM(M103:M105)</f>
        <v>504.16901986607581</v>
      </c>
      <c r="N107" s="68">
        <f t="shared" si="90"/>
        <v>581.34462781831792</v>
      </c>
      <c r="O107" s="68">
        <f t="shared" si="90"/>
        <v>409.85454268416112</v>
      </c>
      <c r="P107" s="68">
        <f t="shared" si="90"/>
        <v>262.15773952976923</v>
      </c>
      <c r="Q107" s="68">
        <f t="shared" si="90"/>
        <v>314.94367379665175</v>
      </c>
      <c r="R107" s="68">
        <f t="shared" si="90"/>
        <v>233.40041916362222</v>
      </c>
      <c r="S107" s="68">
        <f t="shared" si="90"/>
        <v>214.86617621961292</v>
      </c>
      <c r="T107" s="68">
        <f t="shared" ref="T107:AI107" si="91">SUM(T103:T105)</f>
        <v>360.10517129688731</v>
      </c>
      <c r="U107" s="68">
        <f t="shared" si="91"/>
        <v>360.10517129688731</v>
      </c>
      <c r="V107" s="68">
        <f t="shared" si="91"/>
        <v>257.29319306517402</v>
      </c>
      <c r="W107" s="68">
        <f t="shared" si="91"/>
        <v>257.64788989436238</v>
      </c>
      <c r="X107" s="68">
        <f t="shared" si="91"/>
        <v>257.64788989436238</v>
      </c>
      <c r="Y107" s="68">
        <f t="shared" si="91"/>
        <v>257.64788989436238</v>
      </c>
      <c r="Z107" s="68">
        <f t="shared" si="91"/>
        <v>257.64788989436238</v>
      </c>
      <c r="AA107" s="68">
        <f t="shared" si="91"/>
        <v>257.64788989436158</v>
      </c>
      <c r="AB107" s="68">
        <f t="shared" si="91"/>
        <v>257.64788989436238</v>
      </c>
      <c r="AC107" s="68">
        <f t="shared" si="91"/>
        <v>257.64788989436238</v>
      </c>
      <c r="AD107" s="68">
        <f t="shared" si="91"/>
        <v>257.64788989436448</v>
      </c>
      <c r="AE107" s="68">
        <f t="shared" si="91"/>
        <v>257.64788989436238</v>
      </c>
      <c r="AF107" s="68">
        <f t="shared" si="91"/>
        <v>257.64788989436158</v>
      </c>
      <c r="AG107" s="68">
        <f t="shared" si="91"/>
        <v>257.64788989436238</v>
      </c>
      <c r="AH107" s="68">
        <f t="shared" si="91"/>
        <v>257.64788989436238</v>
      </c>
      <c r="AI107" s="68">
        <f t="shared" si="91"/>
        <v>257.64788989436238</v>
      </c>
    </row>
    <row r="108" spans="1:35" ht="11.25" customHeight="1" x14ac:dyDescent="0.2">
      <c r="M108" s="145"/>
    </row>
    <row r="109" spans="1:35" ht="12.75" hidden="1" outlineLevel="1" x14ac:dyDescent="0.2">
      <c r="D109" s="81" t="s">
        <v>90</v>
      </c>
      <c r="E109" s="82"/>
      <c r="G109" s="82"/>
      <c r="H109" s="243" t="s">
        <v>52</v>
      </c>
      <c r="I109" s="243" t="s">
        <v>47</v>
      </c>
      <c r="J109" s="243" t="s">
        <v>40</v>
      </c>
      <c r="K109" s="78"/>
      <c r="M109" s="66">
        <f>-PMT(Inputs_LRMC!$M$27,Inputs_LRMC!$M$26,M95)</f>
        <v>504.16901986607587</v>
      </c>
      <c r="N109" s="66">
        <f>-PMT(Inputs_LRMC!$M$27,Inputs_LRMC!$M$26,N95)</f>
        <v>581.34462781831792</v>
      </c>
      <c r="O109" s="66">
        <f>-PMT(Inputs_LRMC!$M$27,Inputs_LRMC!$M$26,O95)</f>
        <v>409.85454268416112</v>
      </c>
      <c r="P109" s="66">
        <f>-PMT(Inputs_LRMC!$M$27,Inputs_LRMC!$M$26,P95)</f>
        <v>262.15773952976917</v>
      </c>
      <c r="Q109" s="66">
        <f>-PMT(Inputs_LRMC!$M$27,Inputs_LRMC!$M$26,Q95)</f>
        <v>314.94367379665169</v>
      </c>
      <c r="R109" s="66">
        <f>-PMT(Inputs_LRMC!$M$27,Inputs_LRMC!$M$26,R95)</f>
        <v>233.40041916362216</v>
      </c>
      <c r="S109" s="66">
        <f>-PMT(Inputs_LRMC!$M$27,Inputs_LRMC!$M$26,S95)</f>
        <v>214.86617621961295</v>
      </c>
      <c r="T109" s="66">
        <f>-PMT(Inputs_LRMC!$M$27,Inputs_LRMC!$M$26,T95)</f>
        <v>360.10517129688731</v>
      </c>
      <c r="U109" s="66">
        <f>-PMT(Inputs_LRMC!$M$27,Inputs_LRMC!$M$26,U95)</f>
        <v>360.10517129688731</v>
      </c>
      <c r="V109" s="66">
        <f>-PMT(Inputs_LRMC!$M$27,Inputs_LRMC!$M$26,V95)</f>
        <v>257.29319306517402</v>
      </c>
      <c r="W109" s="66">
        <f>-PMT(Inputs_LRMC!$M$27,Inputs_LRMC!$M$26,W95)</f>
        <v>257.64788989436232</v>
      </c>
      <c r="X109" s="66">
        <f>-PMT(Inputs_LRMC!$M$27,Inputs_LRMC!$M$26,X95)</f>
        <v>257.64788989436232</v>
      </c>
      <c r="Y109" s="66">
        <f>-PMT(Inputs_LRMC!$M$27,Inputs_LRMC!$M$26,Y95)</f>
        <v>257.64788989436232</v>
      </c>
      <c r="Z109" s="66">
        <f>-PMT(Inputs_LRMC!$M$27,Inputs_LRMC!$M$26,Z95)</f>
        <v>257.64788989436232</v>
      </c>
      <c r="AA109" s="66">
        <f>-PMT(Inputs_LRMC!$M$27,Inputs_LRMC!$M$26,AA95)</f>
        <v>257.64788989436158</v>
      </c>
      <c r="AB109" s="66">
        <f>-PMT(Inputs_LRMC!$M$27,Inputs_LRMC!$M$26,AB95)</f>
        <v>257.64788989436232</v>
      </c>
      <c r="AC109" s="66">
        <f>-PMT(Inputs_LRMC!$M$27,Inputs_LRMC!$M$26,AC95)</f>
        <v>257.64788989436232</v>
      </c>
      <c r="AD109" s="66">
        <f>-PMT(Inputs_LRMC!$M$27,Inputs_LRMC!$M$26,AD95)</f>
        <v>257.64788989436448</v>
      </c>
      <c r="AE109" s="66">
        <f>-PMT(Inputs_LRMC!$M$27,Inputs_LRMC!$M$26,AE95)</f>
        <v>257.64788989436232</v>
      </c>
      <c r="AF109" s="66">
        <f>-PMT(Inputs_LRMC!$M$27,Inputs_LRMC!$M$26,AF95)</f>
        <v>257.64788989436158</v>
      </c>
      <c r="AG109" s="66">
        <f>-PMT(Inputs_LRMC!$M$27,Inputs_LRMC!$M$26,AG95)</f>
        <v>257.64788989436232</v>
      </c>
      <c r="AH109" s="66">
        <f>-PMT(Inputs_LRMC!$M$27,Inputs_LRMC!$M$26,AH95)</f>
        <v>257.64788989436232</v>
      </c>
      <c r="AI109" s="66">
        <f>-PMT(Inputs_LRMC!$M$27,Inputs_LRMC!$M$26,AI95)</f>
        <v>257.64788989436232</v>
      </c>
    </row>
    <row r="110" spans="1:35" ht="12.75" hidden="1" outlineLevel="1" x14ac:dyDescent="0.2">
      <c r="A110" s="59">
        <f>IF(SUM($M110:$AI110)=0,0,1)</f>
        <v>0</v>
      </c>
      <c r="D110" s="81" t="s">
        <v>55</v>
      </c>
      <c r="E110" s="82"/>
      <c r="F110" s="80"/>
      <c r="G110" s="82"/>
      <c r="H110" s="80"/>
      <c r="I110" s="84"/>
      <c r="J110" s="84"/>
      <c r="K110" s="78"/>
      <c r="M110" s="59">
        <f t="shared" ref="M110:AI110" si="92">IF(ROUND(M109-M107,2)=0,0,1)</f>
        <v>0</v>
      </c>
      <c r="N110" s="59">
        <f t="shared" si="92"/>
        <v>0</v>
      </c>
      <c r="O110" s="59">
        <f t="shared" si="92"/>
        <v>0</v>
      </c>
      <c r="P110" s="59">
        <f t="shared" si="92"/>
        <v>0</v>
      </c>
      <c r="Q110" s="59">
        <f t="shared" si="92"/>
        <v>0</v>
      </c>
      <c r="R110" s="59">
        <f t="shared" si="92"/>
        <v>0</v>
      </c>
      <c r="S110" s="59">
        <f t="shared" si="92"/>
        <v>0</v>
      </c>
      <c r="T110" s="59">
        <f t="shared" si="92"/>
        <v>0</v>
      </c>
      <c r="U110" s="59">
        <f t="shared" si="92"/>
        <v>0</v>
      </c>
      <c r="V110" s="59">
        <f t="shared" si="92"/>
        <v>0</v>
      </c>
      <c r="W110" s="59">
        <f t="shared" si="92"/>
        <v>0</v>
      </c>
      <c r="X110" s="59">
        <f t="shared" si="92"/>
        <v>0</v>
      </c>
      <c r="Y110" s="59">
        <f t="shared" si="92"/>
        <v>0</v>
      </c>
      <c r="Z110" s="59">
        <f t="shared" si="92"/>
        <v>0</v>
      </c>
      <c r="AA110" s="59">
        <f t="shared" si="92"/>
        <v>0</v>
      </c>
      <c r="AB110" s="59">
        <f t="shared" si="92"/>
        <v>0</v>
      </c>
      <c r="AC110" s="59">
        <f t="shared" si="92"/>
        <v>0</v>
      </c>
      <c r="AD110" s="59">
        <f t="shared" si="92"/>
        <v>0</v>
      </c>
      <c r="AE110" s="59">
        <f t="shared" si="92"/>
        <v>0</v>
      </c>
      <c r="AF110" s="59">
        <f t="shared" si="92"/>
        <v>0</v>
      </c>
      <c r="AG110" s="59">
        <f t="shared" si="92"/>
        <v>0</v>
      </c>
      <c r="AH110" s="59">
        <f t="shared" si="92"/>
        <v>0</v>
      </c>
      <c r="AI110" s="59">
        <f t="shared" si="92"/>
        <v>0</v>
      </c>
    </row>
    <row r="111" spans="1:35" ht="11.25" customHeight="1" collapsed="1" x14ac:dyDescent="0.2"/>
    <row r="112" spans="1:35" ht="11.25" customHeight="1" x14ac:dyDescent="0.2"/>
    <row r="113" spans="1:35" s="8" customFormat="1" ht="15" x14ac:dyDescent="0.2">
      <c r="C113" s="8" t="s">
        <v>718</v>
      </c>
    </row>
    <row r="114" spans="1:35" ht="11.25" customHeight="1" x14ac:dyDescent="0.2"/>
    <row r="115" spans="1:35" ht="11.25" customHeight="1" x14ac:dyDescent="0.2">
      <c r="D115" s="70" t="s">
        <v>719</v>
      </c>
      <c r="H115" s="54" t="str">
        <f>Lookup!E$19</f>
        <v>Source</v>
      </c>
      <c r="I115" s="54" t="str">
        <f>Lookup!F$19</f>
        <v>Unit</v>
      </c>
      <c r="J115" s="54" t="str">
        <f>Lookup!G$19</f>
        <v>Basis</v>
      </c>
      <c r="M115" s="54" t="str">
        <f t="shared" ref="M115:S115" si="93">M$9</f>
        <v>FY23</v>
      </c>
      <c r="N115" s="54" t="str">
        <f t="shared" si="93"/>
        <v>FY24</v>
      </c>
      <c r="O115" s="54" t="str">
        <f t="shared" si="93"/>
        <v>FY25</v>
      </c>
      <c r="P115" s="54" t="str">
        <f t="shared" si="93"/>
        <v>FY26</v>
      </c>
      <c r="Q115" s="54" t="str">
        <f t="shared" si="93"/>
        <v>FY27</v>
      </c>
      <c r="R115" s="54" t="str">
        <f t="shared" si="93"/>
        <v>FY28</v>
      </c>
      <c r="S115" s="54" t="str">
        <f t="shared" si="93"/>
        <v>FY29</v>
      </c>
      <c r="U115" s="54" t="s">
        <v>726</v>
      </c>
    </row>
    <row r="116" spans="1:35" ht="11.25" customHeight="1" x14ac:dyDescent="0.2">
      <c r="D116" s="1"/>
    </row>
    <row r="117" spans="1:35" ht="12.75" x14ac:dyDescent="0.2">
      <c r="D117" s="75" t="s">
        <v>256</v>
      </c>
      <c r="E117" s="82"/>
      <c r="F117" s="82"/>
      <c r="G117" s="82"/>
      <c r="H117" s="243" t="s">
        <v>52</v>
      </c>
      <c r="I117" s="243" t="s">
        <v>47</v>
      </c>
      <c r="J117" s="243" t="s">
        <v>238</v>
      </c>
      <c r="M117" s="66">
        <f>SUMIF(Inputs_LRMC!$U$80:$U$221,$D117,Inputs_LRMC!M$80:M$221)</f>
        <v>3628.0981024359903</v>
      </c>
      <c r="N117" s="66">
        <f>SUMIF(Inputs_LRMC!$U$80:$U$221,$D117,Inputs_LRMC!N$80:N$221)</f>
        <v>13602.400858135221</v>
      </c>
      <c r="O117" s="66">
        <f>SUMIF(Inputs_LRMC!$U$80:$U$221,$D117,Inputs_LRMC!O$80:O$221)</f>
        <v>5399.9640303080714</v>
      </c>
      <c r="P117" s="66">
        <f>SUMIF(Inputs_LRMC!$U$80:$U$221,$D117,Inputs_LRMC!P$80:P$221)</f>
        <v>8756.92184872711</v>
      </c>
      <c r="Q117" s="66">
        <f>SUMIF(Inputs_LRMC!$U$80:$U$221,$D117,Inputs_LRMC!Q$80:Q$221)</f>
        <v>4978.5730028591679</v>
      </c>
      <c r="R117" s="66">
        <f>SUMIF(Inputs_LRMC!$U$80:$U$221,$D117,Inputs_LRMC!R$80:R$221)</f>
        <v>2026.0762282626754</v>
      </c>
      <c r="S117" s="66">
        <f>SUMIF(Inputs_LRMC!$U$80:$U$221,$D117,Inputs_LRMC!S$80:S$221)</f>
        <v>2116.6207015029854</v>
      </c>
      <c r="U117" s="126" cm="1">
        <f t="array" ref="U117">AVERAGE($M117:$S117/($M$122:$S$122-$M$120:$S$120))</f>
        <v>0.23275736128032362</v>
      </c>
    </row>
    <row r="118" spans="1:35" ht="12.75" x14ac:dyDescent="0.2">
      <c r="D118" s="75" t="s">
        <v>69</v>
      </c>
      <c r="H118" s="243" t="s">
        <v>52</v>
      </c>
      <c r="I118" s="243" t="s">
        <v>47</v>
      </c>
      <c r="J118" s="243" t="s">
        <v>238</v>
      </c>
      <c r="M118" s="66">
        <f>SUMIF(Inputs_LRMC!$U$80:$U$221,$D118,Inputs_LRMC!M$80:M$221)</f>
        <v>1680.6670817176619</v>
      </c>
      <c r="N118" s="66">
        <f>SUMIF(Inputs_LRMC!$U$80:$U$221,$D118,Inputs_LRMC!N$80:N$221)</f>
        <v>7790.4703289085292</v>
      </c>
      <c r="O118" s="66">
        <f>SUMIF(Inputs_LRMC!$U$80:$U$221,$D118,Inputs_LRMC!O$80:O$221)</f>
        <v>10105.281624648665</v>
      </c>
      <c r="P118" s="66">
        <f>SUMIF(Inputs_LRMC!$U$80:$U$221,$D118,Inputs_LRMC!P$80:P$221)</f>
        <v>11698.468471332029</v>
      </c>
      <c r="Q118" s="66">
        <f>SUMIF(Inputs_LRMC!$U$80:$U$221,$D118,Inputs_LRMC!Q$80:Q$221)</f>
        <v>7453.7263619285932</v>
      </c>
      <c r="R118" s="66">
        <f>SUMIF(Inputs_LRMC!$U$80:$U$221,$D118,Inputs_LRMC!R$80:R$221)</f>
        <v>7544.0142350411388</v>
      </c>
      <c r="S118" s="66">
        <f>SUMIF(Inputs_LRMC!$U$80:$U$221,$D118,Inputs_LRMC!S$80:S$221)</f>
        <v>7652.1210162829757</v>
      </c>
      <c r="U118" s="126" cm="1">
        <f t="array" ref="U118">AVERAGE($M118:$S118/($M$122:$S$122-$M$120:$S$120))</f>
        <v>0.32795096866956647</v>
      </c>
    </row>
    <row r="119" spans="1:35" ht="12.75" x14ac:dyDescent="0.2">
      <c r="D119" s="75" t="s">
        <v>255</v>
      </c>
      <c r="H119" s="243" t="s">
        <v>52</v>
      </c>
      <c r="I119" s="243" t="s">
        <v>47</v>
      </c>
      <c r="J119" s="243" t="s">
        <v>238</v>
      </c>
      <c r="M119" s="66">
        <f>SUMIF(Inputs_LRMC!$U$80:$U$221,$D119,Inputs_LRMC!M$80:M$221)</f>
        <v>14867.247816930771</v>
      </c>
      <c r="N119" s="66">
        <f>SUMIF(Inputs_LRMC!$U$80:$U$221,$D119,Inputs_LRMC!N$80:N$221)</f>
        <v>6187.6442922843198</v>
      </c>
      <c r="O119" s="66">
        <f>SUMIF(Inputs_LRMC!$U$80:$U$221,$D119,Inputs_LRMC!O$80:O$221)</f>
        <v>8998.631049341926</v>
      </c>
      <c r="P119" s="66">
        <f>SUMIF(Inputs_LRMC!$U$80:$U$221,$D119,Inputs_LRMC!P$80:P$221)</f>
        <v>9236.7452781386783</v>
      </c>
      <c r="Q119" s="66">
        <f>SUMIF(Inputs_LRMC!$U$80:$U$221,$D119,Inputs_LRMC!Q$80:Q$221)</f>
        <v>9435.6087526843967</v>
      </c>
      <c r="R119" s="66">
        <f>SUMIF(Inputs_LRMC!$U$80:$U$221,$D119,Inputs_LRMC!R$80:R$221)</f>
        <v>9634.1947609007439</v>
      </c>
      <c r="S119" s="66">
        <f>SUMIF(Inputs_LRMC!$U$80:$U$221,$D119,Inputs_LRMC!S$80:S$221)</f>
        <v>9860.9243452574156</v>
      </c>
      <c r="U119" s="126" cm="1">
        <f t="array" ref="U119">AVERAGE($M119:$S119/($M$122:$S$122-$M$120:$S$120))</f>
        <v>0.43929167005010994</v>
      </c>
    </row>
    <row r="120" spans="1:35" ht="12.75" x14ac:dyDescent="0.2">
      <c r="D120" s="75" t="s">
        <v>317</v>
      </c>
      <c r="H120" s="243" t="s">
        <v>52</v>
      </c>
      <c r="I120" s="243" t="s">
        <v>47</v>
      </c>
      <c r="J120" s="243" t="s">
        <v>238</v>
      </c>
      <c r="M120" s="66">
        <f>SUMIF(Inputs_LRMC!$U$80:$U$221,$D120,Inputs_LRMC!M$80:M$221)</f>
        <v>12599.324098904037</v>
      </c>
      <c r="N120" s="66">
        <f>SUMIF(Inputs_LRMC!$U$80:$U$221,$D120,Inputs_LRMC!N$80:N$221)</f>
        <v>19960.891879846931</v>
      </c>
      <c r="O120" s="66">
        <f>SUMIF(Inputs_LRMC!$U$80:$U$221,$D120,Inputs_LRMC!O$80:O$221)</f>
        <v>23005.525235283494</v>
      </c>
      <c r="P120" s="66">
        <f>SUMIF(Inputs_LRMC!$U$80:$U$221,$D120,Inputs_LRMC!P$80:P$221)</f>
        <v>14331.658548424615</v>
      </c>
      <c r="Q120" s="66">
        <f>SUMIF(Inputs_LRMC!$U$80:$U$221,$D120,Inputs_LRMC!Q$80:Q$221)</f>
        <v>8563.2108104376093</v>
      </c>
      <c r="R120" s="66">
        <f>SUMIF(Inputs_LRMC!$U$80:$U$221,$D120,Inputs_LRMC!R$80:R$221)</f>
        <v>8245.9454862530038</v>
      </c>
      <c r="S120" s="66">
        <f>SUMIF(Inputs_LRMC!$U$80:$U$221,$D120,Inputs_LRMC!S$80:S$221)</f>
        <v>7583.3468313181638</v>
      </c>
    </row>
    <row r="121" spans="1:35" ht="11.25" customHeight="1" x14ac:dyDescent="0.2"/>
    <row r="122" spans="1:35" ht="11.25" customHeight="1" x14ac:dyDescent="0.2">
      <c r="D122" s="62" t="s">
        <v>51</v>
      </c>
      <c r="H122" s="56" t="s">
        <v>52</v>
      </c>
      <c r="I122" s="56" t="str">
        <f>Thousands</f>
        <v>$000's</v>
      </c>
      <c r="J122" s="162" t="s">
        <v>238</v>
      </c>
      <c r="M122" s="68">
        <f t="shared" ref="M122:S122" si="94">SUM(M117:M120)</f>
        <v>32775.337099988457</v>
      </c>
      <c r="N122" s="68">
        <f t="shared" si="94"/>
        <v>47541.407359175006</v>
      </c>
      <c r="O122" s="68">
        <f t="shared" si="94"/>
        <v>47509.401939582152</v>
      </c>
      <c r="P122" s="68">
        <f t="shared" si="94"/>
        <v>44023.794146622429</v>
      </c>
      <c r="Q122" s="68">
        <f t="shared" si="94"/>
        <v>30431.118927909767</v>
      </c>
      <c r="R122" s="68">
        <f t="shared" si="94"/>
        <v>27450.230710457559</v>
      </c>
      <c r="S122" s="68">
        <f t="shared" si="94"/>
        <v>27213.012894361542</v>
      </c>
      <c r="U122" s="161">
        <f t="shared" ref="U122" si="95">SUM(U117:U120)</f>
        <v>1</v>
      </c>
    </row>
    <row r="123" spans="1:35" ht="11.25" customHeight="1" x14ac:dyDescent="0.2"/>
    <row r="124" spans="1:35" ht="12.75" hidden="1" outlineLevel="1" x14ac:dyDescent="0.2">
      <c r="D124" s="81" t="s">
        <v>90</v>
      </c>
      <c r="E124" s="82"/>
      <c r="G124" s="82"/>
      <c r="H124" s="243" t="s">
        <v>52</v>
      </c>
      <c r="I124" s="243" t="s">
        <v>47</v>
      </c>
      <c r="J124" s="243" t="s">
        <v>40</v>
      </c>
      <c r="K124" s="78"/>
      <c r="M124" s="66">
        <f>Inputs_LRMC!M223</f>
        <v>32775.337099988465</v>
      </c>
      <c r="N124" s="66">
        <f>Inputs_LRMC!N223</f>
        <v>47541.407359174991</v>
      </c>
      <c r="O124" s="66">
        <f>Inputs_LRMC!O223</f>
        <v>47509.401939582145</v>
      </c>
      <c r="P124" s="66">
        <f>Inputs_LRMC!P223</f>
        <v>44023.794146622422</v>
      </c>
      <c r="Q124" s="66">
        <f>Inputs_LRMC!Q223</f>
        <v>30431.118927909771</v>
      </c>
      <c r="R124" s="66">
        <f>Inputs_LRMC!R223</f>
        <v>27450.230710457559</v>
      </c>
      <c r="S124" s="66">
        <f>Inputs_LRMC!S223</f>
        <v>27213.012894361549</v>
      </c>
    </row>
    <row r="125" spans="1:35" ht="12.75" hidden="1" outlineLevel="1" x14ac:dyDescent="0.2">
      <c r="A125" s="59">
        <f>IF(SUM($M125:$S125)=0,0,1)</f>
        <v>0</v>
      </c>
      <c r="D125" s="81" t="s">
        <v>55</v>
      </c>
      <c r="E125" s="82"/>
      <c r="F125" s="80"/>
      <c r="G125" s="82"/>
      <c r="H125" s="80"/>
      <c r="I125" s="84"/>
      <c r="J125" s="84"/>
      <c r="K125" s="78"/>
      <c r="M125" s="59">
        <f t="shared" ref="M125:S125" si="96">IF(ROUND(M124-M122,2)=0,0,1)</f>
        <v>0</v>
      </c>
      <c r="N125" s="59">
        <f t="shared" si="96"/>
        <v>0</v>
      </c>
      <c r="O125" s="59">
        <f t="shared" si="96"/>
        <v>0</v>
      </c>
      <c r="P125" s="59">
        <f t="shared" si="96"/>
        <v>0</v>
      </c>
      <c r="Q125" s="59">
        <f t="shared" si="96"/>
        <v>0</v>
      </c>
      <c r="R125" s="59">
        <f t="shared" si="96"/>
        <v>0</v>
      </c>
      <c r="S125" s="59">
        <f t="shared" si="96"/>
        <v>0</v>
      </c>
    </row>
    <row r="126" spans="1:35" ht="11.25" customHeight="1" collapsed="1" x14ac:dyDescent="0.2"/>
    <row r="127" spans="1:35" ht="11.25" customHeight="1" x14ac:dyDescent="0.2"/>
    <row r="128" spans="1:35" ht="11.25" customHeight="1" x14ac:dyDescent="0.2">
      <c r="D128" s="70" t="s">
        <v>720</v>
      </c>
      <c r="H128" s="54" t="str">
        <f>Lookup!E$19</f>
        <v>Source</v>
      </c>
      <c r="I128" s="54" t="str">
        <f>Lookup!F$19</f>
        <v>Unit</v>
      </c>
      <c r="J128" s="54" t="str">
        <f>Lookup!G$19</f>
        <v>Basis</v>
      </c>
      <c r="M128" s="54" t="str">
        <f t="shared" ref="M128:S128" si="97">M$9</f>
        <v>FY23</v>
      </c>
      <c r="N128" s="54" t="str">
        <f t="shared" si="97"/>
        <v>FY24</v>
      </c>
      <c r="O128" s="54" t="str">
        <f t="shared" si="97"/>
        <v>FY25</v>
      </c>
      <c r="P128" s="54" t="str">
        <f t="shared" si="97"/>
        <v>FY26</v>
      </c>
      <c r="Q128" s="54" t="str">
        <f t="shared" si="97"/>
        <v>FY27</v>
      </c>
      <c r="R128" s="54" t="str">
        <f t="shared" si="97"/>
        <v>FY28</v>
      </c>
      <c r="S128" s="54" t="str">
        <f t="shared" si="97"/>
        <v>FY29</v>
      </c>
      <c r="T128" s="54" t="str">
        <f t="shared" ref="T128:AI128" si="98">T$9</f>
        <v>FY30</v>
      </c>
      <c r="U128" s="54" t="str">
        <f t="shared" si="98"/>
        <v>FY31</v>
      </c>
      <c r="V128" s="54" t="str">
        <f t="shared" si="98"/>
        <v>FY32</v>
      </c>
      <c r="W128" s="54" t="str">
        <f t="shared" si="98"/>
        <v>FY33</v>
      </c>
      <c r="X128" s="54" t="str">
        <f t="shared" si="98"/>
        <v>FY34</v>
      </c>
      <c r="Y128" s="54" t="str">
        <f t="shared" si="98"/>
        <v>FY35</v>
      </c>
      <c r="Z128" s="54" t="str">
        <f t="shared" si="98"/>
        <v>FY36</v>
      </c>
      <c r="AA128" s="54" t="str">
        <f t="shared" si="98"/>
        <v>FY37</v>
      </c>
      <c r="AB128" s="54" t="str">
        <f t="shared" si="98"/>
        <v>FY38</v>
      </c>
      <c r="AC128" s="54" t="str">
        <f t="shared" si="98"/>
        <v>FY39</v>
      </c>
      <c r="AD128" s="54" t="str">
        <f t="shared" si="98"/>
        <v>FY40</v>
      </c>
      <c r="AE128" s="54" t="str">
        <f t="shared" si="98"/>
        <v>FY41</v>
      </c>
      <c r="AF128" s="54" t="str">
        <f t="shared" si="98"/>
        <v>FY42</v>
      </c>
      <c r="AG128" s="54" t="str">
        <f t="shared" si="98"/>
        <v>FY43</v>
      </c>
      <c r="AH128" s="54" t="str">
        <f t="shared" si="98"/>
        <v>FY44</v>
      </c>
      <c r="AI128" s="54" t="str">
        <f t="shared" si="98"/>
        <v>FY45</v>
      </c>
    </row>
    <row r="129" spans="1:35" ht="11.25" customHeight="1" x14ac:dyDescent="0.2">
      <c r="D129" s="1"/>
    </row>
    <row r="130" spans="1:35" ht="12.75" x14ac:dyDescent="0.2">
      <c r="D130" s="75" t="s">
        <v>256</v>
      </c>
      <c r="E130" s="82"/>
      <c r="F130" s="82"/>
      <c r="G130" s="82"/>
      <c r="H130" s="243" t="s">
        <v>52</v>
      </c>
      <c r="I130" s="243" t="s">
        <v>47</v>
      </c>
      <c r="J130" s="243" t="s">
        <v>238</v>
      </c>
      <c r="M130" s="66">
        <f>M117+M$120*$U117</f>
        <v>6560.683533612485</v>
      </c>
      <c r="N130" s="66">
        <f t="shared" ref="N130:S130" si="99">N117+N$120*$U117</f>
        <v>18248.445380890233</v>
      </c>
      <c r="O130" s="66">
        <f t="shared" si="99"/>
        <v>10754.669378940554</v>
      </c>
      <c r="P130" s="66">
        <f t="shared" si="99"/>
        <v>12092.720875229017</v>
      </c>
      <c r="Q130" s="66">
        <f t="shared" si="99"/>
        <v>6971.7233551837671</v>
      </c>
      <c r="R130" s="66">
        <f t="shared" si="99"/>
        <v>3945.3807409043193</v>
      </c>
      <c r="S130" s="96">
        <f t="shared" si="99"/>
        <v>3881.7004996341047</v>
      </c>
      <c r="T130" s="66">
        <f>AVERAGE($M130:$S130)</f>
        <v>8922.1891091992111</v>
      </c>
      <c r="U130" s="96">
        <f>AVERAGE($M130:$S130)</f>
        <v>8922.1891091992111</v>
      </c>
      <c r="V130" s="66">
        <f>Calc_LRMC!V195*SUM($M130:$U130)/SUM(Calc_LRMC!$M195:$U195)</f>
        <v>6374.8557588598796</v>
      </c>
      <c r="W130" s="66">
        <f>Calc_LRMC!W195*SUM($M130:$U130)/SUM(Calc_LRMC!$M195:$U195)</f>
        <v>6383.6439475300267</v>
      </c>
      <c r="X130" s="66">
        <f>Calc_LRMC!X195*SUM($M130:$U130)/SUM(Calc_LRMC!$M195:$U195)</f>
        <v>6383.6439475300267</v>
      </c>
      <c r="Y130" s="66">
        <f>Calc_LRMC!Y195*SUM($M130:$U130)/SUM(Calc_LRMC!$M195:$U195)</f>
        <v>6383.6439475300267</v>
      </c>
      <c r="Z130" s="66">
        <f>Calc_LRMC!Z195*SUM($M130:$U130)/SUM(Calc_LRMC!$M195:$U195)</f>
        <v>6383.6439475300267</v>
      </c>
      <c r="AA130" s="66">
        <f>Calc_LRMC!AA195*SUM($M130:$U130)/SUM(Calc_LRMC!$M195:$U195)</f>
        <v>6383.6439475300022</v>
      </c>
      <c r="AB130" s="66">
        <f>Calc_LRMC!AB195*SUM($M130:$U130)/SUM(Calc_LRMC!$M195:$U195)</f>
        <v>6383.6439475300267</v>
      </c>
      <c r="AC130" s="66">
        <f>Calc_LRMC!AC195*SUM($M130:$U130)/SUM(Calc_LRMC!$M195:$U195)</f>
        <v>6383.6439475300267</v>
      </c>
      <c r="AD130" s="66">
        <f>Calc_LRMC!AD195*SUM($M130:$U130)/SUM(Calc_LRMC!$M195:$U195)</f>
        <v>6383.6439475300767</v>
      </c>
      <c r="AE130" s="66">
        <f>Calc_LRMC!AE195*SUM($M130:$U130)/SUM(Calc_LRMC!$M195:$U195)</f>
        <v>6383.6439475300267</v>
      </c>
      <c r="AF130" s="66">
        <f>Calc_LRMC!AF195*SUM($M130:$U130)/SUM(Calc_LRMC!$M195:$U195)</f>
        <v>6383.6439475300022</v>
      </c>
      <c r="AG130" s="66">
        <f>Calc_LRMC!AG195*SUM($M130:$U130)/SUM(Calc_LRMC!$M195:$U195)</f>
        <v>6383.6439475300267</v>
      </c>
      <c r="AH130" s="66">
        <f>Calc_LRMC!AH195*SUM($M130:$U130)/SUM(Calc_LRMC!$M195:$U195)</f>
        <v>6383.6439475300267</v>
      </c>
      <c r="AI130" s="66">
        <f>Calc_LRMC!AI195*SUM($M130:$U130)/SUM(Calc_LRMC!$M195:$U195)</f>
        <v>6383.6439475300267</v>
      </c>
    </row>
    <row r="131" spans="1:35" ht="12.75" x14ac:dyDescent="0.2">
      <c r="D131" s="75" t="s">
        <v>69</v>
      </c>
      <c r="H131" s="243" t="s">
        <v>52</v>
      </c>
      <c r="I131" s="243" t="s">
        <v>47</v>
      </c>
      <c r="J131" s="243" t="s">
        <v>238</v>
      </c>
      <c r="M131" s="66">
        <f t="shared" ref="M131:S131" si="100">M118+M$120*$U118</f>
        <v>5812.6276245350537</v>
      </c>
      <c r="N131" s="66">
        <f t="shared" si="100"/>
        <v>14336.664156412815</v>
      </c>
      <c r="O131" s="66">
        <f t="shared" si="100"/>
        <v>17649.965910312043</v>
      </c>
      <c r="P131" s="66">
        <f t="shared" si="100"/>
        <v>16398.549774929354</v>
      </c>
      <c r="Q131" s="66">
        <f t="shared" si="100"/>
        <v>10262.03964213331</v>
      </c>
      <c r="R131" s="66">
        <f t="shared" si="100"/>
        <v>10248.280044854251</v>
      </c>
      <c r="S131" s="96">
        <f t="shared" si="100"/>
        <v>10139.086955371055</v>
      </c>
      <c r="T131" s="66">
        <f t="shared" ref="T131:U132" si="101">AVERAGE($M131:$S131)</f>
        <v>12121.030586935411</v>
      </c>
      <c r="U131" s="96">
        <f t="shared" si="101"/>
        <v>12121.030586935411</v>
      </c>
      <c r="V131" s="66">
        <f>Calc_LRMC!V196*SUM($M131:$U131)/SUM(Calc_LRMC!$M196:$U196)</f>
        <v>8660.4106564803697</v>
      </c>
      <c r="W131" s="66">
        <f>Calc_LRMC!W196*SUM($M131:$U131)/SUM(Calc_LRMC!$M196:$U196)</f>
        <v>8672.3496439161754</v>
      </c>
      <c r="X131" s="66">
        <f>Calc_LRMC!X196*SUM($M131:$U131)/SUM(Calc_LRMC!$M196:$U196)</f>
        <v>8672.3496439161754</v>
      </c>
      <c r="Y131" s="66">
        <f>Calc_LRMC!Y196*SUM($M131:$U131)/SUM(Calc_LRMC!$M196:$U196)</f>
        <v>8672.3496439161754</v>
      </c>
      <c r="Z131" s="66">
        <f>Calc_LRMC!Z196*SUM($M131:$U131)/SUM(Calc_LRMC!$M196:$U196)</f>
        <v>8672.3496439161754</v>
      </c>
      <c r="AA131" s="66">
        <f>Calc_LRMC!AA196*SUM($M131:$U131)/SUM(Calc_LRMC!$M196:$U196)</f>
        <v>8672.3496439161408</v>
      </c>
      <c r="AB131" s="66">
        <f>Calc_LRMC!AB196*SUM($M131:$U131)/SUM(Calc_LRMC!$M196:$U196)</f>
        <v>8672.3496439161754</v>
      </c>
      <c r="AC131" s="66">
        <f>Calc_LRMC!AC196*SUM($M131:$U131)/SUM(Calc_LRMC!$M196:$U196)</f>
        <v>8672.3496439161754</v>
      </c>
      <c r="AD131" s="66">
        <f>Calc_LRMC!AD196*SUM($M131:$U131)/SUM(Calc_LRMC!$M196:$U196)</f>
        <v>8672.3496439162427</v>
      </c>
      <c r="AE131" s="66">
        <f>Calc_LRMC!AE196*SUM($M131:$U131)/SUM(Calc_LRMC!$M196:$U196)</f>
        <v>8672.3496439161754</v>
      </c>
      <c r="AF131" s="66">
        <f>Calc_LRMC!AF196*SUM($M131:$U131)/SUM(Calc_LRMC!$M196:$U196)</f>
        <v>8672.3496439161408</v>
      </c>
      <c r="AG131" s="66">
        <f>Calc_LRMC!AG196*SUM($M131:$U131)/SUM(Calc_LRMC!$M196:$U196)</f>
        <v>8672.3496439161754</v>
      </c>
      <c r="AH131" s="66">
        <f>Calc_LRMC!AH196*SUM($M131:$U131)/SUM(Calc_LRMC!$M196:$U196)</f>
        <v>8672.3496439161754</v>
      </c>
      <c r="AI131" s="66">
        <f>Calc_LRMC!AI196*SUM($M131:$U131)/SUM(Calc_LRMC!$M196:$U196)</f>
        <v>8672.3496439161754</v>
      </c>
    </row>
    <row r="132" spans="1:35" ht="12.75" x14ac:dyDescent="0.2">
      <c r="D132" s="75" t="s">
        <v>255</v>
      </c>
      <c r="H132" s="243" t="s">
        <v>52</v>
      </c>
      <c r="I132" s="243" t="s">
        <v>47</v>
      </c>
      <c r="J132" s="243" t="s">
        <v>238</v>
      </c>
      <c r="M132" s="66">
        <f t="shared" ref="M132:S132" si="102">M119+M$120*$U119</f>
        <v>20402.025941840922</v>
      </c>
      <c r="N132" s="66">
        <f t="shared" si="102"/>
        <v>14956.297821871956</v>
      </c>
      <c r="O132" s="66">
        <f t="shared" si="102"/>
        <v>19104.766650329562</v>
      </c>
      <c r="P132" s="66">
        <f t="shared" si="102"/>
        <v>15532.523496464062</v>
      </c>
      <c r="Q132" s="66">
        <f t="shared" si="102"/>
        <v>13197.35593059269</v>
      </c>
      <c r="R132" s="66">
        <f t="shared" si="102"/>
        <v>13256.569924698992</v>
      </c>
      <c r="S132" s="96">
        <f t="shared" si="102"/>
        <v>13192.225439356382</v>
      </c>
      <c r="T132" s="66">
        <f t="shared" si="101"/>
        <v>15663.109315022082</v>
      </c>
      <c r="U132" s="96">
        <f t="shared" si="101"/>
        <v>15663.109315022082</v>
      </c>
      <c r="V132" s="66">
        <f>Calc_LRMC!V197*SUM($M132:$U132)/SUM(Calc_LRMC!$M197:$U197)</f>
        <v>11191.206709076609</v>
      </c>
      <c r="W132" s="66">
        <f>Calc_LRMC!W197*SUM($M132:$U132)/SUM(Calc_LRMC!$M197:$U197)</f>
        <v>11206.634577521963</v>
      </c>
      <c r="X132" s="66">
        <f>Calc_LRMC!X197*SUM($M132:$U132)/SUM(Calc_LRMC!$M197:$U197)</f>
        <v>11206.634577521963</v>
      </c>
      <c r="Y132" s="66">
        <f>Calc_LRMC!Y197*SUM($M132:$U132)/SUM(Calc_LRMC!$M197:$U197)</f>
        <v>11206.634577521963</v>
      </c>
      <c r="Z132" s="66">
        <f>Calc_LRMC!Z197*SUM($M132:$U132)/SUM(Calc_LRMC!$M197:$U197)</f>
        <v>11206.634577521963</v>
      </c>
      <c r="AA132" s="66">
        <f>Calc_LRMC!AA197*SUM($M132:$U132)/SUM(Calc_LRMC!$M197:$U197)</f>
        <v>11206.634577521963</v>
      </c>
      <c r="AB132" s="66">
        <f>Calc_LRMC!AB197*SUM($M132:$U132)/SUM(Calc_LRMC!$M197:$U197)</f>
        <v>11206.634577521963</v>
      </c>
      <c r="AC132" s="66">
        <f>Calc_LRMC!AC197*SUM($M132:$U132)/SUM(Calc_LRMC!$M197:$U197)</f>
        <v>11206.634577521963</v>
      </c>
      <c r="AD132" s="66">
        <f>Calc_LRMC!AD197*SUM($M132:$U132)/SUM(Calc_LRMC!$M197:$U197)</f>
        <v>11206.634577522087</v>
      </c>
      <c r="AE132" s="66">
        <f>Calc_LRMC!AE197*SUM($M132:$U132)/SUM(Calc_LRMC!$M197:$U197)</f>
        <v>11206.634577521963</v>
      </c>
      <c r="AF132" s="66">
        <f>Calc_LRMC!AF197*SUM($M132:$U132)/SUM(Calc_LRMC!$M197:$U197)</f>
        <v>11206.634577521963</v>
      </c>
      <c r="AG132" s="66">
        <f>Calc_LRMC!AG197*SUM($M132:$U132)/SUM(Calc_LRMC!$M197:$U197)</f>
        <v>11206.634577521963</v>
      </c>
      <c r="AH132" s="66">
        <f>Calc_LRMC!AH197*SUM($M132:$U132)/SUM(Calc_LRMC!$M197:$U197)</f>
        <v>11206.634577521963</v>
      </c>
      <c r="AI132" s="66">
        <f>Calc_LRMC!AI197*SUM($M132:$U132)/SUM(Calc_LRMC!$M197:$U197)</f>
        <v>11206.634577521963</v>
      </c>
    </row>
    <row r="133" spans="1:35" ht="11.25" customHeight="1" x14ac:dyDescent="0.2"/>
    <row r="134" spans="1:35" ht="11.25" customHeight="1" x14ac:dyDescent="0.2">
      <c r="D134" s="62" t="s">
        <v>51</v>
      </c>
      <c r="H134" s="56" t="s">
        <v>52</v>
      </c>
      <c r="I134" s="56" t="str">
        <f>Thousands</f>
        <v>$000's</v>
      </c>
      <c r="J134" s="162" t="s">
        <v>238</v>
      </c>
      <c r="M134" s="68">
        <f t="shared" ref="M134:S134" si="103">SUM(M130:M132)</f>
        <v>32775.337099988465</v>
      </c>
      <c r="N134" s="68">
        <f t="shared" si="103"/>
        <v>47541.407359175006</v>
      </c>
      <c r="O134" s="68">
        <f t="shared" si="103"/>
        <v>47509.40193958216</v>
      </c>
      <c r="P134" s="68">
        <f t="shared" si="103"/>
        <v>44023.794146622429</v>
      </c>
      <c r="Q134" s="68">
        <f t="shared" si="103"/>
        <v>30431.118927909767</v>
      </c>
      <c r="R134" s="68">
        <f t="shared" si="103"/>
        <v>27450.230710457559</v>
      </c>
      <c r="S134" s="68">
        <f t="shared" si="103"/>
        <v>27213.012894361542</v>
      </c>
      <c r="T134" s="68">
        <f t="shared" ref="T134:AI134" si="104">SUM(T130:T132)</f>
        <v>36706.329011156704</v>
      </c>
      <c r="U134" s="68">
        <f t="shared" si="104"/>
        <v>36706.329011156704</v>
      </c>
      <c r="V134" s="68">
        <f t="shared" si="104"/>
        <v>26226.473124416858</v>
      </c>
      <c r="W134" s="68">
        <f t="shared" si="104"/>
        <v>26262.628168968164</v>
      </c>
      <c r="X134" s="68">
        <f t="shared" si="104"/>
        <v>26262.628168968164</v>
      </c>
      <c r="Y134" s="68">
        <f t="shared" si="104"/>
        <v>26262.628168968164</v>
      </c>
      <c r="Z134" s="68">
        <f t="shared" si="104"/>
        <v>26262.628168968164</v>
      </c>
      <c r="AA134" s="68">
        <f t="shared" si="104"/>
        <v>26262.628168968105</v>
      </c>
      <c r="AB134" s="68">
        <f t="shared" si="104"/>
        <v>26262.628168968164</v>
      </c>
      <c r="AC134" s="68">
        <f t="shared" si="104"/>
        <v>26262.628168968164</v>
      </c>
      <c r="AD134" s="68">
        <f t="shared" si="104"/>
        <v>26262.628168968407</v>
      </c>
      <c r="AE134" s="68">
        <f t="shared" si="104"/>
        <v>26262.628168968164</v>
      </c>
      <c r="AF134" s="68">
        <f t="shared" si="104"/>
        <v>26262.628168968105</v>
      </c>
      <c r="AG134" s="68">
        <f t="shared" si="104"/>
        <v>26262.628168968164</v>
      </c>
      <c r="AH134" s="68">
        <f t="shared" si="104"/>
        <v>26262.628168968164</v>
      </c>
      <c r="AI134" s="68">
        <f t="shared" si="104"/>
        <v>26262.628168968164</v>
      </c>
    </row>
    <row r="135" spans="1:35" ht="11.25" customHeight="1" x14ac:dyDescent="0.2"/>
    <row r="136" spans="1:35" ht="12.75" hidden="1" outlineLevel="1" x14ac:dyDescent="0.2">
      <c r="D136" s="81" t="s">
        <v>90</v>
      </c>
      <c r="E136" s="82"/>
      <c r="G136" s="82"/>
      <c r="H136" s="243" t="s">
        <v>52</v>
      </c>
      <c r="I136" s="243" t="s">
        <v>47</v>
      </c>
      <c r="J136" s="243" t="s">
        <v>40</v>
      </c>
      <c r="K136" s="78"/>
      <c r="M136" s="66">
        <f>M122</f>
        <v>32775.337099988457</v>
      </c>
      <c r="N136" s="66">
        <f t="shared" ref="N136:S136" si="105">N122</f>
        <v>47541.407359175006</v>
      </c>
      <c r="O136" s="66">
        <f t="shared" si="105"/>
        <v>47509.401939582152</v>
      </c>
      <c r="P136" s="66">
        <f t="shared" si="105"/>
        <v>44023.794146622429</v>
      </c>
      <c r="Q136" s="66">
        <f t="shared" si="105"/>
        <v>30431.118927909767</v>
      </c>
      <c r="R136" s="66">
        <f t="shared" si="105"/>
        <v>27450.230710457559</v>
      </c>
      <c r="S136" s="96">
        <f t="shared" si="105"/>
        <v>27213.012894361542</v>
      </c>
      <c r="T136" s="66">
        <f t="shared" ref="T136:U136" si="106">AVERAGE($M136:$S136)</f>
        <v>36706.329011156704</v>
      </c>
      <c r="U136" s="66">
        <f t="shared" si="106"/>
        <v>36706.329011156704</v>
      </c>
    </row>
    <row r="137" spans="1:35" ht="12.75" hidden="1" outlineLevel="1" x14ac:dyDescent="0.2">
      <c r="A137" s="59">
        <f>IF(SUM($M137:$U137)=0,0,1)</f>
        <v>0</v>
      </c>
      <c r="D137" s="81" t="s">
        <v>55</v>
      </c>
      <c r="E137" s="82"/>
      <c r="F137" s="80"/>
      <c r="G137" s="82"/>
      <c r="H137" s="80"/>
      <c r="I137" s="84"/>
      <c r="J137" s="84"/>
      <c r="K137" s="78"/>
      <c r="M137" s="59">
        <f t="shared" ref="M137:S137" si="107">IF(ROUND(M136-M134,2)=0,0,1)</f>
        <v>0</v>
      </c>
      <c r="N137" s="59">
        <f t="shared" si="107"/>
        <v>0</v>
      </c>
      <c r="O137" s="59">
        <f t="shared" si="107"/>
        <v>0</v>
      </c>
      <c r="P137" s="59">
        <f t="shared" si="107"/>
        <v>0</v>
      </c>
      <c r="Q137" s="59">
        <f t="shared" si="107"/>
        <v>0</v>
      </c>
      <c r="R137" s="59">
        <f t="shared" si="107"/>
        <v>0</v>
      </c>
      <c r="S137" s="59">
        <f t="shared" si="107"/>
        <v>0</v>
      </c>
      <c r="T137" s="59">
        <f t="shared" ref="T137" si="108">IF(ROUND(T136-T134,2)=0,0,1)</f>
        <v>0</v>
      </c>
      <c r="U137" s="59">
        <f t="shared" ref="U137" si="109">IF(ROUND(U136-U134,2)=0,0,1)</f>
        <v>0</v>
      </c>
    </row>
    <row r="138" spans="1:35" ht="11.25" customHeight="1" collapsed="1" x14ac:dyDescent="0.2"/>
    <row r="139" spans="1:35" ht="11.25" customHeight="1" x14ac:dyDescent="0.2"/>
    <row r="140" spans="1:35" ht="11.25" customHeight="1" x14ac:dyDescent="0.2">
      <c r="D140" s="70" t="s">
        <v>721</v>
      </c>
      <c r="H140" s="54" t="str">
        <f>Lookup!E$19</f>
        <v>Source</v>
      </c>
      <c r="I140" s="54" t="str">
        <f>Lookup!F$19</f>
        <v>Unit</v>
      </c>
      <c r="J140" s="54" t="str">
        <f>Lookup!G$19</f>
        <v>Basis</v>
      </c>
      <c r="M140" s="54" t="str">
        <f t="shared" ref="M140:AI140" si="110">M$9</f>
        <v>FY23</v>
      </c>
      <c r="N140" s="54" t="str">
        <f t="shared" si="110"/>
        <v>FY24</v>
      </c>
      <c r="O140" s="54" t="str">
        <f t="shared" si="110"/>
        <v>FY25</v>
      </c>
      <c r="P140" s="54" t="str">
        <f t="shared" si="110"/>
        <v>FY26</v>
      </c>
      <c r="Q140" s="54" t="str">
        <f t="shared" si="110"/>
        <v>FY27</v>
      </c>
      <c r="R140" s="54" t="str">
        <f t="shared" si="110"/>
        <v>FY28</v>
      </c>
      <c r="S140" s="54" t="str">
        <f t="shared" si="110"/>
        <v>FY29</v>
      </c>
      <c r="T140" s="54" t="str">
        <f t="shared" si="110"/>
        <v>FY30</v>
      </c>
      <c r="U140" s="54" t="str">
        <f t="shared" si="110"/>
        <v>FY31</v>
      </c>
      <c r="V140" s="54" t="str">
        <f t="shared" si="110"/>
        <v>FY32</v>
      </c>
      <c r="W140" s="54" t="str">
        <f t="shared" si="110"/>
        <v>FY33</v>
      </c>
      <c r="X140" s="54" t="str">
        <f t="shared" si="110"/>
        <v>FY34</v>
      </c>
      <c r="Y140" s="54" t="str">
        <f t="shared" si="110"/>
        <v>FY35</v>
      </c>
      <c r="Z140" s="54" t="str">
        <f t="shared" si="110"/>
        <v>FY36</v>
      </c>
      <c r="AA140" s="54" t="str">
        <f t="shared" si="110"/>
        <v>FY37</v>
      </c>
      <c r="AB140" s="54" t="str">
        <f t="shared" si="110"/>
        <v>FY38</v>
      </c>
      <c r="AC140" s="54" t="str">
        <f t="shared" si="110"/>
        <v>FY39</v>
      </c>
      <c r="AD140" s="54" t="str">
        <f t="shared" si="110"/>
        <v>FY40</v>
      </c>
      <c r="AE140" s="54" t="str">
        <f t="shared" si="110"/>
        <v>FY41</v>
      </c>
      <c r="AF140" s="54" t="str">
        <f t="shared" si="110"/>
        <v>FY42</v>
      </c>
      <c r="AG140" s="54" t="str">
        <f t="shared" si="110"/>
        <v>FY43</v>
      </c>
      <c r="AH140" s="54" t="str">
        <f t="shared" si="110"/>
        <v>FY44</v>
      </c>
      <c r="AI140" s="54" t="str">
        <f t="shared" si="110"/>
        <v>FY45</v>
      </c>
    </row>
    <row r="141" spans="1:35" ht="11.25" customHeight="1" x14ac:dyDescent="0.2">
      <c r="D141" s="1"/>
    </row>
    <row r="142" spans="1:35" ht="12.75" x14ac:dyDescent="0.2">
      <c r="D142" s="75" t="s">
        <v>256</v>
      </c>
      <c r="E142" s="82"/>
      <c r="F142" s="82"/>
      <c r="G142" s="82"/>
      <c r="H142" s="243" t="s">
        <v>52</v>
      </c>
      <c r="I142" s="243" t="s">
        <v>47</v>
      </c>
      <c r="J142" s="243" t="s">
        <v>238</v>
      </c>
      <c r="M142" s="66">
        <f>M130*Inputs_LRMC!$M40</f>
        <v>2296.2392367643697</v>
      </c>
      <c r="N142" s="66">
        <f>N130*Inputs_LRMC!$M40</f>
        <v>6386.9558833115807</v>
      </c>
      <c r="O142" s="66">
        <f>O130*Inputs_LRMC!$M40</f>
        <v>3764.1342826291939</v>
      </c>
      <c r="P142" s="66">
        <f>P130*Inputs_LRMC!$M40</f>
        <v>4232.4523063301558</v>
      </c>
      <c r="Q142" s="66">
        <f>Q130*Inputs_LRMC!$M40</f>
        <v>2440.1031743143185</v>
      </c>
      <c r="R142" s="66">
        <f>R130*Inputs_LRMC!$M40</f>
        <v>1380.8832593165116</v>
      </c>
      <c r="S142" s="66">
        <f>S130*Inputs_LRMC!$M40</f>
        <v>1358.5951748719365</v>
      </c>
      <c r="T142" s="66">
        <f>T130*Inputs_LRMC!$M40</f>
        <v>3122.7661882197235</v>
      </c>
      <c r="U142" s="66">
        <f>U130*Inputs_LRMC!$M40</f>
        <v>3122.7661882197235</v>
      </c>
      <c r="V142" s="66">
        <f>V130*Inputs_LRMC!$M40</f>
        <v>2231.1995156009575</v>
      </c>
      <c r="W142" s="66">
        <f>W130*Inputs_LRMC!$M40</f>
        <v>2234.2753816355093</v>
      </c>
      <c r="X142" s="66">
        <f>X130*Inputs_LRMC!$M40</f>
        <v>2234.2753816355093</v>
      </c>
      <c r="Y142" s="66">
        <f>Y130*Inputs_LRMC!$M40</f>
        <v>2234.2753816355093</v>
      </c>
      <c r="Z142" s="66">
        <f>Z130*Inputs_LRMC!$M40</f>
        <v>2234.2753816355093</v>
      </c>
      <c r="AA142" s="66">
        <f>AA130*Inputs_LRMC!$M40</f>
        <v>2234.2753816355007</v>
      </c>
      <c r="AB142" s="66">
        <f>AB130*Inputs_LRMC!$M40</f>
        <v>2234.2753816355093</v>
      </c>
      <c r="AC142" s="66">
        <f>AC130*Inputs_LRMC!$M40</f>
        <v>2234.2753816355093</v>
      </c>
      <c r="AD142" s="66">
        <f>AD130*Inputs_LRMC!$M40</f>
        <v>2234.2753816355266</v>
      </c>
      <c r="AE142" s="66">
        <f>AE130*Inputs_LRMC!$M40</f>
        <v>2234.2753816355093</v>
      </c>
      <c r="AF142" s="66">
        <f>AF130*Inputs_LRMC!$M40</f>
        <v>2234.2753816355007</v>
      </c>
      <c r="AG142" s="66">
        <f>AG130*Inputs_LRMC!$M40</f>
        <v>2234.2753816355093</v>
      </c>
      <c r="AH142" s="66">
        <f>AH130*Inputs_LRMC!$M40</f>
        <v>2234.2753816355093</v>
      </c>
      <c r="AI142" s="66">
        <f>AI130*Inputs_LRMC!$M40</f>
        <v>2234.2753816355093</v>
      </c>
    </row>
    <row r="143" spans="1:35" ht="12.75" x14ac:dyDescent="0.2">
      <c r="D143" s="75" t="s">
        <v>69</v>
      </c>
      <c r="H143" s="243" t="s">
        <v>52</v>
      </c>
      <c r="I143" s="243" t="s">
        <v>47</v>
      </c>
      <c r="J143" s="243" t="s">
        <v>238</v>
      </c>
      <c r="M143" s="66">
        <f>M131*Inputs_LRMC!$M41</f>
        <v>2034.4196685872687</v>
      </c>
      <c r="N143" s="66">
        <f>N131*Inputs_LRMC!$M41</f>
        <v>5017.8324547444845</v>
      </c>
      <c r="O143" s="66">
        <f>O131*Inputs_LRMC!$M41</f>
        <v>6177.4880686092147</v>
      </c>
      <c r="P143" s="66">
        <f>P131*Inputs_LRMC!$M41</f>
        <v>5739.4924212252736</v>
      </c>
      <c r="Q143" s="66">
        <f>Q131*Inputs_LRMC!$M41</f>
        <v>3591.7138747466583</v>
      </c>
      <c r="R143" s="66">
        <f>R131*Inputs_LRMC!$M41</f>
        <v>3586.8980156989878</v>
      </c>
      <c r="S143" s="66">
        <f>S131*Inputs_LRMC!$M41</f>
        <v>3548.680434379869</v>
      </c>
      <c r="T143" s="66">
        <f>T131*Inputs_LRMC!$M41</f>
        <v>4242.3607054273934</v>
      </c>
      <c r="U143" s="66">
        <f>U131*Inputs_LRMC!$M41</f>
        <v>4242.3607054273934</v>
      </c>
      <c r="V143" s="66">
        <f>V131*Inputs_LRMC!$M41</f>
        <v>3031.1437297681291</v>
      </c>
      <c r="W143" s="66">
        <f>W131*Inputs_LRMC!$M41</f>
        <v>3035.3223753706611</v>
      </c>
      <c r="X143" s="66">
        <f>X131*Inputs_LRMC!$M41</f>
        <v>3035.3223753706611</v>
      </c>
      <c r="Y143" s="66">
        <f>Y131*Inputs_LRMC!$M41</f>
        <v>3035.3223753706611</v>
      </c>
      <c r="Z143" s="66">
        <f>Z131*Inputs_LRMC!$M41</f>
        <v>3035.3223753706611</v>
      </c>
      <c r="AA143" s="66">
        <f>AA131*Inputs_LRMC!$M41</f>
        <v>3035.3223753706493</v>
      </c>
      <c r="AB143" s="66">
        <f>AB131*Inputs_LRMC!$M41</f>
        <v>3035.3223753706611</v>
      </c>
      <c r="AC143" s="66">
        <f>AC131*Inputs_LRMC!$M41</f>
        <v>3035.3223753706611</v>
      </c>
      <c r="AD143" s="66">
        <f>AD131*Inputs_LRMC!$M41</f>
        <v>3035.3223753706848</v>
      </c>
      <c r="AE143" s="66">
        <f>AE131*Inputs_LRMC!$M41</f>
        <v>3035.3223753706611</v>
      </c>
      <c r="AF143" s="66">
        <f>AF131*Inputs_LRMC!$M41</f>
        <v>3035.3223753706493</v>
      </c>
      <c r="AG143" s="66">
        <f>AG131*Inputs_LRMC!$M41</f>
        <v>3035.3223753706611</v>
      </c>
      <c r="AH143" s="66">
        <f>AH131*Inputs_LRMC!$M41</f>
        <v>3035.3223753706611</v>
      </c>
      <c r="AI143" s="66">
        <f>AI131*Inputs_LRMC!$M41</f>
        <v>3035.3223753706611</v>
      </c>
    </row>
    <row r="144" spans="1:35" ht="12.75" x14ac:dyDescent="0.2">
      <c r="D144" s="75" t="s">
        <v>255</v>
      </c>
      <c r="H144" s="243" t="s">
        <v>52</v>
      </c>
      <c r="I144" s="243" t="s">
        <v>47</v>
      </c>
      <c r="J144" s="243" t="s">
        <v>238</v>
      </c>
      <c r="M144" s="66">
        <f>M132*Inputs_LRMC!$M42</f>
        <v>7140.7090796443226</v>
      </c>
      <c r="N144" s="66">
        <f>N132*Inputs_LRMC!$M42</f>
        <v>5234.7042376551844</v>
      </c>
      <c r="O144" s="66">
        <f>O132*Inputs_LRMC!$M42</f>
        <v>6686.6683276153462</v>
      </c>
      <c r="P144" s="66">
        <f>P132*Inputs_LRMC!$M42</f>
        <v>5436.383223762421</v>
      </c>
      <c r="Q144" s="66">
        <f>Q132*Inputs_LRMC!$M42</f>
        <v>4619.074575707441</v>
      </c>
      <c r="R144" s="66">
        <f>R132*Inputs_LRMC!$M42</f>
        <v>4639.7994736446472</v>
      </c>
      <c r="S144" s="66">
        <f>S132*Inputs_LRMC!$M42</f>
        <v>4617.2789037747334</v>
      </c>
      <c r="T144" s="66">
        <f>T132*Inputs_LRMC!$M42</f>
        <v>5482.0882602577285</v>
      </c>
      <c r="U144" s="66">
        <f>U132*Inputs_LRMC!$M42</f>
        <v>5482.0882602577285</v>
      </c>
      <c r="V144" s="66">
        <f>V132*Inputs_LRMC!$M42</f>
        <v>3916.9223481768126</v>
      </c>
      <c r="W144" s="66">
        <f>W132*Inputs_LRMC!$M42</f>
        <v>3922.3221021326867</v>
      </c>
      <c r="X144" s="66">
        <f>X132*Inputs_LRMC!$M42</f>
        <v>3922.3221021326867</v>
      </c>
      <c r="Y144" s="66">
        <f>Y132*Inputs_LRMC!$M42</f>
        <v>3922.3221021326867</v>
      </c>
      <c r="Z144" s="66">
        <f>Z132*Inputs_LRMC!$M42</f>
        <v>3922.3221021326867</v>
      </c>
      <c r="AA144" s="66">
        <f>AA132*Inputs_LRMC!$M42</f>
        <v>3922.3221021326867</v>
      </c>
      <c r="AB144" s="66">
        <f>AB132*Inputs_LRMC!$M42</f>
        <v>3922.3221021326867</v>
      </c>
      <c r="AC144" s="66">
        <f>AC132*Inputs_LRMC!$M42</f>
        <v>3922.3221021326867</v>
      </c>
      <c r="AD144" s="66">
        <f>AD132*Inputs_LRMC!$M42</f>
        <v>3922.3221021327304</v>
      </c>
      <c r="AE144" s="66">
        <f>AE132*Inputs_LRMC!$M42</f>
        <v>3922.3221021326867</v>
      </c>
      <c r="AF144" s="66">
        <f>AF132*Inputs_LRMC!$M42</f>
        <v>3922.3221021326867</v>
      </c>
      <c r="AG144" s="66">
        <f>AG132*Inputs_LRMC!$M42</f>
        <v>3922.3221021326867</v>
      </c>
      <c r="AH144" s="66">
        <f>AH132*Inputs_LRMC!$M42</f>
        <v>3922.3221021326867</v>
      </c>
      <c r="AI144" s="66">
        <f>AI132*Inputs_LRMC!$M42</f>
        <v>3922.3221021326867</v>
      </c>
    </row>
    <row r="145" spans="1:35" ht="11.25" customHeight="1" x14ac:dyDescent="0.2"/>
    <row r="146" spans="1:35" ht="11.25" customHeight="1" x14ac:dyDescent="0.2">
      <c r="D146" s="62" t="s">
        <v>51</v>
      </c>
      <c r="H146" s="56" t="s">
        <v>52</v>
      </c>
      <c r="I146" s="56" t="str">
        <f>Thousands</f>
        <v>$000's</v>
      </c>
      <c r="J146" s="162" t="s">
        <v>238</v>
      </c>
      <c r="M146" s="68">
        <f t="shared" ref="M146:AI146" si="111">SUM(M142:M144)</f>
        <v>11471.367984995961</v>
      </c>
      <c r="N146" s="68">
        <f t="shared" si="111"/>
        <v>16639.492575711251</v>
      </c>
      <c r="O146" s="68">
        <f t="shared" si="111"/>
        <v>16628.290678853755</v>
      </c>
      <c r="P146" s="68">
        <f t="shared" si="111"/>
        <v>15408.327951317851</v>
      </c>
      <c r="Q146" s="68">
        <f t="shared" si="111"/>
        <v>10650.891624768417</v>
      </c>
      <c r="R146" s="68">
        <f t="shared" si="111"/>
        <v>9607.5807486601461</v>
      </c>
      <c r="S146" s="68">
        <f t="shared" si="111"/>
        <v>9524.5545130265382</v>
      </c>
      <c r="T146" s="68">
        <f t="shared" si="111"/>
        <v>12847.215153904846</v>
      </c>
      <c r="U146" s="68">
        <f t="shared" si="111"/>
        <v>12847.215153904846</v>
      </c>
      <c r="V146" s="68">
        <f t="shared" si="111"/>
        <v>9179.2655935458988</v>
      </c>
      <c r="W146" s="68">
        <f t="shared" si="111"/>
        <v>9191.9198591388576</v>
      </c>
      <c r="X146" s="68">
        <f t="shared" si="111"/>
        <v>9191.9198591388576</v>
      </c>
      <c r="Y146" s="68">
        <f t="shared" si="111"/>
        <v>9191.9198591388576</v>
      </c>
      <c r="Z146" s="68">
        <f t="shared" si="111"/>
        <v>9191.9198591388576</v>
      </c>
      <c r="AA146" s="68">
        <f t="shared" si="111"/>
        <v>9191.9198591388358</v>
      </c>
      <c r="AB146" s="68">
        <f t="shared" si="111"/>
        <v>9191.9198591388576</v>
      </c>
      <c r="AC146" s="68">
        <f t="shared" si="111"/>
        <v>9191.9198591388576</v>
      </c>
      <c r="AD146" s="68">
        <f t="shared" si="111"/>
        <v>9191.9198591389413</v>
      </c>
      <c r="AE146" s="68">
        <f t="shared" si="111"/>
        <v>9191.9198591388576</v>
      </c>
      <c r="AF146" s="68">
        <f t="shared" si="111"/>
        <v>9191.9198591388358</v>
      </c>
      <c r="AG146" s="68">
        <f t="shared" si="111"/>
        <v>9191.9198591388576</v>
      </c>
      <c r="AH146" s="68">
        <f t="shared" si="111"/>
        <v>9191.9198591388576</v>
      </c>
      <c r="AI146" s="68">
        <f t="shared" si="111"/>
        <v>9191.9198591388576</v>
      </c>
    </row>
    <row r="147" spans="1:35" ht="11.25" customHeight="1" x14ac:dyDescent="0.2"/>
    <row r="148" spans="1:35" ht="12.75" hidden="1" outlineLevel="1" x14ac:dyDescent="0.2">
      <c r="D148" s="81" t="s">
        <v>90</v>
      </c>
      <c r="E148" s="82"/>
      <c r="G148" s="82"/>
      <c r="H148" s="243" t="s">
        <v>52</v>
      </c>
      <c r="I148" s="243" t="s">
        <v>47</v>
      </c>
      <c r="J148" s="243" t="s">
        <v>40</v>
      </c>
      <c r="K148" s="78"/>
      <c r="M148" s="66">
        <f>SUMPRODUCT(M$130:M$132,Inputs_LRMC!$M$40:$M$42)</f>
        <v>11471.367984995961</v>
      </c>
      <c r="N148" s="66">
        <f>SUMPRODUCT(N$130:N$132,Inputs_LRMC!$M$40:$M$42)</f>
        <v>16639.492575711251</v>
      </c>
      <c r="O148" s="66">
        <f>SUMPRODUCT(O$130:O$132,Inputs_LRMC!$M$40:$M$42)</f>
        <v>16628.290678853755</v>
      </c>
      <c r="P148" s="66">
        <f>SUMPRODUCT(P$130:P$132,Inputs_LRMC!$M$40:$M$42)</f>
        <v>15408.327951317851</v>
      </c>
      <c r="Q148" s="66">
        <f>SUMPRODUCT(Q$130:Q$132,Inputs_LRMC!$M$40:$M$42)</f>
        <v>10650.891624768417</v>
      </c>
      <c r="R148" s="66">
        <f>SUMPRODUCT(R$130:R$132,Inputs_LRMC!$M$40:$M$42)</f>
        <v>9607.5807486601461</v>
      </c>
      <c r="S148" s="66">
        <f>SUMPRODUCT(S$130:S$132,Inputs_LRMC!$M$40:$M$42)</f>
        <v>9524.5545130265382</v>
      </c>
      <c r="T148" s="66">
        <f>SUMPRODUCT(T$130:T$132,Inputs_LRMC!$M$40:$M$42)</f>
        <v>12847.215153904846</v>
      </c>
      <c r="U148" s="66">
        <f>SUMPRODUCT(U$130:U$132,Inputs_LRMC!$M$40:$M$42)</f>
        <v>12847.215153904846</v>
      </c>
      <c r="V148" s="66">
        <f>SUMPRODUCT(V$130:V$132,Inputs_LRMC!$M$40:$M$42)</f>
        <v>9179.2655935458988</v>
      </c>
      <c r="W148" s="66">
        <f>SUMPRODUCT(W$130:W$132,Inputs_LRMC!$M$40:$M$42)</f>
        <v>9191.9198591388576</v>
      </c>
      <c r="X148" s="66">
        <f>SUMPRODUCT(X$130:X$132,Inputs_LRMC!$M$40:$M$42)</f>
        <v>9191.9198591388576</v>
      </c>
      <c r="Y148" s="66">
        <f>SUMPRODUCT(Y$130:Y$132,Inputs_LRMC!$M$40:$M$42)</f>
        <v>9191.9198591388576</v>
      </c>
      <c r="Z148" s="66">
        <f>SUMPRODUCT(Z$130:Z$132,Inputs_LRMC!$M$40:$M$42)</f>
        <v>9191.9198591388576</v>
      </c>
      <c r="AA148" s="66">
        <f>SUMPRODUCT(AA$130:AA$132,Inputs_LRMC!$M$40:$M$42)</f>
        <v>9191.9198591388358</v>
      </c>
      <c r="AB148" s="66">
        <f>SUMPRODUCT(AB$130:AB$132,Inputs_LRMC!$M$40:$M$42)</f>
        <v>9191.9198591388576</v>
      </c>
      <c r="AC148" s="66">
        <f>SUMPRODUCT(AC$130:AC$132,Inputs_LRMC!$M$40:$M$42)</f>
        <v>9191.9198591388576</v>
      </c>
      <c r="AD148" s="66">
        <f>SUMPRODUCT(AD$130:AD$132,Inputs_LRMC!$M$40:$M$42)</f>
        <v>9191.9198591389413</v>
      </c>
      <c r="AE148" s="66">
        <f>SUMPRODUCT(AE$130:AE$132,Inputs_LRMC!$M$40:$M$42)</f>
        <v>9191.9198591388576</v>
      </c>
      <c r="AF148" s="66">
        <f>SUMPRODUCT(AF$130:AF$132,Inputs_LRMC!$M$40:$M$42)</f>
        <v>9191.9198591388358</v>
      </c>
      <c r="AG148" s="66">
        <f>SUMPRODUCT(AG$130:AG$132,Inputs_LRMC!$M$40:$M$42)</f>
        <v>9191.9198591388576</v>
      </c>
      <c r="AH148" s="66">
        <f>SUMPRODUCT(AH$130:AH$132,Inputs_LRMC!$M$40:$M$42)</f>
        <v>9191.9198591388576</v>
      </c>
      <c r="AI148" s="66">
        <f>SUMPRODUCT(AI$130:AI$132,Inputs_LRMC!$M$40:$M$42)</f>
        <v>9191.9198591388576</v>
      </c>
    </row>
    <row r="149" spans="1:35" ht="12.75" hidden="1" outlineLevel="1" x14ac:dyDescent="0.2">
      <c r="A149" s="59">
        <f>IF(SUM($M149:$U149)=0,0,1)</f>
        <v>0</v>
      </c>
      <c r="D149" s="81" t="s">
        <v>55</v>
      </c>
      <c r="E149" s="82"/>
      <c r="F149" s="80"/>
      <c r="G149" s="82"/>
      <c r="H149" s="80"/>
      <c r="I149" s="84"/>
      <c r="J149" s="84"/>
      <c r="K149" s="78"/>
      <c r="M149" s="59">
        <f t="shared" ref="M149:U149" si="112">IF(ROUND(M148-M146,2)=0,0,1)</f>
        <v>0</v>
      </c>
      <c r="N149" s="59">
        <f t="shared" si="112"/>
        <v>0</v>
      </c>
      <c r="O149" s="59">
        <f t="shared" si="112"/>
        <v>0</v>
      </c>
      <c r="P149" s="59">
        <f t="shared" si="112"/>
        <v>0</v>
      </c>
      <c r="Q149" s="59">
        <f t="shared" si="112"/>
        <v>0</v>
      </c>
      <c r="R149" s="59">
        <f t="shared" si="112"/>
        <v>0</v>
      </c>
      <c r="S149" s="59">
        <f t="shared" si="112"/>
        <v>0</v>
      </c>
      <c r="T149" s="59">
        <f t="shared" si="112"/>
        <v>0</v>
      </c>
      <c r="U149" s="59">
        <f t="shared" si="112"/>
        <v>0</v>
      </c>
      <c r="V149" s="59">
        <f t="shared" ref="V149:AI149" si="113">IF(ROUND(V148-V146,2)=0,0,1)</f>
        <v>0</v>
      </c>
      <c r="W149" s="59">
        <f t="shared" si="113"/>
        <v>0</v>
      </c>
      <c r="X149" s="59">
        <f t="shared" si="113"/>
        <v>0</v>
      </c>
      <c r="Y149" s="59">
        <f t="shared" si="113"/>
        <v>0</v>
      </c>
      <c r="Z149" s="59">
        <f t="shared" si="113"/>
        <v>0</v>
      </c>
      <c r="AA149" s="59">
        <f t="shared" si="113"/>
        <v>0</v>
      </c>
      <c r="AB149" s="59">
        <f t="shared" si="113"/>
        <v>0</v>
      </c>
      <c r="AC149" s="59">
        <f t="shared" si="113"/>
        <v>0</v>
      </c>
      <c r="AD149" s="59">
        <f t="shared" si="113"/>
        <v>0</v>
      </c>
      <c r="AE149" s="59">
        <f t="shared" si="113"/>
        <v>0</v>
      </c>
      <c r="AF149" s="59">
        <f t="shared" si="113"/>
        <v>0</v>
      </c>
      <c r="AG149" s="59">
        <f t="shared" si="113"/>
        <v>0</v>
      </c>
      <c r="AH149" s="59">
        <f t="shared" si="113"/>
        <v>0</v>
      </c>
      <c r="AI149" s="59">
        <f t="shared" si="113"/>
        <v>0</v>
      </c>
    </row>
    <row r="150" spans="1:35" ht="11.25" customHeight="1" collapsed="1" x14ac:dyDescent="0.2"/>
    <row r="151" spans="1:35" ht="11.25" customHeight="1" x14ac:dyDescent="0.2"/>
    <row r="152" spans="1:35" ht="11.25" customHeight="1" x14ac:dyDescent="0.2">
      <c r="D152" s="70" t="s">
        <v>722</v>
      </c>
      <c r="H152" s="54" t="str">
        <f>Lookup!E$19</f>
        <v>Source</v>
      </c>
      <c r="I152" s="54" t="str">
        <f>Lookup!F$19</f>
        <v>Unit</v>
      </c>
      <c r="J152" s="54" t="str">
        <f>Lookup!G$19</f>
        <v>Basis</v>
      </c>
      <c r="M152" s="54" t="str">
        <f t="shared" ref="M152:AI152" si="114">M$9</f>
        <v>FY23</v>
      </c>
      <c r="N152" s="54" t="str">
        <f t="shared" si="114"/>
        <v>FY24</v>
      </c>
      <c r="O152" s="54" t="str">
        <f t="shared" si="114"/>
        <v>FY25</v>
      </c>
      <c r="P152" s="54" t="str">
        <f t="shared" si="114"/>
        <v>FY26</v>
      </c>
      <c r="Q152" s="54" t="str">
        <f t="shared" si="114"/>
        <v>FY27</v>
      </c>
      <c r="R152" s="54" t="str">
        <f t="shared" si="114"/>
        <v>FY28</v>
      </c>
      <c r="S152" s="54" t="str">
        <f t="shared" si="114"/>
        <v>FY29</v>
      </c>
      <c r="T152" s="54" t="str">
        <f t="shared" si="114"/>
        <v>FY30</v>
      </c>
      <c r="U152" s="54" t="str">
        <f t="shared" si="114"/>
        <v>FY31</v>
      </c>
      <c r="V152" s="54" t="str">
        <f t="shared" si="114"/>
        <v>FY32</v>
      </c>
      <c r="W152" s="54" t="str">
        <f t="shared" si="114"/>
        <v>FY33</v>
      </c>
      <c r="X152" s="54" t="str">
        <f t="shared" si="114"/>
        <v>FY34</v>
      </c>
      <c r="Y152" s="54" t="str">
        <f t="shared" si="114"/>
        <v>FY35</v>
      </c>
      <c r="Z152" s="54" t="str">
        <f t="shared" si="114"/>
        <v>FY36</v>
      </c>
      <c r="AA152" s="54" t="str">
        <f t="shared" si="114"/>
        <v>FY37</v>
      </c>
      <c r="AB152" s="54" t="str">
        <f t="shared" si="114"/>
        <v>FY38</v>
      </c>
      <c r="AC152" s="54" t="str">
        <f t="shared" si="114"/>
        <v>FY39</v>
      </c>
      <c r="AD152" s="54" t="str">
        <f t="shared" si="114"/>
        <v>FY40</v>
      </c>
      <c r="AE152" s="54" t="str">
        <f t="shared" si="114"/>
        <v>FY41</v>
      </c>
      <c r="AF152" s="54" t="str">
        <f t="shared" si="114"/>
        <v>FY42</v>
      </c>
      <c r="AG152" s="54" t="str">
        <f t="shared" si="114"/>
        <v>FY43</v>
      </c>
      <c r="AH152" s="54" t="str">
        <f t="shared" si="114"/>
        <v>FY44</v>
      </c>
      <c r="AI152" s="54" t="str">
        <f t="shared" si="114"/>
        <v>FY45</v>
      </c>
    </row>
    <row r="153" spans="1:35" ht="11.25" customHeight="1" x14ac:dyDescent="0.2">
      <c r="D153" s="1"/>
    </row>
    <row r="154" spans="1:35" ht="12.75" x14ac:dyDescent="0.2">
      <c r="D154" s="75" t="s">
        <v>256</v>
      </c>
      <c r="E154" s="82"/>
      <c r="F154" s="82"/>
      <c r="G154" s="82"/>
      <c r="H154" s="243" t="s">
        <v>52</v>
      </c>
      <c r="I154" s="243" t="s">
        <v>47</v>
      </c>
      <c r="J154" s="243" t="s">
        <v>238</v>
      </c>
      <c r="M154" s="66">
        <f>-PMT(Inputs_LRMC!$M$27,Inputs_LRMC!$M$26,M142)</f>
        <v>99.220515976321451</v>
      </c>
      <c r="N154" s="66">
        <f>-PMT(Inputs_LRMC!$M$27,Inputs_LRMC!$M$26,N142)</f>
        <v>275.98041533039373</v>
      </c>
      <c r="O154" s="66">
        <f>-PMT(Inputs_LRMC!$M$27,Inputs_LRMC!$M$26,O142)</f>
        <v>162.64827277008771</v>
      </c>
      <c r="P154" s="66">
        <f>-PMT(Inputs_LRMC!$M$27,Inputs_LRMC!$M$26,P142)</f>
        <v>182.88429835864829</v>
      </c>
      <c r="Q154" s="66">
        <f>-PMT(Inputs_LRMC!$M$27,Inputs_LRMC!$M$26,Q142)</f>
        <v>105.43687788040819</v>
      </c>
      <c r="R154" s="66">
        <f>-PMT(Inputs_LRMC!$M$27,Inputs_LRMC!$M$26,R142)</f>
        <v>59.667976793878097</v>
      </c>
      <c r="S154" s="66">
        <f>-PMT(Inputs_LRMC!$M$27,Inputs_LRMC!$M$26,S142)</f>
        <v>58.704908484919713</v>
      </c>
      <c r="T154" s="66">
        <f>-PMT(Inputs_LRMC!$M$27,Inputs_LRMC!$M$26,T142)</f>
        <v>134.93475222780816</v>
      </c>
      <c r="U154" s="66">
        <f>-PMT(Inputs_LRMC!$M$27,Inputs_LRMC!$M$26,U142)</f>
        <v>134.93475222780816</v>
      </c>
      <c r="V154" s="66">
        <f>-PMT(Inputs_LRMC!$M$27,Inputs_LRMC!$M$26,V142)</f>
        <v>96.410149099269404</v>
      </c>
      <c r="W154" s="66">
        <f>-PMT(Inputs_LRMC!$M$27,Inputs_LRMC!$M$26,W142)</f>
        <v>96.543057295478235</v>
      </c>
      <c r="X154" s="66">
        <f>-PMT(Inputs_LRMC!$M$27,Inputs_LRMC!$M$26,X142)</f>
        <v>96.543057295478235</v>
      </c>
      <c r="Y154" s="66">
        <f>-PMT(Inputs_LRMC!$M$27,Inputs_LRMC!$M$26,Y142)</f>
        <v>96.543057295478235</v>
      </c>
      <c r="Z154" s="66">
        <f>-PMT(Inputs_LRMC!$M$27,Inputs_LRMC!$M$26,Z142)</f>
        <v>96.543057295478235</v>
      </c>
      <c r="AA154" s="66">
        <f>-PMT(Inputs_LRMC!$M$27,Inputs_LRMC!$M$26,AA142)</f>
        <v>96.543057295477865</v>
      </c>
      <c r="AB154" s="66">
        <f>-PMT(Inputs_LRMC!$M$27,Inputs_LRMC!$M$26,AB142)</f>
        <v>96.543057295478235</v>
      </c>
      <c r="AC154" s="66">
        <f>-PMT(Inputs_LRMC!$M$27,Inputs_LRMC!$M$26,AC142)</f>
        <v>96.543057295478235</v>
      </c>
      <c r="AD154" s="66">
        <f>-PMT(Inputs_LRMC!$M$27,Inputs_LRMC!$M$26,AD142)</f>
        <v>96.543057295478988</v>
      </c>
      <c r="AE154" s="66">
        <f>-PMT(Inputs_LRMC!$M$27,Inputs_LRMC!$M$26,AE142)</f>
        <v>96.543057295478235</v>
      </c>
      <c r="AF154" s="66">
        <f>-PMT(Inputs_LRMC!$M$27,Inputs_LRMC!$M$26,AF142)</f>
        <v>96.543057295477865</v>
      </c>
      <c r="AG154" s="66">
        <f>-PMT(Inputs_LRMC!$M$27,Inputs_LRMC!$M$26,AG142)</f>
        <v>96.543057295478235</v>
      </c>
      <c r="AH154" s="66">
        <f>-PMT(Inputs_LRMC!$M$27,Inputs_LRMC!$M$26,AH142)</f>
        <v>96.543057295478235</v>
      </c>
      <c r="AI154" s="66">
        <f>-PMT(Inputs_LRMC!$M$27,Inputs_LRMC!$M$26,AI142)</f>
        <v>96.543057295478235</v>
      </c>
    </row>
    <row r="155" spans="1:35" ht="12.75" x14ac:dyDescent="0.2">
      <c r="D155" s="75" t="s">
        <v>69</v>
      </c>
      <c r="H155" s="243" t="s">
        <v>52</v>
      </c>
      <c r="I155" s="243" t="s">
        <v>47</v>
      </c>
      <c r="J155" s="243" t="s">
        <v>238</v>
      </c>
      <c r="M155" s="66">
        <f>-PMT(Inputs_LRMC!$M$27,Inputs_LRMC!$M$26,M143)</f>
        <v>87.907290319645071</v>
      </c>
      <c r="N155" s="66">
        <f>-PMT(Inputs_LRMC!$M$27,Inputs_LRMC!$M$26,N143)</f>
        <v>216.82058091822813</v>
      </c>
      <c r="O155" s="66">
        <f>-PMT(Inputs_LRMC!$M$27,Inputs_LRMC!$M$26,O143)</f>
        <v>266.9293093644111</v>
      </c>
      <c r="P155" s="66">
        <f>-PMT(Inputs_LRMC!$M$27,Inputs_LRMC!$M$26,P143)</f>
        <v>248.00351390154185</v>
      </c>
      <c r="Q155" s="66">
        <f>-PMT(Inputs_LRMC!$M$27,Inputs_LRMC!$M$26,Q143)</f>
        <v>155.19798555216727</v>
      </c>
      <c r="R155" s="66">
        <f>-PMT(Inputs_LRMC!$M$27,Inputs_LRMC!$M$26,R143)</f>
        <v>154.98989224380082</v>
      </c>
      <c r="S155" s="66">
        <f>-PMT(Inputs_LRMC!$M$27,Inputs_LRMC!$M$26,S143)</f>
        <v>153.33851024616837</v>
      </c>
      <c r="T155" s="66">
        <f>-PMT(Inputs_LRMC!$M$27,Inputs_LRMC!$M$26,T143)</f>
        <v>183.31244036370893</v>
      </c>
      <c r="U155" s="66">
        <f>-PMT(Inputs_LRMC!$M$27,Inputs_LRMC!$M$26,U143)</f>
        <v>183.31244036370893</v>
      </c>
      <c r="V155" s="66">
        <f>-PMT(Inputs_LRMC!$M$27,Inputs_LRMC!$M$26,V143)</f>
        <v>130.9757450577207</v>
      </c>
      <c r="W155" s="66">
        <f>-PMT(Inputs_LRMC!$M$27,Inputs_LRMC!$M$26,W143)</f>
        <v>131.15630436797341</v>
      </c>
      <c r="X155" s="66">
        <f>-PMT(Inputs_LRMC!$M$27,Inputs_LRMC!$M$26,X143)</f>
        <v>131.15630436797341</v>
      </c>
      <c r="Y155" s="66">
        <f>-PMT(Inputs_LRMC!$M$27,Inputs_LRMC!$M$26,Y143)</f>
        <v>131.15630436797341</v>
      </c>
      <c r="Z155" s="66">
        <f>-PMT(Inputs_LRMC!$M$27,Inputs_LRMC!$M$26,Z143)</f>
        <v>131.15630436797341</v>
      </c>
      <c r="AA155" s="66">
        <f>-PMT(Inputs_LRMC!$M$27,Inputs_LRMC!$M$26,AA143)</f>
        <v>131.15630436797292</v>
      </c>
      <c r="AB155" s="66">
        <f>-PMT(Inputs_LRMC!$M$27,Inputs_LRMC!$M$26,AB143)</f>
        <v>131.15630436797341</v>
      </c>
      <c r="AC155" s="66">
        <f>-PMT(Inputs_LRMC!$M$27,Inputs_LRMC!$M$26,AC143)</f>
        <v>131.15630436797341</v>
      </c>
      <c r="AD155" s="66">
        <f>-PMT(Inputs_LRMC!$M$27,Inputs_LRMC!$M$26,AD143)</f>
        <v>131.15630436797446</v>
      </c>
      <c r="AE155" s="66">
        <f>-PMT(Inputs_LRMC!$M$27,Inputs_LRMC!$M$26,AE143)</f>
        <v>131.15630436797341</v>
      </c>
      <c r="AF155" s="66">
        <f>-PMT(Inputs_LRMC!$M$27,Inputs_LRMC!$M$26,AF143)</f>
        <v>131.15630436797292</v>
      </c>
      <c r="AG155" s="66">
        <f>-PMT(Inputs_LRMC!$M$27,Inputs_LRMC!$M$26,AG143)</f>
        <v>131.15630436797341</v>
      </c>
      <c r="AH155" s="66">
        <f>-PMT(Inputs_LRMC!$M$27,Inputs_LRMC!$M$26,AH143)</f>
        <v>131.15630436797341</v>
      </c>
      <c r="AI155" s="66">
        <f>-PMT(Inputs_LRMC!$M$27,Inputs_LRMC!$M$26,AI143)</f>
        <v>131.15630436797341</v>
      </c>
    </row>
    <row r="156" spans="1:35" ht="12.75" x14ac:dyDescent="0.2">
      <c r="D156" s="75" t="s">
        <v>255</v>
      </c>
      <c r="H156" s="243" t="s">
        <v>52</v>
      </c>
      <c r="I156" s="243" t="s">
        <v>47</v>
      </c>
      <c r="J156" s="243" t="s">
        <v>238</v>
      </c>
      <c r="M156" s="66">
        <f>-PMT(Inputs_LRMC!$M$27,Inputs_LRMC!$M$26,M144)</f>
        <v>308.55009703495324</v>
      </c>
      <c r="N156" s="66">
        <f>-PMT(Inputs_LRMC!$M$27,Inputs_LRMC!$M$26,N144)</f>
        <v>226.1916124103237</v>
      </c>
      <c r="O156" s="66">
        <f>-PMT(Inputs_LRMC!$M$27,Inputs_LRMC!$M$26,O144)</f>
        <v>288.93099247071268</v>
      </c>
      <c r="P156" s="66">
        <f>-PMT(Inputs_LRMC!$M$27,Inputs_LRMC!$M$26,P144)</f>
        <v>234.9061630297698</v>
      </c>
      <c r="Q156" s="66">
        <f>-PMT(Inputs_LRMC!$M$27,Inputs_LRMC!$M$26,Q144)</f>
        <v>199.59024974270565</v>
      </c>
      <c r="R156" s="66">
        <f>-PMT(Inputs_LRMC!$M$27,Inputs_LRMC!$M$26,R144)</f>
        <v>200.48577275004862</v>
      </c>
      <c r="S156" s="66">
        <f>-PMT(Inputs_LRMC!$M$27,Inputs_LRMC!$M$26,S144)</f>
        <v>199.51265874398268</v>
      </c>
      <c r="T156" s="66">
        <f>-PMT(Inputs_LRMC!$M$27,Inputs_LRMC!$M$26,T144)</f>
        <v>236.88107802607092</v>
      </c>
      <c r="U156" s="66">
        <f>-PMT(Inputs_LRMC!$M$27,Inputs_LRMC!$M$26,U144)</f>
        <v>236.88107802607092</v>
      </c>
      <c r="V156" s="66">
        <f>-PMT(Inputs_LRMC!$M$27,Inputs_LRMC!$M$26,V144)</f>
        <v>169.25024631706896</v>
      </c>
      <c r="W156" s="66">
        <f>-PMT(Inputs_LRMC!$M$27,Inputs_LRMC!$M$26,W144)</f>
        <v>169.48356972913726</v>
      </c>
      <c r="X156" s="66">
        <f>-PMT(Inputs_LRMC!$M$27,Inputs_LRMC!$M$26,X144)</f>
        <v>169.48356972913726</v>
      </c>
      <c r="Y156" s="66">
        <f>-PMT(Inputs_LRMC!$M$27,Inputs_LRMC!$M$26,Y144)</f>
        <v>169.48356972913726</v>
      </c>
      <c r="Z156" s="66">
        <f>-PMT(Inputs_LRMC!$M$27,Inputs_LRMC!$M$26,Z144)</f>
        <v>169.48356972913726</v>
      </c>
      <c r="AA156" s="66">
        <f>-PMT(Inputs_LRMC!$M$27,Inputs_LRMC!$M$26,AA144)</f>
        <v>169.48356972913726</v>
      </c>
      <c r="AB156" s="66">
        <f>-PMT(Inputs_LRMC!$M$27,Inputs_LRMC!$M$26,AB144)</f>
        <v>169.48356972913726</v>
      </c>
      <c r="AC156" s="66">
        <f>-PMT(Inputs_LRMC!$M$27,Inputs_LRMC!$M$26,AC144)</f>
        <v>169.48356972913726</v>
      </c>
      <c r="AD156" s="66">
        <f>-PMT(Inputs_LRMC!$M$27,Inputs_LRMC!$M$26,AD144)</f>
        <v>169.48356972913913</v>
      </c>
      <c r="AE156" s="66">
        <f>-PMT(Inputs_LRMC!$M$27,Inputs_LRMC!$M$26,AE144)</f>
        <v>169.48356972913726</v>
      </c>
      <c r="AF156" s="66">
        <f>-PMT(Inputs_LRMC!$M$27,Inputs_LRMC!$M$26,AF144)</f>
        <v>169.48356972913726</v>
      </c>
      <c r="AG156" s="66">
        <f>-PMT(Inputs_LRMC!$M$27,Inputs_LRMC!$M$26,AG144)</f>
        <v>169.48356972913726</v>
      </c>
      <c r="AH156" s="66">
        <f>-PMT(Inputs_LRMC!$M$27,Inputs_LRMC!$M$26,AH144)</f>
        <v>169.48356972913726</v>
      </c>
      <c r="AI156" s="66">
        <f>-PMT(Inputs_LRMC!$M$27,Inputs_LRMC!$M$26,AI144)</f>
        <v>169.48356972913726</v>
      </c>
    </row>
    <row r="157" spans="1:35" ht="11.25" customHeight="1" x14ac:dyDescent="0.2"/>
    <row r="158" spans="1:35" ht="11.25" customHeight="1" x14ac:dyDescent="0.2">
      <c r="D158" s="62" t="s">
        <v>51</v>
      </c>
      <c r="H158" s="56" t="s">
        <v>52</v>
      </c>
      <c r="I158" s="56" t="str">
        <f>Thousands</f>
        <v>$000's</v>
      </c>
      <c r="J158" s="162" t="s">
        <v>238</v>
      </c>
      <c r="M158" s="68">
        <f t="shared" ref="M158:S158" si="115">SUM(M154:M156)</f>
        <v>495.67790333091978</v>
      </c>
      <c r="N158" s="68">
        <f t="shared" si="115"/>
        <v>718.99260865894553</v>
      </c>
      <c r="O158" s="68">
        <f t="shared" si="115"/>
        <v>718.50857460521149</v>
      </c>
      <c r="P158" s="68">
        <f t="shared" si="115"/>
        <v>665.79397528995992</v>
      </c>
      <c r="Q158" s="68">
        <f t="shared" si="115"/>
        <v>460.22511317528108</v>
      </c>
      <c r="R158" s="68">
        <f t="shared" si="115"/>
        <v>415.14364178772757</v>
      </c>
      <c r="S158" s="68">
        <f t="shared" si="115"/>
        <v>411.55607747507077</v>
      </c>
      <c r="T158" s="68">
        <f t="shared" ref="T158:AI158" si="116">SUM(T154:T156)</f>
        <v>555.12827061758799</v>
      </c>
      <c r="U158" s="68">
        <f t="shared" si="116"/>
        <v>555.12827061758799</v>
      </c>
      <c r="V158" s="68">
        <f t="shared" si="116"/>
        <v>396.63614047405906</v>
      </c>
      <c r="W158" s="68">
        <f t="shared" si="116"/>
        <v>397.1829313925889</v>
      </c>
      <c r="X158" s="68">
        <f t="shared" si="116"/>
        <v>397.1829313925889</v>
      </c>
      <c r="Y158" s="68">
        <f t="shared" si="116"/>
        <v>397.1829313925889</v>
      </c>
      <c r="Z158" s="68">
        <f t="shared" si="116"/>
        <v>397.1829313925889</v>
      </c>
      <c r="AA158" s="68">
        <f t="shared" si="116"/>
        <v>397.18293139258805</v>
      </c>
      <c r="AB158" s="68">
        <f t="shared" si="116"/>
        <v>397.1829313925889</v>
      </c>
      <c r="AC158" s="68">
        <f t="shared" si="116"/>
        <v>397.1829313925889</v>
      </c>
      <c r="AD158" s="68">
        <f t="shared" si="116"/>
        <v>397.18293139259254</v>
      </c>
      <c r="AE158" s="68">
        <f t="shared" si="116"/>
        <v>397.1829313925889</v>
      </c>
      <c r="AF158" s="68">
        <f t="shared" si="116"/>
        <v>397.18293139258805</v>
      </c>
      <c r="AG158" s="68">
        <f t="shared" si="116"/>
        <v>397.1829313925889</v>
      </c>
      <c r="AH158" s="68">
        <f t="shared" si="116"/>
        <v>397.1829313925889</v>
      </c>
      <c r="AI158" s="68">
        <f t="shared" si="116"/>
        <v>397.1829313925889</v>
      </c>
    </row>
    <row r="159" spans="1:35" ht="11.25" customHeight="1" x14ac:dyDescent="0.2">
      <c r="M159" s="145"/>
    </row>
    <row r="160" spans="1:35" ht="12.75" hidden="1" outlineLevel="1" x14ac:dyDescent="0.2">
      <c r="D160" s="81" t="s">
        <v>90</v>
      </c>
      <c r="E160" s="82"/>
      <c r="G160" s="82"/>
      <c r="H160" s="243" t="s">
        <v>52</v>
      </c>
      <c r="I160" s="243" t="s">
        <v>47</v>
      </c>
      <c r="J160" s="243" t="s">
        <v>40</v>
      </c>
      <c r="K160" s="78"/>
      <c r="M160" s="66">
        <f>-PMT(Inputs_LRMC!$M$27,Inputs_LRMC!$M$26,M148)</f>
        <v>495.67790333091972</v>
      </c>
      <c r="N160" s="66">
        <f>-PMT(Inputs_LRMC!$M$27,Inputs_LRMC!$M$26,N148)</f>
        <v>718.99260865894553</v>
      </c>
      <c r="O160" s="66">
        <f>-PMT(Inputs_LRMC!$M$27,Inputs_LRMC!$M$26,O148)</f>
        <v>718.50857460521149</v>
      </c>
      <c r="P160" s="66">
        <f>-PMT(Inputs_LRMC!$M$27,Inputs_LRMC!$M$26,P148)</f>
        <v>665.79397528995992</v>
      </c>
      <c r="Q160" s="66">
        <f>-PMT(Inputs_LRMC!$M$27,Inputs_LRMC!$M$26,Q148)</f>
        <v>460.22511317528108</v>
      </c>
      <c r="R160" s="66">
        <f>-PMT(Inputs_LRMC!$M$27,Inputs_LRMC!$M$26,R148)</f>
        <v>415.14364178772757</v>
      </c>
      <c r="S160" s="66">
        <f>-PMT(Inputs_LRMC!$M$27,Inputs_LRMC!$M$26,S148)</f>
        <v>411.55607747507071</v>
      </c>
      <c r="T160" s="66">
        <f>-PMT(Inputs_LRMC!$M$27,Inputs_LRMC!$M$26,T148)</f>
        <v>555.1282706175881</v>
      </c>
      <c r="U160" s="66">
        <f>-PMT(Inputs_LRMC!$M$27,Inputs_LRMC!$M$26,U148)</f>
        <v>555.1282706175881</v>
      </c>
      <c r="V160" s="66">
        <f>-PMT(Inputs_LRMC!$M$27,Inputs_LRMC!$M$26,V148)</f>
        <v>396.63614047405906</v>
      </c>
      <c r="W160" s="66">
        <f>-PMT(Inputs_LRMC!$M$27,Inputs_LRMC!$M$26,W148)</f>
        <v>397.18293139258896</v>
      </c>
      <c r="X160" s="66">
        <f>-PMT(Inputs_LRMC!$M$27,Inputs_LRMC!$M$26,X148)</f>
        <v>397.18293139258896</v>
      </c>
      <c r="Y160" s="66">
        <f>-PMT(Inputs_LRMC!$M$27,Inputs_LRMC!$M$26,Y148)</f>
        <v>397.18293139258896</v>
      </c>
      <c r="Z160" s="66">
        <f>-PMT(Inputs_LRMC!$M$27,Inputs_LRMC!$M$26,Z148)</f>
        <v>397.18293139258896</v>
      </c>
      <c r="AA160" s="66">
        <f>-PMT(Inputs_LRMC!$M$27,Inputs_LRMC!$M$26,AA148)</f>
        <v>397.18293139258799</v>
      </c>
      <c r="AB160" s="66">
        <f>-PMT(Inputs_LRMC!$M$27,Inputs_LRMC!$M$26,AB148)</f>
        <v>397.18293139258896</v>
      </c>
      <c r="AC160" s="66">
        <f>-PMT(Inputs_LRMC!$M$27,Inputs_LRMC!$M$26,AC148)</f>
        <v>397.18293139258896</v>
      </c>
      <c r="AD160" s="66">
        <f>-PMT(Inputs_LRMC!$M$27,Inputs_LRMC!$M$26,AD148)</f>
        <v>397.18293139259254</v>
      </c>
      <c r="AE160" s="66">
        <f>-PMT(Inputs_LRMC!$M$27,Inputs_LRMC!$M$26,AE148)</f>
        <v>397.18293139258896</v>
      </c>
      <c r="AF160" s="66">
        <f>-PMT(Inputs_LRMC!$M$27,Inputs_LRMC!$M$26,AF148)</f>
        <v>397.18293139258799</v>
      </c>
      <c r="AG160" s="66">
        <f>-PMT(Inputs_LRMC!$M$27,Inputs_LRMC!$M$26,AG148)</f>
        <v>397.18293139258896</v>
      </c>
      <c r="AH160" s="66">
        <f>-PMT(Inputs_LRMC!$M$27,Inputs_LRMC!$M$26,AH148)</f>
        <v>397.18293139258896</v>
      </c>
      <c r="AI160" s="66">
        <f>-PMT(Inputs_LRMC!$M$27,Inputs_LRMC!$M$26,AI148)</f>
        <v>397.18293139258896</v>
      </c>
    </row>
    <row r="161" spans="1:35" ht="12.75" hidden="1" outlineLevel="1" x14ac:dyDescent="0.2">
      <c r="A161" s="59">
        <f>IF(SUM($M161:$AI161)=0,0,1)</f>
        <v>0</v>
      </c>
      <c r="D161" s="81" t="s">
        <v>55</v>
      </c>
      <c r="E161" s="82"/>
      <c r="F161" s="80"/>
      <c r="G161" s="82"/>
      <c r="H161" s="80"/>
      <c r="I161" s="84"/>
      <c r="J161" s="84"/>
      <c r="K161" s="78"/>
      <c r="M161" s="59">
        <f t="shared" ref="M161:AI161" si="117">IF(ROUND(M160-M158,2)=0,0,1)</f>
        <v>0</v>
      </c>
      <c r="N161" s="59">
        <f t="shared" si="117"/>
        <v>0</v>
      </c>
      <c r="O161" s="59">
        <f t="shared" si="117"/>
        <v>0</v>
      </c>
      <c r="P161" s="59">
        <f t="shared" si="117"/>
        <v>0</v>
      </c>
      <c r="Q161" s="59">
        <f t="shared" si="117"/>
        <v>0</v>
      </c>
      <c r="R161" s="59">
        <f t="shared" si="117"/>
        <v>0</v>
      </c>
      <c r="S161" s="59">
        <f t="shared" si="117"/>
        <v>0</v>
      </c>
      <c r="T161" s="59">
        <f t="shared" si="117"/>
        <v>0</v>
      </c>
      <c r="U161" s="59">
        <f t="shared" si="117"/>
        <v>0</v>
      </c>
      <c r="V161" s="59">
        <f t="shared" si="117"/>
        <v>0</v>
      </c>
      <c r="W161" s="59">
        <f t="shared" si="117"/>
        <v>0</v>
      </c>
      <c r="X161" s="59">
        <f t="shared" si="117"/>
        <v>0</v>
      </c>
      <c r="Y161" s="59">
        <f t="shared" si="117"/>
        <v>0</v>
      </c>
      <c r="Z161" s="59">
        <f t="shared" si="117"/>
        <v>0</v>
      </c>
      <c r="AA161" s="59">
        <f t="shared" si="117"/>
        <v>0</v>
      </c>
      <c r="AB161" s="59">
        <f t="shared" si="117"/>
        <v>0</v>
      </c>
      <c r="AC161" s="59">
        <f t="shared" si="117"/>
        <v>0</v>
      </c>
      <c r="AD161" s="59">
        <f t="shared" si="117"/>
        <v>0</v>
      </c>
      <c r="AE161" s="59">
        <f t="shared" si="117"/>
        <v>0</v>
      </c>
      <c r="AF161" s="59">
        <f t="shared" si="117"/>
        <v>0</v>
      </c>
      <c r="AG161" s="59">
        <f t="shared" si="117"/>
        <v>0</v>
      </c>
      <c r="AH161" s="59">
        <f t="shared" si="117"/>
        <v>0</v>
      </c>
      <c r="AI161" s="59">
        <f t="shared" si="117"/>
        <v>0</v>
      </c>
    </row>
    <row r="162" spans="1:35" ht="11.25" customHeight="1" collapsed="1" x14ac:dyDescent="0.2"/>
    <row r="163" spans="1:35" ht="11.25" customHeight="1" x14ac:dyDescent="0.2"/>
    <row r="164" spans="1:35" s="2" customFormat="1" ht="15.75" x14ac:dyDescent="0.2">
      <c r="B164" s="2" t="s">
        <v>76</v>
      </c>
    </row>
    <row r="165" spans="1:35" ht="11.25" customHeight="1" x14ac:dyDescent="0.2"/>
    <row r="166" spans="1:35" ht="11.25" customHeight="1" x14ac:dyDescent="0.2">
      <c r="D166" s="105" t="s">
        <v>655</v>
      </c>
    </row>
    <row r="167" spans="1:35" ht="11.25" customHeight="1" x14ac:dyDescent="0.2"/>
    <row r="168" spans="1:35" ht="11.25" customHeight="1" x14ac:dyDescent="0.2"/>
    <row r="169" spans="1:35" s="8" customFormat="1" ht="15" x14ac:dyDescent="0.2">
      <c r="C169" s="8" t="s">
        <v>723</v>
      </c>
    </row>
    <row r="170" spans="1:35" ht="11.25" customHeight="1" x14ac:dyDescent="0.2"/>
    <row r="171" spans="1:35" ht="11.25" hidden="1" customHeight="1" outlineLevel="1" x14ac:dyDescent="0.2">
      <c r="L171" s="235">
        <f>L$8</f>
        <v>2022</v>
      </c>
      <c r="M171" s="235">
        <f t="shared" ref="M171:AI171" si="118">M$8</f>
        <v>2023</v>
      </c>
      <c r="N171" s="235">
        <f t="shared" si="118"/>
        <v>2024</v>
      </c>
      <c r="O171" s="235">
        <f t="shared" si="118"/>
        <v>2025</v>
      </c>
      <c r="P171" s="235">
        <f t="shared" si="118"/>
        <v>2026</v>
      </c>
      <c r="Q171" s="235">
        <f t="shared" si="118"/>
        <v>2027</v>
      </c>
      <c r="R171" s="235">
        <f t="shared" si="118"/>
        <v>2028</v>
      </c>
      <c r="S171" s="235">
        <f t="shared" si="118"/>
        <v>2029</v>
      </c>
      <c r="T171" s="235">
        <f t="shared" si="118"/>
        <v>2030</v>
      </c>
      <c r="U171" s="235">
        <f t="shared" si="118"/>
        <v>2031</v>
      </c>
      <c r="V171" s="235">
        <f t="shared" si="118"/>
        <v>2032</v>
      </c>
      <c r="W171" s="235">
        <f t="shared" si="118"/>
        <v>2033</v>
      </c>
      <c r="X171" s="235">
        <f t="shared" si="118"/>
        <v>2034</v>
      </c>
      <c r="Y171" s="235">
        <f t="shared" si="118"/>
        <v>2035</v>
      </c>
      <c r="Z171" s="235">
        <f t="shared" si="118"/>
        <v>2036</v>
      </c>
      <c r="AA171" s="235">
        <f t="shared" si="118"/>
        <v>2037</v>
      </c>
      <c r="AB171" s="235">
        <f t="shared" si="118"/>
        <v>2038</v>
      </c>
      <c r="AC171" s="235">
        <f t="shared" si="118"/>
        <v>2039</v>
      </c>
      <c r="AD171" s="235">
        <f t="shared" si="118"/>
        <v>2040</v>
      </c>
      <c r="AE171" s="235">
        <f t="shared" si="118"/>
        <v>2041</v>
      </c>
      <c r="AF171" s="235">
        <f t="shared" si="118"/>
        <v>2042</v>
      </c>
      <c r="AG171" s="235">
        <f t="shared" si="118"/>
        <v>2043</v>
      </c>
      <c r="AH171" s="235">
        <f t="shared" si="118"/>
        <v>2044</v>
      </c>
      <c r="AI171" s="235">
        <f t="shared" si="118"/>
        <v>2045</v>
      </c>
    </row>
    <row r="172" spans="1:35" ht="12.75" collapsed="1" x14ac:dyDescent="0.2">
      <c r="D172" s="70" t="str">
        <f>C169</f>
        <v>Aggregate network demand</v>
      </c>
      <c r="H172" s="54" t="str">
        <f>Lookup!E$19</f>
        <v>Source</v>
      </c>
      <c r="I172" s="54" t="str">
        <f>Lookup!F$19</f>
        <v>Unit</v>
      </c>
      <c r="J172" s="54" t="str">
        <f>Lookup!G$19</f>
        <v>Basis</v>
      </c>
      <c r="L172" s="54" t="str">
        <f t="shared" ref="L172:AI172" si="119">L$9</f>
        <v>FY22</v>
      </c>
      <c r="M172" s="54" t="str">
        <f t="shared" si="119"/>
        <v>FY23</v>
      </c>
      <c r="N172" s="54" t="str">
        <f t="shared" si="119"/>
        <v>FY24</v>
      </c>
      <c r="O172" s="54" t="str">
        <f t="shared" si="119"/>
        <v>FY25</v>
      </c>
      <c r="P172" s="54" t="str">
        <f t="shared" si="119"/>
        <v>FY26</v>
      </c>
      <c r="Q172" s="54" t="str">
        <f t="shared" si="119"/>
        <v>FY27</v>
      </c>
      <c r="R172" s="54" t="str">
        <f t="shared" si="119"/>
        <v>FY28</v>
      </c>
      <c r="S172" s="54" t="str">
        <f t="shared" si="119"/>
        <v>FY29</v>
      </c>
      <c r="T172" s="54" t="str">
        <f t="shared" si="119"/>
        <v>FY30</v>
      </c>
      <c r="U172" s="54" t="str">
        <f t="shared" si="119"/>
        <v>FY31</v>
      </c>
      <c r="V172" s="54" t="str">
        <f t="shared" si="119"/>
        <v>FY32</v>
      </c>
      <c r="W172" s="54" t="str">
        <f t="shared" si="119"/>
        <v>FY33</v>
      </c>
      <c r="X172" s="54" t="str">
        <f t="shared" si="119"/>
        <v>FY34</v>
      </c>
      <c r="Y172" s="54" t="str">
        <f t="shared" si="119"/>
        <v>FY35</v>
      </c>
      <c r="Z172" s="54" t="str">
        <f t="shared" si="119"/>
        <v>FY36</v>
      </c>
      <c r="AA172" s="54" t="str">
        <f t="shared" si="119"/>
        <v>FY37</v>
      </c>
      <c r="AB172" s="54" t="str">
        <f t="shared" si="119"/>
        <v>FY38</v>
      </c>
      <c r="AC172" s="54" t="str">
        <f t="shared" si="119"/>
        <v>FY39</v>
      </c>
      <c r="AD172" s="54" t="str">
        <f t="shared" si="119"/>
        <v>FY40</v>
      </c>
      <c r="AE172" s="54" t="str">
        <f t="shared" si="119"/>
        <v>FY41</v>
      </c>
      <c r="AF172" s="54" t="str">
        <f t="shared" si="119"/>
        <v>FY42</v>
      </c>
      <c r="AG172" s="54" t="str">
        <f t="shared" si="119"/>
        <v>FY43</v>
      </c>
      <c r="AH172" s="54" t="str">
        <f t="shared" si="119"/>
        <v>FY44</v>
      </c>
      <c r="AI172" s="54" t="str">
        <f t="shared" si="119"/>
        <v>FY45</v>
      </c>
    </row>
    <row r="173" spans="1:35" ht="11.25" customHeight="1" x14ac:dyDescent="0.2"/>
    <row r="174" spans="1:35" ht="12.75" x14ac:dyDescent="0.2">
      <c r="D174" s="75" t="s">
        <v>654</v>
      </c>
      <c r="H174" s="243" t="s">
        <v>52</v>
      </c>
      <c r="I174" s="243" t="s">
        <v>262</v>
      </c>
      <c r="J174" s="243" t="s">
        <v>21</v>
      </c>
      <c r="L174" s="237">
        <f>Inputs_LRMC!L249</f>
        <v>339.8139496452003</v>
      </c>
      <c r="M174" s="237">
        <f>Inputs_LRMC!M249</f>
        <v>351.55226353427832</v>
      </c>
      <c r="N174" s="237">
        <f>Inputs_LRMC!N249</f>
        <v>367.99948989665114</v>
      </c>
      <c r="O174" s="237">
        <f>Inputs_LRMC!O249</f>
        <v>378.50118146990025</v>
      </c>
      <c r="P174" s="237">
        <f>Inputs_LRMC!P249</f>
        <v>391.46657108308085</v>
      </c>
      <c r="Q174" s="237">
        <f>Inputs_LRMC!Q249</f>
        <v>402.65508373771189</v>
      </c>
      <c r="R174" s="237">
        <f>Inputs_LRMC!R249</f>
        <v>410.83509608490567</v>
      </c>
      <c r="S174" s="237">
        <f>Inputs_LRMC!S249</f>
        <v>417.63350837051854</v>
      </c>
      <c r="T174" s="237">
        <f>Inputs_LRMC!T249</f>
        <v>424.91430149318552</v>
      </c>
      <c r="U174" s="237">
        <f>Inputs_LRMC!U249</f>
        <v>432.42885379315135</v>
      </c>
      <c r="V174" s="238">
        <f t="array" ref="V174:AI174">TREND($Q$174:$U$174,$Q$171:$U$171,$V$171:$AI$171)</f>
        <v>439.78139235164235</v>
      </c>
      <c r="W174" s="237">
        <v>447.14406690355827</v>
      </c>
      <c r="X174" s="237">
        <v>454.50674145547418</v>
      </c>
      <c r="Y174" s="237">
        <v>461.8694160073901</v>
      </c>
      <c r="Z174" s="237">
        <v>469.23209055930602</v>
      </c>
      <c r="AA174" s="237">
        <v>476.59476511122193</v>
      </c>
      <c r="AB174" s="237">
        <v>483.95743966313785</v>
      </c>
      <c r="AC174" s="237">
        <v>491.32011421505376</v>
      </c>
      <c r="AD174" s="237">
        <v>498.68278876696968</v>
      </c>
      <c r="AE174" s="237">
        <v>506.0454633188856</v>
      </c>
      <c r="AF174" s="237">
        <v>513.40813787080151</v>
      </c>
      <c r="AG174" s="237">
        <v>520.77081242271743</v>
      </c>
      <c r="AH174" s="237">
        <v>528.13348697463334</v>
      </c>
      <c r="AI174" s="237">
        <v>535.49616152654926</v>
      </c>
    </row>
    <row r="175" spans="1:35" ht="11.25" customHeight="1" x14ac:dyDescent="0.2"/>
    <row r="176" spans="1:35" ht="11.25" customHeight="1" x14ac:dyDescent="0.2"/>
    <row r="177" spans="1:35" s="8" customFormat="1" ht="15" x14ac:dyDescent="0.2">
      <c r="C177" s="8" t="s">
        <v>724</v>
      </c>
    </row>
    <row r="178" spans="1:35" ht="11.25" customHeight="1" x14ac:dyDescent="0.2"/>
    <row r="179" spans="1:35" ht="11.25" customHeight="1" x14ac:dyDescent="0.2">
      <c r="D179" s="70" t="s">
        <v>76</v>
      </c>
      <c r="H179" s="54" t="str">
        <f>Lookup!E$19</f>
        <v>Source</v>
      </c>
      <c r="I179" s="54" t="str">
        <f>Lookup!F$19</f>
        <v>Unit</v>
      </c>
      <c r="J179" s="54" t="str">
        <f>Lookup!G$19</f>
        <v>Basis</v>
      </c>
      <c r="L179" s="54" t="str">
        <f t="shared" ref="L179:AI179" si="120">L$9</f>
        <v>FY22</v>
      </c>
      <c r="M179" s="54" t="str">
        <f t="shared" si="120"/>
        <v>FY23</v>
      </c>
      <c r="N179" s="54" t="str">
        <f t="shared" si="120"/>
        <v>FY24</v>
      </c>
      <c r="O179" s="54" t="str">
        <f t="shared" si="120"/>
        <v>FY25</v>
      </c>
      <c r="P179" s="54" t="str">
        <f t="shared" si="120"/>
        <v>FY26</v>
      </c>
      <c r="Q179" s="54" t="str">
        <f t="shared" si="120"/>
        <v>FY27</v>
      </c>
      <c r="R179" s="54" t="str">
        <f t="shared" si="120"/>
        <v>FY28</v>
      </c>
      <c r="S179" s="54" t="str">
        <f t="shared" si="120"/>
        <v>FY29</v>
      </c>
      <c r="T179" s="54" t="str">
        <f t="shared" si="120"/>
        <v>FY30</v>
      </c>
      <c r="U179" s="54" t="str">
        <f t="shared" si="120"/>
        <v>FY31</v>
      </c>
      <c r="V179" s="54" t="str">
        <f t="shared" si="120"/>
        <v>FY32</v>
      </c>
      <c r="W179" s="54" t="str">
        <f t="shared" si="120"/>
        <v>FY33</v>
      </c>
      <c r="X179" s="54" t="str">
        <f t="shared" si="120"/>
        <v>FY34</v>
      </c>
      <c r="Y179" s="54" t="str">
        <f t="shared" si="120"/>
        <v>FY35</v>
      </c>
      <c r="Z179" s="54" t="str">
        <f t="shared" si="120"/>
        <v>FY36</v>
      </c>
      <c r="AA179" s="54" t="str">
        <f t="shared" si="120"/>
        <v>FY37</v>
      </c>
      <c r="AB179" s="54" t="str">
        <f t="shared" si="120"/>
        <v>FY38</v>
      </c>
      <c r="AC179" s="54" t="str">
        <f t="shared" si="120"/>
        <v>FY39</v>
      </c>
      <c r="AD179" s="54" t="str">
        <f t="shared" si="120"/>
        <v>FY40</v>
      </c>
      <c r="AE179" s="54" t="str">
        <f t="shared" si="120"/>
        <v>FY41</v>
      </c>
      <c r="AF179" s="54" t="str">
        <f t="shared" si="120"/>
        <v>FY42</v>
      </c>
      <c r="AG179" s="54" t="str">
        <f t="shared" si="120"/>
        <v>FY43</v>
      </c>
      <c r="AH179" s="54" t="str">
        <f t="shared" si="120"/>
        <v>FY44</v>
      </c>
      <c r="AI179" s="54" t="str">
        <f t="shared" si="120"/>
        <v>FY45</v>
      </c>
    </row>
    <row r="180" spans="1:35" ht="11.25" customHeight="1" x14ac:dyDescent="0.2">
      <c r="D180" s="1"/>
    </row>
    <row r="181" spans="1:35" ht="12.75" x14ac:dyDescent="0.2">
      <c r="D181" s="75" t="s">
        <v>256</v>
      </c>
      <c r="H181" s="243" t="s">
        <v>52</v>
      </c>
      <c r="I181" s="243" t="s">
        <v>262</v>
      </c>
      <c r="J181" s="243" t="s">
        <v>21</v>
      </c>
      <c r="L181" s="237">
        <f>L$174*Inputs_LRMC!$M235</f>
        <v>0</v>
      </c>
      <c r="M181" s="237">
        <f>M$174*Inputs_LRMC!$M235</f>
        <v>0</v>
      </c>
      <c r="N181" s="237">
        <f>N$174*Inputs_LRMC!$M235</f>
        <v>0</v>
      </c>
      <c r="O181" s="237">
        <f>O$174*Inputs_LRMC!$M235</f>
        <v>0</v>
      </c>
      <c r="P181" s="237">
        <f>P$174*Inputs_LRMC!$M235</f>
        <v>0</v>
      </c>
      <c r="Q181" s="237">
        <f>Q$174*Inputs_LRMC!$M235</f>
        <v>0</v>
      </c>
      <c r="R181" s="237">
        <f>R$174*Inputs_LRMC!$M235</f>
        <v>0</v>
      </c>
      <c r="S181" s="237">
        <f>S$174*Inputs_LRMC!$M235</f>
        <v>0</v>
      </c>
      <c r="T181" s="237">
        <f>T$174*Inputs_LRMC!$M235</f>
        <v>0</v>
      </c>
      <c r="U181" s="237">
        <f>U$174*Inputs_LRMC!$M235</f>
        <v>0</v>
      </c>
      <c r="V181" s="237">
        <f>V$174*Inputs_LRMC!$M235</f>
        <v>0</v>
      </c>
      <c r="W181" s="237">
        <f>W$174*Inputs_LRMC!$M235</f>
        <v>0</v>
      </c>
      <c r="X181" s="237">
        <f>X$174*Inputs_LRMC!$M235</f>
        <v>0</v>
      </c>
      <c r="Y181" s="237">
        <f>Y$174*Inputs_LRMC!$M235</f>
        <v>0</v>
      </c>
      <c r="Z181" s="237">
        <f>Z$174*Inputs_LRMC!$M235</f>
        <v>0</v>
      </c>
      <c r="AA181" s="237">
        <f>AA$174*Inputs_LRMC!$M235</f>
        <v>0</v>
      </c>
      <c r="AB181" s="237">
        <f>AB$174*Inputs_LRMC!$M235</f>
        <v>0</v>
      </c>
      <c r="AC181" s="237">
        <f>AC$174*Inputs_LRMC!$M235</f>
        <v>0</v>
      </c>
      <c r="AD181" s="237">
        <f>AD$174*Inputs_LRMC!$M235</f>
        <v>0</v>
      </c>
      <c r="AE181" s="237">
        <f>AE$174*Inputs_LRMC!$M235</f>
        <v>0</v>
      </c>
      <c r="AF181" s="237">
        <f>AF$174*Inputs_LRMC!$M235</f>
        <v>0</v>
      </c>
      <c r="AG181" s="237">
        <f>AG$174*Inputs_LRMC!$M235</f>
        <v>0</v>
      </c>
      <c r="AH181" s="237">
        <f>AH$174*Inputs_LRMC!$M235</f>
        <v>0</v>
      </c>
      <c r="AI181" s="237">
        <f>AI$174*Inputs_LRMC!$M235</f>
        <v>0</v>
      </c>
    </row>
    <row r="182" spans="1:35" ht="12.75" x14ac:dyDescent="0.2">
      <c r="D182" s="75" t="s">
        <v>69</v>
      </c>
      <c r="H182" s="243" t="s">
        <v>52</v>
      </c>
      <c r="I182" s="243" t="s">
        <v>262</v>
      </c>
      <c r="J182" s="243" t="s">
        <v>21</v>
      </c>
      <c r="L182" s="237">
        <f>L$174*Inputs_LRMC!$M236</f>
        <v>100.00265841369193</v>
      </c>
      <c r="M182" s="237">
        <f>M$174*Inputs_LRMC!$M236</f>
        <v>103.45708574202202</v>
      </c>
      <c r="N182" s="237">
        <f>N$174*Inputs_LRMC!$M236</f>
        <v>108.29728244815</v>
      </c>
      <c r="O182" s="237">
        <f>O$174*Inputs_LRMC!$M236</f>
        <v>111.38778852143535</v>
      </c>
      <c r="P182" s="237">
        <f>P$174*Inputs_LRMC!$M236</f>
        <v>115.20332767172945</v>
      </c>
      <c r="Q182" s="237">
        <f>Q$174*Inputs_LRMC!$M236</f>
        <v>118.49595591823483</v>
      </c>
      <c r="R182" s="237">
        <f>R$174*Inputs_LRMC!$M236</f>
        <v>120.90322313439914</v>
      </c>
      <c r="S182" s="237">
        <f>S$174*Inputs_LRMC!$M236</f>
        <v>122.90390410192101</v>
      </c>
      <c r="T182" s="237">
        <f>T$174*Inputs_LRMC!$M236</f>
        <v>125.0465432383868</v>
      </c>
      <c r="U182" s="237">
        <f>U$174*Inputs_LRMC!$M236</f>
        <v>127.25797454534145</v>
      </c>
      <c r="V182" s="237">
        <f>V$174*Inputs_LRMC!$M236</f>
        <v>129.42172739511696</v>
      </c>
      <c r="W182" s="237">
        <f>W$174*Inputs_LRMC!$M236</f>
        <v>131.58846313093707</v>
      </c>
      <c r="X182" s="237">
        <f>X$174*Inputs_LRMC!$M236</f>
        <v>133.75519886675718</v>
      </c>
      <c r="Y182" s="237">
        <f>Y$174*Inputs_LRMC!$M236</f>
        <v>135.92193460257729</v>
      </c>
      <c r="Z182" s="237">
        <f>Z$174*Inputs_LRMC!$M236</f>
        <v>138.08867033839741</v>
      </c>
      <c r="AA182" s="237">
        <f>AA$174*Inputs_LRMC!$M236</f>
        <v>140.25540607421749</v>
      </c>
      <c r="AB182" s="237">
        <f>AB$174*Inputs_LRMC!$M236</f>
        <v>142.4221418100376</v>
      </c>
      <c r="AC182" s="237">
        <f>AC$174*Inputs_LRMC!$M236</f>
        <v>144.58887754585771</v>
      </c>
      <c r="AD182" s="237">
        <f>AD$174*Inputs_LRMC!$M236</f>
        <v>146.75561328167782</v>
      </c>
      <c r="AE182" s="237">
        <f>AE$174*Inputs_LRMC!$M236</f>
        <v>148.92234901749794</v>
      </c>
      <c r="AF182" s="237">
        <f>AF$174*Inputs_LRMC!$M236</f>
        <v>151.08908475331802</v>
      </c>
      <c r="AG182" s="237">
        <f>AG$174*Inputs_LRMC!$M236</f>
        <v>153.25582048913813</v>
      </c>
      <c r="AH182" s="237">
        <f>AH$174*Inputs_LRMC!$M236</f>
        <v>155.42255622495824</v>
      </c>
      <c r="AI182" s="237">
        <f>AI$174*Inputs_LRMC!$M236</f>
        <v>157.58929196077835</v>
      </c>
    </row>
    <row r="183" spans="1:35" ht="12.75" x14ac:dyDescent="0.2">
      <c r="D183" s="75" t="s">
        <v>255</v>
      </c>
      <c r="H183" s="243" t="s">
        <v>52</v>
      </c>
      <c r="I183" s="243" t="s">
        <v>262</v>
      </c>
      <c r="J183" s="243" t="s">
        <v>21</v>
      </c>
      <c r="L183" s="237">
        <f>L$174*Inputs_LRMC!$M237</f>
        <v>239.81129123150839</v>
      </c>
      <c r="M183" s="237">
        <f>M$174*Inputs_LRMC!$M237</f>
        <v>248.09517779225632</v>
      </c>
      <c r="N183" s="237">
        <f>N$174*Inputs_LRMC!$M237</f>
        <v>259.70220744850116</v>
      </c>
      <c r="O183" s="237">
        <f>O$174*Inputs_LRMC!$M237</f>
        <v>267.11339294846493</v>
      </c>
      <c r="P183" s="237">
        <f>P$174*Inputs_LRMC!$M237</f>
        <v>276.26324341135143</v>
      </c>
      <c r="Q183" s="237">
        <f>Q$174*Inputs_LRMC!$M237</f>
        <v>284.15912781947708</v>
      </c>
      <c r="R183" s="237">
        <f>R$174*Inputs_LRMC!$M237</f>
        <v>289.93187295050654</v>
      </c>
      <c r="S183" s="237">
        <f>S$174*Inputs_LRMC!$M237</f>
        <v>294.72960426859754</v>
      </c>
      <c r="T183" s="237">
        <f>T$174*Inputs_LRMC!$M237</f>
        <v>299.86775825479873</v>
      </c>
      <c r="U183" s="237">
        <f>U$174*Inputs_LRMC!$M237</f>
        <v>305.17087924780992</v>
      </c>
      <c r="V183" s="237">
        <f>V$174*Inputs_LRMC!$M237</f>
        <v>310.35966495652542</v>
      </c>
      <c r="W183" s="237">
        <f>W$174*Inputs_LRMC!$M237</f>
        <v>315.55560377262123</v>
      </c>
      <c r="X183" s="237">
        <f>X$174*Inputs_LRMC!$M237</f>
        <v>320.75154258871703</v>
      </c>
      <c r="Y183" s="237">
        <f>Y$174*Inputs_LRMC!$M237</f>
        <v>325.94748140481283</v>
      </c>
      <c r="Z183" s="237">
        <f>Z$174*Inputs_LRMC!$M237</f>
        <v>331.14342022090864</v>
      </c>
      <c r="AA183" s="237">
        <f>AA$174*Inputs_LRMC!$M237</f>
        <v>336.33935903700444</v>
      </c>
      <c r="AB183" s="237">
        <f>AB$174*Inputs_LRMC!$M237</f>
        <v>341.53529785310025</v>
      </c>
      <c r="AC183" s="237">
        <f>AC$174*Inputs_LRMC!$M237</f>
        <v>346.73123666919605</v>
      </c>
      <c r="AD183" s="237">
        <f>AD$174*Inputs_LRMC!$M237</f>
        <v>351.92717548529191</v>
      </c>
      <c r="AE183" s="237">
        <f>AE$174*Inputs_LRMC!$M237</f>
        <v>357.12311430138772</v>
      </c>
      <c r="AF183" s="237">
        <f>AF$174*Inputs_LRMC!$M237</f>
        <v>362.31905311748352</v>
      </c>
      <c r="AG183" s="237">
        <f>AG$174*Inputs_LRMC!$M237</f>
        <v>367.51499193357932</v>
      </c>
      <c r="AH183" s="237">
        <f>AH$174*Inputs_LRMC!$M237</f>
        <v>372.71093074967513</v>
      </c>
      <c r="AI183" s="237">
        <f>AI$174*Inputs_LRMC!$M237</f>
        <v>377.90686956577093</v>
      </c>
    </row>
    <row r="184" spans="1:35" ht="11.25" customHeight="1" x14ac:dyDescent="0.2"/>
    <row r="185" spans="1:35" ht="11.25" customHeight="1" x14ac:dyDescent="0.2">
      <c r="D185" s="62" t="s">
        <v>51</v>
      </c>
      <c r="H185" s="56" t="s">
        <v>52</v>
      </c>
      <c r="I185" s="56" t="s">
        <v>262</v>
      </c>
      <c r="J185" s="56" t="s">
        <v>21</v>
      </c>
      <c r="L185" s="236">
        <f>SUM(L181:L183)</f>
        <v>339.8139496452003</v>
      </c>
      <c r="M185" s="236">
        <f t="shared" ref="M185:AI185" si="121">SUM(M181:M183)</f>
        <v>351.55226353427832</v>
      </c>
      <c r="N185" s="236">
        <f t="shared" si="121"/>
        <v>367.99948989665114</v>
      </c>
      <c r="O185" s="236">
        <f t="shared" si="121"/>
        <v>378.5011814699003</v>
      </c>
      <c r="P185" s="236">
        <f t="shared" si="121"/>
        <v>391.46657108308091</v>
      </c>
      <c r="Q185" s="236">
        <f t="shared" si="121"/>
        <v>402.65508373771189</v>
      </c>
      <c r="R185" s="236">
        <f t="shared" si="121"/>
        <v>410.83509608490567</v>
      </c>
      <c r="S185" s="236">
        <f t="shared" si="121"/>
        <v>417.63350837051854</v>
      </c>
      <c r="T185" s="236">
        <f t="shared" si="121"/>
        <v>424.91430149318552</v>
      </c>
      <c r="U185" s="236">
        <f t="shared" si="121"/>
        <v>432.42885379315135</v>
      </c>
      <c r="V185" s="236">
        <f t="shared" si="121"/>
        <v>439.78139235164235</v>
      </c>
      <c r="W185" s="236">
        <f t="shared" si="121"/>
        <v>447.14406690355827</v>
      </c>
      <c r="X185" s="236">
        <f t="shared" si="121"/>
        <v>454.50674145547418</v>
      </c>
      <c r="Y185" s="236">
        <f t="shared" si="121"/>
        <v>461.8694160073901</v>
      </c>
      <c r="Z185" s="236">
        <f t="shared" si="121"/>
        <v>469.23209055930602</v>
      </c>
      <c r="AA185" s="236">
        <f t="shared" si="121"/>
        <v>476.59476511122193</v>
      </c>
      <c r="AB185" s="236">
        <f t="shared" si="121"/>
        <v>483.95743966313785</v>
      </c>
      <c r="AC185" s="236">
        <f t="shared" si="121"/>
        <v>491.32011421505376</v>
      </c>
      <c r="AD185" s="236">
        <f t="shared" si="121"/>
        <v>498.68278876696974</v>
      </c>
      <c r="AE185" s="236">
        <f t="shared" si="121"/>
        <v>506.04546331888565</v>
      </c>
      <c r="AF185" s="236">
        <f t="shared" si="121"/>
        <v>513.40813787080151</v>
      </c>
      <c r="AG185" s="236">
        <f t="shared" si="121"/>
        <v>520.77081242271743</v>
      </c>
      <c r="AH185" s="236">
        <f t="shared" si="121"/>
        <v>528.13348697463334</v>
      </c>
      <c r="AI185" s="236">
        <f t="shared" si="121"/>
        <v>535.49616152654926</v>
      </c>
    </row>
    <row r="186" spans="1:35" ht="11.25" customHeight="1" x14ac:dyDescent="0.2">
      <c r="M186" s="145"/>
    </row>
    <row r="187" spans="1:35" ht="12.75" hidden="1" outlineLevel="1" x14ac:dyDescent="0.2">
      <c r="D187" s="81" t="s">
        <v>90</v>
      </c>
      <c r="E187" s="82"/>
      <c r="G187" s="82"/>
      <c r="H187" s="243" t="s">
        <v>52</v>
      </c>
      <c r="I187" s="243" t="s">
        <v>262</v>
      </c>
      <c r="J187" s="243" t="s">
        <v>21</v>
      </c>
      <c r="K187" s="78"/>
      <c r="L187" s="237">
        <f>L174</f>
        <v>339.8139496452003</v>
      </c>
      <c r="M187" s="237">
        <f t="shared" ref="M187:AI187" si="122">M174</f>
        <v>351.55226353427832</v>
      </c>
      <c r="N187" s="237">
        <f t="shared" si="122"/>
        <v>367.99948989665114</v>
      </c>
      <c r="O187" s="237">
        <f t="shared" si="122"/>
        <v>378.50118146990025</v>
      </c>
      <c r="P187" s="237">
        <f t="shared" si="122"/>
        <v>391.46657108308085</v>
      </c>
      <c r="Q187" s="237">
        <f t="shared" si="122"/>
        <v>402.65508373771189</v>
      </c>
      <c r="R187" s="237">
        <f t="shared" si="122"/>
        <v>410.83509608490567</v>
      </c>
      <c r="S187" s="237">
        <f t="shared" si="122"/>
        <v>417.63350837051854</v>
      </c>
      <c r="T187" s="237">
        <f t="shared" si="122"/>
        <v>424.91430149318552</v>
      </c>
      <c r="U187" s="237">
        <f t="shared" si="122"/>
        <v>432.42885379315135</v>
      </c>
      <c r="V187" s="237">
        <f t="shared" si="122"/>
        <v>439.78139235164235</v>
      </c>
      <c r="W187" s="237">
        <f t="shared" si="122"/>
        <v>447.14406690355827</v>
      </c>
      <c r="X187" s="237">
        <f t="shared" si="122"/>
        <v>454.50674145547418</v>
      </c>
      <c r="Y187" s="237">
        <f t="shared" si="122"/>
        <v>461.8694160073901</v>
      </c>
      <c r="Z187" s="237">
        <f t="shared" si="122"/>
        <v>469.23209055930602</v>
      </c>
      <c r="AA187" s="237">
        <f t="shared" si="122"/>
        <v>476.59476511122193</v>
      </c>
      <c r="AB187" s="237">
        <f t="shared" si="122"/>
        <v>483.95743966313785</v>
      </c>
      <c r="AC187" s="237">
        <f t="shared" si="122"/>
        <v>491.32011421505376</v>
      </c>
      <c r="AD187" s="237">
        <f t="shared" si="122"/>
        <v>498.68278876696968</v>
      </c>
      <c r="AE187" s="237">
        <f t="shared" si="122"/>
        <v>506.0454633188856</v>
      </c>
      <c r="AF187" s="237">
        <f t="shared" si="122"/>
        <v>513.40813787080151</v>
      </c>
      <c r="AG187" s="237">
        <f t="shared" si="122"/>
        <v>520.77081242271743</v>
      </c>
      <c r="AH187" s="237">
        <f t="shared" si="122"/>
        <v>528.13348697463334</v>
      </c>
      <c r="AI187" s="237">
        <f t="shared" si="122"/>
        <v>535.49616152654926</v>
      </c>
    </row>
    <row r="188" spans="1:35" ht="12.75" hidden="1" outlineLevel="1" x14ac:dyDescent="0.2">
      <c r="A188" s="59">
        <f>IF(SUM($L188:$AI188)=0,0,1)</f>
        <v>0</v>
      </c>
      <c r="D188" s="81" t="s">
        <v>55</v>
      </c>
      <c r="E188" s="82"/>
      <c r="F188" s="80"/>
      <c r="G188" s="82"/>
      <c r="H188" s="80"/>
      <c r="I188" s="84"/>
      <c r="J188" s="84"/>
      <c r="K188" s="78"/>
      <c r="L188" s="59">
        <f t="shared" ref="L188:AI188" si="123">IF(ROUND(L187-L185,2)=0,0,1)</f>
        <v>0</v>
      </c>
      <c r="M188" s="59">
        <f t="shared" si="123"/>
        <v>0</v>
      </c>
      <c r="N188" s="59">
        <f t="shared" si="123"/>
        <v>0</v>
      </c>
      <c r="O188" s="59">
        <f t="shared" si="123"/>
        <v>0</v>
      </c>
      <c r="P188" s="59">
        <f t="shared" si="123"/>
        <v>0</v>
      </c>
      <c r="Q188" s="59">
        <f t="shared" si="123"/>
        <v>0</v>
      </c>
      <c r="R188" s="59">
        <f t="shared" si="123"/>
        <v>0</v>
      </c>
      <c r="S188" s="59">
        <f t="shared" si="123"/>
        <v>0</v>
      </c>
      <c r="T188" s="59">
        <f t="shared" si="123"/>
        <v>0</v>
      </c>
      <c r="U188" s="59">
        <f t="shared" si="123"/>
        <v>0</v>
      </c>
      <c r="V188" s="59">
        <f t="shared" si="123"/>
        <v>0</v>
      </c>
      <c r="W188" s="59">
        <f t="shared" si="123"/>
        <v>0</v>
      </c>
      <c r="X188" s="59">
        <f t="shared" si="123"/>
        <v>0</v>
      </c>
      <c r="Y188" s="59">
        <f t="shared" si="123"/>
        <v>0</v>
      </c>
      <c r="Z188" s="59">
        <f t="shared" si="123"/>
        <v>0</v>
      </c>
      <c r="AA188" s="59">
        <f t="shared" si="123"/>
        <v>0</v>
      </c>
      <c r="AB188" s="59">
        <f t="shared" si="123"/>
        <v>0</v>
      </c>
      <c r="AC188" s="59">
        <f t="shared" si="123"/>
        <v>0</v>
      </c>
      <c r="AD188" s="59">
        <f t="shared" si="123"/>
        <v>0</v>
      </c>
      <c r="AE188" s="59">
        <f t="shared" si="123"/>
        <v>0</v>
      </c>
      <c r="AF188" s="59">
        <f t="shared" si="123"/>
        <v>0</v>
      </c>
      <c r="AG188" s="59">
        <f t="shared" si="123"/>
        <v>0</v>
      </c>
      <c r="AH188" s="59">
        <f t="shared" si="123"/>
        <v>0</v>
      </c>
      <c r="AI188" s="59">
        <f t="shared" si="123"/>
        <v>0</v>
      </c>
    </row>
    <row r="189" spans="1:35" ht="11.25" customHeight="1" collapsed="1" x14ac:dyDescent="0.2"/>
    <row r="190" spans="1:35" ht="11.25" customHeight="1" x14ac:dyDescent="0.2"/>
    <row r="191" spans="1:35" s="8" customFormat="1" ht="15" x14ac:dyDescent="0.2">
      <c r="C191" s="8" t="s">
        <v>725</v>
      </c>
    </row>
    <row r="192" spans="1:35" ht="11.25" customHeight="1" x14ac:dyDescent="0.2"/>
    <row r="193" spans="2:35" ht="11.25" customHeight="1" x14ac:dyDescent="0.2">
      <c r="D193" s="70" t="s">
        <v>316</v>
      </c>
      <c r="H193" s="54" t="str">
        <f>Lookup!E$19</f>
        <v>Source</v>
      </c>
      <c r="I193" s="54" t="str">
        <f>Lookup!F$19</f>
        <v>Unit</v>
      </c>
      <c r="J193" s="54" t="str">
        <f>Lookup!G$19</f>
        <v>Basis</v>
      </c>
      <c r="M193" s="54" t="str">
        <f>Inputs_LRMC!M$9</f>
        <v>FY23</v>
      </c>
      <c r="N193" s="54" t="str">
        <f>Inputs_LRMC!N$9</f>
        <v>FY24</v>
      </c>
      <c r="O193" s="54" t="str">
        <f>Inputs_LRMC!O$9</f>
        <v>FY25</v>
      </c>
      <c r="P193" s="54" t="str">
        <f>Inputs_LRMC!P$9</f>
        <v>FY26</v>
      </c>
      <c r="Q193" s="54" t="str">
        <f>Inputs_LRMC!Q$9</f>
        <v>FY27</v>
      </c>
      <c r="R193" s="54" t="str">
        <f>Inputs_LRMC!R$9</f>
        <v>FY28</v>
      </c>
      <c r="S193" s="54" t="str">
        <f>Inputs_LRMC!S$9</f>
        <v>FY29</v>
      </c>
      <c r="T193" s="54" t="str">
        <f>Inputs_LRMC!T$9</f>
        <v>FY30</v>
      </c>
      <c r="U193" s="54" t="str">
        <f>Inputs_LRMC!U$9</f>
        <v>FY31</v>
      </c>
      <c r="V193" s="54" t="str">
        <f>Inputs_LRMC!V$9</f>
        <v>FY32</v>
      </c>
      <c r="W193" s="54" t="str">
        <f>Inputs_LRMC!W$9</f>
        <v>FY33</v>
      </c>
      <c r="X193" s="54" t="str">
        <f>Inputs_LRMC!X$9</f>
        <v>FY34</v>
      </c>
      <c r="Y193" s="54" t="str">
        <f>Inputs_LRMC!Y$9</f>
        <v>FY35</v>
      </c>
      <c r="Z193" s="54" t="str">
        <f>Inputs_LRMC!Z$9</f>
        <v>FY36</v>
      </c>
      <c r="AA193" s="54" t="str">
        <f>Inputs_LRMC!AA$9</f>
        <v>FY37</v>
      </c>
      <c r="AB193" s="54" t="str">
        <f>Inputs_LRMC!AB$9</f>
        <v>FY38</v>
      </c>
      <c r="AC193" s="54" t="str">
        <f>Inputs_LRMC!AC$9</f>
        <v>FY39</v>
      </c>
      <c r="AD193" s="54" t="str">
        <f>Inputs_LRMC!AD$9</f>
        <v>FY40</v>
      </c>
      <c r="AE193" s="54" t="str">
        <f>Inputs_LRMC!AE$9</f>
        <v>FY41</v>
      </c>
      <c r="AF193" s="54" t="str">
        <f>Inputs_LRMC!AF$9</f>
        <v>FY42</v>
      </c>
      <c r="AG193" s="54" t="str">
        <f>Inputs_LRMC!AG$9</f>
        <v>FY43</v>
      </c>
      <c r="AH193" s="54" t="str">
        <f>Inputs_LRMC!AH$9</f>
        <v>FY44</v>
      </c>
      <c r="AI193" s="54" t="str">
        <f>Inputs_LRMC!AI$9</f>
        <v>FY45</v>
      </c>
    </row>
    <row r="194" spans="2:35" ht="11.25" customHeight="1" x14ac:dyDescent="0.2"/>
    <row r="195" spans="2:35" ht="12.75" x14ac:dyDescent="0.2">
      <c r="D195" s="75" t="s">
        <v>256</v>
      </c>
      <c r="H195" s="243" t="s">
        <v>79</v>
      </c>
      <c r="I195" s="243" t="s">
        <v>262</v>
      </c>
      <c r="J195" s="243" t="s">
        <v>21</v>
      </c>
      <c r="M195" s="237">
        <f>(M181-L181)/(1+Inputs_LRMC!$O235)+M196</f>
        <v>10.686041120162804</v>
      </c>
      <c r="N195" s="237">
        <f>(N181-M181)/(1+Inputs_LRMC!$O235)+N196</f>
        <v>14.972826496356909</v>
      </c>
      <c r="O195" s="237">
        <f>(O181-N181)/(1+Inputs_LRMC!$O235)+O196</f>
        <v>9.560274929044505</v>
      </c>
      <c r="P195" s="237">
        <f>(P181-O181)/(1+Inputs_LRMC!$O235)+P196</f>
        <v>11.803116516955043</v>
      </c>
      <c r="Q195" s="237">
        <f>(Q181-P181)/(1+Inputs_LRMC!$O235)+Q196</f>
        <v>10.185526424889286</v>
      </c>
      <c r="R195" s="237">
        <f>(R181-Q181)/(1+Inputs_LRMC!$O235)+R196</f>
        <v>7.4467209798236169</v>
      </c>
      <c r="S195" s="237">
        <f>(S181-R181)/(1+Inputs_LRMC!$O235)+S196</f>
        <v>6.1889734694754583</v>
      </c>
      <c r="T195" s="237">
        <f>(T181-S181)/(1+Inputs_LRMC!$O235)+T196</f>
        <v>6.6281116207507456</v>
      </c>
      <c r="U195" s="237">
        <f>(U181-T181)/(1+Inputs_LRMC!$O235)+U196</f>
        <v>6.8409156234751354</v>
      </c>
      <c r="V195" s="237">
        <f>(V181-U181)/(1+Inputs_LRMC!$O235)+V196</f>
        <v>6.6934254881974935</v>
      </c>
      <c r="W195" s="237">
        <f>(W181-V181)/(1+Inputs_LRMC!$O235)+W196</f>
        <v>6.702652847727645</v>
      </c>
      <c r="X195" s="237">
        <f>(X181-W181)/(1+Inputs_LRMC!$O235)+X196</f>
        <v>6.702652847727645</v>
      </c>
      <c r="Y195" s="237">
        <f>(Y181-X181)/(1+Inputs_LRMC!$O235)+Y196</f>
        <v>6.702652847727645</v>
      </c>
      <c r="Z195" s="237">
        <f>(Z181-Y181)/(1+Inputs_LRMC!$O235)+Z196</f>
        <v>6.702652847727645</v>
      </c>
      <c r="AA195" s="237">
        <f>(AA181-Z181)/(1+Inputs_LRMC!$O235)+AA196</f>
        <v>6.7026528477276184</v>
      </c>
      <c r="AB195" s="237">
        <f>(AB181-AA181)/(1+Inputs_LRMC!$O235)+AB196</f>
        <v>6.702652847727645</v>
      </c>
      <c r="AC195" s="237">
        <f>(AC181-AB181)/(1+Inputs_LRMC!$O235)+AC196</f>
        <v>6.702652847727645</v>
      </c>
      <c r="AD195" s="237">
        <f>(AD181-AC181)/(1+Inputs_LRMC!$O235)+AD196</f>
        <v>6.7026528477276965</v>
      </c>
      <c r="AE195" s="237">
        <f>(AE181-AD181)/(1+Inputs_LRMC!$O235)+AE196</f>
        <v>6.702652847727645</v>
      </c>
      <c r="AF195" s="237">
        <f>(AF181-AE181)/(1+Inputs_LRMC!$O235)+AF196</f>
        <v>6.7026528477276184</v>
      </c>
      <c r="AG195" s="237">
        <f>(AG181-AF181)/(1+Inputs_LRMC!$O235)+AG196</f>
        <v>6.702652847727645</v>
      </c>
      <c r="AH195" s="237">
        <f>(AH181-AG181)/(1+Inputs_LRMC!$O235)+AH196</f>
        <v>6.702652847727645</v>
      </c>
      <c r="AI195" s="237">
        <f>(AI181-AH181)/(1+Inputs_LRMC!$O235)+AI196</f>
        <v>6.702652847727645</v>
      </c>
    </row>
    <row r="196" spans="2:35" ht="12.75" x14ac:dyDescent="0.2">
      <c r="D196" s="75" t="s">
        <v>69</v>
      </c>
      <c r="H196" s="243" t="s">
        <v>79</v>
      </c>
      <c r="I196" s="243" t="s">
        <v>262</v>
      </c>
      <c r="J196" s="243" t="s">
        <v>21</v>
      </c>
      <c r="M196" s="237">
        <f>(M182-L182)/(1+Inputs_LRMC!$O236)+M197</f>
        <v>10.686041120162804</v>
      </c>
      <c r="N196" s="237">
        <f>(N182-M182)/(1+Inputs_LRMC!$O236)+N197</f>
        <v>14.972826496356909</v>
      </c>
      <c r="O196" s="237">
        <f>(O182-N182)/(1+Inputs_LRMC!$O236)+O197</f>
        <v>9.560274929044505</v>
      </c>
      <c r="P196" s="237">
        <f>(P182-O182)/(1+Inputs_LRMC!$O236)+P197</f>
        <v>11.803116516955043</v>
      </c>
      <c r="Q196" s="237">
        <f>(Q182-P182)/(1+Inputs_LRMC!$O236)+Q197</f>
        <v>10.185526424889286</v>
      </c>
      <c r="R196" s="237">
        <f>(R182-Q182)/(1+Inputs_LRMC!$O236)+R197</f>
        <v>7.4467209798236169</v>
      </c>
      <c r="S196" s="237">
        <f>(S182-R182)/(1+Inputs_LRMC!$O236)+S197</f>
        <v>6.1889734694754583</v>
      </c>
      <c r="T196" s="237">
        <f>(T182-S182)/(1+Inputs_LRMC!$O236)+T197</f>
        <v>6.6281116207507456</v>
      </c>
      <c r="U196" s="237">
        <f>(U182-T182)/(1+Inputs_LRMC!$O236)+U197</f>
        <v>6.8409156234751354</v>
      </c>
      <c r="V196" s="237">
        <f>(V182-U182)/(1+Inputs_LRMC!$O236)+V197</f>
        <v>6.6934254881974935</v>
      </c>
      <c r="W196" s="237">
        <f>(W182-V182)/(1+Inputs_LRMC!$O236)+W197</f>
        <v>6.702652847727645</v>
      </c>
      <c r="X196" s="237">
        <f>(X182-W182)/(1+Inputs_LRMC!$O236)+X197</f>
        <v>6.702652847727645</v>
      </c>
      <c r="Y196" s="237">
        <f>(Y182-X182)/(1+Inputs_LRMC!$O236)+Y197</f>
        <v>6.702652847727645</v>
      </c>
      <c r="Z196" s="237">
        <f>(Z182-Y182)/(1+Inputs_LRMC!$O236)+Z197</f>
        <v>6.702652847727645</v>
      </c>
      <c r="AA196" s="237">
        <f>(AA182-Z182)/(1+Inputs_LRMC!$O236)+AA197</f>
        <v>6.7026528477276184</v>
      </c>
      <c r="AB196" s="237">
        <f>(AB182-AA182)/(1+Inputs_LRMC!$O236)+AB197</f>
        <v>6.702652847727645</v>
      </c>
      <c r="AC196" s="237">
        <f>(AC182-AB182)/(1+Inputs_LRMC!$O236)+AC197</f>
        <v>6.702652847727645</v>
      </c>
      <c r="AD196" s="237">
        <f>(AD182-AC182)/(1+Inputs_LRMC!$O236)+AD197</f>
        <v>6.7026528477276965</v>
      </c>
      <c r="AE196" s="237">
        <f>(AE182-AD182)/(1+Inputs_LRMC!$O236)+AE197</f>
        <v>6.702652847727645</v>
      </c>
      <c r="AF196" s="237">
        <f>(AF182-AE182)/(1+Inputs_LRMC!$O236)+AF197</f>
        <v>6.7026528477276184</v>
      </c>
      <c r="AG196" s="237">
        <f>(AG182-AF182)/(1+Inputs_LRMC!$O236)+AG197</f>
        <v>6.702652847727645</v>
      </c>
      <c r="AH196" s="237">
        <f>(AH182-AG182)/(1+Inputs_LRMC!$O236)+AH197</f>
        <v>6.702652847727645</v>
      </c>
      <c r="AI196" s="237">
        <f>(AI182-AH182)/(1+Inputs_LRMC!$O236)+AI197</f>
        <v>6.702652847727645</v>
      </c>
    </row>
    <row r="197" spans="2:35" ht="12.75" x14ac:dyDescent="0.2">
      <c r="D197" s="75" t="s">
        <v>255</v>
      </c>
      <c r="H197" s="243" t="s">
        <v>79</v>
      </c>
      <c r="I197" s="243" t="s">
        <v>262</v>
      </c>
      <c r="J197" s="243" t="s">
        <v>21</v>
      </c>
      <c r="M197" s="237">
        <f>(M183-L183)/(1+Inputs_LRMC!$O237)+M198</f>
        <v>7.3919273296382482</v>
      </c>
      <c r="N197" s="237">
        <f>(N183-M183)/(1+Inputs_LRMC!$O237)+N198</f>
        <v>10.357254303609309</v>
      </c>
      <c r="O197" s="237">
        <f>(O183-N183)/(1+Inputs_LRMC!$O237)+O198</f>
        <v>6.6131934859879049</v>
      </c>
      <c r="P197" s="237">
        <f>(P183-O183)/(1+Inputs_LRMC!$O237)+P198</f>
        <v>8.164649431487053</v>
      </c>
      <c r="Q197" s="237">
        <f>(Q183-P183)/(1+Inputs_LRMC!$O237)+Q198</f>
        <v>7.0457029221823193</v>
      </c>
      <c r="R197" s="237">
        <f>(R183-Q183)/(1+Inputs_LRMC!$O237)+R198</f>
        <v>5.1511705511863175</v>
      </c>
      <c r="S197" s="237">
        <f>(S183-R183)/(1+Inputs_LRMC!$O237)+S198</f>
        <v>4.2811403790223048</v>
      </c>
      <c r="T197" s="237">
        <f>(T183-S183)/(1+Inputs_LRMC!$O237)+T198</f>
        <v>4.5849083755513282</v>
      </c>
      <c r="U197" s="237">
        <f>(U183-T183)/(1+Inputs_LRMC!$O237)+U198</f>
        <v>4.7321127242812535</v>
      </c>
      <c r="V197" s="237">
        <f>(V183-U183)/(1+Inputs_LRMC!$O237)+V198</f>
        <v>4.6300883777949133</v>
      </c>
      <c r="W197" s="237">
        <f>(W183-V183)/(1+Inputs_LRMC!$O237)+W198</f>
        <v>4.636471281465619</v>
      </c>
      <c r="X197" s="237">
        <f>(X183-W183)/(1+Inputs_LRMC!$O237)+X198</f>
        <v>4.636471281465619</v>
      </c>
      <c r="Y197" s="237">
        <f>(Y183-X183)/(1+Inputs_LRMC!$O237)+Y198</f>
        <v>4.636471281465619</v>
      </c>
      <c r="Z197" s="237">
        <f>(Z183-Y183)/(1+Inputs_LRMC!$O237)+Z198</f>
        <v>4.636471281465619</v>
      </c>
      <c r="AA197" s="237">
        <f>(AA183-Z183)/(1+Inputs_LRMC!$O237)+AA198</f>
        <v>4.636471281465619</v>
      </c>
      <c r="AB197" s="237">
        <f>(AB183-AA183)/(1+Inputs_LRMC!$O237)+AB198</f>
        <v>4.636471281465619</v>
      </c>
      <c r="AC197" s="237">
        <f>(AC183-AB183)/(1+Inputs_LRMC!$O237)+AC198</f>
        <v>4.636471281465619</v>
      </c>
      <c r="AD197" s="237">
        <f>(AD183-AC183)/(1+Inputs_LRMC!$O237)+AD198</f>
        <v>4.6364712814656697</v>
      </c>
      <c r="AE197" s="237">
        <f>(AE183-AD183)/(1+Inputs_LRMC!$O237)+AE198</f>
        <v>4.636471281465619</v>
      </c>
      <c r="AF197" s="237">
        <f>(AF183-AE183)/(1+Inputs_LRMC!$O237)+AF198</f>
        <v>4.636471281465619</v>
      </c>
      <c r="AG197" s="237">
        <f>(AG183-AF183)/(1+Inputs_LRMC!$O237)+AG198</f>
        <v>4.636471281465619</v>
      </c>
      <c r="AH197" s="237">
        <f>(AH183-AG183)/(1+Inputs_LRMC!$O237)+AH198</f>
        <v>4.636471281465619</v>
      </c>
      <c r="AI197" s="237">
        <f>(AI183-AH183)/(1+Inputs_LRMC!$O237)+AI198</f>
        <v>4.636471281465619</v>
      </c>
    </row>
    <row r="198" spans="2:35" ht="11.25" customHeight="1" x14ac:dyDescent="0.2"/>
    <row r="199" spans="2:35" ht="11.25" customHeight="1" x14ac:dyDescent="0.2"/>
    <row r="200" spans="2:35" ht="11.25" customHeight="1" x14ac:dyDescent="0.2"/>
    <row r="201" spans="2:35" s="2" customFormat="1" ht="15.75" x14ac:dyDescent="0.2">
      <c r="B201" s="2" t="s">
        <v>20</v>
      </c>
    </row>
  </sheetData>
  <mergeCells count="4">
    <mergeCell ref="T18:V18"/>
    <mergeCell ref="N18:Q18"/>
    <mergeCell ref="Z18:AC18"/>
    <mergeCell ref="AE18:AH18"/>
  </mergeCells>
  <conditionalFormatting sqref="B2">
    <cfRule type="cellIs" dxfId="23" priority="1" operator="notEqual">
      <formula>"No Errors Found"</formula>
    </cfRule>
  </conditionalFormatting>
  <dataValidations count="3">
    <dataValidation type="list" allowBlank="1" showInputMessage="1" showErrorMessage="1" sqref="I78:I81 I85:I86 I91:I93 I97:I98 I117:I120 I124:I125 I130:I132 I136:I137 I52:I54 I58:I59 I21:I23 I40:I42 I46:I47 I64:I66 I70:I71 I27:I28 I103:I105 I109:I110 I154:I156 I160:I161 I142:I144 I148:I149 I174 I195:I197 I181:I183 I185 I187:I188" xr:uid="{00000000-0002-0000-0900-000000000000}">
      <formula1>LU_Units</formula1>
    </dataValidation>
    <dataValidation type="list" allowBlank="1" showInputMessage="1" showErrorMessage="1" sqref="J78:J81 J85:J86 J91:J93 J97:J98 J117:J120 J124:J125 J130:J132 J136:J137 J83 J95 J122 J134 J52:J54 J58:J59 J56 J21:J23 J40:J42 J46:J47 J44 J64:J66 J70:J71 J68 J25 J27:J28 J103:J105 J109:J110 J107 J154:J156 J160:J161 J158 J142:J144 J148:J149 J146 J174 J195:J197 J181:J183 J185 J187:J188" xr:uid="{00000000-0002-0000-0900-000001000000}">
      <formula1>LU_Basis</formula1>
    </dataValidation>
    <dataValidation type="list" allowBlank="1" showInputMessage="1" showErrorMessage="1" sqref="K85:K86 K97:K98 K124:K125 K136:K137 K58:K59 K46:K47 K70:K71 K27:K28 K109:K110 K160:K161 K148:K149 K187:K188" xr:uid="{00000000-0002-0000-0900-000002000000}">
      <formula1>LU_Timing</formula1>
    </dataValidation>
  </dataValidations>
  <hyperlinks>
    <hyperlink ref="B3:E3" location="TOC!A1" display="TOC!A1"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sheetPr>
  <dimension ref="A1:V73"/>
  <sheetViews>
    <sheetView showGridLines="0" zoomScaleNormal="100" workbookViewId="0">
      <pane xSplit="6" ySplit="9" topLeftCell="G10" activePane="bottomRight" state="frozen"/>
      <selection activeCell="D242" sqref="D242"/>
      <selection pane="topRight" activeCell="D242" sqref="D242"/>
      <selection pane="bottomLeft" activeCell="D242" sqref="D242"/>
      <selection pane="bottomRight" activeCell="G10" sqref="G10"/>
    </sheetView>
  </sheetViews>
  <sheetFormatPr defaultColWidth="9.1640625" defaultRowHeight="11.25" outlineLevelRow="1" x14ac:dyDescent="0.2"/>
  <cols>
    <col min="1" max="1" width="3.1640625" customWidth="1"/>
    <col min="2" max="3" width="2.83203125" customWidth="1"/>
    <col min="4" max="4" width="26.83203125" customWidth="1"/>
    <col min="5" max="5" width="17.83203125" customWidth="1"/>
    <col min="6" max="7" width="3.6640625" customWidth="1"/>
    <col min="8" max="10" width="12.6640625" customWidth="1"/>
    <col min="11" max="12" width="3.33203125" customWidth="1"/>
    <col min="13" max="14" width="11.83203125" bestFit="1" customWidth="1"/>
    <col min="15" max="19" width="15.6640625" customWidth="1"/>
    <col min="20" max="20" width="4.1640625" customWidth="1"/>
  </cols>
  <sheetData>
    <row r="1" spans="1:22" ht="19.5" x14ac:dyDescent="0.2">
      <c r="A1" s="59">
        <f ca="1">IF(SUM($A10:$A73)&gt;0,1,0)</f>
        <v>0</v>
      </c>
      <c r="B1" s="3" t="s">
        <v>727</v>
      </c>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244"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75" x14ac:dyDescent="0.2">
      <c r="B11" s="2" t="s">
        <v>142</v>
      </c>
    </row>
    <row r="12" spans="1:22" ht="4.5" customHeight="1" x14ac:dyDescent="0.2"/>
    <row r="13" spans="1:22" ht="11.25" customHeight="1" x14ac:dyDescent="0.2"/>
    <row r="14" spans="1:22" ht="11.25" customHeight="1" x14ac:dyDescent="0.2">
      <c r="D14" s="105" t="s">
        <v>143</v>
      </c>
    </row>
    <row r="15" spans="1:22" ht="11.25" customHeight="1" x14ac:dyDescent="0.2">
      <c r="D15" s="105" t="s">
        <v>145</v>
      </c>
    </row>
    <row r="16" spans="1:22" ht="11.25" customHeight="1" x14ac:dyDescent="0.2">
      <c r="D16" s="105" t="s">
        <v>144</v>
      </c>
    </row>
    <row r="17" spans="2:19" ht="11.25" customHeight="1" x14ac:dyDescent="0.2"/>
    <row r="18" spans="2:19" ht="11.25" customHeight="1" x14ac:dyDescent="0.2"/>
    <row r="19" spans="2:19" ht="11.25" customHeight="1" x14ac:dyDescent="0.2">
      <c r="D19" s="70" t="s">
        <v>703</v>
      </c>
      <c r="H19" s="54" t="str">
        <f>Lookup!E$19</f>
        <v>Source</v>
      </c>
      <c r="I19" s="54" t="str">
        <f>Lookup!F$19</f>
        <v>Unit</v>
      </c>
      <c r="J19" s="54" t="str">
        <f>Lookup!G$19</f>
        <v>Basis</v>
      </c>
      <c r="O19" s="54" t="str">
        <f>O$9</f>
        <v>FY25</v>
      </c>
      <c r="P19" s="54" t="str">
        <f>P$9</f>
        <v>FY26</v>
      </c>
      <c r="Q19" s="54" t="str">
        <f>Q$9</f>
        <v>FY27</v>
      </c>
      <c r="R19" s="54" t="str">
        <f>R$9</f>
        <v>FY28</v>
      </c>
      <c r="S19" s="54" t="str">
        <f>S$9</f>
        <v>FY29</v>
      </c>
    </row>
    <row r="20" spans="2:19" ht="11.25" customHeight="1" x14ac:dyDescent="0.2">
      <c r="D20" s="1"/>
    </row>
    <row r="21" spans="2:19" ht="12.75" x14ac:dyDescent="0.2">
      <c r="D21" s="75" t="str">
        <f>Inputs_Other!$D$34</f>
        <v>Real 2024 (End Period) to Nominal (End Period)</v>
      </c>
      <c r="E21" s="82"/>
      <c r="F21" s="82"/>
      <c r="G21" s="82"/>
      <c r="H21" s="243" t="s">
        <v>52</v>
      </c>
      <c r="I21" s="243" t="s">
        <v>45</v>
      </c>
      <c r="J21" s="243" t="s">
        <v>21</v>
      </c>
      <c r="O21" s="142">
        <f>Inputs_Other!O$34</f>
        <v>1.0279978112784547</v>
      </c>
      <c r="P21" s="142">
        <f>Inputs_Other!P$34</f>
        <v>1.0567794999932933</v>
      </c>
      <c r="Q21" s="142">
        <f>Inputs_Other!Q$34</f>
        <v>1.0863670129970453</v>
      </c>
      <c r="R21" s="142">
        <f>Inputs_Other!R$34</f>
        <v>1.116782911606075</v>
      </c>
      <c r="S21" s="142">
        <f>Inputs_Other!S$34</f>
        <v>1.1480503888042251</v>
      </c>
    </row>
    <row r="22" spans="2:19" ht="11.25" customHeight="1" x14ac:dyDescent="0.2"/>
    <row r="23" spans="2:19" ht="11.25" customHeight="1" x14ac:dyDescent="0.2"/>
    <row r="24" spans="2:19" s="2" customFormat="1" ht="15.75" x14ac:dyDescent="0.2">
      <c r="B24" s="2" t="s">
        <v>728</v>
      </c>
    </row>
    <row r="25" spans="2:19" ht="11.25" customHeight="1" x14ac:dyDescent="0.2"/>
    <row r="26" spans="2:19" s="8" customFormat="1" ht="15" x14ac:dyDescent="0.2">
      <c r="C26" s="8" t="s">
        <v>729</v>
      </c>
    </row>
    <row r="27" spans="2:19" ht="11.25" customHeight="1" x14ac:dyDescent="0.2"/>
    <row r="28" spans="2:19" ht="11.25" customHeight="1" x14ac:dyDescent="0.2">
      <c r="C28" s="170" t="s">
        <v>5</v>
      </c>
      <c r="D28" s="70" t="s">
        <v>118</v>
      </c>
      <c r="H28" s="54" t="str">
        <f>Lookup!E$19</f>
        <v>Source</v>
      </c>
      <c r="I28" s="54" t="str">
        <f>Lookup!F$19</f>
        <v>Unit</v>
      </c>
      <c r="J28" s="54" t="str">
        <f>Lookup!G$19</f>
        <v>Basis</v>
      </c>
      <c r="M28" s="54" t="s">
        <v>730</v>
      </c>
      <c r="O28" s="54" t="str">
        <f>O$9</f>
        <v>FY25</v>
      </c>
      <c r="P28" s="54" t="str">
        <f>P$9</f>
        <v>FY26</v>
      </c>
      <c r="Q28" s="54" t="str">
        <f>Q$9</f>
        <v>FY27</v>
      </c>
      <c r="R28" s="54" t="str">
        <f>R$9</f>
        <v>FY28</v>
      </c>
      <c r="S28" s="54" t="str">
        <f>S$9</f>
        <v>FY29</v>
      </c>
    </row>
    <row r="29" spans="2:19" ht="11.25" customHeight="1" x14ac:dyDescent="0.2">
      <c r="D29" s="1"/>
    </row>
    <row r="30" spans="2:19" ht="12.75" x14ac:dyDescent="0.2">
      <c r="C30" s="169">
        <v>1</v>
      </c>
      <c r="D30" s="75" t="str" cm="1">
        <f t="array" ref="D30:D37">LU_Tariffs</f>
        <v>Residential Accumulation</v>
      </c>
      <c r="E30" s="82"/>
      <c r="F30" s="82"/>
      <c r="G30" s="82"/>
      <c r="H30" s="243" t="s">
        <v>52</v>
      </c>
      <c r="I30" s="243" t="s">
        <v>77</v>
      </c>
      <c r="J30" s="243" t="s">
        <v>40</v>
      </c>
      <c r="M30" s="243" t="str" cm="1">
        <f t="array" ref="M30:M37">Voltage_Level_Mapping</f>
        <v>LV</v>
      </c>
      <c r="O30" s="66">
        <f ca="1">INDEX(Calc_LRMC!$AH$21:$AH$23,MATCH($M30,Calc_LRMC!$D$21:$D$23,0))*O$21</f>
        <v>176.36394115251517</v>
      </c>
      <c r="P30" s="66">
        <f ca="1">INDEX(Calc_LRMC!$AH$21:$AH$23,MATCH($M30,Calc_LRMC!$D$21:$D$23,0))*P$21</f>
        <v>181.30174549322777</v>
      </c>
      <c r="Q30" s="66">
        <f ca="1">INDEX(Calc_LRMC!$AH$21:$AH$23,MATCH($M30,Calc_LRMC!$D$21:$D$23,0))*Q$21</f>
        <v>186.37779754800158</v>
      </c>
      <c r="R30" s="66">
        <f ca="1">INDEX(Calc_LRMC!$AH$21:$AH$23,MATCH($M30,Calc_LRMC!$D$21:$D$23,0))*R$21</f>
        <v>191.59596795024456</v>
      </c>
      <c r="S30" s="66">
        <f ca="1">INDEX(Calc_LRMC!$AH$21:$AH$23,MATCH($M30,Calc_LRMC!$D$21:$D$23,0))*S$21</f>
        <v>196.96023570262835</v>
      </c>
    </row>
    <row r="31" spans="2:19" ht="12.75" x14ac:dyDescent="0.2">
      <c r="C31" s="169">
        <v>2</v>
      </c>
      <c r="D31" s="75" t="str">
        <v>Non-Residential Accumulation</v>
      </c>
      <c r="H31" s="243" t="s">
        <v>52</v>
      </c>
      <c r="I31" s="243" t="s">
        <v>77</v>
      </c>
      <c r="J31" s="243" t="s">
        <v>40</v>
      </c>
      <c r="M31" s="243" t="str">
        <v>LV</v>
      </c>
      <c r="O31" s="66">
        <f ca="1">INDEX(Calc_LRMC!$AH$21:$AH$23,MATCH($M31,Calc_LRMC!$D$21:$D$23,0))*O$21</f>
        <v>176.36394115251517</v>
      </c>
      <c r="P31" s="66">
        <f ca="1">INDEX(Calc_LRMC!$AH$21:$AH$23,MATCH($M31,Calc_LRMC!$D$21:$D$23,0))*P$21</f>
        <v>181.30174549322777</v>
      </c>
      <c r="Q31" s="66">
        <f ca="1">INDEX(Calc_LRMC!$AH$21:$AH$23,MATCH($M31,Calc_LRMC!$D$21:$D$23,0))*Q$21</f>
        <v>186.37779754800158</v>
      </c>
      <c r="R31" s="66">
        <f ca="1">INDEX(Calc_LRMC!$AH$21:$AH$23,MATCH($M31,Calc_LRMC!$D$21:$D$23,0))*R$21</f>
        <v>191.59596795024456</v>
      </c>
      <c r="S31" s="66">
        <f ca="1">INDEX(Calc_LRMC!$AH$21:$AH$23,MATCH($M31,Calc_LRMC!$D$21:$D$23,0))*S$21</f>
        <v>196.96023570262835</v>
      </c>
    </row>
    <row r="32" spans="2:19" ht="12.75" x14ac:dyDescent="0.2">
      <c r="C32" s="169" t="s">
        <v>491</v>
      </c>
      <c r="D32" s="75" t="str">
        <v>LV Smart Meter - Res</v>
      </c>
      <c r="H32" s="243" t="s">
        <v>52</v>
      </c>
      <c r="I32" s="243" t="s">
        <v>77</v>
      </c>
      <c r="J32" s="243" t="s">
        <v>40</v>
      </c>
      <c r="M32" s="243" t="str">
        <v>LV</v>
      </c>
      <c r="O32" s="66">
        <f ca="1">INDEX(Calc_LRMC!$AH$21:$AH$23,MATCH($M32,Calc_LRMC!$D$21:$D$23,0))*O$21</f>
        <v>176.36394115251517</v>
      </c>
      <c r="P32" s="66">
        <f ca="1">INDEX(Calc_LRMC!$AH$21:$AH$23,MATCH($M32,Calc_LRMC!$D$21:$D$23,0))*P$21</f>
        <v>181.30174549322777</v>
      </c>
      <c r="Q32" s="66">
        <f ca="1">INDEX(Calc_LRMC!$AH$21:$AH$23,MATCH($M32,Calc_LRMC!$D$21:$D$23,0))*Q$21</f>
        <v>186.37779754800158</v>
      </c>
      <c r="R32" s="66">
        <f ca="1">INDEX(Calc_LRMC!$AH$21:$AH$23,MATCH($M32,Calc_LRMC!$D$21:$D$23,0))*R$21</f>
        <v>191.59596795024456</v>
      </c>
      <c r="S32" s="66">
        <f ca="1">INDEX(Calc_LRMC!$AH$21:$AH$23,MATCH($M32,Calc_LRMC!$D$21:$D$23,0))*S$21</f>
        <v>196.96023570262835</v>
      </c>
    </row>
    <row r="33" spans="3:21" ht="12.75" x14ac:dyDescent="0.2">
      <c r="C33" s="169" t="s">
        <v>492</v>
      </c>
      <c r="D33" s="75" t="str">
        <v>LV Smart Meter - Small Comm</v>
      </c>
      <c r="H33" s="243" t="s">
        <v>52</v>
      </c>
      <c r="I33" s="243" t="s">
        <v>77</v>
      </c>
      <c r="J33" s="243" t="s">
        <v>40</v>
      </c>
      <c r="M33" s="243" t="str">
        <v>LV</v>
      </c>
      <c r="O33" s="66">
        <f ca="1">INDEX(Calc_LRMC!$AH$21:$AH$23,MATCH($M33,Calc_LRMC!$D$21:$D$23,0))*O$21</f>
        <v>176.36394115251517</v>
      </c>
      <c r="P33" s="66">
        <f ca="1">INDEX(Calc_LRMC!$AH$21:$AH$23,MATCH($M33,Calc_LRMC!$D$21:$D$23,0))*P$21</f>
        <v>181.30174549322777</v>
      </c>
      <c r="Q33" s="66">
        <f ca="1">INDEX(Calc_LRMC!$AH$21:$AH$23,MATCH($M33,Calc_LRMC!$D$21:$D$23,0))*Q$21</f>
        <v>186.37779754800158</v>
      </c>
      <c r="R33" s="66">
        <f ca="1">INDEX(Calc_LRMC!$AH$21:$AH$23,MATCH($M33,Calc_LRMC!$D$21:$D$23,0))*R$21</f>
        <v>191.59596795024456</v>
      </c>
      <c r="S33" s="66">
        <f ca="1">INDEX(Calc_LRMC!$AH$21:$AH$23,MATCH($M33,Calc_LRMC!$D$21:$D$23,0))*S$21</f>
        <v>196.96023570262835</v>
      </c>
    </row>
    <row r="34" spans="3:21" ht="12.75" x14ac:dyDescent="0.2">
      <c r="C34" s="169" t="s">
        <v>493</v>
      </c>
      <c r="D34" s="75" t="str">
        <v>LV Smart Meter - Med Comm</v>
      </c>
      <c r="H34" s="243" t="s">
        <v>52</v>
      </c>
      <c r="I34" s="243" t="s">
        <v>77</v>
      </c>
      <c r="J34" s="243" t="s">
        <v>40</v>
      </c>
      <c r="M34" s="243" t="str">
        <v>LV</v>
      </c>
      <c r="O34" s="66">
        <f ca="1">INDEX(Calc_LRMC!$AH$21:$AH$23,MATCH($M34,Calc_LRMC!$D$21:$D$23,0))*O$21</f>
        <v>176.36394115251517</v>
      </c>
      <c r="P34" s="66">
        <f ca="1">INDEX(Calc_LRMC!$AH$21:$AH$23,MATCH($M34,Calc_LRMC!$D$21:$D$23,0))*P$21</f>
        <v>181.30174549322777</v>
      </c>
      <c r="Q34" s="66">
        <f ca="1">INDEX(Calc_LRMC!$AH$21:$AH$23,MATCH($M34,Calc_LRMC!$D$21:$D$23,0))*Q$21</f>
        <v>186.37779754800158</v>
      </c>
      <c r="R34" s="66">
        <f ca="1">INDEX(Calc_LRMC!$AH$21:$AH$23,MATCH($M34,Calc_LRMC!$D$21:$D$23,0))*R$21</f>
        <v>191.59596795024456</v>
      </c>
      <c r="S34" s="66">
        <f ca="1">INDEX(Calc_LRMC!$AH$21:$AH$23,MATCH($M34,Calc_LRMC!$D$21:$D$23,0))*S$21</f>
        <v>196.96023570262835</v>
      </c>
    </row>
    <row r="35" spans="3:21" ht="12.75" x14ac:dyDescent="0.2">
      <c r="C35" s="169">
        <v>4</v>
      </c>
      <c r="D35" s="75" t="str">
        <v>Unmetered</v>
      </c>
      <c r="H35" s="243" t="s">
        <v>52</v>
      </c>
      <c r="I35" s="243" t="s">
        <v>77</v>
      </c>
      <c r="J35" s="243" t="s">
        <v>40</v>
      </c>
      <c r="M35" s="243" t="str">
        <v>LV</v>
      </c>
      <c r="O35" s="66">
        <f ca="1">INDEX(Calc_LRMC!$AH$21:$AH$23,MATCH($M35,Calc_LRMC!$D$21:$D$23,0))*O$21</f>
        <v>176.36394115251517</v>
      </c>
      <c r="P35" s="66">
        <f ca="1">INDEX(Calc_LRMC!$AH$21:$AH$23,MATCH($M35,Calc_LRMC!$D$21:$D$23,0))*P$21</f>
        <v>181.30174549322777</v>
      </c>
      <c r="Q35" s="66">
        <f ca="1">INDEX(Calc_LRMC!$AH$21:$AH$23,MATCH($M35,Calc_LRMC!$D$21:$D$23,0))*Q$21</f>
        <v>186.37779754800158</v>
      </c>
      <c r="R35" s="66">
        <f ca="1">INDEX(Calc_LRMC!$AH$21:$AH$23,MATCH($M35,Calc_LRMC!$D$21:$D$23,0))*R$21</f>
        <v>191.59596795024456</v>
      </c>
      <c r="S35" s="66">
        <f ca="1">INDEX(Calc_LRMC!$AH$21:$AH$23,MATCH($M35,Calc_LRMC!$D$21:$D$23,0))*S$21</f>
        <v>196.96023570262835</v>
      </c>
    </row>
    <row r="36" spans="3:21" ht="12.75" x14ac:dyDescent="0.2">
      <c r="C36" s="169">
        <v>5</v>
      </c>
      <c r="D36" s="75" t="str">
        <v>LV Majors</v>
      </c>
      <c r="H36" s="243" t="s">
        <v>52</v>
      </c>
      <c r="I36" s="243" t="s">
        <v>77</v>
      </c>
      <c r="J36" s="243" t="s">
        <v>40</v>
      </c>
      <c r="M36" s="243" t="str">
        <v>LV</v>
      </c>
      <c r="O36" s="66">
        <f ca="1">INDEX(Calc_LRMC!$AH$21:$AH$23,MATCH($M36,Calc_LRMC!$D$21:$D$23,0))*O$21</f>
        <v>176.36394115251517</v>
      </c>
      <c r="P36" s="66">
        <f ca="1">INDEX(Calc_LRMC!$AH$21:$AH$23,MATCH($M36,Calc_LRMC!$D$21:$D$23,0))*P$21</f>
        <v>181.30174549322777</v>
      </c>
      <c r="Q36" s="66">
        <f ca="1">INDEX(Calc_LRMC!$AH$21:$AH$23,MATCH($M36,Calc_LRMC!$D$21:$D$23,0))*Q$21</f>
        <v>186.37779754800158</v>
      </c>
      <c r="R36" s="66">
        <f ca="1">INDEX(Calc_LRMC!$AH$21:$AH$23,MATCH($M36,Calc_LRMC!$D$21:$D$23,0))*R$21</f>
        <v>191.59596795024456</v>
      </c>
      <c r="S36" s="66">
        <f ca="1">INDEX(Calc_LRMC!$AH$21:$AH$23,MATCH($M36,Calc_LRMC!$D$21:$D$23,0))*S$21</f>
        <v>196.96023570262835</v>
      </c>
    </row>
    <row r="37" spans="3:21" ht="12.75" x14ac:dyDescent="0.2">
      <c r="C37" s="169">
        <v>6</v>
      </c>
      <c r="D37" s="75" t="str">
        <v>HV Smart Meters</v>
      </c>
      <c r="H37" s="243" t="s">
        <v>52</v>
      </c>
      <c r="I37" s="243" t="s">
        <v>77</v>
      </c>
      <c r="J37" s="243" t="s">
        <v>40</v>
      </c>
      <c r="M37" s="243" t="str">
        <v>HV</v>
      </c>
      <c r="O37" s="66">
        <f ca="1">INDEX(Calc_LRMC!$AH$21:$AH$23,MATCH($M37,Calc_LRMC!$D$21:$D$23,0))*O$21</f>
        <v>103.19867901622966</v>
      </c>
      <c r="P37" s="66">
        <f ca="1">INDEX(Calc_LRMC!$AH$21:$AH$23,MATCH($M37,Calc_LRMC!$D$21:$D$23,0))*P$21</f>
        <v>106.08801615551188</v>
      </c>
      <c r="Q37" s="66">
        <f ca="1">INDEX(Calc_LRMC!$AH$21:$AH$23,MATCH($M37,Calc_LRMC!$D$21:$D$23,0))*Q$21</f>
        <v>109.05824841073955</v>
      </c>
      <c r="R37" s="66">
        <f ca="1">INDEX(Calc_LRMC!$AH$21:$AH$23,MATCH($M37,Calc_LRMC!$D$21:$D$23,0))*R$21</f>
        <v>112.11164066810227</v>
      </c>
      <c r="S37" s="66">
        <f ca="1">INDEX(Calc_LRMC!$AH$21:$AH$23,MATCH($M37,Calc_LRMC!$D$21:$D$23,0))*S$21</f>
        <v>115.25052122564571</v>
      </c>
    </row>
    <row r="38" spans="3:21" ht="11.25" customHeight="1" x14ac:dyDescent="0.2"/>
    <row r="39" spans="3:21" ht="11.25" customHeight="1" x14ac:dyDescent="0.2"/>
    <row r="40" spans="3:21" s="8" customFormat="1" ht="15" x14ac:dyDescent="0.2">
      <c r="C40" s="8" t="s">
        <v>732</v>
      </c>
    </row>
    <row r="41" spans="3:21" ht="11.25" customHeight="1" x14ac:dyDescent="0.2"/>
    <row r="42" spans="3:21" ht="11.25" customHeight="1" x14ac:dyDescent="0.2">
      <c r="C42" s="170" t="s">
        <v>5</v>
      </c>
      <c r="D42" s="70" t="s">
        <v>118</v>
      </c>
      <c r="H42" s="54" t="str">
        <f>Lookup!E$19</f>
        <v>Source</v>
      </c>
      <c r="I42" s="54" t="str">
        <f>Lookup!F$19</f>
        <v>Unit</v>
      </c>
      <c r="J42" s="54" t="str">
        <f>Lookup!G$19</f>
        <v>Basis</v>
      </c>
      <c r="M42" s="54" t="s">
        <v>731</v>
      </c>
      <c r="O42" s="54" t="str">
        <f>O$9</f>
        <v>FY25</v>
      </c>
      <c r="P42" s="54" t="str">
        <f>P$9</f>
        <v>FY26</v>
      </c>
      <c r="Q42" s="54" t="str">
        <f>Q$9</f>
        <v>FY27</v>
      </c>
      <c r="R42" s="54" t="str">
        <f>R$9</f>
        <v>FY28</v>
      </c>
      <c r="S42" s="54" t="str">
        <f>S$9</f>
        <v>FY29</v>
      </c>
    </row>
    <row r="43" spans="3:21" ht="11.25" customHeight="1" x14ac:dyDescent="0.2">
      <c r="D43" s="1"/>
    </row>
    <row r="44" spans="3:21" ht="12.75" x14ac:dyDescent="0.2">
      <c r="C44" s="169">
        <v>1</v>
      </c>
      <c r="D44" s="75" t="str" cm="1">
        <f t="array" ref="D44:D51">LU_Tariffs</f>
        <v>Residential Accumulation</v>
      </c>
      <c r="E44" s="82"/>
      <c r="F44" s="82"/>
      <c r="G44" s="82"/>
      <c r="H44" s="243" t="s">
        <v>52</v>
      </c>
      <c r="I44" s="243" t="s">
        <v>83</v>
      </c>
      <c r="J44" s="243" t="s">
        <v>40</v>
      </c>
      <c r="M44" s="157" cm="1">
        <f t="array" ref="M44:M51">Power_Factor</f>
        <v>0.93</v>
      </c>
      <c r="O44" s="77">
        <f>Inputs_Other!O115*MW_to_kW/$M44</f>
        <v>111366.26766914595</v>
      </c>
      <c r="P44" s="77">
        <f>Inputs_Other!P115*MW_to_kW/$M44</f>
        <v>85262.748145409307</v>
      </c>
      <c r="Q44" s="77">
        <f>Inputs_Other!Q115*MW_to_kW/$M44</f>
        <v>57833.447488684513</v>
      </c>
      <c r="R44" s="77">
        <f>Inputs_Other!R115*MW_to_kW/$M44</f>
        <v>29696.674029741203</v>
      </c>
      <c r="S44" s="77">
        <f>Inputs_Other!S115*MW_to_kW/$M44</f>
        <v>25720.083692366476</v>
      </c>
      <c r="U44" s="107" t="s">
        <v>260</v>
      </c>
    </row>
    <row r="45" spans="3:21" ht="12.75" x14ac:dyDescent="0.2">
      <c r="C45" s="169">
        <v>2</v>
      </c>
      <c r="D45" s="75" t="str">
        <v>Non-Residential Accumulation</v>
      </c>
      <c r="H45" s="243" t="s">
        <v>52</v>
      </c>
      <c r="I45" s="243" t="s">
        <v>83</v>
      </c>
      <c r="J45" s="243" t="s">
        <v>40</v>
      </c>
      <c r="M45" s="157">
        <v>0.91</v>
      </c>
      <c r="O45" s="77">
        <f>Inputs_Other!O116*MW_to_kW/$M45</f>
        <v>13032.560899545311</v>
      </c>
      <c r="P45" s="77">
        <f>Inputs_Other!P116*MW_to_kW/$M45</f>
        <v>9790.4678411603418</v>
      </c>
      <c r="Q45" s="77">
        <f>Inputs_Other!Q116*MW_to_kW/$M45</f>
        <v>6378.1821105882645</v>
      </c>
      <c r="R45" s="77">
        <f>Inputs_Other!R116*MW_to_kW/$M45</f>
        <v>2867.6399650862213</v>
      </c>
      <c r="S45" s="77">
        <f>Inputs_Other!S116*MW_to_kW/$M45</f>
        <v>0</v>
      </c>
    </row>
    <row r="46" spans="3:21" ht="12.75" x14ac:dyDescent="0.2">
      <c r="C46" s="169" t="s">
        <v>491</v>
      </c>
      <c r="D46" s="75" t="str">
        <v>LV Smart Meter - Res</v>
      </c>
      <c r="H46" s="243" t="s">
        <v>52</v>
      </c>
      <c r="I46" s="243" t="s">
        <v>83</v>
      </c>
      <c r="J46" s="243" t="s">
        <v>40</v>
      </c>
      <c r="M46" s="157">
        <v>0.93</v>
      </c>
      <c r="O46" s="77">
        <f>Inputs_Other!O117*MW_to_kW/$M46</f>
        <v>88942.266974537531</v>
      </c>
      <c r="P46" s="77">
        <f>Inputs_Other!P117*MW_to_kW/$M46</f>
        <v>119458.71707343831</v>
      </c>
      <c r="Q46" s="77">
        <f>Inputs_Other!Q117*MW_to_kW/$M46</f>
        <v>150235.09664919102</v>
      </c>
      <c r="R46" s="77">
        <f>Inputs_Other!R117*MW_to_kW/$M46</f>
        <v>181852.16645094665</v>
      </c>
      <c r="S46" s="77">
        <f>Inputs_Other!S117*MW_to_kW/$M46</f>
        <v>188092.26028231651</v>
      </c>
    </row>
    <row r="47" spans="3:21" ht="12.75" x14ac:dyDescent="0.2">
      <c r="C47" s="169" t="s">
        <v>492</v>
      </c>
      <c r="D47" s="75" t="str">
        <v>LV Smart Meter - Small Comm</v>
      </c>
      <c r="H47" s="243" t="s">
        <v>52</v>
      </c>
      <c r="I47" s="243" t="s">
        <v>83</v>
      </c>
      <c r="J47" s="243" t="s">
        <v>40</v>
      </c>
      <c r="M47" s="157">
        <v>0.93</v>
      </c>
      <c r="O47" s="77">
        <f>Inputs_Other!O118*MW_to_kW/$M47</f>
        <v>63095.972420369646</v>
      </c>
      <c r="P47" s="77">
        <f>Inputs_Other!P118*MW_to_kW/$M47</f>
        <v>67454.024075659458</v>
      </c>
      <c r="Q47" s="77">
        <f>Inputs_Other!Q118*MW_to_kW/$M47</f>
        <v>71563.691881980034</v>
      </c>
      <c r="R47" s="77">
        <f>Inputs_Other!R118*MW_to_kW/$M47</f>
        <v>75802.889315750828</v>
      </c>
      <c r="S47" s="77">
        <f>Inputs_Other!S118*MW_to_kW/$M47</f>
        <v>79786.381184342506</v>
      </c>
    </row>
    <row r="48" spans="3:21" ht="12.75" x14ac:dyDescent="0.2">
      <c r="C48" s="169" t="s">
        <v>493</v>
      </c>
      <c r="D48" s="75" t="str">
        <v>LV Smart Meter - Med Comm</v>
      </c>
      <c r="H48" s="243" t="s">
        <v>52</v>
      </c>
      <c r="I48" s="243" t="s">
        <v>83</v>
      </c>
      <c r="J48" s="243" t="s">
        <v>40</v>
      </c>
      <c r="M48" s="157">
        <v>0.93</v>
      </c>
      <c r="O48" s="77">
        <f>Inputs_Other!O119*MW_to_kW/$M48</f>
        <v>46465.379222673626</v>
      </c>
      <c r="P48" s="77">
        <f>Inputs_Other!P119*MW_to_kW/$M48</f>
        <v>49661.784205154436</v>
      </c>
      <c r="Q48" s="77">
        <f>Inputs_Other!Q119*MW_to_kW/$M48</f>
        <v>52664.66108461425</v>
      </c>
      <c r="R48" s="77">
        <f>Inputs_Other!R119*MW_to_kW/$M48</f>
        <v>55814.465308290899</v>
      </c>
      <c r="S48" s="77">
        <f>Inputs_Other!S119*MW_to_kW/$M48</f>
        <v>58708.254131560592</v>
      </c>
    </row>
    <row r="49" spans="3:19" ht="12.75" x14ac:dyDescent="0.2">
      <c r="C49" s="169">
        <v>4</v>
      </c>
      <c r="D49" s="75" t="str">
        <v>Unmetered</v>
      </c>
      <c r="H49" s="243" t="s">
        <v>52</v>
      </c>
      <c r="I49" s="243" t="s">
        <v>83</v>
      </c>
      <c r="J49" s="243" t="s">
        <v>40</v>
      </c>
      <c r="M49" s="157">
        <v>0.9</v>
      </c>
      <c r="O49" s="77">
        <f>Inputs_Other!O120*MW_to_kW/$M49</f>
        <v>0</v>
      </c>
      <c r="P49" s="77">
        <f>Inputs_Other!P120*MW_to_kW/$M49</f>
        <v>0</v>
      </c>
      <c r="Q49" s="77">
        <f>Inputs_Other!Q120*MW_to_kW/$M49</f>
        <v>0</v>
      </c>
      <c r="R49" s="77">
        <f>Inputs_Other!R120*MW_to_kW/$M49</f>
        <v>0</v>
      </c>
      <c r="S49" s="77">
        <f>Inputs_Other!S120*MW_to_kW/$M49</f>
        <v>0</v>
      </c>
    </row>
    <row r="50" spans="3:19" ht="12.75" x14ac:dyDescent="0.2">
      <c r="C50" s="169">
        <v>5</v>
      </c>
      <c r="D50" s="75" t="str">
        <v>LV Majors</v>
      </c>
      <c r="H50" s="243" t="s">
        <v>52</v>
      </c>
      <c r="I50" s="243" t="s">
        <v>83</v>
      </c>
      <c r="J50" s="243" t="s">
        <v>40</v>
      </c>
      <c r="M50" s="157">
        <v>0.94</v>
      </c>
      <c r="O50" s="77">
        <f>Inputs_Other!O121*MW_to_kW/$M50</f>
        <v>49853.032035152421</v>
      </c>
      <c r="P50" s="77">
        <f>Inputs_Other!P121*MW_to_kW/$M50</f>
        <v>50932.788086366963</v>
      </c>
      <c r="Q50" s="77">
        <f>Inputs_Other!Q121*MW_to_kW/$M50</f>
        <v>51746.393453560806</v>
      </c>
      <c r="R50" s="77">
        <f>Inputs_Other!R121*MW_to_kW/$M50</f>
        <v>52593.650148752888</v>
      </c>
      <c r="S50" s="77">
        <f>Inputs_Other!S121*MW_to_kW/$M50</f>
        <v>53209.374247125968</v>
      </c>
    </row>
    <row r="51" spans="3:19" ht="12.75" x14ac:dyDescent="0.2">
      <c r="C51" s="169">
        <v>6</v>
      </c>
      <c r="D51" s="75" t="str">
        <v>HV Smart Meters</v>
      </c>
      <c r="H51" s="243" t="s">
        <v>52</v>
      </c>
      <c r="I51" s="243" t="s">
        <v>83</v>
      </c>
      <c r="J51" s="243" t="s">
        <v>40</v>
      </c>
      <c r="M51" s="157">
        <v>0.9</v>
      </c>
      <c r="O51" s="77">
        <f>Inputs_Other!O122*MW_to_kW/$M51</f>
        <v>33317.382941695796</v>
      </c>
      <c r="P51" s="77">
        <f>Inputs_Other!P122*MW_to_kW/$M51</f>
        <v>34407.198117226166</v>
      </c>
      <c r="Q51" s="77">
        <f>Inputs_Other!Q122*MW_to_kW/$M51</f>
        <v>34906.676624823391</v>
      </c>
      <c r="R51" s="77">
        <f>Inputs_Other!R122*MW_to_kW/$M51</f>
        <v>35427.416444053415</v>
      </c>
      <c r="S51" s="77">
        <f>Inputs_Other!S122*MW_to_kW/$M51</f>
        <v>35790.953421778664</v>
      </c>
    </row>
    <row r="52" spans="3:19" ht="11.25" customHeight="1" x14ac:dyDescent="0.2"/>
    <row r="53" spans="3:19" ht="11.25" customHeight="1" x14ac:dyDescent="0.2"/>
    <row r="54" spans="3:19" s="8" customFormat="1" ht="15" x14ac:dyDescent="0.2">
      <c r="C54" s="112" t="s">
        <v>146</v>
      </c>
    </row>
    <row r="55" spans="3:19" ht="11.25" customHeight="1" x14ac:dyDescent="0.2"/>
    <row r="56" spans="3:19" ht="11.25" customHeight="1" x14ac:dyDescent="0.2">
      <c r="C56" s="170" t="s">
        <v>5</v>
      </c>
      <c r="D56" s="70" t="s">
        <v>118</v>
      </c>
      <c r="H56" s="54" t="str">
        <f>Lookup!E$19</f>
        <v>Source</v>
      </c>
      <c r="I56" s="54" t="str">
        <f>Lookup!F$19</f>
        <v>Unit</v>
      </c>
      <c r="J56" s="54" t="str">
        <f>Lookup!G$19</f>
        <v>Basis</v>
      </c>
      <c r="O56" s="54" t="str">
        <f>O$9</f>
        <v>FY25</v>
      </c>
      <c r="P56" s="54" t="str">
        <f>P$9</f>
        <v>FY26</v>
      </c>
      <c r="Q56" s="54" t="str">
        <f>Q$9</f>
        <v>FY27</v>
      </c>
      <c r="R56" s="54" t="str">
        <f>R$9</f>
        <v>FY28</v>
      </c>
      <c r="S56" s="54" t="str">
        <f>S$9</f>
        <v>FY29</v>
      </c>
    </row>
    <row r="57" spans="3:19" ht="11.25" customHeight="1" x14ac:dyDescent="0.2">
      <c r="D57" s="1"/>
    </row>
    <row r="58" spans="3:19" ht="12.75" x14ac:dyDescent="0.2">
      <c r="C58" s="169">
        <v>1</v>
      </c>
      <c r="D58" s="75" t="str" cm="1">
        <f t="array" ref="D58:D65">LU_Tariffs</f>
        <v>Residential Accumulation</v>
      </c>
      <c r="E58" s="82"/>
      <c r="F58" s="82"/>
      <c r="G58" s="82"/>
      <c r="H58" s="243" t="s">
        <v>52</v>
      </c>
      <c r="I58" s="243" t="s">
        <v>47</v>
      </c>
      <c r="J58" s="243" t="s">
        <v>40</v>
      </c>
      <c r="O58" s="66">
        <f t="shared" ref="O58:S65" ca="1" si="0">O30*O44*Dollars_to_Thousands</f>
        <v>19640.993877576508</v>
      </c>
      <c r="P58" s="66">
        <f t="shared" ca="1" si="0"/>
        <v>15458.285064312176</v>
      </c>
      <c r="Q58" s="66">
        <f t="shared" ca="1" si="0"/>
        <v>10778.870567549022</v>
      </c>
      <c r="R58" s="66">
        <f t="shared" ca="1" si="0"/>
        <v>5689.7630056311555</v>
      </c>
      <c r="S58" s="66">
        <f t="shared" ca="1" si="0"/>
        <v>5065.8337463398284</v>
      </c>
    </row>
    <row r="59" spans="3:19" ht="12.75" x14ac:dyDescent="0.2">
      <c r="C59" s="169">
        <v>2</v>
      </c>
      <c r="D59" s="75" t="str">
        <v>Non-Residential Accumulation</v>
      </c>
      <c r="H59" s="243" t="s">
        <v>52</v>
      </c>
      <c r="I59" s="243" t="s">
        <v>47</v>
      </c>
      <c r="J59" s="243" t="s">
        <v>40</v>
      </c>
      <c r="O59" s="66">
        <f t="shared" ca="1" si="0"/>
        <v>2298.4738035539795</v>
      </c>
      <c r="P59" s="66">
        <f t="shared" ca="1" si="0"/>
        <v>1775.0289087976835</v>
      </c>
      <c r="Q59" s="66">
        <f t="shared" ca="1" si="0"/>
        <v>1188.7515341315052</v>
      </c>
      <c r="R59" s="66">
        <f t="shared" ca="1" si="0"/>
        <v>549.4282548435001</v>
      </c>
      <c r="S59" s="66">
        <f t="shared" ca="1" si="0"/>
        <v>0</v>
      </c>
    </row>
    <row r="60" spans="3:19" ht="12.75" x14ac:dyDescent="0.2">
      <c r="C60" s="169" t="s">
        <v>491</v>
      </c>
      <c r="D60" s="75" t="str">
        <v>LV Smart Meter - Res</v>
      </c>
      <c r="H60" s="243" t="s">
        <v>52</v>
      </c>
      <c r="I60" s="243" t="s">
        <v>47</v>
      </c>
      <c r="J60" s="243" t="s">
        <v>40</v>
      </c>
      <c r="O60" s="66">
        <f t="shared" ca="1" si="0"/>
        <v>15686.208738668631</v>
      </c>
      <c r="P60" s="66">
        <f t="shared" ca="1" si="0"/>
        <v>21658.073919796017</v>
      </c>
      <c r="Q60" s="66">
        <f t="shared" ca="1" si="0"/>
        <v>28000.486427887376</v>
      </c>
      <c r="R60" s="66">
        <f t="shared" ca="1" si="0"/>
        <v>34842.141855018112</v>
      </c>
      <c r="S60" s="66">
        <f t="shared" ca="1" si="0"/>
        <v>37046.695919045182</v>
      </c>
    </row>
    <row r="61" spans="3:19" ht="12.75" x14ac:dyDescent="0.2">
      <c r="C61" s="169" t="s">
        <v>492</v>
      </c>
      <c r="D61" s="75" t="str">
        <v>LV Smart Meter - Small Comm</v>
      </c>
      <c r="H61" s="243" t="s">
        <v>52</v>
      </c>
      <c r="I61" s="243" t="s">
        <v>47</v>
      </c>
      <c r="J61" s="243" t="s">
        <v>40</v>
      </c>
      <c r="O61" s="66">
        <f t="shared" ca="1" si="0"/>
        <v>11127.854366906791</v>
      </c>
      <c r="P61" s="66">
        <f t="shared" ca="1" si="0"/>
        <v>12229.53230545927</v>
      </c>
      <c r="Q61" s="66">
        <f t="shared" ca="1" si="0"/>
        <v>13337.88327736724</v>
      </c>
      <c r="R61" s="66">
        <f t="shared" ca="1" si="0"/>
        <v>14523.527951876531</v>
      </c>
      <c r="S61" s="66">
        <f t="shared" ca="1" si="0"/>
        <v>15714.744443927853</v>
      </c>
    </row>
    <row r="62" spans="3:19" ht="12.75" x14ac:dyDescent="0.2">
      <c r="C62" s="169" t="s">
        <v>493</v>
      </c>
      <c r="D62" s="75" t="str">
        <v>LV Smart Meter - Med Comm</v>
      </c>
      <c r="H62" s="243" t="s">
        <v>52</v>
      </c>
      <c r="I62" s="243" t="s">
        <v>47</v>
      </c>
      <c r="J62" s="243" t="s">
        <v>40</v>
      </c>
      <c r="O62" s="66">
        <f t="shared" ca="1" si="0"/>
        <v>8194.8174068569115</v>
      </c>
      <c r="P62" s="66">
        <f t="shared" ca="1" si="0"/>
        <v>9003.7681607025079</v>
      </c>
      <c r="Q62" s="66">
        <f t="shared" ca="1" si="0"/>
        <v>9815.523541562352</v>
      </c>
      <c r="R62" s="66">
        <f t="shared" ca="1" si="0"/>
        <v>10693.826506367341</v>
      </c>
      <c r="S62" s="66">
        <f t="shared" ca="1" si="0"/>
        <v>11563.191571441979</v>
      </c>
    </row>
    <row r="63" spans="3:19" ht="12.75" x14ac:dyDescent="0.2">
      <c r="C63" s="169">
        <v>4</v>
      </c>
      <c r="D63" s="75" t="str">
        <v>Unmetered</v>
      </c>
      <c r="H63" s="243" t="s">
        <v>52</v>
      </c>
      <c r="I63" s="243" t="s">
        <v>47</v>
      </c>
      <c r="J63" s="243" t="s">
        <v>40</v>
      </c>
      <c r="O63" s="66">
        <f t="shared" ca="1" si="0"/>
        <v>0</v>
      </c>
      <c r="P63" s="66">
        <f t="shared" ca="1" si="0"/>
        <v>0</v>
      </c>
      <c r="Q63" s="66">
        <f t="shared" ca="1" si="0"/>
        <v>0</v>
      </c>
      <c r="R63" s="66">
        <f t="shared" ca="1" si="0"/>
        <v>0</v>
      </c>
      <c r="S63" s="66">
        <f t="shared" ca="1" si="0"/>
        <v>0</v>
      </c>
    </row>
    <row r="64" spans="3:19" ht="12.75" x14ac:dyDescent="0.2">
      <c r="C64" s="169">
        <v>5</v>
      </c>
      <c r="D64" s="75" t="str">
        <v>LV Majors</v>
      </c>
      <c r="H64" s="243" t="s">
        <v>52</v>
      </c>
      <c r="I64" s="243" t="s">
        <v>47</v>
      </c>
      <c r="J64" s="243" t="s">
        <v>40</v>
      </c>
      <c r="O64" s="66">
        <f t="shared" ca="1" si="0"/>
        <v>8792.2772081220755</v>
      </c>
      <c r="P64" s="66">
        <f t="shared" ca="1" si="0"/>
        <v>9234.2033828950061</v>
      </c>
      <c r="Q64" s="66">
        <f t="shared" ca="1" si="0"/>
        <v>9644.3788429269898</v>
      </c>
      <c r="R64" s="66">
        <f t="shared" ca="1" si="0"/>
        <v>10076.731308286833</v>
      </c>
      <c r="S64" s="66">
        <f t="shared" ca="1" si="0"/>
        <v>10480.130893303294</v>
      </c>
    </row>
    <row r="65" spans="1:19" ht="12.75" x14ac:dyDescent="0.2">
      <c r="C65" s="169">
        <v>6</v>
      </c>
      <c r="D65" s="75" t="str">
        <v>HV Smart Meters</v>
      </c>
      <c r="H65" s="243" t="s">
        <v>52</v>
      </c>
      <c r="I65" s="243" t="s">
        <v>47</v>
      </c>
      <c r="J65" s="243" t="s">
        <v>40</v>
      </c>
      <c r="O65" s="66">
        <f t="shared" ca="1" si="0"/>
        <v>3438.3099078608702</v>
      </c>
      <c r="P65" s="66">
        <f t="shared" ca="1" si="0"/>
        <v>3650.1913897261875</v>
      </c>
      <c r="Q65" s="66">
        <f t="shared" ca="1" si="0"/>
        <v>3806.8610105433449</v>
      </c>
      <c r="R65" s="66">
        <f t="shared" ca="1" si="0"/>
        <v>3971.8257821749339</v>
      </c>
      <c r="S65" s="66">
        <f t="shared" ca="1" si="0"/>
        <v>4124.9260370227985</v>
      </c>
    </row>
    <row r="66" spans="1:19" ht="11.25" customHeight="1" x14ac:dyDescent="0.2"/>
    <row r="67" spans="1:19" ht="11.25" customHeight="1" x14ac:dyDescent="0.2">
      <c r="D67" s="62" t="s">
        <v>666</v>
      </c>
      <c r="H67" s="56" t="s">
        <v>52</v>
      </c>
      <c r="I67" s="56" t="str">
        <f>Thousands</f>
        <v>$000's</v>
      </c>
      <c r="J67" s="56" t="str">
        <f>Nominal</f>
        <v>Nominal</v>
      </c>
      <c r="O67" s="68">
        <f ca="1">SUM(O58:O65)</f>
        <v>69178.935309545763</v>
      </c>
      <c r="P67" s="68">
        <f ca="1">SUM(P58:P65)</f>
        <v>73009.083131688836</v>
      </c>
      <c r="Q67" s="68">
        <f ca="1">SUM(Q58:Q65)</f>
        <v>76572.755201967826</v>
      </c>
      <c r="R67" s="68">
        <f ca="1">SUM(R58:R65)</f>
        <v>80347.244664198399</v>
      </c>
      <c r="S67" s="68">
        <f ca="1">SUM(S58:S65)</f>
        <v>83995.522611080945</v>
      </c>
    </row>
    <row r="68" spans="1:19" ht="11.25" customHeight="1" x14ac:dyDescent="0.2"/>
    <row r="69" spans="1:19" ht="12.75" hidden="1" outlineLevel="1" x14ac:dyDescent="0.2">
      <c r="D69" s="81" t="s">
        <v>90</v>
      </c>
      <c r="E69" s="82"/>
      <c r="G69" s="82"/>
      <c r="H69" s="243" t="s">
        <v>52</v>
      </c>
      <c r="I69" s="243" t="s">
        <v>47</v>
      </c>
      <c r="J69" s="243" t="s">
        <v>40</v>
      </c>
      <c r="K69" s="63"/>
      <c r="O69" s="66">
        <f ca="1">SUMPRODUCT(O30:O37,O44:O51)*Dollars_to_Thousands</f>
        <v>69178.935309545777</v>
      </c>
      <c r="P69" s="66">
        <f ca="1">SUMPRODUCT(P30:P37,P44:P51)*Dollars_to_Thousands</f>
        <v>73009.083131688851</v>
      </c>
      <c r="Q69" s="66">
        <f ca="1">SUMPRODUCT(Q30:Q37,Q44:Q51)*Dollars_to_Thousands</f>
        <v>76572.755201967841</v>
      </c>
      <c r="R69" s="66">
        <f ca="1">SUMPRODUCT(R30:R37,R44:R51)*Dollars_to_Thousands</f>
        <v>80347.244664198399</v>
      </c>
      <c r="S69" s="66">
        <f ca="1">SUMPRODUCT(S30:S37,S44:S51)*Dollars_to_Thousands</f>
        <v>83995.522611080931</v>
      </c>
    </row>
    <row r="70" spans="1:19" ht="12.75" hidden="1" outlineLevel="1" x14ac:dyDescent="0.2">
      <c r="A70" s="59">
        <f ca="1">IF(SUM($M70:$S70)=0,0,1)</f>
        <v>0</v>
      </c>
      <c r="D70" s="81" t="s">
        <v>55</v>
      </c>
      <c r="E70" s="82"/>
      <c r="F70" s="80"/>
      <c r="G70" s="82"/>
      <c r="H70" s="80"/>
      <c r="I70" s="84"/>
      <c r="J70" s="84"/>
      <c r="K70" s="63"/>
      <c r="O70" s="59">
        <f ca="1">IF(ROUND(O69-O67,2)=0,0,1)</f>
        <v>0</v>
      </c>
      <c r="P70" s="59">
        <f ca="1">IF(ROUND(P69-P67,2)=0,0,1)</f>
        <v>0</v>
      </c>
      <c r="Q70" s="59">
        <f ca="1">IF(ROUND(Q69-Q67,2)=0,0,1)</f>
        <v>0</v>
      </c>
      <c r="R70" s="59">
        <f ca="1">IF(ROUND(R69-R67,2)=0,0,1)</f>
        <v>0</v>
      </c>
      <c r="S70" s="59">
        <f ca="1">IF(ROUND(S69-S67,2)=0,0,1)</f>
        <v>0</v>
      </c>
    </row>
    <row r="71" spans="1:19" ht="11.25" customHeight="1" collapsed="1" x14ac:dyDescent="0.2"/>
    <row r="72" spans="1:19" ht="11.25" customHeight="1" x14ac:dyDescent="0.2"/>
    <row r="73" spans="1:19" s="2" customFormat="1" ht="15.75" x14ac:dyDescent="0.2">
      <c r="B73" s="2" t="s">
        <v>20</v>
      </c>
    </row>
  </sheetData>
  <conditionalFormatting sqref="B2">
    <cfRule type="cellIs" dxfId="22" priority="1" operator="notEqual">
      <formula>"No Errors Found"</formula>
    </cfRule>
  </conditionalFormatting>
  <dataValidations disablePrompts="1" count="3">
    <dataValidation type="list" allowBlank="1" showInputMessage="1" showErrorMessage="1" sqref="I21 I44:I51 I69:I70 I30:I37 I58:I65" xr:uid="{00000000-0002-0000-0A00-000000000000}">
      <formula1>LU_Units</formula1>
    </dataValidation>
    <dataValidation type="list" allowBlank="1" showInputMessage="1" showErrorMessage="1" sqref="J58:J65 J21 J44:J51 J69:J70 J30:J37" xr:uid="{00000000-0002-0000-0A00-000001000000}">
      <formula1>LU_Basis</formula1>
    </dataValidation>
    <dataValidation type="list" allowBlank="1" showInputMessage="1" showErrorMessage="1" sqref="K69:K70" xr:uid="{00000000-0002-0000-0A00-000002000000}">
      <formula1>LU_Timing</formula1>
    </dataValidation>
  </dataValidations>
  <hyperlinks>
    <hyperlink ref="B3:E3" location="TOC!A1" display="TOC!A1"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sheetPr>
  <dimension ref="A1:V133"/>
  <sheetViews>
    <sheetView showGridLines="0" zoomScaleNormal="100" workbookViewId="0">
      <pane xSplit="5" ySplit="9" topLeftCell="F10" activePane="bottomRight" state="frozen"/>
      <selection activeCell="D242" sqref="D242"/>
      <selection pane="topRight" activeCell="D242" sqref="D242"/>
      <selection pane="bottomLeft" activeCell="D242" sqref="D242"/>
      <selection pane="bottomRight" activeCell="F10" sqref="F10"/>
    </sheetView>
  </sheetViews>
  <sheetFormatPr defaultColWidth="9.1640625" defaultRowHeight="11.25" outlineLevelRow="1" x14ac:dyDescent="0.2"/>
  <cols>
    <col min="1" max="1" width="3.1640625" customWidth="1"/>
    <col min="2" max="3" width="2.83203125" customWidth="1"/>
    <col min="4" max="4" width="34.83203125" customWidth="1"/>
    <col min="5" max="5" width="23.1640625" bestFit="1" customWidth="1"/>
    <col min="6" max="7" width="3.6640625" customWidth="1"/>
    <col min="8" max="10" width="12.6640625" customWidth="1"/>
    <col min="11" max="14" width="2.33203125" customWidth="1"/>
    <col min="15" max="19" width="15.6640625" customWidth="1"/>
    <col min="20" max="20" width="4.1640625" customWidth="1"/>
  </cols>
  <sheetData>
    <row r="1" spans="1:22" ht="19.5" x14ac:dyDescent="0.2">
      <c r="A1" s="59">
        <f ca="1">IF(SUM($A10:$A133)&gt;0,1,0)</f>
        <v>0</v>
      </c>
      <c r="B1" s="3" t="s">
        <v>733</v>
      </c>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244"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75" x14ac:dyDescent="0.2">
      <c r="B11" s="2" t="s">
        <v>734</v>
      </c>
    </row>
    <row r="12" spans="1:22" ht="4.5" customHeight="1" x14ac:dyDescent="0.2"/>
    <row r="13" spans="1:22" ht="11.25" customHeight="1" x14ac:dyDescent="0.2"/>
    <row r="14" spans="1:22" ht="11.25" customHeight="1" x14ac:dyDescent="0.2">
      <c r="D14" s="105" t="s">
        <v>140</v>
      </c>
    </row>
    <row r="15" spans="1:22" ht="11.25" customHeight="1" x14ac:dyDescent="0.2"/>
    <row r="16" spans="1:22" ht="11.25" customHeight="1" x14ac:dyDescent="0.2"/>
    <row r="17" spans="2:19" s="2" customFormat="1" ht="15.75" x14ac:dyDescent="0.2">
      <c r="B17" s="2" t="s">
        <v>735</v>
      </c>
    </row>
    <row r="18" spans="2:19" ht="11.25" customHeight="1" x14ac:dyDescent="0.2"/>
    <row r="19" spans="2:19" ht="11.25" customHeight="1" x14ac:dyDescent="0.2">
      <c r="D19" s="105" t="s">
        <v>139</v>
      </c>
    </row>
    <row r="20" spans="2:19" ht="11.25" customHeight="1" x14ac:dyDescent="0.2"/>
    <row r="21" spans="2:19" ht="11.25" customHeight="1" x14ac:dyDescent="0.2"/>
    <row r="22" spans="2:19" s="8" customFormat="1" ht="15" x14ac:dyDescent="0.2">
      <c r="C22" s="8" t="s">
        <v>735</v>
      </c>
    </row>
    <row r="23" spans="2:19" ht="11.25" customHeight="1" x14ac:dyDescent="0.2"/>
    <row r="24" spans="2:19" ht="11.25" customHeight="1" x14ac:dyDescent="0.2">
      <c r="C24" s="170" t="s">
        <v>5</v>
      </c>
      <c r="D24" s="70" t="s">
        <v>118</v>
      </c>
      <c r="H24" s="54" t="str">
        <f>Lookup!E$19</f>
        <v>Source</v>
      </c>
      <c r="I24" s="54" t="str">
        <f>Lookup!F$19</f>
        <v>Unit</v>
      </c>
      <c r="J24" s="54" t="str">
        <f>Lookup!G$19</f>
        <v>Basis</v>
      </c>
      <c r="O24" s="54" t="str">
        <f>O$9</f>
        <v>FY25</v>
      </c>
      <c r="P24" s="54" t="str">
        <f>P$9</f>
        <v>FY26</v>
      </c>
      <c r="Q24" s="54" t="str">
        <f>Q$9</f>
        <v>FY27</v>
      </c>
      <c r="R24" s="54" t="str">
        <f>R$9</f>
        <v>FY28</v>
      </c>
      <c r="S24" s="54" t="str">
        <f>S$9</f>
        <v>FY29</v>
      </c>
    </row>
    <row r="25" spans="2:19" ht="11.25" customHeight="1" x14ac:dyDescent="0.2">
      <c r="D25" s="1"/>
    </row>
    <row r="26" spans="2:19" ht="12.75" x14ac:dyDescent="0.2">
      <c r="C26" s="169">
        <v>1</v>
      </c>
      <c r="D26" s="75" t="str" cm="1">
        <f t="array" ref="D26:D33">LU_Tariffs</f>
        <v>Residential Accumulation</v>
      </c>
      <c r="E26" s="82"/>
      <c r="F26" s="82"/>
      <c r="G26" s="82"/>
      <c r="H26" s="243" t="s">
        <v>52</v>
      </c>
      <c r="I26" s="243" t="s">
        <v>47</v>
      </c>
      <c r="J26" s="243" t="s">
        <v>40</v>
      </c>
      <c r="O26" s="66">
        <f ca="1">Output_Revenue!O34-Calc_LRMC_Tariff!O58</f>
        <v>33545.628632355278</v>
      </c>
      <c r="P26" s="66">
        <f ca="1">Output_Revenue!P34-Calc_LRMC_Tariff!P58</f>
        <v>27406.937058271069</v>
      </c>
      <c r="Q26" s="66">
        <f ca="1">Output_Revenue!Q34-Calc_LRMC_Tariff!Q58</f>
        <v>21129.28809378908</v>
      </c>
      <c r="R26" s="66">
        <f ca="1">Output_Revenue!R34-Calc_LRMC_Tariff!R58</f>
        <v>19161.472028525466</v>
      </c>
      <c r="S26" s="66">
        <f ca="1">Output_Revenue!S34-Calc_LRMC_Tariff!S58</f>
        <v>10663.528276810543</v>
      </c>
    </row>
    <row r="27" spans="2:19" ht="12.75" x14ac:dyDescent="0.2">
      <c r="C27" s="169">
        <v>2</v>
      </c>
      <c r="D27" s="75" t="str">
        <v>Non-Residential Accumulation</v>
      </c>
      <c r="H27" s="243" t="s">
        <v>52</v>
      </c>
      <c r="I27" s="243" t="s">
        <v>47</v>
      </c>
      <c r="J27" s="243" t="s">
        <v>40</v>
      </c>
      <c r="O27" s="66">
        <f ca="1">Output_Revenue!O35-Calc_LRMC_Tariff!O59</f>
        <v>1251.7662631597709</v>
      </c>
      <c r="P27" s="66">
        <f ca="1">Output_Revenue!P35-Calc_LRMC_Tariff!P59</f>
        <v>1008.9717781628087</v>
      </c>
      <c r="Q27" s="66">
        <f ca="1">Output_Revenue!Q35-Calc_LRMC_Tariff!Q59</f>
        <v>732.09899618429745</v>
      </c>
      <c r="R27" s="66">
        <f ca="1">Output_Revenue!R35-Calc_LRMC_Tariff!R59</f>
        <v>356.09275253600458</v>
      </c>
      <c r="S27" s="66">
        <f ca="1">Output_Revenue!S35-Calc_LRMC_Tariff!S59</f>
        <v>0</v>
      </c>
    </row>
    <row r="28" spans="2:19" ht="12.75" x14ac:dyDescent="0.2">
      <c r="C28" s="169" t="s">
        <v>491</v>
      </c>
      <c r="D28" s="75" t="str">
        <v>LV Smart Meter - Res</v>
      </c>
      <c r="H28" s="243" t="s">
        <v>52</v>
      </c>
      <c r="I28" s="243" t="s">
        <v>47</v>
      </c>
      <c r="J28" s="243" t="s">
        <v>40</v>
      </c>
      <c r="O28" s="66">
        <f ca="1">Output_Revenue!O36-Calc_LRMC_Tariff!O60</f>
        <v>20634.280740566624</v>
      </c>
      <c r="P28" s="66">
        <f ca="1">Output_Revenue!P36-Calc_LRMC_Tariff!P60</f>
        <v>31915.514886776404</v>
      </c>
      <c r="Q28" s="66">
        <f ca="1">Output_Revenue!Q36-Calc_LRMC_Tariff!Q60</f>
        <v>47349.839894466495</v>
      </c>
      <c r="R28" s="66">
        <f ca="1">Output_Revenue!R36-Calc_LRMC_Tariff!R60</f>
        <v>58864.866004169788</v>
      </c>
      <c r="S28" s="66">
        <f ca="1">Output_Revenue!S36-Calc_LRMC_Tariff!S60</f>
        <v>68329.246923519502</v>
      </c>
    </row>
    <row r="29" spans="2:19" ht="12.75" x14ac:dyDescent="0.2">
      <c r="C29" s="169" t="s">
        <v>492</v>
      </c>
      <c r="D29" s="75" t="str">
        <v>LV Smart Meter - Small Comm</v>
      </c>
      <c r="H29" s="243" t="s">
        <v>52</v>
      </c>
      <c r="I29" s="243" t="s">
        <v>47</v>
      </c>
      <c r="J29" s="243" t="s">
        <v>40</v>
      </c>
      <c r="O29" s="66">
        <f ca="1">Output_Revenue!O37-Calc_LRMC_Tariff!O61</f>
        <v>12826.538910822561</v>
      </c>
      <c r="P29" s="66">
        <f ca="1">Output_Revenue!P37-Calc_LRMC_Tariff!P61</f>
        <v>14263.692920485864</v>
      </c>
      <c r="Q29" s="66">
        <f ca="1">Output_Revenue!Q37-Calc_LRMC_Tariff!Q61</f>
        <v>16222.678118508356</v>
      </c>
      <c r="R29" s="66">
        <f ca="1">Output_Revenue!R37-Calc_LRMC_Tariff!R61</f>
        <v>18071.934409127622</v>
      </c>
      <c r="S29" s="66">
        <f ca="1">Output_Revenue!S37-Calc_LRMC_Tariff!S61</f>
        <v>19587.676852912977</v>
      </c>
    </row>
    <row r="30" spans="2:19" ht="12.75" x14ac:dyDescent="0.2">
      <c r="C30" s="169" t="s">
        <v>493</v>
      </c>
      <c r="D30" s="75" t="str">
        <v>LV Smart Meter - Med Comm</v>
      </c>
      <c r="H30" s="243" t="s">
        <v>52</v>
      </c>
      <c r="I30" s="243" t="s">
        <v>47</v>
      </c>
      <c r="J30" s="243" t="s">
        <v>40</v>
      </c>
      <c r="O30" s="66">
        <f ca="1">Output_Revenue!O38-Calc_LRMC_Tariff!O62</f>
        <v>12179.75799126709</v>
      </c>
      <c r="P30" s="66">
        <f ca="1">Output_Revenue!P38-Calc_LRMC_Tariff!P62</f>
        <v>15337.730710755815</v>
      </c>
      <c r="Q30" s="66">
        <f ca="1">Output_Revenue!Q38-Calc_LRMC_Tariff!Q62</f>
        <v>16883.017014776058</v>
      </c>
      <c r="R30" s="66">
        <f ca="1">Output_Revenue!R38-Calc_LRMC_Tariff!R62</f>
        <v>19064.273757410359</v>
      </c>
      <c r="S30" s="66">
        <f ca="1">Output_Revenue!S38-Calc_LRMC_Tariff!S62</f>
        <v>23655.295865530468</v>
      </c>
    </row>
    <row r="31" spans="2:19" ht="12.75" x14ac:dyDescent="0.2">
      <c r="C31" s="169">
        <v>4</v>
      </c>
      <c r="D31" s="75" t="str">
        <v>Unmetered</v>
      </c>
      <c r="H31" s="243" t="s">
        <v>52</v>
      </c>
      <c r="I31" s="243" t="s">
        <v>47</v>
      </c>
      <c r="J31" s="243" t="s">
        <v>40</v>
      </c>
      <c r="O31" s="66">
        <f ca="1">Output_Revenue!O39-Calc_LRMC_Tariff!O63</f>
        <v>1544.8025402418621</v>
      </c>
      <c r="P31" s="66">
        <f ca="1">Output_Revenue!P39-Calc_LRMC_Tariff!P63</f>
        <v>2370.4851289301669</v>
      </c>
      <c r="Q31" s="66">
        <f ca="1">Output_Revenue!Q39-Calc_LRMC_Tariff!Q63</f>
        <v>2531.6215144252769</v>
      </c>
      <c r="R31" s="66">
        <f ca="1">Output_Revenue!R39-Calc_LRMC_Tariff!R63</f>
        <v>2572.3544844245166</v>
      </c>
      <c r="S31" s="66">
        <f ca="1">Output_Revenue!S39-Calc_LRMC_Tariff!S63</f>
        <v>2725.8733893718359</v>
      </c>
    </row>
    <row r="32" spans="2:19" ht="12.75" x14ac:dyDescent="0.2">
      <c r="C32" s="169">
        <v>5</v>
      </c>
      <c r="D32" s="75" t="str">
        <v>LV Majors</v>
      </c>
      <c r="H32" s="243" t="s">
        <v>52</v>
      </c>
      <c r="I32" s="243" t="s">
        <v>47</v>
      </c>
      <c r="J32" s="243" t="s">
        <v>40</v>
      </c>
      <c r="O32" s="66">
        <f ca="1">Output_Revenue!O40-Calc_LRMC_Tariff!O64</f>
        <v>9067.7111043886107</v>
      </c>
      <c r="P32" s="66">
        <f ca="1">Output_Revenue!P40-Calc_LRMC_Tariff!P64</f>
        <v>10097.268709720711</v>
      </c>
      <c r="Q32" s="66">
        <f ca="1">Output_Revenue!Q40-Calc_LRMC_Tariff!Q64</f>
        <v>11566.110339507499</v>
      </c>
      <c r="R32" s="66">
        <f ca="1">Output_Revenue!R40-Calc_LRMC_Tariff!R64</f>
        <v>13409.383083503066</v>
      </c>
      <c r="S32" s="66">
        <f ca="1">Output_Revenue!S40-Calc_LRMC_Tariff!S64</f>
        <v>14565.65936366061</v>
      </c>
    </row>
    <row r="33" spans="1:19" ht="12.75" x14ac:dyDescent="0.2">
      <c r="C33" s="169">
        <v>6</v>
      </c>
      <c r="D33" s="75" t="str">
        <v>HV Smart Meters</v>
      </c>
      <c r="H33" s="243" t="s">
        <v>52</v>
      </c>
      <c r="I33" s="243" t="s">
        <v>47</v>
      </c>
      <c r="J33" s="243" t="s">
        <v>40</v>
      </c>
      <c r="O33" s="66">
        <f ca="1">Output_Revenue!O41-Calc_LRMC_Tariff!O65</f>
        <v>13220.812778042711</v>
      </c>
      <c r="P33" s="66">
        <f ca="1">Output_Revenue!P41-Calc_LRMC_Tariff!P65</f>
        <v>15328.417453030786</v>
      </c>
      <c r="Q33" s="66">
        <f ca="1">Output_Revenue!Q41-Calc_LRMC_Tariff!Q65</f>
        <v>16761.630247925543</v>
      </c>
      <c r="R33" s="66">
        <f ca="1">Output_Revenue!R41-Calc_LRMC_Tariff!R65</f>
        <v>18807.208770761128</v>
      </c>
      <c r="S33" s="66">
        <f ca="1">Output_Revenue!S41-Calc_LRMC_Tariff!S65</f>
        <v>20310.454859137491</v>
      </c>
    </row>
    <row r="34" spans="1:19" ht="11.25" customHeight="1" x14ac:dyDescent="0.2"/>
    <row r="35" spans="1:19" ht="11.25" customHeight="1" x14ac:dyDescent="0.2">
      <c r="D35" s="62" t="s">
        <v>51</v>
      </c>
      <c r="H35" s="56" t="s">
        <v>52</v>
      </c>
      <c r="I35" s="56" t="str">
        <f>Thousands</f>
        <v>$000's</v>
      </c>
      <c r="J35" s="56" t="str">
        <f>Nominal</f>
        <v>Nominal</v>
      </c>
      <c r="O35" s="68">
        <f ca="1">SUM(O26:O33)</f>
        <v>104271.29896084451</v>
      </c>
      <c r="P35" s="68">
        <f ca="1">SUM(P26:P33)</f>
        <v>117729.01864613363</v>
      </c>
      <c r="Q35" s="68">
        <f ca="1">SUM(Q26:Q33)</f>
        <v>133176.28421958262</v>
      </c>
      <c r="R35" s="68">
        <f ca="1">SUM(R26:R33)</f>
        <v>150307.58529045794</v>
      </c>
      <c r="S35" s="68">
        <f ca="1">SUM(S26:S33)</f>
        <v>159837.73553094344</v>
      </c>
    </row>
    <row r="36" spans="1:19" ht="11.25" customHeight="1" x14ac:dyDescent="0.2"/>
    <row r="37" spans="1:19" ht="12.75" hidden="1" outlineLevel="1" x14ac:dyDescent="0.2">
      <c r="D37" s="81" t="s">
        <v>90</v>
      </c>
      <c r="E37" s="82"/>
      <c r="G37" s="82"/>
      <c r="H37" s="243" t="s">
        <v>52</v>
      </c>
      <c r="I37" s="243" t="s">
        <v>47</v>
      </c>
      <c r="J37" s="243" t="s">
        <v>40</v>
      </c>
      <c r="K37" s="63"/>
      <c r="O37" s="66">
        <f ca="1">Calc_Revenue!O24-Calc_LRMC_Tariff!O67</f>
        <v>104271.29896084448</v>
      </c>
      <c r="P37" s="66">
        <f ca="1">Calc_Revenue!P24-Calc_LRMC_Tariff!P67</f>
        <v>117729.01864613361</v>
      </c>
      <c r="Q37" s="66">
        <f ca="1">Calc_Revenue!Q24-Calc_LRMC_Tariff!Q67</f>
        <v>133176.28421958257</v>
      </c>
      <c r="R37" s="66">
        <f ca="1">Calc_Revenue!R24-Calc_LRMC_Tariff!R67</f>
        <v>150307.58529045794</v>
      </c>
      <c r="S37" s="66">
        <f ca="1">Calc_Revenue!S24-Calc_LRMC_Tariff!S67</f>
        <v>159837.73553094344</v>
      </c>
    </row>
    <row r="38" spans="1:19" ht="12.75" hidden="1" outlineLevel="1" x14ac:dyDescent="0.2">
      <c r="A38" s="59">
        <f ca="1">IF(SUM($M38:$S38)=0,0,1)</f>
        <v>0</v>
      </c>
      <c r="D38" s="81" t="s">
        <v>55</v>
      </c>
      <c r="E38" s="82"/>
      <c r="F38" s="80"/>
      <c r="G38" s="82"/>
      <c r="H38" s="80"/>
      <c r="I38" s="84"/>
      <c r="J38" s="84"/>
      <c r="K38" s="63"/>
      <c r="O38" s="59">
        <f ca="1">IF(ROUND(O37-O35,2)=0,0,1)</f>
        <v>0</v>
      </c>
      <c r="P38" s="59">
        <f ca="1">IF(ROUND(P37-P35,2)=0,0,1)</f>
        <v>0</v>
      </c>
      <c r="Q38" s="59">
        <f ca="1">IF(ROUND(Q37-Q35,2)=0,0,1)</f>
        <v>0</v>
      </c>
      <c r="R38" s="59">
        <f ca="1">IF(ROUND(R37-R35,2)=0,0,1)</f>
        <v>0</v>
      </c>
      <c r="S38" s="59">
        <f ca="1">IF(ROUND(S37-S35,2)=0,0,1)</f>
        <v>0</v>
      </c>
    </row>
    <row r="39" spans="1:19" ht="11.25" customHeight="1" collapsed="1" x14ac:dyDescent="0.2"/>
    <row r="40" spans="1:19" s="8" customFormat="1" ht="15" x14ac:dyDescent="0.2">
      <c r="C40" s="8" t="s">
        <v>736</v>
      </c>
    </row>
    <row r="41" spans="1:19" ht="11.25" customHeight="1" x14ac:dyDescent="0.2"/>
    <row r="42" spans="1:19" ht="11.25" customHeight="1" x14ac:dyDescent="0.2">
      <c r="C42" s="170" t="s">
        <v>5</v>
      </c>
      <c r="D42" s="70" t="s">
        <v>118</v>
      </c>
      <c r="E42" s="54" t="s">
        <v>119</v>
      </c>
      <c r="H42" s="54" t="str">
        <f>Lookup!E$19</f>
        <v>Source</v>
      </c>
      <c r="I42" s="54" t="str">
        <f>Lookup!F$19</f>
        <v>Unit</v>
      </c>
      <c r="J42" s="54" t="str">
        <f>Lookup!G$19</f>
        <v>Basis</v>
      </c>
      <c r="O42" s="54" t="str">
        <f>O$9</f>
        <v>FY25</v>
      </c>
      <c r="P42" s="54" t="str">
        <f>P$9</f>
        <v>FY26</v>
      </c>
      <c r="Q42" s="54" t="str">
        <f>Q$9</f>
        <v>FY27</v>
      </c>
      <c r="R42" s="54" t="str">
        <f>R$9</f>
        <v>FY28</v>
      </c>
      <c r="S42" s="54" t="str">
        <f>S$9</f>
        <v>FY29</v>
      </c>
    </row>
    <row r="43" spans="1:19" ht="11.25" customHeight="1" x14ac:dyDescent="0.2">
      <c r="D43" s="1"/>
    </row>
    <row r="44" spans="1:19" ht="12.75" x14ac:dyDescent="0.2">
      <c r="C44" s="169">
        <f>Inputs_Other!C134</f>
        <v>1</v>
      </c>
      <c r="D44" s="75" t="str">
        <f>Inputs_Other!D134</f>
        <v>Residential Accumulation</v>
      </c>
      <c r="E44" s="53" t="str">
        <f>Inputs_Other!E134</f>
        <v>SAC</v>
      </c>
      <c r="F44" s="82"/>
      <c r="G44" s="82"/>
      <c r="H44" s="243" t="s">
        <v>52</v>
      </c>
      <c r="I44" s="243" t="s">
        <v>47</v>
      </c>
      <c r="J44" s="243" t="s">
        <v>40</v>
      </c>
      <c r="O44" s="66">
        <f ca="1">INDEX(O$26:O$33,MATCH($D44,$D$26:$D$33,0))*Inputs_Other!O134</f>
        <v>23481.940042648694</v>
      </c>
      <c r="P44" s="66">
        <f ca="1">INDEX(P$26:P$33,MATCH($D44,$D$26:$D$33,0))*Inputs_Other!P134</f>
        <v>19184.855940789748</v>
      </c>
      <c r="Q44" s="66">
        <f ca="1">INDEX(Q$26:Q$33,MATCH($D44,$D$26:$D$33,0))*Inputs_Other!Q134</f>
        <v>14790.501665652355</v>
      </c>
      <c r="R44" s="66">
        <f ca="1">INDEX(R$26:R$33,MATCH($D44,$D$26:$D$33,0))*Inputs_Other!R134</f>
        <v>13413.030419967825</v>
      </c>
      <c r="S44" s="66">
        <f ca="1">INDEX(S$26:S$33,MATCH($D44,$D$26:$D$33,0))*Inputs_Other!S134</f>
        <v>7464.4697937673791</v>
      </c>
    </row>
    <row r="45" spans="1:19" ht="12.75" x14ac:dyDescent="0.2">
      <c r="C45" s="169">
        <f>Inputs_Other!C135</f>
        <v>1</v>
      </c>
      <c r="D45" s="75" t="str">
        <f>Inputs_Other!D135</f>
        <v>Residential Accumulation</v>
      </c>
      <c r="E45" s="53" t="str">
        <f>Inputs_Other!E135</f>
        <v>Anytime Energy</v>
      </c>
      <c r="H45" s="243" t="s">
        <v>52</v>
      </c>
      <c r="I45" s="243" t="s">
        <v>47</v>
      </c>
      <c r="J45" s="243" t="s">
        <v>40</v>
      </c>
      <c r="O45" s="66">
        <f ca="1">INDEX(O$26:O$33,MATCH($D45,$D$26:$D$33,0))*Inputs_Other!O135</f>
        <v>10063.688589706584</v>
      </c>
      <c r="P45" s="66">
        <f ca="1">INDEX(P$26:P$33,MATCH($D45,$D$26:$D$33,0))*Inputs_Other!P135</f>
        <v>8222.0811174813225</v>
      </c>
      <c r="Q45" s="66">
        <f ca="1">INDEX(Q$26:Q$33,MATCH($D45,$D$26:$D$33,0))*Inputs_Other!Q135</f>
        <v>6338.7864281367247</v>
      </c>
      <c r="R45" s="66">
        <f ca="1">INDEX(R$26:R$33,MATCH($D45,$D$26:$D$33,0))*Inputs_Other!R135</f>
        <v>5748.4416085576404</v>
      </c>
      <c r="S45" s="66">
        <f ca="1">INDEX(S$26:S$33,MATCH($D45,$D$26:$D$33,0))*Inputs_Other!S135</f>
        <v>3199.0584830431631</v>
      </c>
    </row>
    <row r="46" spans="1:19" ht="12.75" x14ac:dyDescent="0.2">
      <c r="C46" s="169">
        <f>Inputs_Other!C136</f>
        <v>2</v>
      </c>
      <c r="D46" s="75" t="str">
        <f>Inputs_Other!D136</f>
        <v>Non-Residential Accumulation</v>
      </c>
      <c r="E46" s="53" t="str">
        <f>Inputs_Other!E136</f>
        <v>SAC</v>
      </c>
      <c r="H46" s="243" t="s">
        <v>52</v>
      </c>
      <c r="I46" s="243" t="s">
        <v>47</v>
      </c>
      <c r="J46" s="243" t="s">
        <v>40</v>
      </c>
      <c r="O46" s="66">
        <f ca="1">INDEX(O$26:O$33,MATCH($D46,$D$26:$D$33,0))*Inputs_Other!O136</f>
        <v>361.25974354790992</v>
      </c>
      <c r="P46" s="66">
        <f ca="1">INDEX(P$26:P$33,MATCH($D46,$D$26:$D$33,0))*Inputs_Other!P136</f>
        <v>291.18925517778661</v>
      </c>
      <c r="Q46" s="66">
        <f ca="1">INDEX(Q$26:Q$33,MATCH($D46,$D$26:$D$33,0))*Inputs_Other!Q136</f>
        <v>211.28377029878826</v>
      </c>
      <c r="R46" s="66">
        <f ca="1">INDEX(R$26:R$33,MATCH($D46,$D$26:$D$33,0))*Inputs_Other!R136</f>
        <v>102.76836838189094</v>
      </c>
      <c r="S46" s="66">
        <f ca="1">INDEX(S$26:S$33,MATCH($D46,$D$26:$D$33,0))*Inputs_Other!S136</f>
        <v>0</v>
      </c>
    </row>
    <row r="47" spans="1:19" ht="12.75" x14ac:dyDescent="0.2">
      <c r="C47" s="169">
        <f>Inputs_Other!C137</f>
        <v>2</v>
      </c>
      <c r="D47" s="75" t="str">
        <f>Inputs_Other!D137</f>
        <v>Non-Residential Accumulation</v>
      </c>
      <c r="E47" s="53" t="str">
        <f>Inputs_Other!E137</f>
        <v>Anytime Energy</v>
      </c>
      <c r="H47" s="243" t="s">
        <v>52</v>
      </c>
      <c r="I47" s="243" t="s">
        <v>47</v>
      </c>
      <c r="J47" s="243" t="s">
        <v>40</v>
      </c>
      <c r="O47" s="66">
        <f ca="1">INDEX(O$26:O$33,MATCH($D47,$D$26:$D$33,0))*Inputs_Other!O137</f>
        <v>890.50651961186111</v>
      </c>
      <c r="P47" s="66">
        <f ca="1">INDEX(P$26:P$33,MATCH($D47,$D$26:$D$33,0))*Inputs_Other!P137</f>
        <v>717.78252298502218</v>
      </c>
      <c r="Q47" s="66">
        <f ca="1">INDEX(Q$26:Q$33,MATCH($D47,$D$26:$D$33,0))*Inputs_Other!Q137</f>
        <v>520.81522588550922</v>
      </c>
      <c r="R47" s="66">
        <f ca="1">INDEX(R$26:R$33,MATCH($D47,$D$26:$D$33,0))*Inputs_Other!R137</f>
        <v>253.32438415411366</v>
      </c>
      <c r="S47" s="66">
        <f ca="1">INDEX(S$26:S$33,MATCH($D47,$D$26:$D$33,0))*Inputs_Other!S137</f>
        <v>0</v>
      </c>
    </row>
    <row r="48" spans="1:19" ht="12.75" x14ac:dyDescent="0.2">
      <c r="C48" s="169" t="str">
        <f>Inputs_Other!C138</f>
        <v>3a</v>
      </c>
      <c r="D48" s="75" t="str">
        <f>Inputs_Other!D138</f>
        <v>LV Smart Meter - Res</v>
      </c>
      <c r="E48" s="53" t="str">
        <f>Inputs_Other!E138</f>
        <v>SAC</v>
      </c>
      <c r="H48" s="243" t="s">
        <v>52</v>
      </c>
      <c r="I48" s="243" t="s">
        <v>47</v>
      </c>
      <c r="J48" s="243" t="s">
        <v>40</v>
      </c>
      <c r="O48" s="66">
        <f ca="1">INDEX(O$26:O$33,MATCH($D48,$D$26:$D$33,0))*Inputs_Other!O138</f>
        <v>18570.852666509963</v>
      </c>
      <c r="P48" s="66">
        <f ca="1">INDEX(P$26:P$33,MATCH($D48,$D$26:$D$33,0))*Inputs_Other!P138</f>
        <v>28723.963398098764</v>
      </c>
      <c r="Q48" s="66">
        <f ca="1">INDEX(Q$26:Q$33,MATCH($D48,$D$26:$D$33,0))*Inputs_Other!Q138</f>
        <v>42614.855905019846</v>
      </c>
      <c r="R48" s="66">
        <f ca="1">INDEX(R$26:R$33,MATCH($D48,$D$26:$D$33,0))*Inputs_Other!R138</f>
        <v>52978.379403752813</v>
      </c>
      <c r="S48" s="66">
        <f ca="1">INDEX(S$26:S$33,MATCH($D48,$D$26:$D$33,0))*Inputs_Other!S138</f>
        <v>61496.322231167556</v>
      </c>
    </row>
    <row r="49" spans="3:19" ht="12.75" x14ac:dyDescent="0.2">
      <c r="C49" s="169" t="str">
        <f>Inputs_Other!C139</f>
        <v>3a</v>
      </c>
      <c r="D49" s="75" t="str">
        <f>Inputs_Other!D139</f>
        <v>LV Smart Meter - Res</v>
      </c>
      <c r="E49" s="53" t="str">
        <f>Inputs_Other!E139</f>
        <v>Peak Energy</v>
      </c>
      <c r="H49" s="243" t="s">
        <v>52</v>
      </c>
      <c r="I49" s="243" t="s">
        <v>47</v>
      </c>
      <c r="J49" s="243" t="s">
        <v>40</v>
      </c>
      <c r="O49" s="66">
        <f ca="1">INDEX(O$26:O$33,MATCH($D49,$D$26:$D$33,0))*Inputs_Other!O139</f>
        <v>0</v>
      </c>
      <c r="P49" s="66">
        <f ca="1">INDEX(P$26:P$33,MATCH($D49,$D$26:$D$33,0))*Inputs_Other!P139</f>
        <v>0</v>
      </c>
      <c r="Q49" s="66">
        <f ca="1">INDEX(Q$26:Q$33,MATCH($D49,$D$26:$D$33,0))*Inputs_Other!Q139</f>
        <v>0</v>
      </c>
      <c r="R49" s="66">
        <f ca="1">INDEX(R$26:R$33,MATCH($D49,$D$26:$D$33,0))*Inputs_Other!R139</f>
        <v>0</v>
      </c>
      <c r="S49" s="66">
        <f ca="1">INDEX(S$26:S$33,MATCH($D49,$D$26:$D$33,0))*Inputs_Other!S139</f>
        <v>0</v>
      </c>
    </row>
    <row r="50" spans="3:19" ht="12.75" x14ac:dyDescent="0.2">
      <c r="C50" s="169" t="str">
        <f>Inputs_Other!C140</f>
        <v>3a</v>
      </c>
      <c r="D50" s="75" t="str">
        <f>Inputs_Other!D140</f>
        <v>LV Smart Meter - Res</v>
      </c>
      <c r="E50" s="53" t="str">
        <f>Inputs_Other!E140</f>
        <v>Off-peak Energy</v>
      </c>
      <c r="H50" s="243" t="s">
        <v>52</v>
      </c>
      <c r="I50" s="243" t="s">
        <v>47</v>
      </c>
      <c r="J50" s="243" t="s">
        <v>40</v>
      </c>
      <c r="O50" s="66">
        <f ca="1">INDEX(O$26:O$33,MATCH($D50,$D$26:$D$33,0))*Inputs_Other!O140</f>
        <v>2063.4280740566619</v>
      </c>
      <c r="P50" s="66">
        <f ca="1">INDEX(P$26:P$33,MATCH($D50,$D$26:$D$33,0))*Inputs_Other!P140</f>
        <v>3191.5514886776396</v>
      </c>
      <c r="Q50" s="66">
        <f ca="1">INDEX(Q$26:Q$33,MATCH($D50,$D$26:$D$33,0))*Inputs_Other!Q140</f>
        <v>4734.9839894466486</v>
      </c>
      <c r="R50" s="66">
        <f ca="1">INDEX(R$26:R$33,MATCH($D50,$D$26:$D$33,0))*Inputs_Other!R140</f>
        <v>5886.4866004169771</v>
      </c>
      <c r="S50" s="66">
        <f ca="1">INDEX(S$26:S$33,MATCH($D50,$D$26:$D$33,0))*Inputs_Other!S140</f>
        <v>6832.9246923519486</v>
      </c>
    </row>
    <row r="51" spans="3:19" ht="12.75" x14ac:dyDescent="0.2">
      <c r="C51" s="169" t="str">
        <f>Inputs_Other!C141</f>
        <v>3a</v>
      </c>
      <c r="D51" s="75" t="str">
        <f>Inputs_Other!D141</f>
        <v>LV Smart Meter - Res</v>
      </c>
      <c r="E51" s="53" t="str">
        <f>Inputs_Other!E141</f>
        <v>Super Off-peak Energy</v>
      </c>
      <c r="H51" s="243" t="s">
        <v>52</v>
      </c>
      <c r="I51" s="243" t="s">
        <v>47</v>
      </c>
      <c r="J51" s="243" t="s">
        <v>40</v>
      </c>
      <c r="O51" s="66">
        <f ca="1">INDEX(O$26:O$33,MATCH($D51,$D$26:$D$33,0))*Inputs_Other!O141</f>
        <v>0</v>
      </c>
      <c r="P51" s="66">
        <f ca="1">INDEX(P$26:P$33,MATCH($D51,$D$26:$D$33,0))*Inputs_Other!P141</f>
        <v>0</v>
      </c>
      <c r="Q51" s="66">
        <f ca="1">INDEX(Q$26:Q$33,MATCH($D51,$D$26:$D$33,0))*Inputs_Other!Q141</f>
        <v>0</v>
      </c>
      <c r="R51" s="66">
        <f ca="1">INDEX(R$26:R$33,MATCH($D51,$D$26:$D$33,0))*Inputs_Other!R141</f>
        <v>0</v>
      </c>
      <c r="S51" s="66">
        <f ca="1">INDEX(S$26:S$33,MATCH($D51,$D$26:$D$33,0))*Inputs_Other!S141</f>
        <v>0</v>
      </c>
    </row>
    <row r="52" spans="3:19" ht="12.75" x14ac:dyDescent="0.2">
      <c r="C52" s="169" t="str">
        <f>Inputs_Other!C142</f>
        <v>3b</v>
      </c>
      <c r="D52" s="75" t="str">
        <f>Inputs_Other!D142</f>
        <v>LV Smart Meter - Small Comm</v>
      </c>
      <c r="E52" s="53" t="str">
        <f>Inputs_Other!E142</f>
        <v>SAC</v>
      </c>
      <c r="H52" s="243" t="s">
        <v>52</v>
      </c>
      <c r="I52" s="243" t="s">
        <v>47</v>
      </c>
      <c r="J52" s="243" t="s">
        <v>40</v>
      </c>
      <c r="O52" s="66">
        <f ca="1">INDEX(O$26:O$33,MATCH($D52,$D$26:$D$33,0))*Inputs_Other!O142</f>
        <v>2565.3077821645124</v>
      </c>
      <c r="P52" s="66">
        <f ca="1">INDEX(P$26:P$33,MATCH($D52,$D$26:$D$33,0))*Inputs_Other!P142</f>
        <v>4849.655592965194</v>
      </c>
      <c r="Q52" s="66">
        <f ca="1">INDEX(Q$26:Q$33,MATCH($D52,$D$26:$D$33,0))*Inputs_Other!Q142</f>
        <v>5515.7105602928414</v>
      </c>
      <c r="R52" s="66">
        <f ca="1">INDEX(R$26:R$33,MATCH($D52,$D$26:$D$33,0))*Inputs_Other!R142</f>
        <v>6144.4576991033919</v>
      </c>
      <c r="S52" s="66">
        <f ca="1">INDEX(S$26:S$33,MATCH($D52,$D$26:$D$33,0))*Inputs_Other!S142</f>
        <v>6659.8101299904129</v>
      </c>
    </row>
    <row r="53" spans="3:19" ht="12.75" x14ac:dyDescent="0.2">
      <c r="C53" s="169" t="str">
        <f>Inputs_Other!C143</f>
        <v>3b</v>
      </c>
      <c r="D53" s="75" t="str">
        <f>Inputs_Other!D143</f>
        <v>LV Smart Meter - Small Comm</v>
      </c>
      <c r="E53" s="53" t="str">
        <f>Inputs_Other!E143</f>
        <v>Peak Energy</v>
      </c>
      <c r="H53" s="243" t="s">
        <v>52</v>
      </c>
      <c r="I53" s="243" t="s">
        <v>47</v>
      </c>
      <c r="J53" s="243" t="s">
        <v>40</v>
      </c>
      <c r="O53" s="66">
        <f ca="1">INDEX(O$26:O$33,MATCH($D53,$D$26:$D$33,0))*Inputs_Other!O143</f>
        <v>0</v>
      </c>
      <c r="P53" s="66">
        <f ca="1">INDEX(P$26:P$33,MATCH($D53,$D$26:$D$33,0))*Inputs_Other!P143</f>
        <v>0</v>
      </c>
      <c r="Q53" s="66">
        <f ca="1">INDEX(Q$26:Q$33,MATCH($D53,$D$26:$D$33,0))*Inputs_Other!Q143</f>
        <v>0</v>
      </c>
      <c r="R53" s="66">
        <f ca="1">INDEX(R$26:R$33,MATCH($D53,$D$26:$D$33,0))*Inputs_Other!R143</f>
        <v>0</v>
      </c>
      <c r="S53" s="66">
        <f ca="1">INDEX(S$26:S$33,MATCH($D53,$D$26:$D$33,0))*Inputs_Other!S143</f>
        <v>0</v>
      </c>
    </row>
    <row r="54" spans="3:19" ht="12.75" x14ac:dyDescent="0.2">
      <c r="C54" s="169" t="str">
        <f>Inputs_Other!C144</f>
        <v>3b</v>
      </c>
      <c r="D54" s="75" t="str">
        <f>Inputs_Other!D144</f>
        <v>LV Smart Meter - Small Comm</v>
      </c>
      <c r="E54" s="53" t="str">
        <f>Inputs_Other!E144</f>
        <v>Off-peak Energy</v>
      </c>
      <c r="H54" s="243" t="s">
        <v>52</v>
      </c>
      <c r="I54" s="243" t="s">
        <v>47</v>
      </c>
      <c r="J54" s="243" t="s">
        <v>40</v>
      </c>
      <c r="O54" s="66">
        <f ca="1">INDEX(O$26:O$33,MATCH($D54,$D$26:$D$33,0))*Inputs_Other!O144</f>
        <v>10261.23112865805</v>
      </c>
      <c r="P54" s="66">
        <f ca="1">INDEX(P$26:P$33,MATCH($D54,$D$26:$D$33,0))*Inputs_Other!P144</f>
        <v>9414.0373275206694</v>
      </c>
      <c r="Q54" s="66">
        <f ca="1">INDEX(Q$26:Q$33,MATCH($D54,$D$26:$D$33,0))*Inputs_Other!Q144</f>
        <v>10706.967558215514</v>
      </c>
      <c r="R54" s="66">
        <f ca="1">INDEX(R$26:R$33,MATCH($D54,$D$26:$D$33,0))*Inputs_Other!R144</f>
        <v>11927.476710024228</v>
      </c>
      <c r="S54" s="66">
        <f ca="1">INDEX(S$26:S$33,MATCH($D54,$D$26:$D$33,0))*Inputs_Other!S144</f>
        <v>12927.866722922563</v>
      </c>
    </row>
    <row r="55" spans="3:19" ht="12.75" x14ac:dyDescent="0.2">
      <c r="C55" s="169" t="str">
        <f>Inputs_Other!C145</f>
        <v>3b</v>
      </c>
      <c r="D55" s="75" t="str">
        <f>Inputs_Other!D145</f>
        <v>LV Smart Meter - Small Comm</v>
      </c>
      <c r="E55" s="53" t="str">
        <f>Inputs_Other!E145</f>
        <v>Super Off-peak Energy</v>
      </c>
      <c r="H55" s="243" t="s">
        <v>52</v>
      </c>
      <c r="I55" s="243" t="s">
        <v>47</v>
      </c>
      <c r="J55" s="243" t="s">
        <v>40</v>
      </c>
      <c r="O55" s="66">
        <f ca="1">INDEX(O$26:O$33,MATCH($D55,$D$26:$D$33,0))*Inputs_Other!O145</f>
        <v>0</v>
      </c>
      <c r="P55" s="66">
        <f ca="1">INDEX(P$26:P$33,MATCH($D55,$D$26:$D$33,0))*Inputs_Other!P145</f>
        <v>0</v>
      </c>
      <c r="Q55" s="66">
        <f ca="1">INDEX(Q$26:Q$33,MATCH($D55,$D$26:$D$33,0))*Inputs_Other!Q145</f>
        <v>0</v>
      </c>
      <c r="R55" s="66">
        <f ca="1">INDEX(R$26:R$33,MATCH($D55,$D$26:$D$33,0))*Inputs_Other!R145</f>
        <v>0</v>
      </c>
      <c r="S55" s="66">
        <f ca="1">INDEX(S$26:S$33,MATCH($D55,$D$26:$D$33,0))*Inputs_Other!S145</f>
        <v>0</v>
      </c>
    </row>
    <row r="56" spans="3:19" ht="12.75" x14ac:dyDescent="0.2">
      <c r="C56" s="169" t="str">
        <f>Inputs_Other!C146</f>
        <v>3c</v>
      </c>
      <c r="D56" s="75" t="str">
        <f>Inputs_Other!D146</f>
        <v>LV Smart Meter - Med Comm</v>
      </c>
      <c r="E56" s="53" t="str">
        <f>Inputs_Other!E146</f>
        <v>SAC</v>
      </c>
      <c r="H56" s="243" t="s">
        <v>52</v>
      </c>
      <c r="I56" s="243" t="s">
        <v>47</v>
      </c>
      <c r="J56" s="243" t="s">
        <v>40</v>
      </c>
      <c r="O56" s="66">
        <f ca="1">INDEX(O$26:O$33,MATCH($D56,$D$26:$D$33,0))*Inputs_Other!O146</f>
        <v>4019.3201371181399</v>
      </c>
      <c r="P56" s="66">
        <f ca="1">INDEX(P$26:P$33,MATCH($D56,$D$26:$D$33,0))*Inputs_Other!P146</f>
        <v>5061.4511345494193</v>
      </c>
      <c r="Q56" s="66">
        <f ca="1">INDEX(Q$26:Q$33,MATCH($D56,$D$26:$D$33,0))*Inputs_Other!Q146</f>
        <v>5571.3956148760999</v>
      </c>
      <c r="R56" s="66">
        <f ca="1">INDEX(R$26:R$33,MATCH($D56,$D$26:$D$33,0))*Inputs_Other!R146</f>
        <v>6291.210339945419</v>
      </c>
      <c r="S56" s="66">
        <f ca="1">INDEX(S$26:S$33,MATCH($D56,$D$26:$D$33,0))*Inputs_Other!S146</f>
        <v>7806.2476356250545</v>
      </c>
    </row>
    <row r="57" spans="3:19" ht="12.75" x14ac:dyDescent="0.2">
      <c r="C57" s="169" t="str">
        <f>Inputs_Other!C147</f>
        <v>3c</v>
      </c>
      <c r="D57" s="75" t="str">
        <f>Inputs_Other!D147</f>
        <v>LV Smart Meter - Med Comm</v>
      </c>
      <c r="E57" s="53" t="str">
        <f>Inputs_Other!E147</f>
        <v>Peak Energy</v>
      </c>
      <c r="H57" s="243" t="s">
        <v>52</v>
      </c>
      <c r="I57" s="243" t="s">
        <v>47</v>
      </c>
      <c r="J57" s="243" t="s">
        <v>40</v>
      </c>
      <c r="O57" s="66">
        <f ca="1">INDEX(O$26:O$33,MATCH($D57,$D$26:$D$33,0))*Inputs_Other!O147</f>
        <v>0</v>
      </c>
      <c r="P57" s="66">
        <f ca="1">INDEX(P$26:P$33,MATCH($D57,$D$26:$D$33,0))*Inputs_Other!P147</f>
        <v>0</v>
      </c>
      <c r="Q57" s="66">
        <f ca="1">INDEX(Q$26:Q$33,MATCH($D57,$D$26:$D$33,0))*Inputs_Other!Q147</f>
        <v>0</v>
      </c>
      <c r="R57" s="66">
        <f ca="1">INDEX(R$26:R$33,MATCH($D57,$D$26:$D$33,0))*Inputs_Other!R147</f>
        <v>0</v>
      </c>
      <c r="S57" s="66">
        <f ca="1">INDEX(S$26:S$33,MATCH($D57,$D$26:$D$33,0))*Inputs_Other!S147</f>
        <v>0</v>
      </c>
    </row>
    <row r="58" spans="3:19" ht="12.75" x14ac:dyDescent="0.2">
      <c r="C58" s="169" t="str">
        <f>Inputs_Other!C148</f>
        <v>3c</v>
      </c>
      <c r="D58" s="75" t="str">
        <f>Inputs_Other!D148</f>
        <v>LV Smart Meter - Med Comm</v>
      </c>
      <c r="E58" s="53" t="str">
        <f>Inputs_Other!E148</f>
        <v>Off-peak Energy</v>
      </c>
      <c r="H58" s="243" t="s">
        <v>52</v>
      </c>
      <c r="I58" s="243" t="s">
        <v>47</v>
      </c>
      <c r="J58" s="243" t="s">
        <v>40</v>
      </c>
      <c r="O58" s="66">
        <f ca="1">INDEX(O$26:O$33,MATCH($D58,$D$26:$D$33,0))*Inputs_Other!O148</f>
        <v>8160.4378541489496</v>
      </c>
      <c r="P58" s="66">
        <f ca="1">INDEX(P$26:P$33,MATCH($D58,$D$26:$D$33,0))*Inputs_Other!P148</f>
        <v>10276.279576206396</v>
      </c>
      <c r="Q58" s="66">
        <f ca="1">INDEX(Q$26:Q$33,MATCH($D58,$D$26:$D$33,0))*Inputs_Other!Q148</f>
        <v>11311.621399899957</v>
      </c>
      <c r="R58" s="66">
        <f ca="1">INDEX(R$26:R$33,MATCH($D58,$D$26:$D$33,0))*Inputs_Other!R148</f>
        <v>12773.063417464939</v>
      </c>
      <c r="S58" s="66">
        <f ca="1">INDEX(S$26:S$33,MATCH($D58,$D$26:$D$33,0))*Inputs_Other!S148</f>
        <v>15849.048229905413</v>
      </c>
    </row>
    <row r="59" spans="3:19" ht="12.75" x14ac:dyDescent="0.2">
      <c r="C59" s="169" t="str">
        <f>Inputs_Other!C149</f>
        <v>3c</v>
      </c>
      <c r="D59" s="75" t="str">
        <f>Inputs_Other!D149</f>
        <v>LV Smart Meter - Med Comm</v>
      </c>
      <c r="E59" s="53" t="str">
        <f>Inputs_Other!E149</f>
        <v>Super Off-peak Energy</v>
      </c>
      <c r="H59" s="243" t="s">
        <v>52</v>
      </c>
      <c r="I59" s="243" t="s">
        <v>47</v>
      </c>
      <c r="J59" s="243" t="s">
        <v>40</v>
      </c>
      <c r="O59" s="66">
        <f ca="1">INDEX(O$26:O$33,MATCH($D59,$D$26:$D$33,0))*Inputs_Other!O149</f>
        <v>0</v>
      </c>
      <c r="P59" s="66">
        <f ca="1">INDEX(P$26:P$33,MATCH($D59,$D$26:$D$33,0))*Inputs_Other!P149</f>
        <v>0</v>
      </c>
      <c r="Q59" s="66">
        <f ca="1">INDEX(Q$26:Q$33,MATCH($D59,$D$26:$D$33,0))*Inputs_Other!Q149</f>
        <v>0</v>
      </c>
      <c r="R59" s="66">
        <f ca="1">INDEX(R$26:R$33,MATCH($D59,$D$26:$D$33,0))*Inputs_Other!R149</f>
        <v>0</v>
      </c>
      <c r="S59" s="66">
        <f ca="1">INDEX(S$26:S$33,MATCH($D59,$D$26:$D$33,0))*Inputs_Other!S149</f>
        <v>0</v>
      </c>
    </row>
    <row r="60" spans="3:19" ht="12.75" x14ac:dyDescent="0.2">
      <c r="C60" s="169">
        <f>Inputs_Other!C150</f>
        <v>4</v>
      </c>
      <c r="D60" s="75" t="str">
        <f>Inputs_Other!D150</f>
        <v>Unmetered</v>
      </c>
      <c r="E60" s="53" t="str">
        <f>Inputs_Other!E150</f>
        <v>Anytime Energy</v>
      </c>
      <c r="H60" s="243" t="s">
        <v>52</v>
      </c>
      <c r="I60" s="243" t="s">
        <v>47</v>
      </c>
      <c r="J60" s="243" t="s">
        <v>40</v>
      </c>
      <c r="O60" s="66">
        <f ca="1">INDEX(O$26:O$33,MATCH($D60,$D$26:$D$33,0))*Inputs_Other!O150</f>
        <v>1544.8025402418621</v>
      </c>
      <c r="P60" s="66">
        <f ca="1">INDEX(P$26:P$33,MATCH($D60,$D$26:$D$33,0))*Inputs_Other!P150</f>
        <v>2370.4851289301669</v>
      </c>
      <c r="Q60" s="66">
        <f ca="1">INDEX(Q$26:Q$33,MATCH($D60,$D$26:$D$33,0))*Inputs_Other!Q150</f>
        <v>2531.6215144252769</v>
      </c>
      <c r="R60" s="66">
        <f ca="1">INDEX(R$26:R$33,MATCH($D60,$D$26:$D$33,0))*Inputs_Other!R150</f>
        <v>2572.3544844245166</v>
      </c>
      <c r="S60" s="66">
        <f ca="1">INDEX(S$26:S$33,MATCH($D60,$D$26:$D$33,0))*Inputs_Other!S150</f>
        <v>2725.8733893718359</v>
      </c>
    </row>
    <row r="61" spans="3:19" ht="12.75" x14ac:dyDescent="0.2">
      <c r="C61" s="169">
        <f>Inputs_Other!C151</f>
        <v>5</v>
      </c>
      <c r="D61" s="75" t="str">
        <f>Inputs_Other!D151</f>
        <v>LV Majors</v>
      </c>
      <c r="E61" s="53" t="str">
        <f>Inputs_Other!E151</f>
        <v>SAC</v>
      </c>
      <c r="H61" s="243" t="s">
        <v>52</v>
      </c>
      <c r="I61" s="243" t="s">
        <v>47</v>
      </c>
      <c r="J61" s="243" t="s">
        <v>40</v>
      </c>
      <c r="O61" s="66">
        <f ca="1">INDEX(O$26:O$33,MATCH($D61,$D$26:$D$33,0))*Inputs_Other!O151</f>
        <v>7934.2472163400344</v>
      </c>
      <c r="P61" s="66">
        <f ca="1">INDEX(P$26:P$33,MATCH($D61,$D$26:$D$33,0))*Inputs_Other!P151</f>
        <v>8582.6784032626038</v>
      </c>
      <c r="Q61" s="66">
        <f ca="1">INDEX(Q$26:Q$33,MATCH($D61,$D$26:$D$33,0))*Inputs_Other!Q151</f>
        <v>9831.1937885813732</v>
      </c>
      <c r="R61" s="66">
        <f ca="1">INDEX(R$26:R$33,MATCH($D61,$D$26:$D$33,0))*Inputs_Other!R151</f>
        <v>11397.975620977606</v>
      </c>
      <c r="S61" s="66">
        <f ca="1">INDEX(S$26:S$33,MATCH($D61,$D$26:$D$33,0))*Inputs_Other!S151</f>
        <v>12380.810459111519</v>
      </c>
    </row>
    <row r="62" spans="3:19" ht="12.75" x14ac:dyDescent="0.2">
      <c r="C62" s="169">
        <f>Inputs_Other!C152</f>
        <v>5</v>
      </c>
      <c r="D62" s="75" t="str">
        <f>Inputs_Other!D152</f>
        <v>LV Majors</v>
      </c>
      <c r="E62" s="53" t="str">
        <f>Inputs_Other!E152</f>
        <v>Anytime Energy Price</v>
      </c>
      <c r="H62" s="243" t="s">
        <v>52</v>
      </c>
      <c r="I62" s="243" t="s">
        <v>47</v>
      </c>
      <c r="J62" s="243" t="s">
        <v>40</v>
      </c>
      <c r="O62" s="66">
        <f ca="1">INDEX(O$26:O$33,MATCH($D62,$D$26:$D$33,0))*Inputs_Other!O152</f>
        <v>1133.4638880485763</v>
      </c>
      <c r="P62" s="66">
        <f ca="1">INDEX(P$26:P$33,MATCH($D62,$D$26:$D$33,0))*Inputs_Other!P152</f>
        <v>1514.5903064581069</v>
      </c>
      <c r="Q62" s="66">
        <f ca="1">INDEX(Q$26:Q$33,MATCH($D62,$D$26:$D$33,0))*Inputs_Other!Q152</f>
        <v>1734.9165509261252</v>
      </c>
      <c r="R62" s="66">
        <f ca="1">INDEX(R$26:R$33,MATCH($D62,$D$26:$D$33,0))*Inputs_Other!R152</f>
        <v>2011.4074625254602</v>
      </c>
      <c r="S62" s="66">
        <f ca="1">INDEX(S$26:S$33,MATCH($D62,$D$26:$D$33,0))*Inputs_Other!S152</f>
        <v>2184.8489045490919</v>
      </c>
    </row>
    <row r="63" spans="3:19" ht="12.75" x14ac:dyDescent="0.2">
      <c r="C63" s="169">
        <f>Inputs_Other!C153</f>
        <v>5</v>
      </c>
      <c r="D63" s="75" t="str">
        <f>Inputs_Other!D153</f>
        <v>LV Majors</v>
      </c>
      <c r="E63" s="53" t="str">
        <f>Inputs_Other!E153</f>
        <v>On-Season Demand</v>
      </c>
      <c r="H63" s="243" t="s">
        <v>52</v>
      </c>
      <c r="I63" s="243" t="s">
        <v>47</v>
      </c>
      <c r="J63" s="243" t="s">
        <v>40</v>
      </c>
      <c r="O63" s="66">
        <f ca="1">INDEX(O$26:O$33,MATCH($D63,$D$26:$D$33,0))*Inputs_Other!O153</f>
        <v>0</v>
      </c>
      <c r="P63" s="66">
        <f ca="1">INDEX(P$26:P$33,MATCH($D63,$D$26:$D$33,0))*Inputs_Other!P153</f>
        <v>0</v>
      </c>
      <c r="Q63" s="66">
        <f ca="1">INDEX(Q$26:Q$33,MATCH($D63,$D$26:$D$33,0))*Inputs_Other!Q153</f>
        <v>0</v>
      </c>
      <c r="R63" s="66">
        <f ca="1">INDEX(R$26:R$33,MATCH($D63,$D$26:$D$33,0))*Inputs_Other!R153</f>
        <v>0</v>
      </c>
      <c r="S63" s="66">
        <f ca="1">INDEX(S$26:S$33,MATCH($D63,$D$26:$D$33,0))*Inputs_Other!S153</f>
        <v>0</v>
      </c>
    </row>
    <row r="64" spans="3:19" ht="12.75" x14ac:dyDescent="0.2">
      <c r="C64" s="169">
        <f>Inputs_Other!C154</f>
        <v>5</v>
      </c>
      <c r="D64" s="75" t="str">
        <f>Inputs_Other!D154</f>
        <v>LV Majors</v>
      </c>
      <c r="E64" s="53" t="str">
        <f>Inputs_Other!E154</f>
        <v>Off-Season Demand</v>
      </c>
      <c r="H64" s="243" t="s">
        <v>52</v>
      </c>
      <c r="I64" s="243" t="s">
        <v>47</v>
      </c>
      <c r="J64" s="243" t="s">
        <v>40</v>
      </c>
      <c r="O64" s="66">
        <f ca="1">INDEX(O$26:O$33,MATCH($D64,$D$26:$D$33,0))*Inputs_Other!O154</f>
        <v>0</v>
      </c>
      <c r="P64" s="66">
        <f ca="1">INDEX(P$26:P$33,MATCH($D64,$D$26:$D$33,0))*Inputs_Other!P154</f>
        <v>0</v>
      </c>
      <c r="Q64" s="66">
        <f ca="1">INDEX(Q$26:Q$33,MATCH($D64,$D$26:$D$33,0))*Inputs_Other!Q154</f>
        <v>0</v>
      </c>
      <c r="R64" s="66">
        <f ca="1">INDEX(R$26:R$33,MATCH($D64,$D$26:$D$33,0))*Inputs_Other!R154</f>
        <v>0</v>
      </c>
      <c r="S64" s="66">
        <f ca="1">INDEX(S$26:S$33,MATCH($D64,$D$26:$D$33,0))*Inputs_Other!S154</f>
        <v>0</v>
      </c>
    </row>
    <row r="65" spans="1:19" ht="12.75" x14ac:dyDescent="0.2">
      <c r="C65" s="169">
        <f>Inputs_Other!C155</f>
        <v>6</v>
      </c>
      <c r="D65" s="75" t="str">
        <f>Inputs_Other!D155</f>
        <v>HV Smart Meters</v>
      </c>
      <c r="E65" s="53" t="str">
        <f>Inputs_Other!E155</f>
        <v>SAC</v>
      </c>
      <c r="H65" s="243" t="s">
        <v>52</v>
      </c>
      <c r="I65" s="243" t="s">
        <v>47</v>
      </c>
      <c r="J65" s="243" t="s">
        <v>40</v>
      </c>
      <c r="O65" s="66">
        <f ca="1">INDEX(O$26:O$33,MATCH($D65,$D$26:$D$33,0))*Inputs_Other!O155</f>
        <v>3305.2031945106778</v>
      </c>
      <c r="P65" s="66">
        <f ca="1">INDEX(P$26:P$33,MATCH($D65,$D$26:$D$33,0))*Inputs_Other!P155</f>
        <v>3832.1043632576966</v>
      </c>
      <c r="Q65" s="66">
        <f ca="1">INDEX(Q$26:Q$33,MATCH($D65,$D$26:$D$33,0))*Inputs_Other!Q155</f>
        <v>4190.4075619813857</v>
      </c>
      <c r="R65" s="66">
        <f ca="1">INDEX(R$26:R$33,MATCH($D65,$D$26:$D$33,0))*Inputs_Other!R155</f>
        <v>4701.802192690282</v>
      </c>
      <c r="S65" s="66">
        <f ca="1">INDEX(S$26:S$33,MATCH($D65,$D$26:$D$33,0))*Inputs_Other!S155</f>
        <v>5077.6137147843729</v>
      </c>
    </row>
    <row r="66" spans="1:19" ht="12.75" x14ac:dyDescent="0.2">
      <c r="C66" s="169">
        <f>Inputs_Other!C156</f>
        <v>6</v>
      </c>
      <c r="D66" s="75" t="str">
        <f>Inputs_Other!D156</f>
        <v>HV Smart Meters</v>
      </c>
      <c r="E66" s="53" t="str">
        <f>Inputs_Other!E156</f>
        <v>Anytime Energy Price</v>
      </c>
      <c r="H66" s="243" t="s">
        <v>52</v>
      </c>
      <c r="I66" s="243" t="s">
        <v>47</v>
      </c>
      <c r="J66" s="243" t="s">
        <v>40</v>
      </c>
      <c r="O66" s="66">
        <f ca="1">INDEX(O$26:O$33,MATCH($D66,$D$26:$D$33,0))*Inputs_Other!O156</f>
        <v>9915.6095835320339</v>
      </c>
      <c r="P66" s="66">
        <f ca="1">INDEX(P$26:P$33,MATCH($D66,$D$26:$D$33,0))*Inputs_Other!P156</f>
        <v>11496.31308977309</v>
      </c>
      <c r="Q66" s="66">
        <f ca="1">INDEX(Q$26:Q$33,MATCH($D66,$D$26:$D$33,0))*Inputs_Other!Q156</f>
        <v>12571.222685944158</v>
      </c>
      <c r="R66" s="66">
        <f ca="1">INDEX(R$26:R$33,MATCH($D66,$D$26:$D$33,0))*Inputs_Other!R156</f>
        <v>14105.406578070846</v>
      </c>
      <c r="S66" s="66">
        <f ca="1">INDEX(S$26:S$33,MATCH($D66,$D$26:$D$33,0))*Inputs_Other!S156</f>
        <v>15232.841144353119</v>
      </c>
    </row>
    <row r="67" spans="1:19" ht="12.75" x14ac:dyDescent="0.2">
      <c r="C67" s="169">
        <f>Inputs_Other!C157</f>
        <v>6</v>
      </c>
      <c r="D67" s="75" t="str">
        <f>Inputs_Other!D157</f>
        <v>HV Smart Meters</v>
      </c>
      <c r="E67" s="53" t="str">
        <f>Inputs_Other!E157</f>
        <v>On-Season Demand</v>
      </c>
      <c r="H67" s="243" t="s">
        <v>52</v>
      </c>
      <c r="I67" s="243" t="s">
        <v>47</v>
      </c>
      <c r="J67" s="243" t="s">
        <v>40</v>
      </c>
      <c r="O67" s="66">
        <f ca="1">INDEX(O$26:O$33,MATCH($D67,$D$26:$D$33,0))*Inputs_Other!O157</f>
        <v>0</v>
      </c>
      <c r="P67" s="66">
        <f ca="1">INDEX(P$26:P$33,MATCH($D67,$D$26:$D$33,0))*Inputs_Other!P157</f>
        <v>0</v>
      </c>
      <c r="Q67" s="66">
        <f ca="1">INDEX(Q$26:Q$33,MATCH($D67,$D$26:$D$33,0))*Inputs_Other!Q157</f>
        <v>0</v>
      </c>
      <c r="R67" s="66">
        <f ca="1">INDEX(R$26:R$33,MATCH($D67,$D$26:$D$33,0))*Inputs_Other!R157</f>
        <v>0</v>
      </c>
      <c r="S67" s="66">
        <f ca="1">INDEX(S$26:S$33,MATCH($D67,$D$26:$D$33,0))*Inputs_Other!S157</f>
        <v>0</v>
      </c>
    </row>
    <row r="68" spans="1:19" ht="12.75" x14ac:dyDescent="0.2">
      <c r="C68" s="169">
        <f>Inputs_Other!C158</f>
        <v>6</v>
      </c>
      <c r="D68" s="75" t="str">
        <f>Inputs_Other!D158</f>
        <v>HV Smart Meters</v>
      </c>
      <c r="E68" s="53" t="str">
        <f>Inputs_Other!E158</f>
        <v>Off-Season Demand</v>
      </c>
      <c r="H68" s="243" t="s">
        <v>52</v>
      </c>
      <c r="I68" s="243" t="s">
        <v>47</v>
      </c>
      <c r="J68" s="243" t="s">
        <v>40</v>
      </c>
      <c r="O68" s="66">
        <f ca="1">INDEX(O$26:O$33,MATCH($D68,$D$26:$D$33,0))*Inputs_Other!O158</f>
        <v>0</v>
      </c>
      <c r="P68" s="66">
        <f ca="1">INDEX(P$26:P$33,MATCH($D68,$D$26:$D$33,0))*Inputs_Other!P158</f>
        <v>0</v>
      </c>
      <c r="Q68" s="66">
        <f ca="1">INDEX(Q$26:Q$33,MATCH($D68,$D$26:$D$33,0))*Inputs_Other!Q158</f>
        <v>0</v>
      </c>
      <c r="R68" s="66">
        <f ca="1">INDEX(R$26:R$33,MATCH($D68,$D$26:$D$33,0))*Inputs_Other!R158</f>
        <v>0</v>
      </c>
      <c r="S68" s="66">
        <f ca="1">INDEX(S$26:S$33,MATCH($D68,$D$26:$D$33,0))*Inputs_Other!S158</f>
        <v>0</v>
      </c>
    </row>
    <row r="69" spans="1:19" ht="11.25" customHeight="1" x14ac:dyDescent="0.2"/>
    <row r="70" spans="1:19" ht="11.25" customHeight="1" x14ac:dyDescent="0.2">
      <c r="D70" s="62" t="s">
        <v>51</v>
      </c>
      <c r="E70" s="56"/>
      <c r="H70" s="56" t="s">
        <v>52</v>
      </c>
      <c r="I70" s="56" t="str">
        <f>Thousands</f>
        <v>$000's</v>
      </c>
      <c r="J70" s="56" t="str">
        <f>Nominal</f>
        <v>Nominal</v>
      </c>
      <c r="O70" s="68">
        <f ca="1">SUM(O44:O68)</f>
        <v>104271.29896084448</v>
      </c>
      <c r="P70" s="68">
        <f ca="1">SUM(P44:P68)</f>
        <v>117729.01864613361</v>
      </c>
      <c r="Q70" s="68">
        <f ca="1">SUM(Q44:Q68)</f>
        <v>133176.28421958259</v>
      </c>
      <c r="R70" s="68">
        <f ca="1">SUM(R44:R68)</f>
        <v>150307.58529045797</v>
      </c>
      <c r="S70" s="68">
        <f ca="1">SUM(S44:S68)</f>
        <v>159837.73553094344</v>
      </c>
    </row>
    <row r="71" spans="1:19" ht="11.25" customHeight="1" x14ac:dyDescent="0.2"/>
    <row r="72" spans="1:19" ht="12.75" hidden="1" outlineLevel="1" x14ac:dyDescent="0.2">
      <c r="D72" s="81" t="s">
        <v>90</v>
      </c>
      <c r="E72" s="82"/>
      <c r="G72" s="82"/>
      <c r="H72" s="243" t="s">
        <v>52</v>
      </c>
      <c r="I72" s="243" t="s">
        <v>47</v>
      </c>
      <c r="J72" s="243" t="s">
        <v>40</v>
      </c>
      <c r="K72" s="63"/>
      <c r="O72" s="66">
        <f ca="1">O35</f>
        <v>104271.29896084451</v>
      </c>
      <c r="P72" s="66">
        <f ca="1">P35</f>
        <v>117729.01864613363</v>
      </c>
      <c r="Q72" s="66">
        <f ca="1">Q35</f>
        <v>133176.28421958262</v>
      </c>
      <c r="R72" s="66">
        <f ca="1">R35</f>
        <v>150307.58529045794</v>
      </c>
      <c r="S72" s="66">
        <f ca="1">S35</f>
        <v>159837.73553094344</v>
      </c>
    </row>
    <row r="73" spans="1:19" ht="12.75" hidden="1" outlineLevel="1" x14ac:dyDescent="0.2">
      <c r="A73" s="59">
        <f ca="1">IF(SUM($M73:$S73)=0,0,1)</f>
        <v>0</v>
      </c>
      <c r="D73" s="81" t="s">
        <v>55</v>
      </c>
      <c r="E73" s="82"/>
      <c r="F73" s="80"/>
      <c r="G73" s="82"/>
      <c r="H73" s="80"/>
      <c r="I73" s="84"/>
      <c r="J73" s="84"/>
      <c r="K73" s="63"/>
      <c r="O73" s="59">
        <f ca="1">IF(ROUND(O72-O70,2)=0,0,1)</f>
        <v>0</v>
      </c>
      <c r="P73" s="59">
        <f ca="1">IF(ROUND(P72-P70,2)=0,0,1)</f>
        <v>0</v>
      </c>
      <c r="Q73" s="59">
        <f ca="1">IF(ROUND(Q72-Q70,2)=0,0,1)</f>
        <v>0</v>
      </c>
      <c r="R73" s="59">
        <f ca="1">IF(ROUND(R72-R70,2)=0,0,1)</f>
        <v>0</v>
      </c>
      <c r="S73" s="59">
        <f ca="1">IF(ROUND(S72-S70,2)=0,0,1)</f>
        <v>0</v>
      </c>
    </row>
    <row r="74" spans="1:19" ht="11.25" customHeight="1" collapsed="1" x14ac:dyDescent="0.2"/>
    <row r="75" spans="1:19" s="2" customFormat="1" ht="15.75" x14ac:dyDescent="0.2">
      <c r="B75" s="2" t="s">
        <v>737</v>
      </c>
    </row>
    <row r="76" spans="1:19" ht="11.25" customHeight="1" x14ac:dyDescent="0.2"/>
    <row r="77" spans="1:19" ht="11.25" customHeight="1" x14ac:dyDescent="0.2">
      <c r="D77" s="105" t="s">
        <v>141</v>
      </c>
    </row>
    <row r="78" spans="1:19" ht="11.25" customHeight="1" x14ac:dyDescent="0.2"/>
    <row r="79" spans="1:19" ht="11.25" customHeight="1" x14ac:dyDescent="0.2"/>
    <row r="80" spans="1:19" s="8" customFormat="1" ht="15" x14ac:dyDescent="0.2">
      <c r="C80" s="8" t="s">
        <v>138</v>
      </c>
    </row>
    <row r="81" spans="1:19" ht="11.25" customHeight="1" x14ac:dyDescent="0.2"/>
    <row r="82" spans="1:19" ht="11.25" customHeight="1" x14ac:dyDescent="0.2">
      <c r="C82" s="170" t="s">
        <v>5</v>
      </c>
      <c r="D82" s="70" t="s">
        <v>118</v>
      </c>
      <c r="H82" s="54" t="str">
        <f>Lookup!E$19</f>
        <v>Source</v>
      </c>
      <c r="I82" s="54" t="str">
        <f>Lookup!F$19</f>
        <v>Unit</v>
      </c>
      <c r="O82" s="54" t="str">
        <f>O$9</f>
        <v>FY25</v>
      </c>
      <c r="P82" s="54" t="str">
        <f>P$9</f>
        <v>FY26</v>
      </c>
      <c r="Q82" s="54" t="str">
        <f>Q$9</f>
        <v>FY27</v>
      </c>
      <c r="R82" s="54" t="str">
        <f>R$9</f>
        <v>FY28</v>
      </c>
      <c r="S82" s="54" t="str">
        <f>S$9</f>
        <v>FY29</v>
      </c>
    </row>
    <row r="83" spans="1:19" ht="11.25" customHeight="1" x14ac:dyDescent="0.2">
      <c r="D83" s="1"/>
    </row>
    <row r="84" spans="1:19" ht="12.75" x14ac:dyDescent="0.2">
      <c r="C84" s="169">
        <v>1</v>
      </c>
      <c r="D84" s="75" t="str" cm="1">
        <f t="array" ref="D84:D91">LU_Tariffs</f>
        <v>Residential Accumulation</v>
      </c>
      <c r="E84" s="82"/>
      <c r="F84" s="82"/>
      <c r="G84" s="82"/>
      <c r="H84" s="243" t="s">
        <v>52</v>
      </c>
      <c r="I84" s="243" t="s">
        <v>43</v>
      </c>
      <c r="O84" s="141">
        <f t="shared" ref="O84:S91" ca="1" si="0">O26/O$35</f>
        <v>0.32171488191541742</v>
      </c>
      <c r="P84" s="141">
        <f t="shared" ca="1" si="0"/>
        <v>0.23279678513799579</v>
      </c>
      <c r="Q84" s="141">
        <f t="shared" ca="1" si="0"/>
        <v>0.15865653721762399</v>
      </c>
      <c r="R84" s="141">
        <f t="shared" ca="1" si="0"/>
        <v>0.12748173680987146</v>
      </c>
      <c r="S84" s="141">
        <f t="shared" ca="1" si="0"/>
        <v>6.6714710649452114E-2</v>
      </c>
    </row>
    <row r="85" spans="1:19" ht="12.75" x14ac:dyDescent="0.2">
      <c r="C85" s="169">
        <v>2</v>
      </c>
      <c r="D85" s="75" t="str">
        <v>Non-Residential Accumulation</v>
      </c>
      <c r="H85" s="243" t="s">
        <v>52</v>
      </c>
      <c r="I85" s="243" t="s">
        <v>43</v>
      </c>
      <c r="O85" s="141">
        <f t="shared" ca="1" si="0"/>
        <v>1.2004897566585687E-2</v>
      </c>
      <c r="P85" s="141">
        <f t="shared" ca="1" si="0"/>
        <v>8.5702895493892286E-3</v>
      </c>
      <c r="Q85" s="141">
        <f t="shared" ca="1" si="0"/>
        <v>5.4972174698702664E-3</v>
      </c>
      <c r="R85" s="141">
        <f t="shared" ca="1" si="0"/>
        <v>2.3690936944258836E-3</v>
      </c>
      <c r="S85" s="141">
        <f t="shared" ca="1" si="0"/>
        <v>0</v>
      </c>
    </row>
    <row r="86" spans="1:19" ht="12.75" x14ac:dyDescent="0.2">
      <c r="C86" s="169" t="s">
        <v>491</v>
      </c>
      <c r="D86" s="75" t="str">
        <v>LV Smart Meter - Res</v>
      </c>
      <c r="H86" s="243" t="s">
        <v>52</v>
      </c>
      <c r="I86" s="243" t="s">
        <v>43</v>
      </c>
      <c r="O86" s="141">
        <f t="shared" ca="1" si="0"/>
        <v>0.19789032021472291</v>
      </c>
      <c r="P86" s="141">
        <f t="shared" ca="1" si="0"/>
        <v>0.27109301728494917</v>
      </c>
      <c r="Q86" s="141">
        <f t="shared" ca="1" si="0"/>
        <v>0.35554258156351265</v>
      </c>
      <c r="R86" s="141">
        <f t="shared" ca="1" si="0"/>
        <v>0.39162937712303691</v>
      </c>
      <c r="S86" s="141">
        <f t="shared" ca="1" si="0"/>
        <v>0.42749133486248281</v>
      </c>
    </row>
    <row r="87" spans="1:19" ht="12.75" x14ac:dyDescent="0.2">
      <c r="C87" s="169" t="s">
        <v>492</v>
      </c>
      <c r="D87" s="75" t="str">
        <v>LV Smart Meter - Small Comm</v>
      </c>
      <c r="H87" s="243" t="s">
        <v>52</v>
      </c>
      <c r="I87" s="243" t="s">
        <v>43</v>
      </c>
      <c r="O87" s="141">
        <f t="shared" ca="1" si="0"/>
        <v>0.12301121246834304</v>
      </c>
      <c r="P87" s="141">
        <f t="shared" ca="1" si="0"/>
        <v>0.12115698478180004</v>
      </c>
      <c r="Q87" s="141">
        <f t="shared" ca="1" si="0"/>
        <v>0.12181356623346101</v>
      </c>
      <c r="R87" s="141">
        <f t="shared" ca="1" si="0"/>
        <v>0.12023301667846628</v>
      </c>
      <c r="S87" s="141">
        <f t="shared" ca="1" si="0"/>
        <v>0.12254726199571905</v>
      </c>
    </row>
    <row r="88" spans="1:19" ht="12.75" x14ac:dyDescent="0.2">
      <c r="C88" s="169" t="s">
        <v>493</v>
      </c>
      <c r="D88" s="75" t="str">
        <v>LV Smart Meter - Med Comm</v>
      </c>
      <c r="H88" s="243" t="s">
        <v>52</v>
      </c>
      <c r="I88" s="243" t="s">
        <v>43</v>
      </c>
      <c r="O88" s="141">
        <f t="shared" ca="1" si="0"/>
        <v>0.11680834623380666</v>
      </c>
      <c r="P88" s="141">
        <f t="shared" ca="1" si="0"/>
        <v>0.13027995040761792</v>
      </c>
      <c r="Q88" s="141">
        <f t="shared" ca="1" si="0"/>
        <v>0.1267719482767603</v>
      </c>
      <c r="R88" s="141">
        <f t="shared" ca="1" si="0"/>
        <v>0.1268350743614842</v>
      </c>
      <c r="S88" s="141">
        <f t="shared" ca="1" si="0"/>
        <v>0.14799568942185728</v>
      </c>
    </row>
    <row r="89" spans="1:19" ht="12.75" x14ac:dyDescent="0.2">
      <c r="C89" s="169">
        <v>4</v>
      </c>
      <c r="D89" s="75" t="str">
        <v>Unmetered</v>
      </c>
      <c r="H89" s="243" t="s">
        <v>52</v>
      </c>
      <c r="I89" s="243" t="s">
        <v>43</v>
      </c>
      <c r="O89" s="141">
        <f t="shared" ca="1" si="0"/>
        <v>1.4815222938979205E-2</v>
      </c>
      <c r="P89" s="141">
        <f t="shared" ca="1" si="0"/>
        <v>2.0135096310072032E-2</v>
      </c>
      <c r="Q89" s="141">
        <f t="shared" ca="1" si="0"/>
        <v>1.90095521080248E-2</v>
      </c>
      <c r="R89" s="141">
        <f t="shared" ca="1" si="0"/>
        <v>1.711393659510688E-2</v>
      </c>
      <c r="S89" s="141">
        <f t="shared" ca="1" si="0"/>
        <v>1.7054004051778662E-2</v>
      </c>
    </row>
    <row r="90" spans="1:19" ht="12.75" x14ac:dyDescent="0.2">
      <c r="C90" s="169">
        <v>5</v>
      </c>
      <c r="D90" s="75" t="str">
        <v>LV Majors</v>
      </c>
      <c r="H90" s="243" t="s">
        <v>52</v>
      </c>
      <c r="I90" s="243" t="s">
        <v>43</v>
      </c>
      <c r="O90" s="141">
        <f t="shared" ca="1" si="0"/>
        <v>8.6962675201674403E-2</v>
      </c>
      <c r="P90" s="141">
        <f t="shared" ca="1" si="0"/>
        <v>8.5767033700253459E-2</v>
      </c>
      <c r="Q90" s="141">
        <f t="shared" ca="1" si="0"/>
        <v>8.684812320215482E-2</v>
      </c>
      <c r="R90" s="141">
        <f t="shared" ca="1" si="0"/>
        <v>8.9212949949202203E-2</v>
      </c>
      <c r="S90" s="141">
        <f t="shared" ca="1" si="0"/>
        <v>9.1127788536773932E-2</v>
      </c>
    </row>
    <row r="91" spans="1:19" ht="12.75" x14ac:dyDescent="0.2">
      <c r="C91" s="169">
        <v>6</v>
      </c>
      <c r="D91" s="75" t="str">
        <v>HV Smart Meters</v>
      </c>
      <c r="H91" s="243" t="s">
        <v>52</v>
      </c>
      <c r="I91" s="243" t="s">
        <v>43</v>
      </c>
      <c r="O91" s="141">
        <f t="shared" ca="1" si="0"/>
        <v>0.12679244346047067</v>
      </c>
      <c r="P91" s="141">
        <f t="shared" ca="1" si="0"/>
        <v>0.13020084282792238</v>
      </c>
      <c r="Q91" s="141">
        <f t="shared" ca="1" si="0"/>
        <v>0.12586047392859204</v>
      </c>
      <c r="R91" s="141">
        <f t="shared" ca="1" si="0"/>
        <v>0.12512481478840626</v>
      </c>
      <c r="S91" s="141">
        <f t="shared" ca="1" si="0"/>
        <v>0.12706921048193612</v>
      </c>
    </row>
    <row r="92" spans="1:19" ht="11.25" customHeight="1" x14ac:dyDescent="0.2"/>
    <row r="93" spans="1:19" ht="11.25" customHeight="1" x14ac:dyDescent="0.2">
      <c r="D93" s="62" t="s">
        <v>51</v>
      </c>
      <c r="H93" s="56" t="s">
        <v>52</v>
      </c>
      <c r="I93" s="56" t="s">
        <v>43</v>
      </c>
      <c r="O93" s="73">
        <f ca="1">SUM(O84:O91)</f>
        <v>1</v>
      </c>
      <c r="P93" s="73">
        <f ca="1">SUM(P84:P91)</f>
        <v>1.0000000000000002</v>
      </c>
      <c r="Q93" s="73">
        <f ca="1">SUM(Q84:Q91)</f>
        <v>0.99999999999999989</v>
      </c>
      <c r="R93" s="73">
        <f ca="1">SUM(R84:R91)</f>
        <v>1.0000000000000002</v>
      </c>
      <c r="S93" s="73">
        <f ca="1">SUM(S84:S91)</f>
        <v>1</v>
      </c>
    </row>
    <row r="94" spans="1:19" ht="11.25" customHeight="1" x14ac:dyDescent="0.2"/>
    <row r="95" spans="1:19" ht="12.75" hidden="1" outlineLevel="1" x14ac:dyDescent="0.2">
      <c r="D95" s="81" t="s">
        <v>90</v>
      </c>
      <c r="E95" s="82"/>
      <c r="G95" s="82"/>
      <c r="H95" s="243" t="s">
        <v>52</v>
      </c>
      <c r="I95" s="243" t="s">
        <v>43</v>
      </c>
      <c r="O95" s="111">
        <v>1</v>
      </c>
      <c r="P95" s="111">
        <v>1</v>
      </c>
      <c r="Q95" s="111">
        <v>1</v>
      </c>
      <c r="R95" s="111">
        <v>1</v>
      </c>
      <c r="S95" s="111">
        <v>1</v>
      </c>
    </row>
    <row r="96" spans="1:19" ht="12.75" hidden="1" outlineLevel="1" x14ac:dyDescent="0.2">
      <c r="A96" s="59">
        <f ca="1">IF(SUM($M96:$S96)=0,0,1)</f>
        <v>0</v>
      </c>
      <c r="D96" s="81" t="s">
        <v>55</v>
      </c>
      <c r="E96" s="82"/>
      <c r="F96" s="80"/>
      <c r="G96" s="82"/>
      <c r="H96" s="80"/>
      <c r="I96" s="84"/>
      <c r="O96" s="59">
        <f ca="1">IF(ROUND(O95-O93,2)=0,0,1)</f>
        <v>0</v>
      </c>
      <c r="P96" s="59">
        <f ca="1">IF(ROUND(P95-P93,2)=0,0,1)</f>
        <v>0</v>
      </c>
      <c r="Q96" s="59">
        <f ca="1">IF(ROUND(Q95-Q93,2)=0,0,1)</f>
        <v>0</v>
      </c>
      <c r="R96" s="59">
        <f ca="1">IF(ROUND(R95-R93,2)=0,0,1)</f>
        <v>0</v>
      </c>
      <c r="S96" s="59">
        <f ca="1">IF(ROUND(S95-S93,2)=0,0,1)</f>
        <v>0</v>
      </c>
    </row>
    <row r="97" spans="3:19" ht="11.25" customHeight="1" collapsed="1" x14ac:dyDescent="0.2"/>
    <row r="98" spans="3:19" s="8" customFormat="1" ht="15" x14ac:dyDescent="0.2">
      <c r="C98" s="8" t="s">
        <v>278</v>
      </c>
    </row>
    <row r="99" spans="3:19" ht="11.25" customHeight="1" x14ac:dyDescent="0.2"/>
    <row r="100" spans="3:19" ht="11.25" customHeight="1" x14ac:dyDescent="0.2">
      <c r="C100" s="170" t="s">
        <v>5</v>
      </c>
      <c r="D100" s="70" t="s">
        <v>118</v>
      </c>
      <c r="E100" s="54" t="s">
        <v>119</v>
      </c>
      <c r="H100" s="54" t="str">
        <f>Lookup!E$19</f>
        <v>Source</v>
      </c>
      <c r="I100" s="54" t="str">
        <f>Lookup!F$19</f>
        <v>Unit</v>
      </c>
      <c r="O100" s="54" t="str">
        <f>O$9</f>
        <v>FY25</v>
      </c>
      <c r="P100" s="54" t="str">
        <f>P$9</f>
        <v>FY26</v>
      </c>
      <c r="Q100" s="54" t="str">
        <f>Q$9</f>
        <v>FY27</v>
      </c>
      <c r="R100" s="54" t="str">
        <f>R$9</f>
        <v>FY28</v>
      </c>
      <c r="S100" s="54" t="str">
        <f>S$9</f>
        <v>FY29</v>
      </c>
    </row>
    <row r="101" spans="3:19" ht="11.25" customHeight="1" x14ac:dyDescent="0.2">
      <c r="D101" s="1"/>
      <c r="E101" s="15"/>
    </row>
    <row r="102" spans="3:19" ht="12.75" x14ac:dyDescent="0.2">
      <c r="C102" s="169">
        <f t="shared" ref="C102:E126" si="1">C44</f>
        <v>1</v>
      </c>
      <c r="D102" s="85" t="str">
        <f t="shared" si="1"/>
        <v>Residential Accumulation</v>
      </c>
      <c r="E102" s="243" t="str">
        <f t="shared" si="1"/>
        <v>SAC</v>
      </c>
      <c r="G102" s="82"/>
      <c r="H102" s="243" t="s">
        <v>52</v>
      </c>
      <c r="I102" s="243" t="s">
        <v>43</v>
      </c>
      <c r="O102" s="72">
        <f t="shared" ref="O102:S111" ca="1" si="2">O44/O$70</f>
        <v>0.22520041734079224</v>
      </c>
      <c r="P102" s="72">
        <f t="shared" ca="1" si="2"/>
        <v>0.16295774959659706</v>
      </c>
      <c r="Q102" s="72">
        <f t="shared" ca="1" si="2"/>
        <v>0.11105957605233681</v>
      </c>
      <c r="R102" s="72">
        <f t="shared" ca="1" si="2"/>
        <v>8.9237215766910002E-2</v>
      </c>
      <c r="S102" s="72">
        <f t="shared" ca="1" si="2"/>
        <v>4.6700297454616478E-2</v>
      </c>
    </row>
    <row r="103" spans="3:19" ht="12.75" x14ac:dyDescent="0.2">
      <c r="C103" s="169">
        <f t="shared" si="1"/>
        <v>1</v>
      </c>
      <c r="D103" s="85" t="str">
        <f t="shared" si="1"/>
        <v>Residential Accumulation</v>
      </c>
      <c r="E103" s="243" t="str">
        <f t="shared" si="1"/>
        <v>Anytime Energy</v>
      </c>
      <c r="H103" s="243" t="s">
        <v>52</v>
      </c>
      <c r="I103" s="243" t="s">
        <v>43</v>
      </c>
      <c r="O103" s="72">
        <f t="shared" ca="1" si="2"/>
        <v>9.6514464574625258E-2</v>
      </c>
      <c r="P103" s="72">
        <f t="shared" ca="1" si="2"/>
        <v>6.9839035541398753E-2</v>
      </c>
      <c r="Q103" s="72">
        <f t="shared" ca="1" si="2"/>
        <v>4.7596961165287208E-2</v>
      </c>
      <c r="R103" s="72">
        <f t="shared" ca="1" si="2"/>
        <v>3.8244521042961437E-2</v>
      </c>
      <c r="S103" s="72">
        <f t="shared" ca="1" si="2"/>
        <v>2.0014413194835635E-2</v>
      </c>
    </row>
    <row r="104" spans="3:19" ht="12.75" x14ac:dyDescent="0.2">
      <c r="C104" s="169">
        <f t="shared" si="1"/>
        <v>2</v>
      </c>
      <c r="D104" s="85" t="str">
        <f t="shared" si="1"/>
        <v>Non-Residential Accumulation</v>
      </c>
      <c r="E104" s="243" t="str">
        <f t="shared" si="1"/>
        <v>SAC</v>
      </c>
      <c r="H104" s="243" t="s">
        <v>52</v>
      </c>
      <c r="I104" s="243" t="s">
        <v>43</v>
      </c>
      <c r="O104" s="72">
        <f t="shared" ca="1" si="2"/>
        <v>3.4646134377166308E-3</v>
      </c>
      <c r="P104" s="72">
        <f t="shared" ca="1" si="2"/>
        <v>2.4733855639537321E-3</v>
      </c>
      <c r="Q104" s="72">
        <f t="shared" ca="1" si="2"/>
        <v>1.5864969618045593E-3</v>
      </c>
      <c r="R104" s="72">
        <f t="shared" ca="1" si="2"/>
        <v>6.8372044021130997E-4</v>
      </c>
      <c r="S104" s="72">
        <f t="shared" ca="1" si="2"/>
        <v>0</v>
      </c>
    </row>
    <row r="105" spans="3:19" ht="12.75" x14ac:dyDescent="0.2">
      <c r="C105" s="169">
        <f t="shared" si="1"/>
        <v>2</v>
      </c>
      <c r="D105" s="85" t="str">
        <f t="shared" si="1"/>
        <v>Non-Residential Accumulation</v>
      </c>
      <c r="E105" s="243" t="str">
        <f t="shared" si="1"/>
        <v>Anytime Energy</v>
      </c>
      <c r="H105" s="243" t="s">
        <v>52</v>
      </c>
      <c r="I105" s="243" t="s">
        <v>43</v>
      </c>
      <c r="O105" s="72">
        <f t="shared" ca="1" si="2"/>
        <v>8.5402841288690617E-3</v>
      </c>
      <c r="P105" s="72">
        <f t="shared" ca="1" si="2"/>
        <v>6.0969039854354987E-3</v>
      </c>
      <c r="Q105" s="72">
        <f t="shared" ca="1" si="2"/>
        <v>3.9107205080657088E-3</v>
      </c>
      <c r="R105" s="72">
        <f t="shared" ca="1" si="2"/>
        <v>1.6853732542145732E-3</v>
      </c>
      <c r="S105" s="72">
        <f t="shared" ca="1" si="2"/>
        <v>0</v>
      </c>
    </row>
    <row r="106" spans="3:19" ht="12.75" x14ac:dyDescent="0.2">
      <c r="C106" s="169" t="str">
        <f t="shared" si="1"/>
        <v>3a</v>
      </c>
      <c r="D106" s="85" t="str">
        <f t="shared" si="1"/>
        <v>LV Smart Meter - Res</v>
      </c>
      <c r="E106" s="243" t="str">
        <f t="shared" si="1"/>
        <v>SAC</v>
      </c>
      <c r="H106" s="243" t="s">
        <v>52</v>
      </c>
      <c r="I106" s="243" t="s">
        <v>43</v>
      </c>
      <c r="O106" s="72">
        <f t="shared" ca="1" si="2"/>
        <v>0.17810128819325069</v>
      </c>
      <c r="P106" s="72">
        <f t="shared" ca="1" si="2"/>
        <v>0.24398371555645426</v>
      </c>
      <c r="Q106" s="72">
        <f t="shared" ca="1" si="2"/>
        <v>0.31998832340716143</v>
      </c>
      <c r="R106" s="72">
        <f t="shared" ca="1" si="2"/>
        <v>0.35246643941073319</v>
      </c>
      <c r="S106" s="72">
        <f t="shared" ca="1" si="2"/>
        <v>0.38474220137623455</v>
      </c>
    </row>
    <row r="107" spans="3:19" ht="12.75" x14ac:dyDescent="0.2">
      <c r="C107" s="169" t="str">
        <f t="shared" si="1"/>
        <v>3a</v>
      </c>
      <c r="D107" s="85" t="str">
        <f t="shared" si="1"/>
        <v>LV Smart Meter - Res</v>
      </c>
      <c r="E107" s="243" t="str">
        <f t="shared" si="1"/>
        <v>Peak Energy</v>
      </c>
      <c r="H107" s="243" t="s">
        <v>52</v>
      </c>
      <c r="I107" s="243" t="s">
        <v>43</v>
      </c>
      <c r="O107" s="72">
        <f t="shared" ca="1" si="2"/>
        <v>0</v>
      </c>
      <c r="P107" s="72">
        <f t="shared" ca="1" si="2"/>
        <v>0</v>
      </c>
      <c r="Q107" s="72">
        <f t="shared" ca="1" si="2"/>
        <v>0</v>
      </c>
      <c r="R107" s="72">
        <f t="shared" ca="1" si="2"/>
        <v>0</v>
      </c>
      <c r="S107" s="72">
        <f t="shared" ca="1" si="2"/>
        <v>0</v>
      </c>
    </row>
    <row r="108" spans="3:19" ht="12.75" x14ac:dyDescent="0.2">
      <c r="C108" s="169" t="str">
        <f t="shared" si="1"/>
        <v>3a</v>
      </c>
      <c r="D108" s="85" t="str">
        <f t="shared" si="1"/>
        <v>LV Smart Meter - Res</v>
      </c>
      <c r="E108" s="243" t="str">
        <f t="shared" si="1"/>
        <v>Off-peak Energy</v>
      </c>
      <c r="H108" s="243" t="s">
        <v>52</v>
      </c>
      <c r="I108" s="243" t="s">
        <v>43</v>
      </c>
      <c r="O108" s="72">
        <f t="shared" ca="1" si="2"/>
        <v>1.9789032021472291E-2</v>
      </c>
      <c r="P108" s="72">
        <f t="shared" ca="1" si="2"/>
        <v>2.7109301728494913E-2</v>
      </c>
      <c r="Q108" s="72">
        <f t="shared" ca="1" si="2"/>
        <v>3.5554258156351264E-2</v>
      </c>
      <c r="R108" s="72">
        <f t="shared" ca="1" si="2"/>
        <v>3.9162937712303676E-2</v>
      </c>
      <c r="S108" s="72">
        <f t="shared" ca="1" si="2"/>
        <v>4.2749133486248266E-2</v>
      </c>
    </row>
    <row r="109" spans="3:19" ht="12.75" x14ac:dyDescent="0.2">
      <c r="C109" s="169" t="str">
        <f t="shared" si="1"/>
        <v>3a</v>
      </c>
      <c r="D109" s="85" t="str">
        <f t="shared" si="1"/>
        <v>LV Smart Meter - Res</v>
      </c>
      <c r="E109" s="243" t="str">
        <f t="shared" si="1"/>
        <v>Super Off-peak Energy</v>
      </c>
      <c r="H109" s="243" t="s">
        <v>52</v>
      </c>
      <c r="I109" s="243" t="s">
        <v>43</v>
      </c>
      <c r="O109" s="72">
        <f t="shared" ca="1" si="2"/>
        <v>0</v>
      </c>
      <c r="P109" s="72">
        <f t="shared" ca="1" si="2"/>
        <v>0</v>
      </c>
      <c r="Q109" s="72">
        <f t="shared" ca="1" si="2"/>
        <v>0</v>
      </c>
      <c r="R109" s="72">
        <f t="shared" ca="1" si="2"/>
        <v>0</v>
      </c>
      <c r="S109" s="72">
        <f t="shared" ca="1" si="2"/>
        <v>0</v>
      </c>
    </row>
    <row r="110" spans="3:19" ht="12.75" x14ac:dyDescent="0.2">
      <c r="C110" s="169" t="str">
        <f t="shared" si="1"/>
        <v>3b</v>
      </c>
      <c r="D110" s="85" t="str">
        <f t="shared" si="1"/>
        <v>LV Smart Meter - Small Comm</v>
      </c>
      <c r="E110" s="243" t="str">
        <f t="shared" si="1"/>
        <v>SAC</v>
      </c>
      <c r="H110" s="243" t="s">
        <v>52</v>
      </c>
      <c r="I110" s="243" t="s">
        <v>43</v>
      </c>
      <c r="O110" s="72">
        <f t="shared" ca="1" si="2"/>
        <v>2.460224249366862E-2</v>
      </c>
      <c r="P110" s="72">
        <f t="shared" ca="1" si="2"/>
        <v>4.1193374825812021E-2</v>
      </c>
      <c r="Q110" s="72">
        <f t="shared" ca="1" si="2"/>
        <v>4.1416612519376755E-2</v>
      </c>
      <c r="R110" s="72">
        <f t="shared" ca="1" si="2"/>
        <v>4.0879225670678532E-2</v>
      </c>
      <c r="S110" s="72">
        <f t="shared" ca="1" si="2"/>
        <v>4.1666069078544483E-2</v>
      </c>
    </row>
    <row r="111" spans="3:19" ht="12.75" x14ac:dyDescent="0.2">
      <c r="C111" s="169" t="str">
        <f t="shared" si="1"/>
        <v>3b</v>
      </c>
      <c r="D111" s="85" t="str">
        <f t="shared" si="1"/>
        <v>LV Smart Meter - Small Comm</v>
      </c>
      <c r="E111" s="243" t="str">
        <f t="shared" si="1"/>
        <v>Peak Energy</v>
      </c>
      <c r="H111" s="243" t="s">
        <v>52</v>
      </c>
      <c r="I111" s="243" t="s">
        <v>43</v>
      </c>
      <c r="O111" s="72">
        <f t="shared" ca="1" si="2"/>
        <v>0</v>
      </c>
      <c r="P111" s="72">
        <f t="shared" ca="1" si="2"/>
        <v>0</v>
      </c>
      <c r="Q111" s="72">
        <f t="shared" ca="1" si="2"/>
        <v>0</v>
      </c>
      <c r="R111" s="72">
        <f t="shared" ca="1" si="2"/>
        <v>0</v>
      </c>
      <c r="S111" s="72">
        <f t="shared" ca="1" si="2"/>
        <v>0</v>
      </c>
    </row>
    <row r="112" spans="3:19" ht="12.75" x14ac:dyDescent="0.2">
      <c r="C112" s="169" t="str">
        <f t="shared" si="1"/>
        <v>3b</v>
      </c>
      <c r="D112" s="85" t="str">
        <f t="shared" si="1"/>
        <v>LV Smart Meter - Small Comm</v>
      </c>
      <c r="E112" s="243" t="str">
        <f t="shared" si="1"/>
        <v>Off-peak Energy</v>
      </c>
      <c r="H112" s="243" t="s">
        <v>52</v>
      </c>
      <c r="I112" s="243" t="s">
        <v>43</v>
      </c>
      <c r="O112" s="72">
        <f t="shared" ref="O112:S121" ca="1" si="3">O54/O$70</f>
        <v>9.8408969974674479E-2</v>
      </c>
      <c r="P112" s="72">
        <f t="shared" ca="1" si="3"/>
        <v>7.996360995598803E-2</v>
      </c>
      <c r="Q112" s="72">
        <f t="shared" ca="1" si="3"/>
        <v>8.0396953714084271E-2</v>
      </c>
      <c r="R112" s="72">
        <f t="shared" ca="1" si="3"/>
        <v>7.9353791007787708E-2</v>
      </c>
      <c r="S112" s="72">
        <f t="shared" ca="1" si="3"/>
        <v>8.0881192917174563E-2</v>
      </c>
    </row>
    <row r="113" spans="3:19" ht="12.75" x14ac:dyDescent="0.2">
      <c r="C113" s="169" t="str">
        <f t="shared" si="1"/>
        <v>3b</v>
      </c>
      <c r="D113" s="85" t="str">
        <f t="shared" si="1"/>
        <v>LV Smart Meter - Small Comm</v>
      </c>
      <c r="E113" s="243" t="str">
        <f t="shared" si="1"/>
        <v>Super Off-peak Energy</v>
      </c>
      <c r="H113" s="243" t="s">
        <v>52</v>
      </c>
      <c r="I113" s="243" t="s">
        <v>43</v>
      </c>
      <c r="O113" s="72">
        <f t="shared" ca="1" si="3"/>
        <v>0</v>
      </c>
      <c r="P113" s="72">
        <f t="shared" ca="1" si="3"/>
        <v>0</v>
      </c>
      <c r="Q113" s="72">
        <f t="shared" ca="1" si="3"/>
        <v>0</v>
      </c>
      <c r="R113" s="72">
        <f t="shared" ca="1" si="3"/>
        <v>0</v>
      </c>
      <c r="S113" s="72">
        <f t="shared" ca="1" si="3"/>
        <v>0</v>
      </c>
    </row>
    <row r="114" spans="3:19" ht="12.75" x14ac:dyDescent="0.2">
      <c r="C114" s="169" t="str">
        <f t="shared" si="1"/>
        <v>3c</v>
      </c>
      <c r="D114" s="85" t="str">
        <f t="shared" si="1"/>
        <v>LV Smart Meter - Med Comm</v>
      </c>
      <c r="E114" s="243" t="str">
        <f t="shared" si="1"/>
        <v>SAC</v>
      </c>
      <c r="H114" s="243" t="s">
        <v>52</v>
      </c>
      <c r="I114" s="243" t="s">
        <v>43</v>
      </c>
      <c r="O114" s="72">
        <f t="shared" ca="1" si="3"/>
        <v>3.8546754257156209E-2</v>
      </c>
      <c r="P114" s="72">
        <f t="shared" ca="1" si="3"/>
        <v>4.2992383634513923E-2</v>
      </c>
      <c r="Q114" s="72">
        <f t="shared" ca="1" si="3"/>
        <v>4.1834742931330916E-2</v>
      </c>
      <c r="R114" s="72">
        <f t="shared" ca="1" si="3"/>
        <v>4.1855574539289779E-2</v>
      </c>
      <c r="S114" s="72">
        <f t="shared" ca="1" si="3"/>
        <v>4.8838577509212902E-2</v>
      </c>
    </row>
    <row r="115" spans="3:19" ht="12.75" x14ac:dyDescent="0.2">
      <c r="C115" s="169" t="str">
        <f t="shared" si="1"/>
        <v>3c</v>
      </c>
      <c r="D115" s="85" t="str">
        <f t="shared" si="1"/>
        <v>LV Smart Meter - Med Comm</v>
      </c>
      <c r="E115" s="243" t="str">
        <f t="shared" si="1"/>
        <v>Peak Energy</v>
      </c>
      <c r="H115" s="243" t="s">
        <v>52</v>
      </c>
      <c r="I115" s="243" t="s">
        <v>43</v>
      </c>
      <c r="O115" s="72">
        <f t="shared" ca="1" si="3"/>
        <v>0</v>
      </c>
      <c r="P115" s="72">
        <f t="shared" ca="1" si="3"/>
        <v>0</v>
      </c>
      <c r="Q115" s="72">
        <f t="shared" ca="1" si="3"/>
        <v>0</v>
      </c>
      <c r="R115" s="72">
        <f t="shared" ca="1" si="3"/>
        <v>0</v>
      </c>
      <c r="S115" s="72">
        <f t="shared" ca="1" si="3"/>
        <v>0</v>
      </c>
    </row>
    <row r="116" spans="3:19" ht="12.75" x14ac:dyDescent="0.2">
      <c r="C116" s="169" t="str">
        <f t="shared" si="1"/>
        <v>3c</v>
      </c>
      <c r="D116" s="85" t="str">
        <f t="shared" si="1"/>
        <v>LV Smart Meter - Med Comm</v>
      </c>
      <c r="E116" s="243" t="str">
        <f t="shared" si="1"/>
        <v>Off-peak Energy</v>
      </c>
      <c r="H116" s="243" t="s">
        <v>52</v>
      </c>
      <c r="I116" s="243" t="s">
        <v>43</v>
      </c>
      <c r="O116" s="72">
        <f t="shared" ca="1" si="3"/>
        <v>7.8261591976650474E-2</v>
      </c>
      <c r="P116" s="72">
        <f t="shared" ca="1" si="3"/>
        <v>8.7287566773104022E-2</v>
      </c>
      <c r="Q116" s="72">
        <f t="shared" ca="1" si="3"/>
        <v>8.4937205345429409E-2</v>
      </c>
      <c r="R116" s="72">
        <f t="shared" ca="1" si="3"/>
        <v>8.4979499822194368E-2</v>
      </c>
      <c r="S116" s="72">
        <f t="shared" ca="1" si="3"/>
        <v>9.9157111912644383E-2</v>
      </c>
    </row>
    <row r="117" spans="3:19" ht="12.75" x14ac:dyDescent="0.2">
      <c r="C117" s="169" t="str">
        <f t="shared" si="1"/>
        <v>3c</v>
      </c>
      <c r="D117" s="85" t="str">
        <f t="shared" si="1"/>
        <v>LV Smart Meter - Med Comm</v>
      </c>
      <c r="E117" s="243" t="str">
        <f t="shared" si="1"/>
        <v>Super Off-peak Energy</v>
      </c>
      <c r="H117" s="243" t="s">
        <v>52</v>
      </c>
      <c r="I117" s="243" t="s">
        <v>43</v>
      </c>
      <c r="O117" s="72">
        <f t="shared" ca="1" si="3"/>
        <v>0</v>
      </c>
      <c r="P117" s="72">
        <f t="shared" ca="1" si="3"/>
        <v>0</v>
      </c>
      <c r="Q117" s="72">
        <f t="shared" ca="1" si="3"/>
        <v>0</v>
      </c>
      <c r="R117" s="72">
        <f t="shared" ca="1" si="3"/>
        <v>0</v>
      </c>
      <c r="S117" s="72">
        <f t="shared" ca="1" si="3"/>
        <v>0</v>
      </c>
    </row>
    <row r="118" spans="3:19" ht="12.75" x14ac:dyDescent="0.2">
      <c r="C118" s="169">
        <f t="shared" si="1"/>
        <v>4</v>
      </c>
      <c r="D118" s="85" t="str">
        <f t="shared" si="1"/>
        <v>Unmetered</v>
      </c>
      <c r="E118" s="243" t="str">
        <f t="shared" si="1"/>
        <v>Anytime Energy</v>
      </c>
      <c r="H118" s="243" t="s">
        <v>52</v>
      </c>
      <c r="I118" s="243" t="s">
        <v>43</v>
      </c>
      <c r="O118" s="72">
        <f t="shared" ca="1" si="3"/>
        <v>1.481522293897921E-2</v>
      </c>
      <c r="P118" s="72">
        <f t="shared" ca="1" si="3"/>
        <v>2.0135096310072036E-2</v>
      </c>
      <c r="Q118" s="72">
        <f t="shared" ca="1" si="3"/>
        <v>1.9009552108024807E-2</v>
      </c>
      <c r="R118" s="72">
        <f t="shared" ca="1" si="3"/>
        <v>1.7113936595106877E-2</v>
      </c>
      <c r="S118" s="72">
        <f t="shared" ca="1" si="3"/>
        <v>1.7054004051778662E-2</v>
      </c>
    </row>
    <row r="119" spans="3:19" ht="12.75" x14ac:dyDescent="0.2">
      <c r="C119" s="169">
        <f t="shared" si="1"/>
        <v>5</v>
      </c>
      <c r="D119" s="85" t="str">
        <f t="shared" si="1"/>
        <v>LV Majors</v>
      </c>
      <c r="E119" s="243" t="str">
        <f t="shared" si="1"/>
        <v>SAC</v>
      </c>
      <c r="H119" s="243" t="s">
        <v>52</v>
      </c>
      <c r="I119" s="243" t="s">
        <v>43</v>
      </c>
      <c r="O119" s="72">
        <f t="shared" ca="1" si="3"/>
        <v>7.6092340801465125E-2</v>
      </c>
      <c r="P119" s="72">
        <f t="shared" ca="1" si="3"/>
        <v>7.2901978645215443E-2</v>
      </c>
      <c r="Q119" s="72">
        <f t="shared" ca="1" si="3"/>
        <v>7.3820904721831615E-2</v>
      </c>
      <c r="R119" s="72">
        <f t="shared" ca="1" si="3"/>
        <v>7.5831007456821864E-2</v>
      </c>
      <c r="S119" s="72">
        <f t="shared" ca="1" si="3"/>
        <v>7.745862025625784E-2</v>
      </c>
    </row>
    <row r="120" spans="3:19" ht="12.75" x14ac:dyDescent="0.2">
      <c r="C120" s="169">
        <f t="shared" si="1"/>
        <v>5</v>
      </c>
      <c r="D120" s="85" t="str">
        <f t="shared" si="1"/>
        <v>LV Majors</v>
      </c>
      <c r="E120" s="243" t="str">
        <f t="shared" si="1"/>
        <v>Anytime Energy Price</v>
      </c>
      <c r="H120" s="243" t="s">
        <v>52</v>
      </c>
      <c r="I120" s="243" t="s">
        <v>43</v>
      </c>
      <c r="O120" s="72">
        <f t="shared" ca="1" si="3"/>
        <v>1.0870334400209304E-2</v>
      </c>
      <c r="P120" s="72">
        <f t="shared" ca="1" si="3"/>
        <v>1.2865055055038023E-2</v>
      </c>
      <c r="Q120" s="72">
        <f t="shared" ca="1" si="3"/>
        <v>1.3027218480323229E-2</v>
      </c>
      <c r="R120" s="72">
        <f t="shared" ca="1" si="3"/>
        <v>1.338194249238033E-2</v>
      </c>
      <c r="S120" s="72">
        <f t="shared" ca="1" si="3"/>
        <v>1.3669168280516092E-2</v>
      </c>
    </row>
    <row r="121" spans="3:19" ht="12.75" x14ac:dyDescent="0.2">
      <c r="C121" s="169">
        <f t="shared" si="1"/>
        <v>5</v>
      </c>
      <c r="D121" s="85" t="str">
        <f t="shared" si="1"/>
        <v>LV Majors</v>
      </c>
      <c r="E121" s="243" t="str">
        <f t="shared" si="1"/>
        <v>On-Season Demand</v>
      </c>
      <c r="H121" s="243" t="s">
        <v>52</v>
      </c>
      <c r="I121" s="243" t="s">
        <v>43</v>
      </c>
      <c r="O121" s="72">
        <f t="shared" ca="1" si="3"/>
        <v>0</v>
      </c>
      <c r="P121" s="72">
        <f t="shared" ca="1" si="3"/>
        <v>0</v>
      </c>
      <c r="Q121" s="72">
        <f t="shared" ca="1" si="3"/>
        <v>0</v>
      </c>
      <c r="R121" s="72">
        <f t="shared" ca="1" si="3"/>
        <v>0</v>
      </c>
      <c r="S121" s="72">
        <f t="shared" ca="1" si="3"/>
        <v>0</v>
      </c>
    </row>
    <row r="122" spans="3:19" ht="12.75" x14ac:dyDescent="0.2">
      <c r="C122" s="169">
        <f t="shared" si="1"/>
        <v>5</v>
      </c>
      <c r="D122" s="85" t="str">
        <f t="shared" si="1"/>
        <v>LV Majors</v>
      </c>
      <c r="E122" s="243" t="str">
        <f t="shared" si="1"/>
        <v>Off-Season Demand</v>
      </c>
      <c r="H122" s="243" t="s">
        <v>52</v>
      </c>
      <c r="I122" s="243" t="s">
        <v>43</v>
      </c>
      <c r="O122" s="72">
        <f t="shared" ref="O122:S126" ca="1" si="4">O64/O$70</f>
        <v>0</v>
      </c>
      <c r="P122" s="72">
        <f t="shared" ca="1" si="4"/>
        <v>0</v>
      </c>
      <c r="Q122" s="72">
        <f t="shared" ca="1" si="4"/>
        <v>0</v>
      </c>
      <c r="R122" s="72">
        <f t="shared" ca="1" si="4"/>
        <v>0</v>
      </c>
      <c r="S122" s="72">
        <f t="shared" ca="1" si="4"/>
        <v>0</v>
      </c>
    </row>
    <row r="123" spans="3:19" ht="12.75" x14ac:dyDescent="0.2">
      <c r="C123" s="169">
        <f t="shared" si="1"/>
        <v>6</v>
      </c>
      <c r="D123" s="85" t="str">
        <f t="shared" si="1"/>
        <v>HV Smart Meters</v>
      </c>
      <c r="E123" s="243" t="str">
        <f t="shared" si="1"/>
        <v>SAC</v>
      </c>
      <c r="H123" s="243" t="s">
        <v>52</v>
      </c>
      <c r="I123" s="243" t="s">
        <v>43</v>
      </c>
      <c r="O123" s="72">
        <f t="shared" ca="1" si="4"/>
        <v>3.1698110865117674E-2</v>
      </c>
      <c r="P123" s="72">
        <f t="shared" ca="1" si="4"/>
        <v>3.2550210706980595E-2</v>
      </c>
      <c r="Q123" s="72">
        <f t="shared" ca="1" si="4"/>
        <v>3.1465118482148016E-2</v>
      </c>
      <c r="R123" s="72">
        <f t="shared" ca="1" si="4"/>
        <v>3.1281203697101564E-2</v>
      </c>
      <c r="S123" s="72">
        <f t="shared" ca="1" si="4"/>
        <v>3.1767302620484029E-2</v>
      </c>
    </row>
    <row r="124" spans="3:19" ht="12.75" x14ac:dyDescent="0.2">
      <c r="C124" s="169">
        <f t="shared" si="1"/>
        <v>6</v>
      </c>
      <c r="D124" s="85" t="str">
        <f t="shared" si="1"/>
        <v>HV Smart Meters</v>
      </c>
      <c r="E124" s="243" t="str">
        <f t="shared" si="1"/>
        <v>Anytime Energy Price</v>
      </c>
      <c r="H124" s="243" t="s">
        <v>52</v>
      </c>
      <c r="I124" s="243" t="s">
        <v>43</v>
      </c>
      <c r="O124" s="72">
        <f t="shared" ca="1" si="4"/>
        <v>9.5094332595353034E-2</v>
      </c>
      <c r="P124" s="72">
        <f t="shared" ca="1" si="4"/>
        <v>9.7650632120941785E-2</v>
      </c>
      <c r="Q124" s="72">
        <f t="shared" ca="1" si="4"/>
        <v>9.4395355446444063E-2</v>
      </c>
      <c r="R124" s="72">
        <f t="shared" ca="1" si="4"/>
        <v>9.3843611091304679E-2</v>
      </c>
      <c r="S124" s="72">
        <f t="shared" ca="1" si="4"/>
        <v>9.5301907861452095E-2</v>
      </c>
    </row>
    <row r="125" spans="3:19" ht="12.75" x14ac:dyDescent="0.2">
      <c r="C125" s="169">
        <f t="shared" si="1"/>
        <v>6</v>
      </c>
      <c r="D125" s="85" t="str">
        <f t="shared" si="1"/>
        <v>HV Smart Meters</v>
      </c>
      <c r="E125" s="243" t="str">
        <f t="shared" si="1"/>
        <v>On-Season Demand</v>
      </c>
      <c r="H125" s="243" t="s">
        <v>52</v>
      </c>
      <c r="I125" s="243" t="s">
        <v>43</v>
      </c>
      <c r="O125" s="72">
        <f t="shared" ca="1" si="4"/>
        <v>0</v>
      </c>
      <c r="P125" s="72">
        <f t="shared" ca="1" si="4"/>
        <v>0</v>
      </c>
      <c r="Q125" s="72">
        <f t="shared" ca="1" si="4"/>
        <v>0</v>
      </c>
      <c r="R125" s="72">
        <f t="shared" ca="1" si="4"/>
        <v>0</v>
      </c>
      <c r="S125" s="72">
        <f t="shared" ca="1" si="4"/>
        <v>0</v>
      </c>
    </row>
    <row r="126" spans="3:19" ht="12.75" x14ac:dyDescent="0.2">
      <c r="C126" s="169">
        <f t="shared" si="1"/>
        <v>6</v>
      </c>
      <c r="D126" s="85" t="str">
        <f t="shared" si="1"/>
        <v>HV Smart Meters</v>
      </c>
      <c r="E126" s="243" t="str">
        <f t="shared" si="1"/>
        <v>Off-Season Demand</v>
      </c>
      <c r="H126" s="243" t="s">
        <v>52</v>
      </c>
      <c r="I126" s="243" t="s">
        <v>43</v>
      </c>
      <c r="O126" s="72">
        <f t="shared" ca="1" si="4"/>
        <v>0</v>
      </c>
      <c r="P126" s="72">
        <f t="shared" ca="1" si="4"/>
        <v>0</v>
      </c>
      <c r="Q126" s="72">
        <f t="shared" ca="1" si="4"/>
        <v>0</v>
      </c>
      <c r="R126" s="72">
        <f t="shared" ca="1" si="4"/>
        <v>0</v>
      </c>
      <c r="S126" s="72">
        <f t="shared" ca="1" si="4"/>
        <v>0</v>
      </c>
    </row>
    <row r="127" spans="3:19" ht="11.25" customHeight="1" x14ac:dyDescent="0.2">
      <c r="E127" s="15"/>
    </row>
    <row r="128" spans="3:19" ht="11.25" customHeight="1" x14ac:dyDescent="0.2">
      <c r="D128" s="62" t="s">
        <v>51</v>
      </c>
      <c r="E128" s="56" t="s">
        <v>22</v>
      </c>
      <c r="H128" s="56" t="s">
        <v>52</v>
      </c>
      <c r="I128" s="56" t="s">
        <v>43</v>
      </c>
      <c r="O128" s="73">
        <f ca="1">SUM(O102:O126)</f>
        <v>1.0000000000000004</v>
      </c>
      <c r="P128" s="73">
        <f ca="1">SUM(P102:P126)</f>
        <v>1</v>
      </c>
      <c r="Q128" s="73">
        <f ca="1">SUM(Q102:Q126)</f>
        <v>1</v>
      </c>
      <c r="R128" s="73">
        <f ca="1">SUM(R102:R126)</f>
        <v>1</v>
      </c>
      <c r="S128" s="73">
        <f ca="1">SUM(S102:S126)</f>
        <v>1</v>
      </c>
    </row>
    <row r="129" spans="1:19" ht="11.25" customHeight="1" x14ac:dyDescent="0.2"/>
    <row r="130" spans="1:19" ht="12.75" hidden="1" outlineLevel="1" x14ac:dyDescent="0.2">
      <c r="D130" s="81" t="s">
        <v>90</v>
      </c>
      <c r="E130" s="82"/>
      <c r="G130" s="82"/>
      <c r="H130" s="243" t="s">
        <v>52</v>
      </c>
      <c r="I130" s="243" t="s">
        <v>43</v>
      </c>
      <c r="O130" s="111">
        <v>1</v>
      </c>
      <c r="P130" s="111">
        <v>1</v>
      </c>
      <c r="Q130" s="111">
        <v>1</v>
      </c>
      <c r="R130" s="111">
        <v>1</v>
      </c>
      <c r="S130" s="111">
        <v>1</v>
      </c>
    </row>
    <row r="131" spans="1:19" ht="12.75" hidden="1" outlineLevel="1" x14ac:dyDescent="0.2">
      <c r="A131" s="59">
        <f ca="1">IF(SUM($M131:$S131)=0,0,1)</f>
        <v>0</v>
      </c>
      <c r="D131" s="81" t="s">
        <v>55</v>
      </c>
      <c r="E131" s="82"/>
      <c r="F131" s="80"/>
      <c r="G131" s="82"/>
      <c r="H131" s="80"/>
      <c r="I131" s="84"/>
      <c r="O131" s="59">
        <f ca="1">IF(ROUND(O130-O128,2)=0,0,1)</f>
        <v>0</v>
      </c>
      <c r="P131" s="59">
        <f ca="1">IF(ROUND(P130-P128,2)=0,0,1)</f>
        <v>0</v>
      </c>
      <c r="Q131" s="59">
        <f ca="1">IF(ROUND(Q130-Q128,2)=0,0,1)</f>
        <v>0</v>
      </c>
      <c r="R131" s="59">
        <f ca="1">IF(ROUND(R130-R128,2)=0,0,1)</f>
        <v>0</v>
      </c>
      <c r="S131" s="59">
        <f ca="1">IF(ROUND(S130-S128,2)=0,0,1)</f>
        <v>0</v>
      </c>
    </row>
    <row r="132" spans="1:19" ht="11.25" customHeight="1" collapsed="1" x14ac:dyDescent="0.2"/>
    <row r="133" spans="1:19" s="2" customFormat="1" ht="15.75" x14ac:dyDescent="0.2">
      <c r="B133" s="2" t="s">
        <v>20</v>
      </c>
    </row>
  </sheetData>
  <conditionalFormatting sqref="B2">
    <cfRule type="cellIs" dxfId="21" priority="1" operator="notEqual">
      <formula>"No Errors Found"</formula>
    </cfRule>
  </conditionalFormatting>
  <dataValidations count="3">
    <dataValidation type="list" allowBlank="1" showInputMessage="1" showErrorMessage="1" sqref="K37:K38 K72:K73" xr:uid="{00000000-0002-0000-0B00-000000000000}">
      <formula1>LU_Timing</formula1>
    </dataValidation>
    <dataValidation type="list" allowBlank="1" showInputMessage="1" showErrorMessage="1" sqref="J37:J38 J26:J33 J72:J73 J44:J68" xr:uid="{00000000-0002-0000-0B00-000001000000}">
      <formula1>LU_Basis</formula1>
    </dataValidation>
    <dataValidation type="list" allowBlank="1" showInputMessage="1" showErrorMessage="1" sqref="I37:I38 I84:I91 I95:I96 I130:I131 I26:I33 I44:I68 I72:I73 I102:I126" xr:uid="{00000000-0002-0000-0B00-000002000000}">
      <formula1>LU_Units</formula1>
    </dataValidation>
  </dataValidations>
  <hyperlinks>
    <hyperlink ref="B3:E3" location="TOC!A1" display="TOC!A1"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4"/>
  </sheetPr>
  <dimension ref="A1:W104"/>
  <sheetViews>
    <sheetView showGridLines="0" zoomScaleNormal="100" workbookViewId="0">
      <pane xSplit="5" ySplit="9" topLeftCell="F10" activePane="bottomRight" state="frozen"/>
      <selection activeCell="D242" sqref="D242"/>
      <selection pane="topRight" activeCell="D242" sqref="D242"/>
      <selection pane="bottomLeft" activeCell="D242" sqref="D242"/>
      <selection pane="bottomRight" activeCell="F10" sqref="F10"/>
    </sheetView>
  </sheetViews>
  <sheetFormatPr defaultColWidth="9.1640625" defaultRowHeight="11.25" outlineLevelRow="1" x14ac:dyDescent="0.2"/>
  <cols>
    <col min="1" max="1" width="2.1640625" bestFit="1" customWidth="1"/>
    <col min="2" max="3" width="2.83203125" customWidth="1"/>
    <col min="4" max="4" width="44.33203125" customWidth="1"/>
    <col min="5" max="5" width="5" customWidth="1"/>
    <col min="6" max="6" width="14.6640625" bestFit="1" customWidth="1"/>
    <col min="7" max="7" width="2.33203125" customWidth="1"/>
    <col min="8" max="8" width="12.1640625" bestFit="1" customWidth="1"/>
    <col min="9" max="9" width="10.83203125" customWidth="1"/>
    <col min="10" max="10" width="12.83203125" customWidth="1"/>
    <col min="11" max="12" width="3.33203125" customWidth="1"/>
    <col min="13" max="13" width="16" customWidth="1"/>
    <col min="14" max="14" width="11.83203125" customWidth="1"/>
    <col min="15" max="16" width="12.83203125" customWidth="1"/>
    <col min="17" max="17" width="13.83203125" customWidth="1"/>
    <col min="18" max="19" width="12.83203125" customWidth="1"/>
    <col min="20" max="20" width="4.1640625" customWidth="1"/>
    <col min="21" max="25" width="13.6640625" customWidth="1"/>
  </cols>
  <sheetData>
    <row r="1" spans="1:22" ht="19.5" x14ac:dyDescent="0.2">
      <c r="A1" s="59">
        <f>IF(SUM($A10:$A104)&gt;0,1,0)</f>
        <v>0</v>
      </c>
      <c r="B1" s="3" t="s">
        <v>738</v>
      </c>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244" t="s">
        <v>118</v>
      </c>
      <c r="E9" s="50"/>
      <c r="F9" s="50" t="s">
        <v>62</v>
      </c>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75" x14ac:dyDescent="0.2">
      <c r="B11" s="2" t="s">
        <v>137</v>
      </c>
    </row>
    <row r="12" spans="1:22" ht="11.25" customHeight="1" x14ac:dyDescent="0.2"/>
    <row r="13" spans="1:22" ht="11.25" customHeight="1" x14ac:dyDescent="0.2">
      <c r="D13" s="105" t="s">
        <v>217</v>
      </c>
    </row>
    <row r="14" spans="1:22" ht="11.25" customHeight="1" x14ac:dyDescent="0.2"/>
    <row r="15" spans="1:22" ht="11.25" customHeight="1" x14ac:dyDescent="0.2"/>
    <row r="16" spans="1:22" s="2" customFormat="1" ht="15.75" x14ac:dyDescent="0.2">
      <c r="B16" s="2" t="s">
        <v>128</v>
      </c>
    </row>
    <row r="17" spans="1:19" ht="11.25" customHeight="1" x14ac:dyDescent="0.2"/>
    <row r="18" spans="1:19" s="8" customFormat="1" ht="15" x14ac:dyDescent="0.2">
      <c r="C18" s="8" t="s">
        <v>739</v>
      </c>
    </row>
    <row r="19" spans="1:19" ht="11.25" customHeight="1" x14ac:dyDescent="0.2"/>
    <row r="20" spans="1:19" ht="11.25" customHeight="1" x14ac:dyDescent="0.2">
      <c r="D20" s="70" t="s">
        <v>129</v>
      </c>
      <c r="H20" s="54" t="str">
        <f>Lookup!E$19</f>
        <v>Source</v>
      </c>
      <c r="I20" s="54" t="str">
        <f>Lookup!F$19</f>
        <v>Unit</v>
      </c>
      <c r="J20" s="54" t="str">
        <f>Lookup!G$19</f>
        <v>Basis</v>
      </c>
      <c r="O20" s="54" t="str">
        <f>O$9</f>
        <v>FY25</v>
      </c>
      <c r="P20" s="54" t="str">
        <f>P$9</f>
        <v>FY26</v>
      </c>
      <c r="Q20" s="54" t="str">
        <f>Q$9</f>
        <v>FY27</v>
      </c>
      <c r="R20" s="54" t="str">
        <f>R$9</f>
        <v>FY28</v>
      </c>
      <c r="S20" s="54" t="str">
        <f>S$9</f>
        <v>FY29</v>
      </c>
    </row>
    <row r="22" spans="1:19" ht="12.75" x14ac:dyDescent="0.2">
      <c r="D22" s="7" t="str">
        <f>C50</f>
        <v>System access charge</v>
      </c>
      <c r="H22" s="80" t="s">
        <v>52</v>
      </c>
      <c r="I22" s="84" t="s">
        <v>47</v>
      </c>
      <c r="J22" s="84" t="s">
        <v>40</v>
      </c>
      <c r="O22" s="66">
        <f>O63</f>
        <v>74554.898567520111</v>
      </c>
      <c r="P22" s="66">
        <f>P63</f>
        <v>83329.249318961607</v>
      </c>
      <c r="Q22" s="66">
        <f>Q63</f>
        <v>92458.8966600852</v>
      </c>
      <c r="R22" s="66">
        <f>R63</f>
        <v>101553.64657009262</v>
      </c>
      <c r="S22" s="66">
        <f>S63</f>
        <v>103321.6154430982</v>
      </c>
    </row>
    <row r="23" spans="1:19" ht="12.75" x14ac:dyDescent="0.2">
      <c r="D23" s="7" t="str">
        <f>C68</f>
        <v>Consumption</v>
      </c>
      <c r="H23" s="86" t="str">
        <f t="shared" ref="H23:J24" si="0">H22</f>
        <v>Calculated</v>
      </c>
      <c r="I23" s="86" t="str">
        <f t="shared" si="0"/>
        <v>$000's</v>
      </c>
      <c r="J23" s="86" t="str">
        <f t="shared" si="0"/>
        <v>Nominal</v>
      </c>
      <c r="O23" s="66">
        <f>O81</f>
        <v>89517.938934730628</v>
      </c>
      <c r="P23" s="66">
        <f>P81</f>
        <v>96691.827308899548</v>
      </c>
      <c r="Q23" s="66">
        <f>Q81</f>
        <v>105335.74668040693</v>
      </c>
      <c r="R23" s="66">
        <f>R81</f>
        <v>114560.07399221721</v>
      </c>
      <c r="S23" s="66">
        <f>S81</f>
        <v>124651.42103742468</v>
      </c>
    </row>
    <row r="24" spans="1:19" ht="12.75" x14ac:dyDescent="0.2">
      <c r="D24" s="7" t="str">
        <f>C86</f>
        <v>Demand</v>
      </c>
      <c r="H24" s="86" t="str">
        <f t="shared" si="0"/>
        <v>Calculated</v>
      </c>
      <c r="I24" s="86" t="str">
        <f t="shared" si="0"/>
        <v>$000's</v>
      </c>
      <c r="J24" s="86" t="str">
        <f t="shared" si="0"/>
        <v>Nominal</v>
      </c>
      <c r="O24" s="66">
        <f>O99</f>
        <v>9377.3967681395116</v>
      </c>
      <c r="P24" s="66">
        <f>P99</f>
        <v>10717.025149961322</v>
      </c>
      <c r="Q24" s="66">
        <f>Q99</f>
        <v>11954.39608105829</v>
      </c>
      <c r="R24" s="66">
        <f>R99</f>
        <v>14541.109392346534</v>
      </c>
      <c r="S24" s="66">
        <f>S99</f>
        <v>15860.22166150148</v>
      </c>
    </row>
    <row r="26" spans="1:19" ht="12.75" x14ac:dyDescent="0.2">
      <c r="D26" s="62" t="s">
        <v>102</v>
      </c>
      <c r="H26" s="56" t="s">
        <v>52</v>
      </c>
      <c r="I26" s="56" t="str">
        <f>I$22</f>
        <v>$000's</v>
      </c>
      <c r="J26" s="56" t="str">
        <f>J$22</f>
        <v>Nominal</v>
      </c>
      <c r="O26" s="68">
        <f>SUM(O22:O24)</f>
        <v>173450.23427039024</v>
      </c>
      <c r="P26" s="68">
        <f>SUM(P22:P24)</f>
        <v>190738.10177782248</v>
      </c>
      <c r="Q26" s="68">
        <f>SUM(Q22:Q24)</f>
        <v>209749.03942155041</v>
      </c>
      <c r="R26" s="68">
        <f>SUM(R22:R24)</f>
        <v>230654.82995465636</v>
      </c>
      <c r="S26" s="68">
        <f>SUM(S22:S24)</f>
        <v>243833.25814202437</v>
      </c>
    </row>
    <row r="27" spans="1:19" ht="11.25" customHeight="1" x14ac:dyDescent="0.2">
      <c r="P27" s="145"/>
      <c r="Q27" s="145"/>
      <c r="R27" s="145"/>
    </row>
    <row r="28" spans="1:19" ht="12.75" hidden="1" outlineLevel="1" x14ac:dyDescent="0.2">
      <c r="A28" s="59">
        <f>IF(SUM($O28:$S28)=0,0,1)</f>
        <v>0</v>
      </c>
      <c r="D28" s="81" t="s">
        <v>127</v>
      </c>
      <c r="E28" s="80"/>
      <c r="F28" s="80"/>
      <c r="G28" s="82"/>
      <c r="H28" s="80"/>
      <c r="I28" s="80"/>
      <c r="J28" s="80"/>
      <c r="K28" s="58"/>
      <c r="O28" s="59">
        <f>IF(ROUND(O26-O63-O81-O99,5)=0,0,1)</f>
        <v>0</v>
      </c>
      <c r="P28" s="59">
        <f>IF(ROUND(P26-P63-P81-P99,5)=0,0,1)</f>
        <v>0</v>
      </c>
      <c r="Q28" s="59">
        <f>IF(ROUND(Q26-Q63-Q81-Q99,5)=0,0,1)</f>
        <v>0</v>
      </c>
      <c r="R28" s="59">
        <f>IF(ROUND(R26-R63-R81-R99,5)=0,0,1)</f>
        <v>0</v>
      </c>
      <c r="S28" s="59">
        <f>IF(ROUND(S26-S63-S81-S99,5)=0,0,1)</f>
        <v>0</v>
      </c>
    </row>
    <row r="29" spans="1:19" collapsed="1" x14ac:dyDescent="0.2">
      <c r="P29" s="151"/>
      <c r="Q29" s="151"/>
      <c r="R29" s="151"/>
      <c r="S29" s="145"/>
    </row>
    <row r="30" spans="1:19" s="8" customFormat="1" ht="15" x14ac:dyDescent="0.2">
      <c r="C30" s="8" t="s">
        <v>740</v>
      </c>
    </row>
    <row r="31" spans="1:19" ht="11.25" customHeight="1" x14ac:dyDescent="0.2"/>
    <row r="32" spans="1:19" ht="11.25" customHeight="1" x14ac:dyDescent="0.2">
      <c r="C32" s="170" t="s">
        <v>5</v>
      </c>
      <c r="D32" s="70" t="str">
        <f>D$9</f>
        <v>Tariff</v>
      </c>
      <c r="F32" s="54" t="str">
        <f>F$9</f>
        <v>Tariff Class</v>
      </c>
      <c r="H32" s="54" t="str">
        <f>Lookup!E$19</f>
        <v>Source</v>
      </c>
      <c r="I32" s="54" t="str">
        <f>Lookup!F$19</f>
        <v>Unit</v>
      </c>
      <c r="J32" s="54" t="str">
        <f>Lookup!G$19</f>
        <v>Basis</v>
      </c>
      <c r="O32" s="54" t="str">
        <f>O$9</f>
        <v>FY25</v>
      </c>
      <c r="P32" s="54" t="str">
        <f>P$9</f>
        <v>FY26</v>
      </c>
      <c r="Q32" s="54" t="str">
        <f>Q$9</f>
        <v>FY27</v>
      </c>
      <c r="R32" s="54" t="str">
        <f>R$9</f>
        <v>FY28</v>
      </c>
      <c r="S32" s="54" t="str">
        <f>S$9</f>
        <v>FY29</v>
      </c>
    </row>
    <row r="33" spans="1:23" ht="11.25" customHeight="1" x14ac:dyDescent="0.2">
      <c r="D33" s="1"/>
    </row>
    <row r="34" spans="1:23" ht="12.75" x14ac:dyDescent="0.2">
      <c r="C34" s="169">
        <f>Inputs_Prices!C20</f>
        <v>1</v>
      </c>
      <c r="D34" s="10" t="str" cm="1">
        <f t="array" ref="D34:D41">LU_Tariffs</f>
        <v>Residential Accumulation</v>
      </c>
      <c r="F34" s="63" t="str">
        <f t="shared" ref="F34:F41" si="1">F72</f>
        <v>LV &lt;750MWh</v>
      </c>
      <c r="H34" s="63" t="str">
        <f t="shared" ref="H34:J40" si="2">H72</f>
        <v>Calculated</v>
      </c>
      <c r="I34" s="63" t="str">
        <f t="shared" si="2"/>
        <v>$000's</v>
      </c>
      <c r="J34" s="63" t="str">
        <f t="shared" si="2"/>
        <v>Nominal</v>
      </c>
      <c r="O34" s="66">
        <f t="shared" ref="O34:S41" si="3">O54+O72+O90</f>
        <v>53186.622509931782</v>
      </c>
      <c r="P34" s="66">
        <f t="shared" si="3"/>
        <v>42865.222122583247</v>
      </c>
      <c r="Q34" s="66">
        <f t="shared" si="3"/>
        <v>31908.158661338101</v>
      </c>
      <c r="R34" s="66">
        <f t="shared" si="3"/>
        <v>24851.23503415662</v>
      </c>
      <c r="S34" s="66">
        <f t="shared" si="3"/>
        <v>15729.36202315037</v>
      </c>
    </row>
    <row r="35" spans="1:23" ht="12.75" x14ac:dyDescent="0.2">
      <c r="C35" s="169">
        <f>Inputs_Prices!C21</f>
        <v>2</v>
      </c>
      <c r="D35" s="10" t="str">
        <v>Non-Residential Accumulation</v>
      </c>
      <c r="F35" s="63" t="str">
        <f t="shared" si="1"/>
        <v>LV &lt;750MWh</v>
      </c>
      <c r="H35" s="63" t="str">
        <f t="shared" si="2"/>
        <v>Calculated</v>
      </c>
      <c r="I35" s="63" t="str">
        <f t="shared" si="2"/>
        <v>$000's</v>
      </c>
      <c r="J35" s="63" t="str">
        <f t="shared" si="2"/>
        <v>Nominal</v>
      </c>
      <c r="O35" s="66">
        <f t="shared" si="3"/>
        <v>3550.2400667137504</v>
      </c>
      <c r="P35" s="66">
        <f t="shared" si="3"/>
        <v>2784.0006869604922</v>
      </c>
      <c r="Q35" s="66">
        <f t="shared" si="3"/>
        <v>1920.8505303158026</v>
      </c>
      <c r="R35" s="66">
        <f t="shared" si="3"/>
        <v>905.52100737950468</v>
      </c>
      <c r="S35" s="66">
        <f t="shared" si="3"/>
        <v>0</v>
      </c>
    </row>
    <row r="36" spans="1:23" ht="12.75" x14ac:dyDescent="0.2">
      <c r="C36" s="169" t="str">
        <f>Inputs_Prices!C22</f>
        <v>3a</v>
      </c>
      <c r="D36" s="10" t="str">
        <v>LV Smart Meter - Res</v>
      </c>
      <c r="F36" s="63" t="str">
        <f t="shared" si="1"/>
        <v>LV &lt;750MWh</v>
      </c>
      <c r="H36" s="63" t="str">
        <f t="shared" si="2"/>
        <v>Calculated</v>
      </c>
      <c r="I36" s="63" t="str">
        <f t="shared" si="2"/>
        <v>$000's</v>
      </c>
      <c r="J36" s="63" t="str">
        <f t="shared" si="2"/>
        <v>Nominal</v>
      </c>
      <c r="O36" s="66">
        <f t="shared" si="3"/>
        <v>36320.489479235257</v>
      </c>
      <c r="P36" s="66">
        <f t="shared" si="3"/>
        <v>53573.588806572421</v>
      </c>
      <c r="Q36" s="66">
        <f t="shared" si="3"/>
        <v>75350.326322353867</v>
      </c>
      <c r="R36" s="66">
        <f t="shared" si="3"/>
        <v>93707.007859187899</v>
      </c>
      <c r="S36" s="66">
        <f t="shared" si="3"/>
        <v>105375.94284256469</v>
      </c>
    </row>
    <row r="37" spans="1:23" ht="12.75" x14ac:dyDescent="0.2">
      <c r="C37" s="169" t="str">
        <f>Inputs_Prices!C23</f>
        <v>3b</v>
      </c>
      <c r="D37" s="10" t="str">
        <v>LV Smart Meter - Small Comm</v>
      </c>
      <c r="F37" s="63" t="str">
        <f t="shared" si="1"/>
        <v>LV &lt;750MWh</v>
      </c>
      <c r="H37" s="63" t="str">
        <f t="shared" si="2"/>
        <v>Calculated</v>
      </c>
      <c r="I37" s="63" t="str">
        <f t="shared" si="2"/>
        <v>$000's</v>
      </c>
      <c r="J37" s="63" t="str">
        <f t="shared" si="2"/>
        <v>Nominal</v>
      </c>
      <c r="O37" s="66">
        <f t="shared" si="3"/>
        <v>23954.393277729352</v>
      </c>
      <c r="P37" s="66">
        <f t="shared" si="3"/>
        <v>26493.225225945134</v>
      </c>
      <c r="Q37" s="66">
        <f t="shared" si="3"/>
        <v>29560.561395875597</v>
      </c>
      <c r="R37" s="66">
        <f t="shared" si="3"/>
        <v>32595.462361004153</v>
      </c>
      <c r="S37" s="66">
        <f t="shared" si="3"/>
        <v>35302.421296840832</v>
      </c>
    </row>
    <row r="38" spans="1:23" ht="12.75" x14ac:dyDescent="0.2">
      <c r="C38" s="169" t="str">
        <f>Inputs_Prices!C24</f>
        <v>3c</v>
      </c>
      <c r="D38" s="10" t="str">
        <v>LV Smart Meter - Med Comm</v>
      </c>
      <c r="F38" s="63" t="str">
        <f t="shared" si="1"/>
        <v>LV &lt;750MWh</v>
      </c>
      <c r="H38" s="63" t="str">
        <f t="shared" si="2"/>
        <v>Calculated</v>
      </c>
      <c r="I38" s="63" t="str">
        <f t="shared" si="2"/>
        <v>$000's</v>
      </c>
      <c r="J38" s="63" t="str">
        <f t="shared" si="2"/>
        <v>Nominal</v>
      </c>
      <c r="O38" s="66">
        <f t="shared" si="3"/>
        <v>20374.575398124001</v>
      </c>
      <c r="P38" s="66">
        <f t="shared" si="3"/>
        <v>24341.498871458323</v>
      </c>
      <c r="Q38" s="66">
        <f t="shared" si="3"/>
        <v>26698.540556338408</v>
      </c>
      <c r="R38" s="66">
        <f t="shared" si="3"/>
        <v>29758.100263777702</v>
      </c>
      <c r="S38" s="66">
        <f t="shared" si="3"/>
        <v>35218.487436972449</v>
      </c>
    </row>
    <row r="39" spans="1:23" ht="12.75" x14ac:dyDescent="0.2">
      <c r="C39" s="169">
        <f>Inputs_Prices!C25</f>
        <v>4</v>
      </c>
      <c r="D39" s="10" t="str">
        <v>Unmetered</v>
      </c>
      <c r="F39" s="63" t="str">
        <f t="shared" si="1"/>
        <v>LV &lt;750MWh</v>
      </c>
      <c r="H39" s="63" t="str">
        <f t="shared" si="2"/>
        <v>Calculated</v>
      </c>
      <c r="I39" s="63" t="str">
        <f t="shared" si="2"/>
        <v>$000's</v>
      </c>
      <c r="J39" s="63" t="str">
        <f t="shared" si="2"/>
        <v>Nominal</v>
      </c>
      <c r="O39" s="66">
        <f t="shared" si="3"/>
        <v>1544.8025402418621</v>
      </c>
      <c r="P39" s="66">
        <f t="shared" si="3"/>
        <v>2370.4851289301669</v>
      </c>
      <c r="Q39" s="66">
        <f t="shared" si="3"/>
        <v>2531.6215144252769</v>
      </c>
      <c r="R39" s="66">
        <f t="shared" si="3"/>
        <v>2572.3544844245166</v>
      </c>
      <c r="S39" s="66">
        <f t="shared" si="3"/>
        <v>2725.8733893718359</v>
      </c>
    </row>
    <row r="40" spans="1:23" ht="12.75" x14ac:dyDescent="0.2">
      <c r="C40" s="169">
        <f>Inputs_Prices!C26</f>
        <v>5</v>
      </c>
      <c r="D40" s="10" t="str">
        <v>LV Majors</v>
      </c>
      <c r="F40" s="63" t="str">
        <f t="shared" si="1"/>
        <v>LV &gt;750MWh</v>
      </c>
      <c r="H40" s="63" t="str">
        <f t="shared" si="2"/>
        <v>Calculated</v>
      </c>
      <c r="I40" s="63" t="str">
        <f t="shared" si="2"/>
        <v>$000's</v>
      </c>
      <c r="J40" s="63" t="str">
        <f t="shared" si="2"/>
        <v>Nominal</v>
      </c>
      <c r="O40" s="66">
        <f t="shared" si="3"/>
        <v>17859.988312510686</v>
      </c>
      <c r="P40" s="66">
        <f t="shared" si="3"/>
        <v>19331.472092615717</v>
      </c>
      <c r="Q40" s="66">
        <f t="shared" si="3"/>
        <v>21210.489182434489</v>
      </c>
      <c r="R40" s="66">
        <f t="shared" si="3"/>
        <v>23486.114391789899</v>
      </c>
      <c r="S40" s="66">
        <f t="shared" si="3"/>
        <v>25045.790256963905</v>
      </c>
    </row>
    <row r="41" spans="1:23" ht="12.75" x14ac:dyDescent="0.2">
      <c r="C41" s="169">
        <f>Inputs_Prices!C27</f>
        <v>6</v>
      </c>
      <c r="D41" s="10" t="str">
        <v>HV Smart Meters</v>
      </c>
      <c r="F41" s="63" t="str">
        <f t="shared" si="1"/>
        <v>HV</v>
      </c>
      <c r="H41" s="63" t="str">
        <f t="shared" ref="H41:J41" si="4">H79</f>
        <v>Calculated</v>
      </c>
      <c r="I41" s="63" t="str">
        <f t="shared" si="4"/>
        <v>$000's</v>
      </c>
      <c r="J41" s="63" t="str">
        <f t="shared" si="4"/>
        <v>Nominal</v>
      </c>
      <c r="O41" s="66">
        <f t="shared" si="3"/>
        <v>16659.122685903581</v>
      </c>
      <c r="P41" s="66">
        <f t="shared" si="3"/>
        <v>18978.608842756974</v>
      </c>
      <c r="Q41" s="66">
        <f t="shared" si="3"/>
        <v>20568.491258468886</v>
      </c>
      <c r="R41" s="66">
        <f t="shared" si="3"/>
        <v>22779.034552936064</v>
      </c>
      <c r="S41" s="66">
        <f t="shared" si="3"/>
        <v>24435.380896160292</v>
      </c>
    </row>
    <row r="42" spans="1:23" ht="11.25" customHeight="1" x14ac:dyDescent="0.2">
      <c r="W42" s="153"/>
    </row>
    <row r="43" spans="1:23" ht="12.75" x14ac:dyDescent="0.2">
      <c r="D43" s="62" t="str">
        <f>"Total - "&amp;C30</f>
        <v>Total - Revenue by tariff</v>
      </c>
      <c r="F43" s="56" t="s">
        <v>21</v>
      </c>
      <c r="H43" s="56" t="s">
        <v>52</v>
      </c>
      <c r="I43" s="56" t="str">
        <f>Thousands</f>
        <v>$000's</v>
      </c>
      <c r="J43" s="56" t="str">
        <f>Nominal</f>
        <v>Nominal</v>
      </c>
      <c r="O43" s="68">
        <f>SUM(O34:O41)</f>
        <v>173450.2342703903</v>
      </c>
      <c r="P43" s="68">
        <f>SUM(P34:P41)</f>
        <v>190738.10177782245</v>
      </c>
      <c r="Q43" s="68">
        <f>SUM(Q34:Q41)</f>
        <v>209749.03942155041</v>
      </c>
      <c r="R43" s="68">
        <f>SUM(R34:R41)</f>
        <v>230654.82995465636</v>
      </c>
      <c r="S43" s="68">
        <f>SUM(S34:S41)</f>
        <v>243833.25814202437</v>
      </c>
    </row>
    <row r="44" spans="1:23" ht="11.25" customHeight="1" x14ac:dyDescent="0.2">
      <c r="O44" s="151"/>
      <c r="P44" s="151"/>
      <c r="Q44" s="151"/>
      <c r="R44" s="151"/>
      <c r="S44" s="151"/>
    </row>
    <row r="45" spans="1:23" ht="12.75" hidden="1" outlineLevel="1" x14ac:dyDescent="0.2">
      <c r="D45" s="10" t="str">
        <f>D83</f>
        <v>Check - Target Value</v>
      </c>
      <c r="F45" s="63" t="str">
        <f>F101</f>
        <v>N/A</v>
      </c>
      <c r="H45" s="63" t="str">
        <f>H83</f>
        <v>Calculated</v>
      </c>
      <c r="I45" s="63" t="str">
        <f>I83</f>
        <v>$000's</v>
      </c>
      <c r="J45" s="63" t="str">
        <f>J83</f>
        <v>Nominal</v>
      </c>
      <c r="K45" s="63"/>
      <c r="O45" s="66">
        <f>Calc_Revenue!O24</f>
        <v>173450.23427039024</v>
      </c>
      <c r="P45" s="66">
        <f>Calc_Revenue!P24</f>
        <v>190738.10177782245</v>
      </c>
      <c r="Q45" s="66">
        <f>Calc_Revenue!Q24</f>
        <v>209749.03942155041</v>
      </c>
      <c r="R45" s="66">
        <f>Calc_Revenue!R24</f>
        <v>230654.82995465634</v>
      </c>
      <c r="S45" s="66">
        <f>Calc_Revenue!S24</f>
        <v>243833.25814202437</v>
      </c>
    </row>
    <row r="46" spans="1:23" ht="12.75" hidden="1" outlineLevel="1" x14ac:dyDescent="0.2">
      <c r="A46" s="59">
        <f>IF(SUM($O46:$S46)=0,0,1)</f>
        <v>0</v>
      </c>
      <c r="D46" s="10" t="str">
        <f>D84</f>
        <v>Check</v>
      </c>
      <c r="F46" s="63"/>
      <c r="H46" s="63"/>
      <c r="I46" s="63"/>
      <c r="J46" s="63"/>
      <c r="K46" s="63"/>
      <c r="O46" s="59">
        <f>IF(ROUND(O45-O43,2)=0,0,1)</f>
        <v>0</v>
      </c>
      <c r="P46" s="59">
        <f>IF(ROUND(P45-P43,2)=0,0,1)</f>
        <v>0</v>
      </c>
      <c r="Q46" s="59">
        <f>IF(ROUND(Q45-Q43,2)=0,0,1)</f>
        <v>0</v>
      </c>
      <c r="R46" s="59">
        <f>IF(ROUND(R45-R43,2)=0,0,1)</f>
        <v>0</v>
      </c>
      <c r="S46" s="59">
        <f>IF(ROUND(S45-S43,2)=0,0,1)</f>
        <v>0</v>
      </c>
    </row>
    <row r="47" spans="1:23" ht="11.25" customHeight="1" collapsed="1" x14ac:dyDescent="0.2">
      <c r="O47" s="152"/>
      <c r="P47" s="152"/>
      <c r="Q47" s="152"/>
      <c r="R47" s="152"/>
      <c r="S47" s="152"/>
    </row>
    <row r="48" spans="1:23" s="2" customFormat="1" ht="15.75" x14ac:dyDescent="0.2">
      <c r="B48" s="2" t="s">
        <v>132</v>
      </c>
    </row>
    <row r="49" spans="3:19" ht="11.25" customHeight="1" x14ac:dyDescent="0.2"/>
    <row r="50" spans="3:19" s="8" customFormat="1" ht="15" x14ac:dyDescent="0.2">
      <c r="C50" s="8" t="str">
        <f>Inputs_Prices!C16</f>
        <v>System access charge</v>
      </c>
    </row>
    <row r="51" spans="3:19" ht="11.25" customHeight="1" x14ac:dyDescent="0.2"/>
    <row r="52" spans="3:19" ht="11.25" customHeight="1" x14ac:dyDescent="0.2">
      <c r="C52" s="170" t="s">
        <v>5</v>
      </c>
      <c r="D52" s="70" t="str">
        <f>D$9</f>
        <v>Tariff</v>
      </c>
      <c r="F52" s="54" t="str">
        <f>F$9</f>
        <v>Tariff Class</v>
      </c>
      <c r="H52" s="54" t="str">
        <f>Lookup!E$19</f>
        <v>Source</v>
      </c>
      <c r="I52" s="54" t="str">
        <f>Lookup!F$19</f>
        <v>Unit</v>
      </c>
      <c r="J52" s="54" t="str">
        <f>Lookup!G$19</f>
        <v>Basis</v>
      </c>
      <c r="O52" s="54" t="str">
        <f>O$9</f>
        <v>FY25</v>
      </c>
      <c r="P52" s="54" t="str">
        <f>P$9</f>
        <v>FY26</v>
      </c>
      <c r="Q52" s="54" t="str">
        <f>Q$9</f>
        <v>FY27</v>
      </c>
      <c r="R52" s="54" t="str">
        <f>R$9</f>
        <v>FY28</v>
      </c>
      <c r="S52" s="54" t="str">
        <f>S$9</f>
        <v>FY29</v>
      </c>
    </row>
    <row r="53" spans="3:19" ht="11.25" customHeight="1" x14ac:dyDescent="0.2">
      <c r="D53" s="1"/>
    </row>
    <row r="54" spans="3:19" ht="12.75" x14ac:dyDescent="0.2">
      <c r="C54" s="169">
        <f t="shared" ref="C54:D61" si="5">C34</f>
        <v>1</v>
      </c>
      <c r="D54" s="85" t="str">
        <f t="shared" si="5"/>
        <v>Residential Accumulation</v>
      </c>
      <c r="E54" s="82"/>
      <c r="F54" s="243" t="s">
        <v>64</v>
      </c>
      <c r="G54" s="82"/>
      <c r="H54" s="243" t="s">
        <v>52</v>
      </c>
      <c r="I54" s="243" t="s">
        <v>47</v>
      </c>
      <c r="J54" s="243" t="s">
        <v>40</v>
      </c>
      <c r="O54" s="66">
        <f>SUMIF(Calc_Revenue!$D$32:$D$39,$D54,Calc_Revenue!O$32:O$39)</f>
        <v>29958.790872997331</v>
      </c>
      <c r="P54" s="66">
        <f>SUMIF(Calc_Revenue!$D$32:$D$39,$D54,Calc_Revenue!P$32:P$39)</f>
        <v>25341.495203694278</v>
      </c>
      <c r="Q54" s="66">
        <f>SUMIF(Calc_Revenue!$D$32:$D$39,$D54,Calc_Revenue!Q$32:Q$39)</f>
        <v>18861.771915309826</v>
      </c>
      <c r="R54" s="66">
        <f>SUMIF(Calc_Revenue!$D$32:$D$39,$D54,Calc_Revenue!R$32:R$39)</f>
        <v>10546.164518818243</v>
      </c>
      <c r="S54" s="66">
        <f>SUMIF(Calc_Revenue!$D$32:$D$39,$D54,Calc_Revenue!S$32:S$39)</f>
        <v>9033.8253826633772</v>
      </c>
    </row>
    <row r="55" spans="3:19" ht="12.75" x14ac:dyDescent="0.2">
      <c r="C55" s="169">
        <f t="shared" si="5"/>
        <v>2</v>
      </c>
      <c r="D55" s="85" t="str">
        <f t="shared" si="5"/>
        <v>Non-Residential Accumulation</v>
      </c>
      <c r="E55" s="82"/>
      <c r="F55" s="243" t="s">
        <v>64</v>
      </c>
      <c r="G55" s="82"/>
      <c r="H55" s="243" t="s">
        <v>52</v>
      </c>
      <c r="I55" s="243" t="s">
        <v>47</v>
      </c>
      <c r="J55" s="243" t="s">
        <v>40</v>
      </c>
      <c r="O55" s="66">
        <f>SUMIF(Calc_Revenue!$D$32:$D$39,$D55,Calc_Revenue!O$32:O$39)</f>
        <v>1374.3339917469211</v>
      </c>
      <c r="P55" s="66">
        <f>SUMIF(Calc_Revenue!$D$32:$D$39,$D55,Calc_Revenue!P$32:P$39)</f>
        <v>1140.6916515098253</v>
      </c>
      <c r="Q55" s="66">
        <f>SUMIF(Calc_Revenue!$D$32:$D$39,$D55,Calc_Revenue!Q$32:Q$39)</f>
        <v>815.44041274222093</v>
      </c>
      <c r="R55" s="66">
        <f>SUMIF(Calc_Revenue!$D$32:$D$39,$D55,Calc_Revenue!R$32:R$39)</f>
        <v>399.21170194458949</v>
      </c>
      <c r="S55" s="66">
        <f>SUMIF(Calc_Revenue!$D$32:$D$39,$D55,Calc_Revenue!S$32:S$39)</f>
        <v>0</v>
      </c>
    </row>
    <row r="56" spans="3:19" ht="12.75" x14ac:dyDescent="0.2">
      <c r="C56" s="169" t="str">
        <f t="shared" si="5"/>
        <v>3a</v>
      </c>
      <c r="D56" s="85" t="str">
        <f t="shared" si="5"/>
        <v>LV Smart Meter - Res</v>
      </c>
      <c r="E56" s="82"/>
      <c r="F56" s="243" t="s">
        <v>64</v>
      </c>
      <c r="G56" s="82"/>
      <c r="H56" s="243" t="s">
        <v>52</v>
      </c>
      <c r="I56" s="243" t="s">
        <v>47</v>
      </c>
      <c r="J56" s="243" t="s">
        <v>40</v>
      </c>
      <c r="O56" s="66">
        <f>SUMIF(Calc_Revenue!$D$32:$D$39,$D56,Calc_Revenue!O$32:O$39)</f>
        <v>23926.48</v>
      </c>
      <c r="P56" s="66">
        <f>SUMIF(Calc_Revenue!$D$32:$D$39,$D56,Calc_Revenue!P$32:P$39)</f>
        <v>35505.10125</v>
      </c>
      <c r="Q56" s="66">
        <f>SUMIF(Calc_Revenue!$D$32:$D$39,$D56,Calc_Revenue!Q$32:Q$39)</f>
        <v>48997.599999999999</v>
      </c>
      <c r="R56" s="66">
        <f>SUMIF(Calc_Revenue!$D$32:$D$39,$D56,Calc_Revenue!R$32:R$39)</f>
        <v>64581.065999999999</v>
      </c>
      <c r="S56" s="66">
        <f>SUMIF(Calc_Revenue!$D$32:$D$39,$D56,Calc_Revenue!S$32:S$39)</f>
        <v>66064.817500000005</v>
      </c>
    </row>
    <row r="57" spans="3:19" ht="12.75" x14ac:dyDescent="0.2">
      <c r="C57" s="169" t="str">
        <f t="shared" si="5"/>
        <v>3b</v>
      </c>
      <c r="D57" s="85" t="str">
        <f t="shared" si="5"/>
        <v>LV Smart Meter - Small Comm</v>
      </c>
      <c r="E57" s="82"/>
      <c r="F57" s="243" t="s">
        <v>64</v>
      </c>
      <c r="G57" s="82"/>
      <c r="H57" s="243" t="s">
        <v>52</v>
      </c>
      <c r="I57" s="243" t="s">
        <v>47</v>
      </c>
      <c r="J57" s="243" t="s">
        <v>40</v>
      </c>
      <c r="O57" s="66">
        <f>SUMIF(Calc_Revenue!$D$32:$D$39,$D57,Calc_Revenue!O$32:O$39)</f>
        <v>8499.9375</v>
      </c>
      <c r="P57" s="66">
        <f>SUMIF(Calc_Revenue!$D$32:$D$39,$D57,Calc_Revenue!P$32:P$39)</f>
        <v>9816.6750000000011</v>
      </c>
      <c r="Q57" s="66">
        <f>SUMIF(Calc_Revenue!$D$32:$D$39,$D57,Calc_Revenue!Q$32:Q$39)</f>
        <v>11220.465</v>
      </c>
      <c r="R57" s="66">
        <f>SUMIF(Calc_Revenue!$D$32:$D$39,$D57,Calc_Revenue!R$32:R$39)</f>
        <v>12745.4925</v>
      </c>
      <c r="S57" s="66">
        <f>SUMIF(Calc_Revenue!$D$32:$D$39,$D57,Calc_Revenue!S$32:S$39)</f>
        <v>14288.8375</v>
      </c>
    </row>
    <row r="58" spans="3:19" ht="12.75" x14ac:dyDescent="0.2">
      <c r="C58" s="169" t="str">
        <f t="shared" si="5"/>
        <v>3c</v>
      </c>
      <c r="D58" s="85" t="str">
        <f t="shared" si="5"/>
        <v>LV Smart Meter - Med Comm</v>
      </c>
      <c r="E58" s="82"/>
      <c r="F58" s="243" t="s">
        <v>64</v>
      </c>
      <c r="G58" s="82"/>
      <c r="H58" s="243" t="s">
        <v>52</v>
      </c>
      <c r="I58" s="243" t="s">
        <v>47</v>
      </c>
      <c r="J58" s="243" t="s">
        <v>40</v>
      </c>
      <c r="O58" s="66">
        <f>SUMIF(Calc_Revenue!$D$32:$D$39,$D58,Calc_Revenue!O$32:O$39)</f>
        <v>2624.7150000000001</v>
      </c>
      <c r="P58" s="66">
        <f>SUMIF(Calc_Revenue!$D$32:$D$39,$D58,Calc_Revenue!P$32:P$39)</f>
        <v>2917.08</v>
      </c>
      <c r="Q58" s="66">
        <f>SUMIF(Calc_Revenue!$D$32:$D$39,$D58,Calc_Revenue!Q$32:Q$39)</f>
        <v>3224.7750000000001</v>
      </c>
      <c r="R58" s="66">
        <f>SUMIF(Calc_Revenue!$D$32:$D$39,$D58,Calc_Revenue!R$32:R$39)</f>
        <v>3472.1505000000002</v>
      </c>
      <c r="S58" s="66">
        <f>SUMIF(Calc_Revenue!$D$32:$D$39,$D58,Calc_Revenue!S$32:S$39)</f>
        <v>3704.75</v>
      </c>
    </row>
    <row r="59" spans="3:19" ht="12.75" x14ac:dyDescent="0.2">
      <c r="C59" s="169">
        <f t="shared" si="5"/>
        <v>4</v>
      </c>
      <c r="D59" s="85" t="str">
        <f t="shared" si="5"/>
        <v>Unmetered</v>
      </c>
      <c r="E59" s="82"/>
      <c r="F59" s="243" t="s">
        <v>64</v>
      </c>
      <c r="G59" s="82"/>
      <c r="H59" s="243" t="s">
        <v>52</v>
      </c>
      <c r="I59" s="243" t="s">
        <v>47</v>
      </c>
      <c r="J59" s="243" t="s">
        <v>40</v>
      </c>
      <c r="O59" s="66">
        <f>SUMIF(Calc_Revenue!$D$32:$D$39,$D59,Calc_Revenue!O$32:O$39)</f>
        <v>0</v>
      </c>
      <c r="P59" s="66">
        <f>SUMIF(Calc_Revenue!$D$32:$D$39,$D59,Calc_Revenue!P$32:P$39)</f>
        <v>0</v>
      </c>
      <c r="Q59" s="66">
        <f>SUMIF(Calc_Revenue!$D$32:$D$39,$D59,Calc_Revenue!Q$32:Q$39)</f>
        <v>0</v>
      </c>
      <c r="R59" s="66">
        <f>SUMIF(Calc_Revenue!$D$32:$D$39,$D59,Calc_Revenue!R$32:R$39)</f>
        <v>0</v>
      </c>
      <c r="S59" s="66">
        <f>SUMIF(Calc_Revenue!$D$32:$D$39,$D59,Calc_Revenue!S$32:S$39)</f>
        <v>0</v>
      </c>
    </row>
    <row r="60" spans="3:19" ht="12.75" x14ac:dyDescent="0.2">
      <c r="C60" s="169">
        <f t="shared" si="5"/>
        <v>5</v>
      </c>
      <c r="D60" s="85" t="str">
        <f t="shared" si="5"/>
        <v>LV Majors</v>
      </c>
      <c r="E60" s="82"/>
      <c r="F60" s="243" t="s">
        <v>70</v>
      </c>
      <c r="G60" s="82"/>
      <c r="H60" s="243" t="s">
        <v>52</v>
      </c>
      <c r="I60" s="243" t="s">
        <v>47</v>
      </c>
      <c r="J60" s="243" t="s">
        <v>40</v>
      </c>
      <c r="O60" s="66">
        <f>SUMIF(Calc_Revenue!$D$32:$D$39,$D60,Calc_Revenue!O$32:O$39)</f>
        <v>5480.5912027758613</v>
      </c>
      <c r="P60" s="66">
        <f>SUMIF(Calc_Revenue!$D$32:$D$39,$D60,Calc_Revenue!P$32:P$39)</f>
        <v>5788.4121643990111</v>
      </c>
      <c r="Q60" s="66">
        <f>SUMIF(Calc_Revenue!$D$32:$D$39,$D60,Calc_Revenue!Q$32:Q$39)</f>
        <v>6388.6305841515432</v>
      </c>
      <c r="R60" s="66">
        <f>SUMIF(Calc_Revenue!$D$32:$D$39,$D60,Calc_Revenue!R$32:R$39)</f>
        <v>6719.8069394830873</v>
      </c>
      <c r="S60" s="66">
        <f>SUMIF(Calc_Revenue!$D$32:$D$39,$D60,Calc_Revenue!S$32:S$39)</f>
        <v>7016.291503700364</v>
      </c>
    </row>
    <row r="61" spans="3:19" ht="12.75" x14ac:dyDescent="0.2">
      <c r="C61" s="169">
        <f t="shared" si="5"/>
        <v>6</v>
      </c>
      <c r="D61" s="85" t="str">
        <f t="shared" si="5"/>
        <v>HV Smart Meters</v>
      </c>
      <c r="E61" s="82"/>
      <c r="F61" s="243" t="s">
        <v>69</v>
      </c>
      <c r="G61" s="82"/>
      <c r="H61" s="243" t="s">
        <v>52</v>
      </c>
      <c r="I61" s="243" t="s">
        <v>47</v>
      </c>
      <c r="J61" s="243" t="s">
        <v>40</v>
      </c>
      <c r="O61" s="66">
        <f>SUMIF(Calc_Revenue!$D$32:$D$39,$D61,Calc_Revenue!O$32:O$39)</f>
        <v>2690.05</v>
      </c>
      <c r="P61" s="66">
        <f>SUMIF(Calc_Revenue!$D$32:$D$39,$D61,Calc_Revenue!P$32:P$39)</f>
        <v>2819.7940493584942</v>
      </c>
      <c r="Q61" s="66">
        <f>SUMIF(Calc_Revenue!$D$32:$D$39,$D61,Calc_Revenue!Q$32:Q$39)</f>
        <v>2950.2137478816276</v>
      </c>
      <c r="R61" s="66">
        <f>SUMIF(Calc_Revenue!$D$32:$D$39,$D61,Calc_Revenue!R$32:R$39)</f>
        <v>3089.7544098466983</v>
      </c>
      <c r="S61" s="66">
        <f>SUMIF(Calc_Revenue!$D$32:$D$39,$D61,Calc_Revenue!S$32:S$39)</f>
        <v>3213.0935567344609</v>
      </c>
    </row>
    <row r="62" spans="3:19" ht="11.25" customHeight="1" x14ac:dyDescent="0.2"/>
    <row r="63" spans="3:19" ht="12.75" x14ac:dyDescent="0.2">
      <c r="D63" s="62" t="str">
        <f>"Total - "&amp;C50</f>
        <v>Total - System access charge</v>
      </c>
      <c r="F63" s="56" t="s">
        <v>21</v>
      </c>
      <c r="H63" s="56" t="s">
        <v>52</v>
      </c>
      <c r="I63" s="56" t="str">
        <f>Thousands</f>
        <v>$000's</v>
      </c>
      <c r="J63" s="56" t="str">
        <f>Nominal</f>
        <v>Nominal</v>
      </c>
      <c r="O63" s="68">
        <f>SUM(O54:O61)</f>
        <v>74554.898567520111</v>
      </c>
      <c r="P63" s="68">
        <f>SUM(P54:P61)</f>
        <v>83329.249318961607</v>
      </c>
      <c r="Q63" s="68">
        <f>SUM(Q54:Q61)</f>
        <v>92458.8966600852</v>
      </c>
      <c r="R63" s="68">
        <f>SUM(R54:R61)</f>
        <v>101553.64657009262</v>
      </c>
      <c r="S63" s="68">
        <f>SUM(S54:S61)</f>
        <v>103321.6154430982</v>
      </c>
    </row>
    <row r="64" spans="3:19" ht="11.25" customHeight="1" x14ac:dyDescent="0.2"/>
    <row r="65" spans="1:19" ht="12.75" hidden="1" outlineLevel="1" x14ac:dyDescent="0.2">
      <c r="D65" s="81" t="s">
        <v>90</v>
      </c>
      <c r="E65" s="82"/>
      <c r="F65" s="243" t="str">
        <f>NA</f>
        <v>N/A</v>
      </c>
      <c r="G65" s="82"/>
      <c r="H65" s="243" t="s">
        <v>52</v>
      </c>
      <c r="I65" s="243" t="s">
        <v>47</v>
      </c>
      <c r="J65" s="243" t="s">
        <v>40</v>
      </c>
      <c r="K65" s="78"/>
      <c r="O65" s="66">
        <f>Calc_Revenue!O$41</f>
        <v>74554.898567520111</v>
      </c>
      <c r="P65" s="66">
        <f>Calc_Revenue!P$41</f>
        <v>83329.249318961607</v>
      </c>
      <c r="Q65" s="66">
        <f>Calc_Revenue!Q$41</f>
        <v>92458.8966600852</v>
      </c>
      <c r="R65" s="66">
        <f>Calc_Revenue!R$41</f>
        <v>101553.64657009262</v>
      </c>
      <c r="S65" s="66">
        <f>Calc_Revenue!S$41</f>
        <v>103321.6154430982</v>
      </c>
    </row>
    <row r="66" spans="1:19" ht="12.75" hidden="1" outlineLevel="1" x14ac:dyDescent="0.2">
      <c r="A66" s="59">
        <f>IF(SUM($O66:$S66)=0,0,1)</f>
        <v>0</v>
      </c>
      <c r="D66" s="81" t="s">
        <v>55</v>
      </c>
      <c r="E66" s="82"/>
      <c r="F66" s="80"/>
      <c r="G66" s="82"/>
      <c r="H66" s="80"/>
      <c r="I66" s="84"/>
      <c r="J66" s="84"/>
      <c r="K66" s="78"/>
      <c r="O66" s="59">
        <f>IF(ROUND(O65-O63,2)=0,0,1)</f>
        <v>0</v>
      </c>
      <c r="P66" s="59">
        <f>IF(ROUND(P65-P63,2)=0,0,1)</f>
        <v>0</v>
      </c>
      <c r="Q66" s="59">
        <f>IF(ROUND(Q65-Q63,2)=0,0,1)</f>
        <v>0</v>
      </c>
      <c r="R66" s="59">
        <f>IF(ROUND(R65-R63,2)=0,0,1)</f>
        <v>0</v>
      </c>
      <c r="S66" s="59">
        <f>IF(ROUND(S65-S63,2)=0,0,1)</f>
        <v>0</v>
      </c>
    </row>
    <row r="67" spans="1:19" ht="11.25" customHeight="1" collapsed="1" x14ac:dyDescent="0.2"/>
    <row r="68" spans="1:19" s="8" customFormat="1" ht="15" x14ac:dyDescent="0.2">
      <c r="C68" s="8" t="str">
        <f>Inputs_Prices!C30</f>
        <v>Consumption</v>
      </c>
    </row>
    <row r="69" spans="1:19" ht="11.25" customHeight="1" x14ac:dyDescent="0.2"/>
    <row r="70" spans="1:19" ht="11.25" customHeight="1" x14ac:dyDescent="0.2">
      <c r="C70" s="170" t="s">
        <v>5</v>
      </c>
      <c r="D70" s="70" t="str">
        <f>D$9</f>
        <v>Tariff</v>
      </c>
      <c r="F70" s="54" t="str">
        <f>F$9</f>
        <v>Tariff Class</v>
      </c>
      <c r="H70" s="54" t="str">
        <f>Lookup!E$19</f>
        <v>Source</v>
      </c>
      <c r="I70" s="54" t="str">
        <f>Lookup!F$19</f>
        <v>Unit</v>
      </c>
      <c r="J70" s="54" t="str">
        <f>Lookup!G$19</f>
        <v>Basis</v>
      </c>
      <c r="O70" s="54" t="str">
        <f>O$9</f>
        <v>FY25</v>
      </c>
      <c r="P70" s="54" t="str">
        <f>P$9</f>
        <v>FY26</v>
      </c>
      <c r="Q70" s="54" t="str">
        <f>Q$9</f>
        <v>FY27</v>
      </c>
      <c r="R70" s="54" t="str">
        <f>R$9</f>
        <v>FY28</v>
      </c>
      <c r="S70" s="54" t="str">
        <f>S$9</f>
        <v>FY29</v>
      </c>
    </row>
    <row r="71" spans="1:19" ht="11.25" customHeight="1" x14ac:dyDescent="0.2">
      <c r="D71" s="1"/>
    </row>
    <row r="72" spans="1:19" ht="12.75" x14ac:dyDescent="0.2">
      <c r="C72" s="169">
        <f t="shared" ref="C72:D79" si="6">C34</f>
        <v>1</v>
      </c>
      <c r="D72" s="10" t="str">
        <f t="shared" si="6"/>
        <v>Residential Accumulation</v>
      </c>
      <c r="F72" s="63" t="str">
        <f t="shared" ref="F72:F79" si="7">F54</f>
        <v>LV &lt;750MWh</v>
      </c>
      <c r="H72" s="63" t="str">
        <f t="shared" ref="H72:J79" si="8">H54</f>
        <v>Calculated</v>
      </c>
      <c r="I72" s="63" t="str">
        <f t="shared" si="8"/>
        <v>$000's</v>
      </c>
      <c r="J72" s="63" t="str">
        <f t="shared" si="8"/>
        <v>Nominal</v>
      </c>
      <c r="O72" s="66">
        <f>SUMIF(Calc_Revenue!$D$49:$D$62,$D72,Calc_Revenue!O$49:O$62)</f>
        <v>23227.83163693445</v>
      </c>
      <c r="P72" s="66">
        <f>SUMIF(Calc_Revenue!$D$49:$D$62,$D72,Calc_Revenue!P$49:P$62)</f>
        <v>17523.72691888897</v>
      </c>
      <c r="Q72" s="66">
        <f>SUMIF(Calc_Revenue!$D$49:$D$62,$D72,Calc_Revenue!Q$49:Q$62)</f>
        <v>13046.386746028275</v>
      </c>
      <c r="R72" s="66">
        <f>SUMIF(Calc_Revenue!$D$49:$D$62,$D72,Calc_Revenue!R$49:R$62)</f>
        <v>14305.070515338377</v>
      </c>
      <c r="S72" s="66">
        <f>SUMIF(Calc_Revenue!$D$49:$D$62,$D72,Calc_Revenue!S$49:S$62)</f>
        <v>6695.5366404869919</v>
      </c>
    </row>
    <row r="73" spans="1:19" ht="12.75" x14ac:dyDescent="0.2">
      <c r="C73" s="169">
        <f t="shared" si="6"/>
        <v>2</v>
      </c>
      <c r="D73" s="10" t="str">
        <f t="shared" si="6"/>
        <v>Non-Residential Accumulation</v>
      </c>
      <c r="F73" s="63" t="str">
        <f t="shared" si="7"/>
        <v>LV &lt;750MWh</v>
      </c>
      <c r="H73" s="63" t="str">
        <f t="shared" si="8"/>
        <v>Calculated</v>
      </c>
      <c r="I73" s="63" t="str">
        <f t="shared" si="8"/>
        <v>$000's</v>
      </c>
      <c r="J73" s="63" t="str">
        <f t="shared" si="8"/>
        <v>Nominal</v>
      </c>
      <c r="O73" s="66">
        <f>SUMIF(Calc_Revenue!$D$49:$D$62,$D73,Calc_Revenue!O$49:O$62)</f>
        <v>2175.9060749668292</v>
      </c>
      <c r="P73" s="66">
        <f>SUMIF(Calc_Revenue!$D$49:$D$62,$D73,Calc_Revenue!P$49:P$62)</f>
        <v>1643.3090354506669</v>
      </c>
      <c r="Q73" s="66">
        <f>SUMIF(Calc_Revenue!$D$49:$D$62,$D73,Calc_Revenue!Q$49:Q$62)</f>
        <v>1105.4101175735818</v>
      </c>
      <c r="R73" s="66">
        <f>SUMIF(Calc_Revenue!$D$49:$D$62,$D73,Calc_Revenue!R$49:R$62)</f>
        <v>506.30930543491525</v>
      </c>
      <c r="S73" s="66">
        <f>SUMIF(Calc_Revenue!$D$49:$D$62,$D73,Calc_Revenue!S$49:S$62)</f>
        <v>0</v>
      </c>
    </row>
    <row r="74" spans="1:19" ht="12.75" x14ac:dyDescent="0.2">
      <c r="C74" s="169" t="str">
        <f t="shared" si="6"/>
        <v>3a</v>
      </c>
      <c r="D74" s="10" t="str">
        <f t="shared" si="6"/>
        <v>LV Smart Meter - Res</v>
      </c>
      <c r="F74" s="63" t="str">
        <f t="shared" si="7"/>
        <v>LV &lt;750MWh</v>
      </c>
      <c r="H74" s="63" t="str">
        <f t="shared" si="8"/>
        <v>Calculated</v>
      </c>
      <c r="I74" s="63" t="str">
        <f t="shared" si="8"/>
        <v>$000's</v>
      </c>
      <c r="J74" s="63" t="str">
        <f t="shared" si="8"/>
        <v>Nominal</v>
      </c>
      <c r="O74" s="66">
        <f>SUMIF(Calc_Revenue!$D$49:$D$62,$D74,Calc_Revenue!O$49:O$62)</f>
        <v>12394.009479235254</v>
      </c>
      <c r="P74" s="66">
        <f>SUMIF(Calc_Revenue!$D$49:$D$62,$D74,Calc_Revenue!P$49:P$62)</f>
        <v>18068.487556572421</v>
      </c>
      <c r="Q74" s="66">
        <f>SUMIF(Calc_Revenue!$D$49:$D$62,$D74,Calc_Revenue!Q$49:Q$62)</f>
        <v>26352.726322353868</v>
      </c>
      <c r="R74" s="66">
        <f>SUMIF(Calc_Revenue!$D$49:$D$62,$D74,Calc_Revenue!R$49:R$62)</f>
        <v>29125.941859187893</v>
      </c>
      <c r="S74" s="66">
        <f>SUMIF(Calc_Revenue!$D$49:$D$62,$D74,Calc_Revenue!S$49:S$62)</f>
        <v>39311.125342564679</v>
      </c>
    </row>
    <row r="75" spans="1:19" ht="12.75" x14ac:dyDescent="0.2">
      <c r="C75" s="169" t="str">
        <f t="shared" si="6"/>
        <v>3b</v>
      </c>
      <c r="D75" s="10" t="str">
        <f t="shared" si="6"/>
        <v>LV Smart Meter - Small Comm</v>
      </c>
      <c r="F75" s="63" t="str">
        <f t="shared" si="7"/>
        <v>LV &lt;750MWh</v>
      </c>
      <c r="H75" s="63" t="str">
        <f t="shared" si="8"/>
        <v>Calculated</v>
      </c>
      <c r="I75" s="63" t="str">
        <f t="shared" si="8"/>
        <v>$000's</v>
      </c>
      <c r="J75" s="63" t="str">
        <f t="shared" si="8"/>
        <v>Nominal</v>
      </c>
      <c r="O75" s="66">
        <f>SUMIF(Calc_Revenue!$D$49:$D$62,$D75,Calc_Revenue!O$49:O$62)</f>
        <v>15454.455777729352</v>
      </c>
      <c r="P75" s="66">
        <f>SUMIF(Calc_Revenue!$D$49:$D$62,$D75,Calc_Revenue!P$49:P$62)</f>
        <v>16676.550225945131</v>
      </c>
      <c r="Q75" s="66">
        <f>SUMIF(Calc_Revenue!$D$49:$D$62,$D75,Calc_Revenue!Q$49:Q$62)</f>
        <v>18340.096395875596</v>
      </c>
      <c r="R75" s="66">
        <f>SUMIF(Calc_Revenue!$D$49:$D$62,$D75,Calc_Revenue!R$49:R$62)</f>
        <v>19849.969861004152</v>
      </c>
      <c r="S75" s="66">
        <f>SUMIF(Calc_Revenue!$D$49:$D$62,$D75,Calc_Revenue!S$49:S$62)</f>
        <v>21013.58379684083</v>
      </c>
    </row>
    <row r="76" spans="1:19" ht="12.75" x14ac:dyDescent="0.2">
      <c r="C76" s="169" t="str">
        <f t="shared" si="6"/>
        <v>3c</v>
      </c>
      <c r="D76" s="10" t="str">
        <f t="shared" si="6"/>
        <v>LV Smart Meter - Med Comm</v>
      </c>
      <c r="F76" s="63" t="str">
        <f t="shared" si="7"/>
        <v>LV &lt;750MWh</v>
      </c>
      <c r="H76" s="63" t="str">
        <f t="shared" si="8"/>
        <v>Calculated</v>
      </c>
      <c r="I76" s="63" t="str">
        <f t="shared" si="8"/>
        <v>$000's</v>
      </c>
      <c r="J76" s="63" t="str">
        <f t="shared" si="8"/>
        <v>Nominal</v>
      </c>
      <c r="O76" s="66">
        <f>SUMIF(Calc_Revenue!$D$49:$D$62,$D76,Calc_Revenue!O$49:O$62)</f>
        <v>17749.860398124001</v>
      </c>
      <c r="P76" s="66">
        <f>SUMIF(Calc_Revenue!$D$49:$D$62,$D76,Calc_Revenue!P$49:P$62)</f>
        <v>21424.418871458322</v>
      </c>
      <c r="Q76" s="66">
        <f>SUMIF(Calc_Revenue!$D$49:$D$62,$D76,Calc_Revenue!Q$49:Q$62)</f>
        <v>23473.765556338407</v>
      </c>
      <c r="R76" s="66">
        <f>SUMIF(Calc_Revenue!$D$49:$D$62,$D76,Calc_Revenue!R$49:R$62)</f>
        <v>26285.949763777702</v>
      </c>
      <c r="S76" s="66">
        <f>SUMIF(Calc_Revenue!$D$49:$D$62,$D76,Calc_Revenue!S$49:S$62)</f>
        <v>31513.737436972449</v>
      </c>
    </row>
    <row r="77" spans="1:19" ht="12.75" x14ac:dyDescent="0.2">
      <c r="C77" s="169">
        <f t="shared" si="6"/>
        <v>4</v>
      </c>
      <c r="D77" s="10" t="str">
        <f t="shared" si="6"/>
        <v>Unmetered</v>
      </c>
      <c r="F77" s="63" t="str">
        <f t="shared" si="7"/>
        <v>LV &lt;750MWh</v>
      </c>
      <c r="H77" s="63" t="str">
        <f t="shared" si="8"/>
        <v>Calculated</v>
      </c>
      <c r="I77" s="63" t="str">
        <f t="shared" si="8"/>
        <v>$000's</v>
      </c>
      <c r="J77" s="63" t="str">
        <f t="shared" si="8"/>
        <v>Nominal</v>
      </c>
      <c r="O77" s="66">
        <f>SUMIF(Calc_Revenue!$D$49:$D$62,$D77,Calc_Revenue!O$49:O$62)</f>
        <v>1544.8025402418621</v>
      </c>
      <c r="P77" s="66">
        <f>SUMIF(Calc_Revenue!$D$49:$D$62,$D77,Calc_Revenue!P$49:P$62)</f>
        <v>2370.4851289301669</v>
      </c>
      <c r="Q77" s="66">
        <f>SUMIF(Calc_Revenue!$D$49:$D$62,$D77,Calc_Revenue!Q$49:Q$62)</f>
        <v>2531.6215144252769</v>
      </c>
      <c r="R77" s="66">
        <f>SUMIF(Calc_Revenue!$D$49:$D$62,$D77,Calc_Revenue!R$49:R$62)</f>
        <v>2572.3544844245166</v>
      </c>
      <c r="S77" s="66">
        <f>SUMIF(Calc_Revenue!$D$49:$D$62,$D77,Calc_Revenue!S$49:S$62)</f>
        <v>2725.8733893718359</v>
      </c>
    </row>
    <row r="78" spans="1:19" ht="12.75" x14ac:dyDescent="0.2">
      <c r="C78" s="169">
        <f t="shared" si="6"/>
        <v>5</v>
      </c>
      <c r="D78" s="10" t="str">
        <f t="shared" si="6"/>
        <v>LV Majors</v>
      </c>
      <c r="F78" s="63" t="str">
        <f t="shared" si="7"/>
        <v>LV &gt;750MWh</v>
      </c>
      <c r="H78" s="63" t="str">
        <f t="shared" si="8"/>
        <v>Calculated</v>
      </c>
      <c r="I78" s="63" t="str">
        <f t="shared" si="8"/>
        <v>$000's</v>
      </c>
      <c r="J78" s="63" t="str">
        <f t="shared" si="8"/>
        <v>Nominal</v>
      </c>
      <c r="O78" s="66">
        <f>SUMIF(Calc_Revenue!$D$49:$D$62,$D78,Calc_Revenue!O$49:O$62)</f>
        <v>6136.7442387348237</v>
      </c>
      <c r="P78" s="66">
        <f>SUMIF(Calc_Revenue!$D$49:$D$62,$D78,Calc_Revenue!P$49:P$62)</f>
        <v>6682.672681216708</v>
      </c>
      <c r="Q78" s="66">
        <f>SUMIF(Calc_Revenue!$D$49:$D$62,$D78,Calc_Revenue!Q$49:Q$62)</f>
        <v>7280.2343328937905</v>
      </c>
      <c r="R78" s="66">
        <f>SUMIF(Calc_Revenue!$D$49:$D$62,$D78,Calc_Revenue!R$49:R$62)</f>
        <v>7850.2532145003488</v>
      </c>
      <c r="S78" s="66">
        <f>SUMIF(Calc_Revenue!$D$49:$D$62,$D78,Calc_Revenue!S$49:S$62)</f>
        <v>8440.8342395525524</v>
      </c>
    </row>
    <row r="79" spans="1:19" ht="12.75" x14ac:dyDescent="0.2">
      <c r="C79" s="169">
        <f t="shared" si="6"/>
        <v>6</v>
      </c>
      <c r="D79" s="10" t="str">
        <f t="shared" si="6"/>
        <v>HV Smart Meters</v>
      </c>
      <c r="F79" s="63" t="str">
        <f t="shared" si="7"/>
        <v>HV</v>
      </c>
      <c r="H79" s="63" t="str">
        <f t="shared" si="8"/>
        <v>Calculated</v>
      </c>
      <c r="I79" s="63" t="str">
        <f t="shared" si="8"/>
        <v>$000's</v>
      </c>
      <c r="J79" s="63" t="str">
        <f t="shared" si="8"/>
        <v>Nominal</v>
      </c>
      <c r="O79" s="66">
        <f>SUMIF(Calc_Revenue!$D$49:$D$62,$D79,Calc_Revenue!O$49:O$62)</f>
        <v>10834.328788764067</v>
      </c>
      <c r="P79" s="66">
        <f>SUMIF(Calc_Revenue!$D$49:$D$62,$D79,Calc_Revenue!P$49:P$62)</f>
        <v>12302.176890437158</v>
      </c>
      <c r="Q79" s="66">
        <f>SUMIF(Calc_Revenue!$D$49:$D$62,$D79,Calc_Revenue!Q$49:Q$62)</f>
        <v>13205.505694918127</v>
      </c>
      <c r="R79" s="66">
        <f>SUMIF(Calc_Revenue!$D$49:$D$62,$D79,Calc_Revenue!R$49:R$62)</f>
        <v>14064.224988549297</v>
      </c>
      <c r="S79" s="66">
        <f>SUMIF(Calc_Revenue!$D$49:$D$62,$D79,Calc_Revenue!S$49:S$62)</f>
        <v>14950.730191635335</v>
      </c>
    </row>
    <row r="80" spans="1:19" ht="11.25" customHeight="1" x14ac:dyDescent="0.2"/>
    <row r="81" spans="1:19" ht="12.75" x14ac:dyDescent="0.2">
      <c r="D81" s="62" t="str">
        <f>"Total - "&amp;C68</f>
        <v>Total - Consumption</v>
      </c>
      <c r="F81" s="56" t="s">
        <v>21</v>
      </c>
      <c r="H81" s="56" t="s">
        <v>52</v>
      </c>
      <c r="I81" s="56" t="str">
        <f>Thousands</f>
        <v>$000's</v>
      </c>
      <c r="J81" s="56" t="str">
        <f>Nominal</f>
        <v>Nominal</v>
      </c>
      <c r="O81" s="68">
        <f>SUM(O72:O79)</f>
        <v>89517.938934730628</v>
      </c>
      <c r="P81" s="68">
        <f>SUM(P72:P79)</f>
        <v>96691.827308899548</v>
      </c>
      <c r="Q81" s="68">
        <f>SUM(Q72:Q79)</f>
        <v>105335.74668040693</v>
      </c>
      <c r="R81" s="68">
        <f>SUM(R72:R79)</f>
        <v>114560.07399221721</v>
      </c>
      <c r="S81" s="68">
        <f>SUM(S72:S79)</f>
        <v>124651.42103742468</v>
      </c>
    </row>
    <row r="82" spans="1:19" ht="11.25" customHeight="1" x14ac:dyDescent="0.2">
      <c r="O82" s="145"/>
      <c r="P82" s="145"/>
      <c r="Q82" s="145"/>
      <c r="R82" s="145"/>
      <c r="S82" s="145"/>
    </row>
    <row r="83" spans="1:19" ht="12.75" hidden="1" outlineLevel="1" x14ac:dyDescent="0.2">
      <c r="D83" s="10" t="str">
        <f>D65</f>
        <v>Check - Target Value</v>
      </c>
      <c r="F83" s="63" t="str">
        <f>F65</f>
        <v>N/A</v>
      </c>
      <c r="H83" s="63" t="str">
        <f>H65</f>
        <v>Calculated</v>
      </c>
      <c r="I83" s="63" t="str">
        <f>I65</f>
        <v>$000's</v>
      </c>
      <c r="J83" s="63" t="str">
        <f>J65</f>
        <v>Nominal</v>
      </c>
      <c r="K83" s="63"/>
      <c r="O83" s="66">
        <f>Calc_Revenue!O$64</f>
        <v>89517.938934730628</v>
      </c>
      <c r="P83" s="66">
        <f>Calc_Revenue!P$64</f>
        <v>96691.827308899534</v>
      </c>
      <c r="Q83" s="66">
        <f>Calc_Revenue!Q$64</f>
        <v>105335.74668040693</v>
      </c>
      <c r="R83" s="66">
        <f>Calc_Revenue!R$64</f>
        <v>114560.07399221719</v>
      </c>
      <c r="S83" s="66">
        <f>Calc_Revenue!S$64</f>
        <v>124651.42103742468</v>
      </c>
    </row>
    <row r="84" spans="1:19" ht="12.75" hidden="1" outlineLevel="1" x14ac:dyDescent="0.2">
      <c r="A84" s="59">
        <f>IF(SUM($O84:$S84)=0,0,1)</f>
        <v>0</v>
      </c>
      <c r="D84" s="10" t="str">
        <f>D66</f>
        <v>Check</v>
      </c>
      <c r="F84" s="63"/>
      <c r="H84" s="63"/>
      <c r="I84" s="63"/>
      <c r="J84" s="63"/>
      <c r="K84" s="63"/>
      <c r="O84" s="59">
        <f>IF(ROUND(O83-O81,2)=0,0,1)</f>
        <v>0</v>
      </c>
      <c r="P84" s="59">
        <f>IF(ROUND(P83-P81,2)=0,0,1)</f>
        <v>0</v>
      </c>
      <c r="Q84" s="59">
        <f>IF(ROUND(Q83-Q81,2)=0,0,1)</f>
        <v>0</v>
      </c>
      <c r="R84" s="59">
        <f>IF(ROUND(R83-R81,2)=0,0,1)</f>
        <v>0</v>
      </c>
      <c r="S84" s="59">
        <f>IF(ROUND(S83-S81,2)=0,0,1)</f>
        <v>0</v>
      </c>
    </row>
    <row r="85" spans="1:19" ht="11.25" customHeight="1" collapsed="1" x14ac:dyDescent="0.2"/>
    <row r="86" spans="1:19" s="8" customFormat="1" ht="15" x14ac:dyDescent="0.2">
      <c r="C86" s="8" t="str">
        <f>Inputs_Prices!C50</f>
        <v>Demand</v>
      </c>
    </row>
    <row r="87" spans="1:19" ht="11.25" customHeight="1" x14ac:dyDescent="0.2"/>
    <row r="88" spans="1:19" ht="11.25" customHeight="1" x14ac:dyDescent="0.2">
      <c r="C88" s="170" t="s">
        <v>5</v>
      </c>
      <c r="D88" s="70" t="str">
        <f>D$9</f>
        <v>Tariff</v>
      </c>
      <c r="F88" s="54" t="str">
        <f>F$9</f>
        <v>Tariff Class</v>
      </c>
      <c r="H88" s="54" t="str">
        <f>Lookup!E$19</f>
        <v>Source</v>
      </c>
      <c r="I88" s="54" t="str">
        <f>Lookup!F$19</f>
        <v>Unit</v>
      </c>
      <c r="J88" s="54" t="str">
        <f>Lookup!G$19</f>
        <v>Basis</v>
      </c>
      <c r="O88" s="54" t="str">
        <f>O$9</f>
        <v>FY25</v>
      </c>
      <c r="P88" s="54" t="str">
        <f>P$9</f>
        <v>FY26</v>
      </c>
      <c r="Q88" s="54" t="str">
        <f>Q$9</f>
        <v>FY27</v>
      </c>
      <c r="R88" s="54" t="str">
        <f>R$9</f>
        <v>FY28</v>
      </c>
      <c r="S88" s="54" t="str">
        <f>S$9</f>
        <v>FY29</v>
      </c>
    </row>
    <row r="89" spans="1:19" ht="11.25" customHeight="1" x14ac:dyDescent="0.2">
      <c r="D89" s="1"/>
    </row>
    <row r="90" spans="1:19" ht="12.75" x14ac:dyDescent="0.2">
      <c r="C90" s="169">
        <f t="shared" ref="C90:D97" si="9">C34</f>
        <v>1</v>
      </c>
      <c r="D90" s="10" t="str">
        <f t="shared" si="9"/>
        <v>Residential Accumulation</v>
      </c>
      <c r="F90" s="63" t="str">
        <f t="shared" ref="F90:F97" si="10">F54</f>
        <v>LV &lt;750MWh</v>
      </c>
      <c r="H90" s="63" t="str">
        <f t="shared" ref="H90:J97" si="11">H54</f>
        <v>Calculated</v>
      </c>
      <c r="I90" s="63" t="str">
        <f t="shared" si="11"/>
        <v>$000's</v>
      </c>
      <c r="J90" s="63" t="str">
        <f t="shared" si="11"/>
        <v>Nominal</v>
      </c>
      <c r="O90" s="66">
        <f>SUMIF(Calc_Revenue!$D$72:$D$75,$D90,Calc_Revenue!O$72:O$75)</f>
        <v>0</v>
      </c>
      <c r="P90" s="66">
        <f>SUMIF(Calc_Revenue!$D$72:$D$75,$D90,Calc_Revenue!P$72:P$75)</f>
        <v>0</v>
      </c>
      <c r="Q90" s="66">
        <f>SUMIF(Calc_Revenue!$D$72:$D$75,$D90,Calc_Revenue!Q$72:Q$75)</f>
        <v>0</v>
      </c>
      <c r="R90" s="66">
        <f>SUMIF(Calc_Revenue!$D$72:$D$75,$D90,Calc_Revenue!R$72:R$75)</f>
        <v>0</v>
      </c>
      <c r="S90" s="66">
        <f>SUMIF(Calc_Revenue!$D$72:$D$75,$D90,Calc_Revenue!S$72:S$75)</f>
        <v>0</v>
      </c>
    </row>
    <row r="91" spans="1:19" ht="12.75" x14ac:dyDescent="0.2">
      <c r="C91" s="169">
        <f t="shared" si="9"/>
        <v>2</v>
      </c>
      <c r="D91" s="10" t="str">
        <f t="shared" si="9"/>
        <v>Non-Residential Accumulation</v>
      </c>
      <c r="F91" s="63" t="str">
        <f t="shared" si="10"/>
        <v>LV &lt;750MWh</v>
      </c>
      <c r="H91" s="63" t="str">
        <f t="shared" si="11"/>
        <v>Calculated</v>
      </c>
      <c r="I91" s="63" t="str">
        <f t="shared" si="11"/>
        <v>$000's</v>
      </c>
      <c r="J91" s="63" t="str">
        <f t="shared" si="11"/>
        <v>Nominal</v>
      </c>
      <c r="O91" s="66">
        <f>SUMIF(Calc_Revenue!$D$72:$D$75,$D91,Calc_Revenue!O$72:O$75)</f>
        <v>0</v>
      </c>
      <c r="P91" s="66">
        <f>SUMIF(Calc_Revenue!$D$72:$D$75,$D91,Calc_Revenue!P$72:P$75)</f>
        <v>0</v>
      </c>
      <c r="Q91" s="66">
        <f>SUMIF(Calc_Revenue!$D$72:$D$75,$D91,Calc_Revenue!Q$72:Q$75)</f>
        <v>0</v>
      </c>
      <c r="R91" s="66">
        <f>SUMIF(Calc_Revenue!$D$72:$D$75,$D91,Calc_Revenue!R$72:R$75)</f>
        <v>0</v>
      </c>
      <c r="S91" s="66">
        <f>SUMIF(Calc_Revenue!$D$72:$D$75,$D91,Calc_Revenue!S$72:S$75)</f>
        <v>0</v>
      </c>
    </row>
    <row r="92" spans="1:19" ht="12.75" x14ac:dyDescent="0.2">
      <c r="C92" s="169" t="str">
        <f t="shared" si="9"/>
        <v>3a</v>
      </c>
      <c r="D92" s="10" t="str">
        <f t="shared" si="9"/>
        <v>LV Smart Meter - Res</v>
      </c>
      <c r="F92" s="63" t="str">
        <f t="shared" si="10"/>
        <v>LV &lt;750MWh</v>
      </c>
      <c r="H92" s="63" t="str">
        <f t="shared" si="11"/>
        <v>Calculated</v>
      </c>
      <c r="I92" s="63" t="str">
        <f t="shared" si="11"/>
        <v>$000's</v>
      </c>
      <c r="J92" s="63" t="str">
        <f t="shared" si="11"/>
        <v>Nominal</v>
      </c>
      <c r="O92" s="66">
        <f>SUMIF(Calc_Revenue!$D$72:$D$75,$D92,Calc_Revenue!O$72:O$75)</f>
        <v>0</v>
      </c>
      <c r="P92" s="66">
        <f>SUMIF(Calc_Revenue!$D$72:$D$75,$D92,Calc_Revenue!P$72:P$75)</f>
        <v>0</v>
      </c>
      <c r="Q92" s="66">
        <f>SUMIF(Calc_Revenue!$D$72:$D$75,$D92,Calc_Revenue!Q$72:Q$75)</f>
        <v>0</v>
      </c>
      <c r="R92" s="66">
        <f>SUMIF(Calc_Revenue!$D$72:$D$75,$D92,Calc_Revenue!R$72:R$75)</f>
        <v>0</v>
      </c>
      <c r="S92" s="66">
        <f>SUMIF(Calc_Revenue!$D$72:$D$75,$D92,Calc_Revenue!S$72:S$75)</f>
        <v>0</v>
      </c>
    </row>
    <row r="93" spans="1:19" ht="12.75" x14ac:dyDescent="0.2">
      <c r="C93" s="169" t="str">
        <f t="shared" si="9"/>
        <v>3b</v>
      </c>
      <c r="D93" s="10" t="str">
        <f t="shared" si="9"/>
        <v>LV Smart Meter - Small Comm</v>
      </c>
      <c r="F93" s="63" t="str">
        <f t="shared" si="10"/>
        <v>LV &lt;750MWh</v>
      </c>
      <c r="H93" s="63" t="str">
        <f t="shared" si="11"/>
        <v>Calculated</v>
      </c>
      <c r="I93" s="63" t="str">
        <f t="shared" si="11"/>
        <v>$000's</v>
      </c>
      <c r="J93" s="63" t="str">
        <f t="shared" si="11"/>
        <v>Nominal</v>
      </c>
      <c r="O93" s="66">
        <f>SUMIF(Calc_Revenue!$D$72:$D$75,$D93,Calc_Revenue!O$72:O$75)</f>
        <v>0</v>
      </c>
      <c r="P93" s="66">
        <f>SUMIF(Calc_Revenue!$D$72:$D$75,$D93,Calc_Revenue!P$72:P$75)</f>
        <v>0</v>
      </c>
      <c r="Q93" s="66">
        <f>SUMIF(Calc_Revenue!$D$72:$D$75,$D93,Calc_Revenue!Q$72:Q$75)</f>
        <v>0</v>
      </c>
      <c r="R93" s="66">
        <f>SUMIF(Calc_Revenue!$D$72:$D$75,$D93,Calc_Revenue!R$72:R$75)</f>
        <v>0</v>
      </c>
      <c r="S93" s="66">
        <f>SUMIF(Calc_Revenue!$D$72:$D$75,$D93,Calc_Revenue!S$72:S$75)</f>
        <v>0</v>
      </c>
    </row>
    <row r="94" spans="1:19" ht="12.75" x14ac:dyDescent="0.2">
      <c r="C94" s="169" t="str">
        <f t="shared" si="9"/>
        <v>3c</v>
      </c>
      <c r="D94" s="10" t="str">
        <f t="shared" si="9"/>
        <v>LV Smart Meter - Med Comm</v>
      </c>
      <c r="F94" s="63" t="str">
        <f t="shared" si="10"/>
        <v>LV &lt;750MWh</v>
      </c>
      <c r="H94" s="63" t="str">
        <f t="shared" si="11"/>
        <v>Calculated</v>
      </c>
      <c r="I94" s="63" t="str">
        <f t="shared" si="11"/>
        <v>$000's</v>
      </c>
      <c r="J94" s="63" t="str">
        <f t="shared" si="11"/>
        <v>Nominal</v>
      </c>
      <c r="O94" s="66">
        <f>SUMIF(Calc_Revenue!$D$72:$D$75,$D94,Calc_Revenue!O$72:O$75)</f>
        <v>0</v>
      </c>
      <c r="P94" s="66">
        <f>SUMIF(Calc_Revenue!$D$72:$D$75,$D94,Calc_Revenue!P$72:P$75)</f>
        <v>0</v>
      </c>
      <c r="Q94" s="66">
        <f>SUMIF(Calc_Revenue!$D$72:$D$75,$D94,Calc_Revenue!Q$72:Q$75)</f>
        <v>0</v>
      </c>
      <c r="R94" s="66">
        <f>SUMIF(Calc_Revenue!$D$72:$D$75,$D94,Calc_Revenue!R$72:R$75)</f>
        <v>0</v>
      </c>
      <c r="S94" s="66">
        <f>SUMIF(Calc_Revenue!$D$72:$D$75,$D94,Calc_Revenue!S$72:S$75)</f>
        <v>0</v>
      </c>
    </row>
    <row r="95" spans="1:19" ht="12.75" x14ac:dyDescent="0.2">
      <c r="C95" s="169">
        <f t="shared" si="9"/>
        <v>4</v>
      </c>
      <c r="D95" s="10" t="str">
        <f t="shared" si="9"/>
        <v>Unmetered</v>
      </c>
      <c r="F95" s="63" t="str">
        <f t="shared" si="10"/>
        <v>LV &lt;750MWh</v>
      </c>
      <c r="H95" s="63" t="str">
        <f t="shared" si="11"/>
        <v>Calculated</v>
      </c>
      <c r="I95" s="63" t="str">
        <f t="shared" si="11"/>
        <v>$000's</v>
      </c>
      <c r="J95" s="63" t="str">
        <f t="shared" si="11"/>
        <v>Nominal</v>
      </c>
      <c r="O95" s="66">
        <f>SUMIF(Calc_Revenue!$D$72:$D$75,$D95,Calc_Revenue!O$72:O$75)</f>
        <v>0</v>
      </c>
      <c r="P95" s="66">
        <f>SUMIF(Calc_Revenue!$D$72:$D$75,$D95,Calc_Revenue!P$72:P$75)</f>
        <v>0</v>
      </c>
      <c r="Q95" s="66">
        <f>SUMIF(Calc_Revenue!$D$72:$D$75,$D95,Calc_Revenue!Q$72:Q$75)</f>
        <v>0</v>
      </c>
      <c r="R95" s="66">
        <f>SUMIF(Calc_Revenue!$D$72:$D$75,$D95,Calc_Revenue!R$72:R$75)</f>
        <v>0</v>
      </c>
      <c r="S95" s="66">
        <f>SUMIF(Calc_Revenue!$D$72:$D$75,$D95,Calc_Revenue!S$72:S$75)</f>
        <v>0</v>
      </c>
    </row>
    <row r="96" spans="1:19" ht="12.75" x14ac:dyDescent="0.2">
      <c r="C96" s="169">
        <f t="shared" si="9"/>
        <v>5</v>
      </c>
      <c r="D96" s="10" t="str">
        <f t="shared" si="9"/>
        <v>LV Majors</v>
      </c>
      <c r="F96" s="63" t="str">
        <f t="shared" si="10"/>
        <v>LV &gt;750MWh</v>
      </c>
      <c r="H96" s="63" t="str">
        <f t="shared" si="11"/>
        <v>Calculated</v>
      </c>
      <c r="I96" s="63" t="str">
        <f t="shared" si="11"/>
        <v>$000's</v>
      </c>
      <c r="J96" s="63" t="str">
        <f t="shared" si="11"/>
        <v>Nominal</v>
      </c>
      <c r="O96" s="66">
        <f>SUMIF(Calc_Revenue!$D$72:$D$75,$D96,Calc_Revenue!O$72:O$75)</f>
        <v>6242.6528710000002</v>
      </c>
      <c r="P96" s="66">
        <f>SUMIF(Calc_Revenue!$D$72:$D$75,$D96,Calc_Revenue!P$72:P$75)</f>
        <v>6860.3872470000006</v>
      </c>
      <c r="Q96" s="66">
        <f>SUMIF(Calc_Revenue!$D$72:$D$75,$D96,Calc_Revenue!Q$72:Q$75)</f>
        <v>7541.6242653891568</v>
      </c>
      <c r="R96" s="66">
        <f>SUMIF(Calc_Revenue!$D$72:$D$75,$D96,Calc_Revenue!R$72:R$75)</f>
        <v>8916.0542378064638</v>
      </c>
      <c r="S96" s="66">
        <f>SUMIF(Calc_Revenue!$D$72:$D$75,$D96,Calc_Revenue!S$72:S$75)</f>
        <v>9588.6645137109863</v>
      </c>
    </row>
    <row r="97" spans="1:19" ht="12.75" x14ac:dyDescent="0.2">
      <c r="C97" s="169">
        <f t="shared" si="9"/>
        <v>6</v>
      </c>
      <c r="D97" s="10" t="str">
        <f t="shared" si="9"/>
        <v>HV Smart Meters</v>
      </c>
      <c r="F97" s="63" t="str">
        <f t="shared" si="10"/>
        <v>HV</v>
      </c>
      <c r="H97" s="63" t="str">
        <f t="shared" si="11"/>
        <v>Calculated</v>
      </c>
      <c r="I97" s="63" t="str">
        <f t="shared" si="11"/>
        <v>$000's</v>
      </c>
      <c r="J97" s="63" t="str">
        <f t="shared" si="11"/>
        <v>Nominal</v>
      </c>
      <c r="O97" s="66">
        <f>SUMIF(Calc_Revenue!$D$72:$D$75,$D97,Calc_Revenue!O$72:O$75)</f>
        <v>3134.7438971395113</v>
      </c>
      <c r="P97" s="66">
        <f>SUMIF(Calc_Revenue!$D$72:$D$75,$D97,Calc_Revenue!P$72:P$75)</f>
        <v>3856.6379029613208</v>
      </c>
      <c r="Q97" s="66">
        <f>SUMIF(Calc_Revenue!$D$72:$D$75,$D97,Calc_Revenue!Q$72:Q$75)</f>
        <v>4412.7718156691326</v>
      </c>
      <c r="R97" s="66">
        <f>SUMIF(Calc_Revenue!$D$72:$D$75,$D97,Calc_Revenue!R$72:R$75)</f>
        <v>5625.0551545400713</v>
      </c>
      <c r="S97" s="66">
        <f>SUMIF(Calc_Revenue!$D$72:$D$75,$D97,Calc_Revenue!S$72:S$75)</f>
        <v>6271.5571477904941</v>
      </c>
    </row>
    <row r="98" spans="1:19" ht="11.25" customHeight="1" x14ac:dyDescent="0.2"/>
    <row r="99" spans="1:19" ht="12.75" x14ac:dyDescent="0.2">
      <c r="D99" s="62" t="str">
        <f>"Total - "&amp;C86</f>
        <v>Total - Demand</v>
      </c>
      <c r="F99" s="56" t="s">
        <v>21</v>
      </c>
      <c r="H99" s="56" t="s">
        <v>52</v>
      </c>
      <c r="I99" s="56" t="str">
        <f>Thousands</f>
        <v>$000's</v>
      </c>
      <c r="J99" s="56" t="str">
        <f>Nominal</f>
        <v>Nominal</v>
      </c>
      <c r="O99" s="68">
        <f>SUM(O90:O97)</f>
        <v>9377.3967681395116</v>
      </c>
      <c r="P99" s="68">
        <f>SUM(P90:P97)</f>
        <v>10717.025149961322</v>
      </c>
      <c r="Q99" s="68">
        <f>SUM(Q90:Q97)</f>
        <v>11954.39608105829</v>
      </c>
      <c r="R99" s="68">
        <f>SUM(R90:R97)</f>
        <v>14541.109392346534</v>
      </c>
      <c r="S99" s="68">
        <f>SUM(S90:S97)</f>
        <v>15860.22166150148</v>
      </c>
    </row>
    <row r="100" spans="1:19" ht="11.25" customHeight="1" x14ac:dyDescent="0.2">
      <c r="O100" s="145"/>
      <c r="P100" s="145"/>
      <c r="Q100" s="145"/>
      <c r="R100" s="145"/>
      <c r="S100" s="145"/>
    </row>
    <row r="101" spans="1:19" ht="12.75" hidden="1" outlineLevel="1" x14ac:dyDescent="0.2">
      <c r="D101" s="10" t="str">
        <f>D65</f>
        <v>Check - Target Value</v>
      </c>
      <c r="F101" s="63" t="str">
        <f>F65</f>
        <v>N/A</v>
      </c>
      <c r="H101" s="63" t="str">
        <f>H65</f>
        <v>Calculated</v>
      </c>
      <c r="I101" s="63" t="str">
        <f>I65</f>
        <v>$000's</v>
      </c>
      <c r="J101" s="63" t="str">
        <f>J65</f>
        <v>Nominal</v>
      </c>
      <c r="K101" s="63"/>
      <c r="O101" s="66">
        <f>Calc_Revenue!O$77</f>
        <v>9377.3967681395116</v>
      </c>
      <c r="P101" s="66">
        <f>Calc_Revenue!P$77</f>
        <v>10717.02514996132</v>
      </c>
      <c r="Q101" s="66">
        <f>Calc_Revenue!Q$77</f>
        <v>11954.396081058288</v>
      </c>
      <c r="R101" s="66">
        <f>Calc_Revenue!R$77</f>
        <v>14541.109392346534</v>
      </c>
      <c r="S101" s="66">
        <f>Calc_Revenue!S$77</f>
        <v>15860.22166150148</v>
      </c>
    </row>
    <row r="102" spans="1:19" ht="12.75" hidden="1" outlineLevel="1" x14ac:dyDescent="0.2">
      <c r="A102" s="59">
        <f>IF(SUM($O102:$S102)=0,0,1)</f>
        <v>0</v>
      </c>
      <c r="D102" s="10" t="str">
        <f>D66</f>
        <v>Check</v>
      </c>
      <c r="F102" s="63"/>
      <c r="H102" s="63"/>
      <c r="I102" s="63"/>
      <c r="J102" s="63"/>
      <c r="K102" s="63"/>
      <c r="O102" s="59">
        <f>IF(ROUND(O101-O99,2)=0,0,1)</f>
        <v>0</v>
      </c>
      <c r="P102" s="59">
        <f>IF(ROUND(P101-P99,2)=0,0,1)</f>
        <v>0</v>
      </c>
      <c r="Q102" s="59">
        <f>IF(ROUND(Q101-Q99,2)=0,0,1)</f>
        <v>0</v>
      </c>
      <c r="R102" s="59">
        <f>IF(ROUND(R101-R99,2)=0,0,1)</f>
        <v>0</v>
      </c>
      <c r="S102" s="59">
        <f>IF(ROUND(S101-S99,2)=0,0,1)</f>
        <v>0</v>
      </c>
    </row>
    <row r="103" spans="1:19" ht="11.25" customHeight="1" collapsed="1" x14ac:dyDescent="0.2"/>
    <row r="104" spans="1:19" s="2" customFormat="1" ht="15.75" x14ac:dyDescent="0.2">
      <c r="B104" s="2" t="s">
        <v>20</v>
      </c>
    </row>
  </sheetData>
  <conditionalFormatting sqref="B2">
    <cfRule type="cellIs" dxfId="20" priority="1" operator="notEqual">
      <formula>"No Errors Found"</formula>
    </cfRule>
  </conditionalFormatting>
  <dataValidations count="5">
    <dataValidation type="list" allowBlank="1" showInputMessage="1" showErrorMessage="1" sqref="F54:F61 F90:F97 F72:F79 F34:F41" xr:uid="{00000000-0002-0000-0C00-000000000000}">
      <formula1>LU_Tariff_Classes</formula1>
    </dataValidation>
    <dataValidation type="list" allowBlank="1" showInputMessage="1" showErrorMessage="1" sqref="J65:J66 J28 J72:J79 J54:J61 J83:J84 J101:J102 J22 J90:J97 J45:J46 J34:J41" xr:uid="{00000000-0002-0000-0C00-000001000000}">
      <formula1>LU_Basis</formula1>
    </dataValidation>
    <dataValidation type="list" allowBlank="1" showInputMessage="1" showErrorMessage="1" sqref="I65:I66 I28 I72:I79 I54:I61 I83:I84 I101:I102 I22 I90:I97 I45:I46 I34:I41" xr:uid="{00000000-0002-0000-0C00-000002000000}">
      <formula1>LU_Units</formula1>
    </dataValidation>
    <dataValidation type="list" allowBlank="1" showInputMessage="1" showErrorMessage="1" sqref="K101:K102 K65:K66 K83:K84 K45:K46 K28" xr:uid="{00000000-0002-0000-0C00-000003000000}">
      <formula1>LU_Timing</formula1>
    </dataValidation>
    <dataValidation type="list" allowBlank="1" showInputMessage="1" showErrorMessage="1" sqref="D54:D61 D90:D97 D72:D79 D34:D41" xr:uid="{00000000-0002-0000-0C00-000004000000}">
      <formula1>LU_Tariffs</formula1>
    </dataValidation>
  </dataValidations>
  <hyperlinks>
    <hyperlink ref="B3:E3" location="TOC!A1" display="TOC!A1"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sheetPr>
  <dimension ref="A1:V209"/>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3.1640625" customWidth="1"/>
    <col min="2" max="3" width="2.83203125" customWidth="1"/>
    <col min="4" max="4" width="52.1640625" customWidth="1"/>
    <col min="5" max="7" width="3.6640625" customWidth="1"/>
    <col min="8" max="8" width="12.1640625" bestFit="1" customWidth="1"/>
    <col min="9" max="9" width="10.83203125" customWidth="1"/>
    <col min="10" max="10" width="12.83203125" customWidth="1"/>
    <col min="11" max="12" width="3.33203125" customWidth="1"/>
    <col min="13" max="19" width="12.83203125" customWidth="1"/>
    <col min="20" max="20" width="4.1640625" customWidth="1"/>
    <col min="21" max="24" width="10.83203125" customWidth="1"/>
    <col min="25" max="26" width="9.6640625" bestFit="1" customWidth="1"/>
  </cols>
  <sheetData>
    <row r="1" spans="1:22" ht="19.5" x14ac:dyDescent="0.2">
      <c r="A1" s="59">
        <f ca="1">IF(SUM($A10:$A209)&gt;0,1,0)</f>
        <v>0</v>
      </c>
      <c r="B1" s="3" t="s">
        <v>741</v>
      </c>
      <c r="H1" s="259" t="s">
        <v>809</v>
      </c>
      <c r="I1" s="286"/>
      <c r="J1" s="286"/>
    </row>
    <row r="2" spans="1:22" x14ac:dyDescent="0.2">
      <c r="B2" s="13" t="str">
        <f ca="1">Title_Msg</f>
        <v>No Errors Found</v>
      </c>
    </row>
    <row r="3" spans="1:22" x14ac:dyDescent="0.2">
      <c r="B3" s="46" t="str">
        <f>TOC!B1</f>
        <v>Table of contents</v>
      </c>
      <c r="C3" s="42"/>
      <c r="D3" s="42"/>
      <c r="E3" s="42"/>
    </row>
    <row r="4" spans="1:22" ht="12.75" x14ac:dyDescent="0.2">
      <c r="B4" s="40" t="str">
        <f>Model_Name</f>
        <v>Pricing Model - Power and Water Corporation</v>
      </c>
    </row>
    <row r="5" spans="1:22" ht="12.75" hidden="1" outlineLevel="1" x14ac:dyDescent="0.2">
      <c r="B5" s="10"/>
      <c r="J5" s="51"/>
      <c r="K5" s="51"/>
      <c r="L5" s="51"/>
      <c r="M5" s="51"/>
      <c r="N5" s="51"/>
      <c r="O5" s="51"/>
      <c r="P5" s="51"/>
      <c r="Q5" s="51"/>
      <c r="R5" s="51"/>
      <c r="S5" s="51"/>
    </row>
    <row r="6" spans="1:22" ht="12.75" hidden="1" outlineLevel="1" x14ac:dyDescent="0.2">
      <c r="B6" s="10"/>
      <c r="J6" s="51"/>
      <c r="K6" s="51"/>
      <c r="L6" s="51"/>
      <c r="M6" s="51"/>
      <c r="N6" s="51"/>
      <c r="O6" s="51"/>
      <c r="P6" s="51"/>
      <c r="Q6" s="51"/>
      <c r="R6" s="51"/>
      <c r="S6" s="51"/>
    </row>
    <row r="7" spans="1:22" ht="12.75" hidden="1" outlineLevel="1" x14ac:dyDescent="0.2">
      <c r="B7" s="10"/>
      <c r="J7" s="52"/>
      <c r="K7" s="52"/>
      <c r="L7" s="52"/>
      <c r="M7" s="52"/>
      <c r="N7" s="52"/>
      <c r="O7" s="52"/>
      <c r="P7" s="52"/>
      <c r="Q7" s="52"/>
      <c r="R7" s="52"/>
      <c r="S7" s="52"/>
    </row>
    <row r="8" spans="1:22" ht="12.75" hidden="1" outlineLevel="1" x14ac:dyDescent="0.2">
      <c r="B8" s="10"/>
      <c r="J8" s="53"/>
      <c r="K8" s="53"/>
      <c r="L8" s="53"/>
      <c r="M8" s="53"/>
      <c r="N8" s="53"/>
      <c r="O8" s="53"/>
      <c r="P8" s="53"/>
      <c r="Q8" s="53"/>
      <c r="R8" s="53"/>
      <c r="S8" s="53"/>
    </row>
    <row r="9" spans="1:22" ht="12.75" collapsed="1" x14ac:dyDescent="0.2">
      <c r="B9" s="5" t="str">
        <f>Lookup!B19</f>
        <v>FY</v>
      </c>
      <c r="D9" s="50"/>
      <c r="E9" s="50"/>
      <c r="F9" s="50"/>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U9" s="60"/>
      <c r="V9" s="60"/>
    </row>
    <row r="11" spans="1:22" s="2" customFormat="1" ht="15.75" x14ac:dyDescent="0.2">
      <c r="B11" s="2" t="s">
        <v>742</v>
      </c>
    </row>
    <row r="12" spans="1:22" ht="11.25" customHeight="1" x14ac:dyDescent="0.2"/>
    <row r="13" spans="1:22" x14ac:dyDescent="0.2">
      <c r="D13" s="105" t="s">
        <v>187</v>
      </c>
    </row>
    <row r="14" spans="1:22" x14ac:dyDescent="0.2">
      <c r="D14" s="105" t="s">
        <v>191</v>
      </c>
    </row>
    <row r="15" spans="1:22" x14ac:dyDescent="0.2">
      <c r="D15" s="105" t="s">
        <v>184</v>
      </c>
    </row>
    <row r="16" spans="1:22" x14ac:dyDescent="0.2">
      <c r="D16" s="105" t="s">
        <v>185</v>
      </c>
    </row>
    <row r="17" spans="2:9" x14ac:dyDescent="0.2">
      <c r="D17" s="105" t="s">
        <v>186</v>
      </c>
    </row>
    <row r="18" spans="2:9" ht="11.25" customHeight="1" x14ac:dyDescent="0.2"/>
    <row r="19" spans="2:9" ht="11.25" customHeight="1" x14ac:dyDescent="0.2">
      <c r="D19" s="105" t="s">
        <v>743</v>
      </c>
      <c r="H19" s="106" t="s">
        <v>279</v>
      </c>
      <c r="I19" s="107" t="str">
        <f>"Note: years prior to "&amp;H19&amp;" are ignored from the checks"</f>
        <v>Note: years prior to FY25 are ignored from the checks</v>
      </c>
    </row>
    <row r="20" spans="2:9" ht="11.25" customHeight="1" x14ac:dyDescent="0.2"/>
    <row r="21" spans="2:9" x14ac:dyDescent="0.2">
      <c r="D21" s="128" t="s">
        <v>128</v>
      </c>
    </row>
    <row r="22" spans="2:9" x14ac:dyDescent="0.2">
      <c r="D22" s="127" t="s">
        <v>190</v>
      </c>
      <c r="H22" s="129" t="str">
        <f>INDEX($O$62:$S$62,MATCH($H$19,$O$9:$S$9,0))</f>
        <v>Pass</v>
      </c>
    </row>
    <row r="23" spans="2:9" x14ac:dyDescent="0.2">
      <c r="D23" s="127" t="s">
        <v>181</v>
      </c>
      <c r="H23" s="129" t="str">
        <f>INDEX($O$106:$S$106,MATCH($H$19,$O$9:$S$9,0))</f>
        <v>Pass</v>
      </c>
    </row>
    <row r="24" spans="2:9" x14ac:dyDescent="0.2">
      <c r="D24" s="127" t="s">
        <v>182</v>
      </c>
      <c r="H24" s="129" t="str">
        <f>INDEX($O$157:$S$157,MATCH($H$19,$O$9:$S$9,0))</f>
        <v>Pass</v>
      </c>
    </row>
    <row r="25" spans="2:9" x14ac:dyDescent="0.2">
      <c r="D25" s="127" t="s">
        <v>183</v>
      </c>
      <c r="H25" s="129" t="str">
        <f ca="1">INDEX($O$206:$S$206,MATCH($H$19,$O$9:$S$9,0))</f>
        <v>Pass</v>
      </c>
    </row>
    <row r="26" spans="2:9" ht="11.25" customHeight="1" x14ac:dyDescent="0.2"/>
    <row r="27" spans="2:9" ht="11.25" customHeight="1" x14ac:dyDescent="0.2"/>
    <row r="28" spans="2:9" s="2" customFormat="1" ht="15.75" x14ac:dyDescent="0.2">
      <c r="B28" s="2" t="s">
        <v>744</v>
      </c>
    </row>
    <row r="29" spans="2:9" ht="11.25" customHeight="1" x14ac:dyDescent="0.2"/>
    <row r="30" spans="2:9" ht="11.25" customHeight="1" x14ac:dyDescent="0.2"/>
    <row r="31" spans="2:9" s="8" customFormat="1" ht="15" x14ac:dyDescent="0.2">
      <c r="C31" s="8" t="s">
        <v>745</v>
      </c>
    </row>
    <row r="32" spans="2:9" ht="11.25" customHeight="1" x14ac:dyDescent="0.2"/>
    <row r="33" spans="3:20" ht="11.25" customHeight="1" x14ac:dyDescent="0.2">
      <c r="D33" s="70" t="s">
        <v>95</v>
      </c>
      <c r="H33" s="54" t="str">
        <f>Lookup!E$19</f>
        <v>Source</v>
      </c>
      <c r="I33" s="54" t="str">
        <f>Lookup!F$19</f>
        <v>Unit</v>
      </c>
      <c r="J33" s="54" t="str">
        <f>Lookup!G$19</f>
        <v>Basis</v>
      </c>
      <c r="O33" s="54" t="str">
        <f>O$9</f>
        <v>FY25</v>
      </c>
      <c r="P33" s="54" t="str">
        <f>P$9</f>
        <v>FY26</v>
      </c>
      <c r="Q33" s="54" t="str">
        <f>Q$9</f>
        <v>FY27</v>
      </c>
      <c r="R33" s="54" t="str">
        <f>R$9</f>
        <v>FY28</v>
      </c>
      <c r="S33" s="54" t="str">
        <f>S$9</f>
        <v>FY29</v>
      </c>
    </row>
    <row r="35" spans="3:20" ht="12.75" x14ac:dyDescent="0.2">
      <c r="D35" s="7" t="s">
        <v>150</v>
      </c>
      <c r="H35" s="243" t="s">
        <v>52</v>
      </c>
      <c r="I35" s="243" t="s">
        <v>43</v>
      </c>
      <c r="J35" s="243" t="s">
        <v>40</v>
      </c>
      <c r="O35" s="126">
        <f>Inputs_Other!O32</f>
        <v>2.7997811278454687E-2</v>
      </c>
      <c r="P35" s="126">
        <f>Inputs_Other!P32</f>
        <v>2.7997811278454687E-2</v>
      </c>
      <c r="Q35" s="126">
        <f>Inputs_Other!Q32</f>
        <v>2.7997811278454687E-2</v>
      </c>
      <c r="R35" s="126">
        <f>Inputs_Other!R32</f>
        <v>2.7997811278454687E-2</v>
      </c>
      <c r="S35" s="126">
        <f>Inputs_Other!S32</f>
        <v>2.7997811278454687E-2</v>
      </c>
      <c r="T35" s="107" t="s">
        <v>218</v>
      </c>
    </row>
    <row r="36" spans="3:20" ht="12.75" x14ac:dyDescent="0.2">
      <c r="D36" s="7" t="s">
        <v>153</v>
      </c>
      <c r="H36" s="243" t="s">
        <v>52</v>
      </c>
      <c r="I36" s="243" t="s">
        <v>43</v>
      </c>
      <c r="J36" s="243" t="s">
        <v>21</v>
      </c>
      <c r="O36" s="126">
        <f>Inputs_Other!O53</f>
        <v>-6.9720598862145419E-2</v>
      </c>
      <c r="P36" s="126">
        <f>Inputs_Other!P53</f>
        <v>-6.9720598862145419E-2</v>
      </c>
      <c r="Q36" s="126">
        <f>Inputs_Other!Q53</f>
        <v>-6.9720598862145419E-2</v>
      </c>
      <c r="R36" s="126">
        <f>Inputs_Other!R53</f>
        <v>-6.9720598862145419E-2</v>
      </c>
      <c r="S36" s="126">
        <f>Inputs_Other!S53</f>
        <v>-2.8343520443469883E-2</v>
      </c>
      <c r="T36" s="107" t="s">
        <v>159</v>
      </c>
    </row>
    <row r="37" spans="3:20" ht="12.75" x14ac:dyDescent="0.2">
      <c r="D37" s="7" t="s">
        <v>155</v>
      </c>
      <c r="H37" s="80"/>
      <c r="I37" s="84"/>
      <c r="J37" s="84"/>
      <c r="O37" s="116"/>
      <c r="P37" s="116"/>
      <c r="Q37" s="116"/>
      <c r="R37" s="116"/>
      <c r="S37" s="116"/>
    </row>
    <row r="38" spans="3:20" ht="12.75" x14ac:dyDescent="0.2">
      <c r="D38" s="19" t="s">
        <v>156</v>
      </c>
      <c r="H38" s="243" t="s">
        <v>52</v>
      </c>
      <c r="I38" s="243" t="s">
        <v>43</v>
      </c>
      <c r="J38" s="243" t="s">
        <v>204</v>
      </c>
      <c r="O38" s="126">
        <f>Inputs_Other!O62</f>
        <v>2.734062802565429E-2</v>
      </c>
      <c r="P38" s="126">
        <f>Inputs_Other!P62</f>
        <v>2.8632860846278342E-2</v>
      </c>
      <c r="Q38" s="126">
        <f>Inputs_Other!Q62</f>
        <v>2.9925093666902394E-2</v>
      </c>
      <c r="R38" s="126">
        <f>Inputs_Other!R62</f>
        <v>3.1217326487526443E-2</v>
      </c>
      <c r="S38" s="126">
        <f>Inputs_Other!S62</f>
        <v>3.2509559308150492E-2</v>
      </c>
      <c r="T38" s="107" t="s">
        <v>160</v>
      </c>
    </row>
    <row r="39" spans="3:20" ht="12.75" x14ac:dyDescent="0.2">
      <c r="D39" s="19" t="s">
        <v>157</v>
      </c>
      <c r="H39" s="243" t="s">
        <v>52</v>
      </c>
      <c r="I39" s="243" t="s">
        <v>43</v>
      </c>
      <c r="J39" s="243" t="s">
        <v>40</v>
      </c>
      <c r="O39" s="126">
        <f>(1+O38)*(1+O35)-1</f>
        <v>5.6103917047805707E-2</v>
      </c>
      <c r="P39" s="126">
        <f>(1+P38)*(1+P35)-1</f>
        <v>5.7432329559069295E-2</v>
      </c>
      <c r="Q39" s="126">
        <f>(1+Q38)*(1+Q35)-1</f>
        <v>5.8760742070333105E-2</v>
      </c>
      <c r="R39" s="126">
        <f>(1+R38)*(1+R35)-1</f>
        <v>6.0089154581596693E-2</v>
      </c>
      <c r="S39" s="126">
        <f>(1+S38)*(1+S35)-1</f>
        <v>6.1417567092860503E-2</v>
      </c>
      <c r="T39" s="107" t="s">
        <v>161</v>
      </c>
    </row>
    <row r="42" spans="3:20" s="8" customFormat="1" ht="15" x14ac:dyDescent="0.2">
      <c r="C42" s="8" t="s">
        <v>746</v>
      </c>
    </row>
    <row r="43" spans="3:20" ht="11.25" customHeight="1" x14ac:dyDescent="0.2"/>
    <row r="44" spans="3:20" ht="11.25" customHeight="1" x14ac:dyDescent="0.2">
      <c r="D44" s="70" t="s">
        <v>747</v>
      </c>
      <c r="H44" s="54" t="str">
        <f>Lookup!E$19</f>
        <v>Source</v>
      </c>
      <c r="I44" s="54" t="str">
        <f>Lookup!F$19</f>
        <v>Unit</v>
      </c>
      <c r="J44" s="54" t="str">
        <f>Lookup!G$19</f>
        <v>Basis</v>
      </c>
      <c r="O44" s="54" t="str">
        <f>O$9</f>
        <v>FY25</v>
      </c>
      <c r="P44" s="54" t="str">
        <f>P$9</f>
        <v>FY26</v>
      </c>
      <c r="Q44" s="54" t="str">
        <f>Q$9</f>
        <v>FY27</v>
      </c>
      <c r="R44" s="54" t="str">
        <f>R$9</f>
        <v>FY28</v>
      </c>
      <c r="S44" s="54" t="str">
        <f>S$9</f>
        <v>FY29</v>
      </c>
    </row>
    <row r="46" spans="3:20" ht="12.75" x14ac:dyDescent="0.2">
      <c r="D46" s="7" t="s">
        <v>108</v>
      </c>
      <c r="H46" s="243" t="s">
        <v>52</v>
      </c>
      <c r="I46" s="243" t="s">
        <v>47</v>
      </c>
      <c r="J46" s="243" t="s">
        <v>40</v>
      </c>
      <c r="O46" s="96">
        <f>Inputs_Other!O44</f>
        <v>173450.2385373924</v>
      </c>
      <c r="P46" s="66">
        <f>O46*(1+P35)*(1-P36)</f>
        <v>190738.09914354634</v>
      </c>
      <c r="Q46" s="66">
        <f>P46*(1+Q35)*(1-Q36)</f>
        <v>209749.04832460228</v>
      </c>
      <c r="R46" s="66">
        <f>Q46*(1+R35)*(1-R36)</f>
        <v>230654.82706717492</v>
      </c>
      <c r="S46" s="66">
        <f>R46*(1+S35)*(1-S36)</f>
        <v>243833.26483788804</v>
      </c>
    </row>
    <row r="47" spans="3:20" ht="12.75" x14ac:dyDescent="0.2">
      <c r="D47" s="7" t="s">
        <v>109</v>
      </c>
      <c r="H47" s="243" t="s">
        <v>52</v>
      </c>
      <c r="I47" s="243" t="s">
        <v>47</v>
      </c>
      <c r="J47" s="243" t="s">
        <v>40</v>
      </c>
      <c r="O47" s="66">
        <f>Inputs_Other!O73</f>
        <v>0</v>
      </c>
      <c r="P47" s="66">
        <f>Inputs_Other!P73</f>
        <v>0</v>
      </c>
      <c r="Q47" s="66">
        <f>Inputs_Other!Q73</f>
        <v>0</v>
      </c>
      <c r="R47" s="66">
        <f>Inputs_Other!R73</f>
        <v>0</v>
      </c>
      <c r="S47" s="66">
        <f>Inputs_Other!S73</f>
        <v>0</v>
      </c>
    </row>
    <row r="48" spans="3:20" ht="12.75" x14ac:dyDescent="0.2">
      <c r="D48" s="7" t="s">
        <v>110</v>
      </c>
      <c r="H48" s="243" t="s">
        <v>52</v>
      </c>
      <c r="I48" s="243" t="s">
        <v>47</v>
      </c>
      <c r="J48" s="243" t="s">
        <v>40</v>
      </c>
      <c r="O48" s="66">
        <f>IF(O33&lt;$H$19,Inputs_Other!O74,-O94*(1+O39)^0.5)</f>
        <v>0</v>
      </c>
      <c r="P48" s="66">
        <f>IF(P33&lt;$H$19,Inputs_Other!P74,-P94*(1+P39)^0.5)</f>
        <v>4.5092309792074932E-3</v>
      </c>
      <c r="Q48" s="66">
        <f>IF(Q33&lt;$H$19,Inputs_Other!Q74,-Q94*(1+Q39)^0.5)</f>
        <v>1.9838828280479598E-3</v>
      </c>
      <c r="R48" s="66">
        <f>IF(R33&lt;$H$19,Inputs_Other!R74,-R94*(1+R39)^0.5)</f>
        <v>1.1533887965277463E-2</v>
      </c>
      <c r="S48" s="66">
        <f>IF(S33&lt;$H$19,Inputs_Other!S74,-S94*(1+S39)^0.5)</f>
        <v>9.1717029772913593E-3</v>
      </c>
      <c r="T48" s="107" t="s">
        <v>235</v>
      </c>
    </row>
    <row r="49" spans="1:19" ht="12.75" x14ac:dyDescent="0.2">
      <c r="D49" s="7" t="s">
        <v>111</v>
      </c>
      <c r="H49" s="243" t="s">
        <v>52</v>
      </c>
      <c r="I49" s="243" t="s">
        <v>47</v>
      </c>
      <c r="J49" s="243" t="s">
        <v>40</v>
      </c>
      <c r="O49" s="66">
        <f>Inputs_Other!O75</f>
        <v>0</v>
      </c>
      <c r="P49" s="66">
        <f>Inputs_Other!P75</f>
        <v>0</v>
      </c>
      <c r="Q49" s="66">
        <f>Inputs_Other!Q75</f>
        <v>0</v>
      </c>
      <c r="R49" s="66">
        <f>Inputs_Other!R75</f>
        <v>0</v>
      </c>
      <c r="S49" s="66">
        <f>Inputs_Other!S75</f>
        <v>0</v>
      </c>
    </row>
    <row r="51" spans="1:19" ht="12.75" x14ac:dyDescent="0.2">
      <c r="D51" s="62" t="s">
        <v>189</v>
      </c>
      <c r="H51" s="56" t="s">
        <v>52</v>
      </c>
      <c r="I51" s="56" t="str">
        <f>Output_Revenue!I$22</f>
        <v>$000's</v>
      </c>
      <c r="J51" s="56" t="str">
        <f>Output_Revenue!J$22</f>
        <v>Nominal</v>
      </c>
      <c r="O51" s="68">
        <f>SUM(O46:O49)</f>
        <v>173450.2385373924</v>
      </c>
      <c r="P51" s="68">
        <f>SUM(P46:P49)</f>
        <v>190738.10365277732</v>
      </c>
      <c r="Q51" s="68">
        <f>SUM(Q46:Q49)</f>
        <v>209749.05030848511</v>
      </c>
      <c r="R51" s="68">
        <f>SUM(R46:R49)</f>
        <v>230654.83860106289</v>
      </c>
      <c r="S51" s="68">
        <f>SUM(S46:S49)</f>
        <v>243833.27400959103</v>
      </c>
    </row>
    <row r="52" spans="1:19" ht="11.25" customHeight="1" x14ac:dyDescent="0.2"/>
    <row r="53" spans="1:19" ht="11.25" customHeight="1" x14ac:dyDescent="0.2"/>
    <row r="54" spans="1:19" ht="12.75" x14ac:dyDescent="0.2">
      <c r="D54" s="7" t="s">
        <v>133</v>
      </c>
      <c r="H54" s="243" t="s">
        <v>52</v>
      </c>
      <c r="I54" s="243" t="s">
        <v>47</v>
      </c>
      <c r="J54" s="243" t="s">
        <v>40</v>
      </c>
      <c r="O54" s="66">
        <f>Output_Revenue!O26</f>
        <v>173450.23427039024</v>
      </c>
      <c r="P54" s="66">
        <f>Output_Revenue!P26</f>
        <v>190738.10177782248</v>
      </c>
      <c r="Q54" s="66">
        <f>Output_Revenue!Q26</f>
        <v>209749.03942155041</v>
      </c>
      <c r="R54" s="66">
        <f>Output_Revenue!R26</f>
        <v>230654.82995465636</v>
      </c>
      <c r="S54" s="66">
        <f>Output_Revenue!S26</f>
        <v>243833.25814202437</v>
      </c>
    </row>
    <row r="55" spans="1:19" ht="11.25" customHeight="1" x14ac:dyDescent="0.2">
      <c r="O55" s="145"/>
      <c r="Q55" s="145"/>
    </row>
    <row r="56" spans="1:19" ht="12.75" hidden="1" outlineLevel="1" x14ac:dyDescent="0.2">
      <c r="A56" s="59">
        <f>IF(SUM($M56:$S56)=0,0,1)</f>
        <v>0</v>
      </c>
      <c r="D56" s="81" t="s">
        <v>55</v>
      </c>
      <c r="E56" s="82"/>
      <c r="F56" s="80"/>
      <c r="G56" s="82"/>
      <c r="H56" s="80"/>
      <c r="I56" s="84"/>
      <c r="J56" s="84"/>
      <c r="K56" s="78"/>
      <c r="O56" s="59">
        <f>IF(ISERROR(O51)=0,1,0)</f>
        <v>0</v>
      </c>
      <c r="P56" s="59">
        <f>IF(ISERROR(P51)=0,1,0)</f>
        <v>0</v>
      </c>
      <c r="Q56" s="59">
        <f>IF(ISERROR(Q51)=0,1,0)</f>
        <v>0</v>
      </c>
      <c r="R56" s="59">
        <f>IF(ISERROR(R51)=0,1,0)</f>
        <v>0</v>
      </c>
      <c r="S56" s="59">
        <f>IF(ISERROR(S51)=0,1,0)</f>
        <v>0</v>
      </c>
    </row>
    <row r="57" spans="1:19" ht="11.25" customHeight="1" collapsed="1" x14ac:dyDescent="0.2">
      <c r="O57" s="284"/>
      <c r="P57" s="284"/>
      <c r="Q57" s="284"/>
      <c r="R57" s="284"/>
      <c r="S57" s="284"/>
    </row>
    <row r="58" spans="1:19" s="8" customFormat="1" ht="15" x14ac:dyDescent="0.2">
      <c r="C58" s="8" t="s">
        <v>116</v>
      </c>
    </row>
    <row r="59" spans="1:19" ht="11.25" customHeight="1" x14ac:dyDescent="0.2"/>
    <row r="60" spans="1:19" ht="11.25" customHeight="1" x14ac:dyDescent="0.2">
      <c r="D60" s="70" t="s">
        <v>55</v>
      </c>
      <c r="O60" s="54" t="str">
        <f>O$9</f>
        <v>FY25</v>
      </c>
      <c r="P60" s="54" t="str">
        <f>P$9</f>
        <v>FY26</v>
      </c>
      <c r="Q60" s="54" t="str">
        <f>Q$9</f>
        <v>FY27</v>
      </c>
      <c r="R60" s="54" t="str">
        <f>R$9</f>
        <v>FY28</v>
      </c>
      <c r="S60" s="54" t="str">
        <f>S$9</f>
        <v>FY29</v>
      </c>
    </row>
    <row r="61" spans="1:19" ht="11.25" customHeight="1" x14ac:dyDescent="0.2">
      <c r="D61" s="1"/>
    </row>
    <row r="62" spans="1:19" ht="12.75" x14ac:dyDescent="0.2">
      <c r="A62" s="59">
        <f>IF(COUNTIF($M62:$S62,"Fail")=0,0,1)</f>
        <v>0</v>
      </c>
      <c r="D62" s="7" t="s">
        <v>748</v>
      </c>
      <c r="O62" s="80" t="str">
        <f>IF(O$104&gt;=$H$19,IF(O51&gt;=O54,"Pass","Fail"),"")</f>
        <v>Pass</v>
      </c>
      <c r="P62" s="80" t="str">
        <f>IF(P$104&gt;=$H$19,IF(P51&gt;=P54,"Pass","Fail"),"")</f>
        <v>Pass</v>
      </c>
      <c r="Q62" s="80" t="str">
        <f>IF(Q$104&gt;=$H$19,IF(Q51&gt;=Q54,"Pass","Fail"),"")</f>
        <v>Pass</v>
      </c>
      <c r="R62" s="80" t="str">
        <f>IF(R$104&gt;=$H$19,IF(R51&gt;=R54,"Pass","Fail"),"")</f>
        <v>Pass</v>
      </c>
      <c r="S62" s="80" t="str">
        <f>IF(S$104&gt;=$H$19,IF(S51&gt;=S54,"Pass","Fail"),"")</f>
        <v>Pass</v>
      </c>
    </row>
    <row r="63" spans="1:19" ht="11.25" customHeight="1" x14ac:dyDescent="0.2"/>
    <row r="64" spans="1:19" ht="11.25" customHeight="1" x14ac:dyDescent="0.2"/>
    <row r="65" spans="2:20" s="2" customFormat="1" ht="15.75" x14ac:dyDescent="0.2">
      <c r="B65" s="2" t="s">
        <v>749</v>
      </c>
    </row>
    <row r="66" spans="2:20" ht="11.25" customHeight="1" x14ac:dyDescent="0.2"/>
    <row r="67" spans="2:20" ht="11.25" customHeight="1" x14ac:dyDescent="0.2">
      <c r="D67" s="105" t="s">
        <v>122</v>
      </c>
    </row>
    <row r="68" spans="2:20" ht="11.25" customHeight="1" x14ac:dyDescent="0.2">
      <c r="D68" s="105" t="s">
        <v>125</v>
      </c>
    </row>
    <row r="69" spans="2:20" ht="11.25" customHeight="1" x14ac:dyDescent="0.2"/>
    <row r="70" spans="2:20" ht="11.25" customHeight="1" x14ac:dyDescent="0.2"/>
    <row r="71" spans="2:20" s="8" customFormat="1" ht="15" x14ac:dyDescent="0.2">
      <c r="C71" s="8" t="s">
        <v>750</v>
      </c>
    </row>
    <row r="72" spans="2:20" ht="11.25" customHeight="1" x14ac:dyDescent="0.2"/>
    <row r="73" spans="2:20" ht="11.25" customHeight="1" x14ac:dyDescent="0.2">
      <c r="D73" s="70" t="s">
        <v>95</v>
      </c>
      <c r="H73" s="54" t="str">
        <f>Lookup!E$19</f>
        <v>Source</v>
      </c>
      <c r="I73" s="54" t="str">
        <f>Lookup!F$19</f>
        <v>Unit</v>
      </c>
      <c r="J73" s="54" t="str">
        <f>Lookup!G$19</f>
        <v>Basis</v>
      </c>
      <c r="M73" s="54" t="str">
        <f t="shared" ref="M73:S73" si="0">M$9</f>
        <v>FY23</v>
      </c>
      <c r="N73" s="54" t="str">
        <f t="shared" si="0"/>
        <v>FY24</v>
      </c>
      <c r="O73" s="54" t="str">
        <f t="shared" si="0"/>
        <v>FY25</v>
      </c>
      <c r="P73" s="54" t="str">
        <f t="shared" si="0"/>
        <v>FY26</v>
      </c>
      <c r="Q73" s="54" t="str">
        <f t="shared" si="0"/>
        <v>FY27</v>
      </c>
      <c r="R73" s="54" t="str">
        <f t="shared" si="0"/>
        <v>FY28</v>
      </c>
      <c r="S73" s="54" t="str">
        <f t="shared" si="0"/>
        <v>FY29</v>
      </c>
    </row>
    <row r="75" spans="2:20" ht="12.75" x14ac:dyDescent="0.2">
      <c r="D75" s="7" t="s">
        <v>166</v>
      </c>
      <c r="H75" s="243" t="s">
        <v>52</v>
      </c>
      <c r="I75" s="243" t="s">
        <v>47</v>
      </c>
      <c r="J75" s="243" t="s">
        <v>40</v>
      </c>
      <c r="M75" s="66">
        <f>Inputs_Other!M84</f>
        <v>0</v>
      </c>
      <c r="N75" s="96">
        <f>Inputs_Other!N84</f>
        <v>0</v>
      </c>
      <c r="O75" s="97">
        <f>IF(Inputs_Other!O83=No_Input,Output_Revenue!O26,Inputs_Other!O84)</f>
        <v>173450.23427039024</v>
      </c>
      <c r="P75" s="66">
        <f>IF(Inputs_Other!P83=No_Input,Output_Revenue!P26,Inputs_Other!P84)</f>
        <v>190738.10177782248</v>
      </c>
      <c r="Q75" s="66">
        <f>IF(Inputs_Other!Q83=No_Input,Output_Revenue!Q26,Inputs_Other!Q84)</f>
        <v>209749.03942155041</v>
      </c>
      <c r="R75" s="66">
        <f>IF(Inputs_Other!R83=No_Input,Output_Revenue!R26,Inputs_Other!R84)</f>
        <v>230654.82995465636</v>
      </c>
      <c r="S75" s="66">
        <f>IF(Inputs_Other!S83=No_Input,Output_Revenue!S26,Inputs_Other!S84)</f>
        <v>243833.25814202437</v>
      </c>
      <c r="T75" s="107" t="s">
        <v>223</v>
      </c>
    </row>
    <row r="76" spans="2:20" ht="12.75" x14ac:dyDescent="0.2">
      <c r="D76" s="7"/>
      <c r="H76" s="80"/>
      <c r="I76" s="84"/>
      <c r="J76" s="84"/>
      <c r="M76" s="66"/>
      <c r="N76" s="66"/>
      <c r="O76" s="66"/>
      <c r="P76" s="66"/>
      <c r="Q76" s="66"/>
      <c r="R76" s="66"/>
      <c r="S76" s="66"/>
    </row>
    <row r="77" spans="2:20" ht="12.75" x14ac:dyDescent="0.2">
      <c r="D77" s="19" t="s">
        <v>108</v>
      </c>
      <c r="H77" s="243" t="str">
        <f>H75</f>
        <v>Calculated</v>
      </c>
      <c r="I77" s="243" t="str">
        <f>I75</f>
        <v>$000's</v>
      </c>
      <c r="J77" s="243" t="str">
        <f>J75</f>
        <v>Nominal</v>
      </c>
      <c r="M77" s="66">
        <f>Inputs_Other!M85</f>
        <v>0</v>
      </c>
      <c r="N77" s="96">
        <f>Inputs_Other!N85</f>
        <v>0</v>
      </c>
      <c r="O77" s="97">
        <f>O46</f>
        <v>173450.2385373924</v>
      </c>
      <c r="P77" s="66">
        <f>P46</f>
        <v>190738.09914354634</v>
      </c>
      <c r="Q77" s="66">
        <f>Q46</f>
        <v>209749.04832460228</v>
      </c>
      <c r="R77" s="66">
        <f>R46</f>
        <v>230654.82706717492</v>
      </c>
      <c r="S77" s="66">
        <f>S46</f>
        <v>243833.26483788804</v>
      </c>
    </row>
    <row r="78" spans="2:20" ht="12.75" x14ac:dyDescent="0.2">
      <c r="D78" s="19" t="s">
        <v>109</v>
      </c>
      <c r="H78" s="243" t="str">
        <f t="shared" ref="H78:J80" si="1">H77</f>
        <v>Calculated</v>
      </c>
      <c r="I78" s="243" t="str">
        <f t="shared" si="1"/>
        <v>$000's</v>
      </c>
      <c r="J78" s="243" t="str">
        <f t="shared" si="1"/>
        <v>Nominal</v>
      </c>
      <c r="M78" s="66">
        <f>Inputs_Other!M73</f>
        <v>0</v>
      </c>
      <c r="N78" s="66">
        <f>Inputs_Other!N73</f>
        <v>0</v>
      </c>
      <c r="O78" s="66">
        <f>Inputs_Other!O73</f>
        <v>0</v>
      </c>
      <c r="P78" s="66">
        <f>Inputs_Other!P73</f>
        <v>0</v>
      </c>
      <c r="Q78" s="66">
        <f>Inputs_Other!Q73</f>
        <v>0</v>
      </c>
      <c r="R78" s="66">
        <f>Inputs_Other!R73</f>
        <v>0</v>
      </c>
      <c r="S78" s="66">
        <f>Inputs_Other!S73</f>
        <v>0</v>
      </c>
    </row>
    <row r="79" spans="2:20" ht="12.75" x14ac:dyDescent="0.2">
      <c r="D79" s="19" t="s">
        <v>110</v>
      </c>
      <c r="H79" s="243" t="str">
        <f t="shared" si="1"/>
        <v>Calculated</v>
      </c>
      <c r="I79" s="243" t="str">
        <f t="shared" si="1"/>
        <v>$000's</v>
      </c>
      <c r="J79" s="243" t="str">
        <f t="shared" si="1"/>
        <v>Nominal</v>
      </c>
      <c r="M79" s="95"/>
      <c r="N79" s="95"/>
      <c r="O79" s="95"/>
      <c r="P79" s="95"/>
      <c r="Q79" s="95"/>
      <c r="R79" s="95"/>
      <c r="S79" s="95"/>
      <c r="T79" s="107" t="s">
        <v>164</v>
      </c>
    </row>
    <row r="80" spans="2:20" ht="12.75" x14ac:dyDescent="0.2">
      <c r="D80" s="19" t="s">
        <v>111</v>
      </c>
      <c r="H80" s="243" t="str">
        <f t="shared" si="1"/>
        <v>Calculated</v>
      </c>
      <c r="I80" s="243" t="str">
        <f t="shared" si="1"/>
        <v>$000's</v>
      </c>
      <c r="J80" s="243" t="str">
        <f t="shared" si="1"/>
        <v>Nominal</v>
      </c>
      <c r="M80" s="66">
        <f>Inputs_Other!M75</f>
        <v>0</v>
      </c>
      <c r="N80" s="66">
        <f>Inputs_Other!N75</f>
        <v>0</v>
      </c>
      <c r="O80" s="66">
        <f>Inputs_Other!O75</f>
        <v>0</v>
      </c>
      <c r="P80" s="66">
        <f>Inputs_Other!P75</f>
        <v>0</v>
      </c>
      <c r="Q80" s="66">
        <f>Inputs_Other!Q75</f>
        <v>0</v>
      </c>
      <c r="R80" s="66">
        <f>Inputs_Other!R75</f>
        <v>0</v>
      </c>
      <c r="S80" s="66">
        <f>Inputs_Other!S75</f>
        <v>0</v>
      </c>
    </row>
    <row r="81" spans="3:19" ht="12.75" x14ac:dyDescent="0.2">
      <c r="D81" s="7"/>
      <c r="H81" s="86"/>
      <c r="I81" s="86"/>
      <c r="J81" s="86"/>
      <c r="M81" s="66"/>
      <c r="N81" s="66"/>
      <c r="O81" s="66"/>
      <c r="P81" s="66"/>
      <c r="Q81" s="66"/>
      <c r="R81" s="66"/>
      <c r="S81" s="66"/>
    </row>
    <row r="82" spans="3:19" ht="12.75" x14ac:dyDescent="0.2">
      <c r="D82" s="90" t="s">
        <v>751</v>
      </c>
      <c r="E82" s="91"/>
      <c r="F82" s="91"/>
      <c r="G82" s="91"/>
      <c r="H82" s="92" t="s">
        <v>52</v>
      </c>
      <c r="I82" s="92" t="str">
        <f>I$75</f>
        <v>$000's</v>
      </c>
      <c r="J82" s="92" t="str">
        <f>J$75</f>
        <v>Nominal</v>
      </c>
      <c r="K82" s="91"/>
      <c r="L82" s="91"/>
      <c r="M82" s="93">
        <f>SUM(M77:M80)</f>
        <v>0</v>
      </c>
      <c r="N82" s="93">
        <f t="shared" ref="N82:S82" si="2">SUM(N77:N80)</f>
        <v>0</v>
      </c>
      <c r="O82" s="93">
        <f t="shared" si="2"/>
        <v>173450.2385373924</v>
      </c>
      <c r="P82" s="93">
        <f t="shared" si="2"/>
        <v>190738.09914354634</v>
      </c>
      <c r="Q82" s="93">
        <f t="shared" si="2"/>
        <v>209749.04832460228</v>
      </c>
      <c r="R82" s="93">
        <f t="shared" si="2"/>
        <v>230654.82706717492</v>
      </c>
      <c r="S82" s="93">
        <f t="shared" si="2"/>
        <v>243833.26483788804</v>
      </c>
    </row>
    <row r="84" spans="3:19" ht="12.75" x14ac:dyDescent="0.2">
      <c r="D84" s="123" t="s">
        <v>168</v>
      </c>
      <c r="H84" s="243" t="s">
        <v>52</v>
      </c>
      <c r="I84" s="243" t="s">
        <v>47</v>
      </c>
      <c r="J84" s="243" t="s">
        <v>40</v>
      </c>
      <c r="M84" s="66">
        <f>Inputs_Other!M76</f>
        <v>0</v>
      </c>
      <c r="N84" s="66">
        <f>Inputs_Other!N76</f>
        <v>0</v>
      </c>
      <c r="O84" s="66">
        <f>Inputs_Other!O76</f>
        <v>0</v>
      </c>
      <c r="P84" s="66">
        <f>Inputs_Other!P76</f>
        <v>0</v>
      </c>
      <c r="Q84" s="66">
        <f>Inputs_Other!Q76</f>
        <v>0</v>
      </c>
      <c r="R84" s="66">
        <f>Inputs_Other!R76</f>
        <v>0</v>
      </c>
      <c r="S84" s="66">
        <f>Inputs_Other!S76</f>
        <v>0</v>
      </c>
    </row>
    <row r="86" spans="3:19" ht="12.75" x14ac:dyDescent="0.2">
      <c r="D86" s="62" t="s">
        <v>167</v>
      </c>
      <c r="H86" s="56" t="str">
        <f>H75</f>
        <v>Calculated</v>
      </c>
      <c r="I86" s="56" t="str">
        <f>I75</f>
        <v>$000's</v>
      </c>
      <c r="J86" s="56" t="str">
        <f>J75</f>
        <v>Nominal</v>
      </c>
      <c r="M86" s="68">
        <f>M75-M82+M84</f>
        <v>0</v>
      </c>
      <c r="N86" s="68">
        <f t="shared" ref="N86:S86" si="3">N75-N82+N84</f>
        <v>0</v>
      </c>
      <c r="O86" s="68">
        <f t="shared" si="3"/>
        <v>-4.2670021648518741E-3</v>
      </c>
      <c r="P86" s="68">
        <f t="shared" si="3"/>
        <v>2.6342761411797255E-3</v>
      </c>
      <c r="Q86" s="68">
        <f t="shared" si="3"/>
        <v>-8.9030518720392138E-3</v>
      </c>
      <c r="R86" s="68">
        <f t="shared" si="3"/>
        <v>2.8874814452137798E-3</v>
      </c>
      <c r="S86" s="68">
        <f t="shared" si="3"/>
        <v>-6.6958636743947864E-3</v>
      </c>
    </row>
    <row r="89" spans="3:19" s="8" customFormat="1" ht="15" x14ac:dyDescent="0.2">
      <c r="C89" s="8" t="s">
        <v>752</v>
      </c>
    </row>
    <row r="90" spans="3:19" ht="4.5" customHeight="1" x14ac:dyDescent="0.2"/>
    <row r="91" spans="3:19" ht="11.25" customHeight="1" x14ac:dyDescent="0.2"/>
    <row r="92" spans="3:19" ht="11.25" customHeight="1" x14ac:dyDescent="0.2">
      <c r="D92" s="70" t="s">
        <v>123</v>
      </c>
      <c r="H92" s="54" t="str">
        <f>Lookup!E$19</f>
        <v>Source</v>
      </c>
      <c r="I92" s="54" t="str">
        <f>Lookup!F$19</f>
        <v>Unit</v>
      </c>
      <c r="J92" s="54" t="str">
        <f>Lookup!G$19</f>
        <v>Basis</v>
      </c>
      <c r="M92" s="54" t="str">
        <f t="shared" ref="M92:S92" si="4">M$9</f>
        <v>FY23</v>
      </c>
      <c r="N92" s="54" t="str">
        <f t="shared" si="4"/>
        <v>FY24</v>
      </c>
      <c r="O92" s="54" t="str">
        <f t="shared" si="4"/>
        <v>FY25</v>
      </c>
      <c r="P92" s="54" t="str">
        <f t="shared" si="4"/>
        <v>FY26</v>
      </c>
      <c r="Q92" s="54" t="str">
        <f t="shared" si="4"/>
        <v>FY27</v>
      </c>
      <c r="R92" s="54" t="str">
        <f t="shared" si="4"/>
        <v>FY28</v>
      </c>
      <c r="S92" s="54" t="str">
        <f t="shared" si="4"/>
        <v>FY29</v>
      </c>
    </row>
    <row r="93" spans="3:19" ht="11.25" customHeight="1" x14ac:dyDescent="0.2"/>
    <row r="94" spans="3:19" ht="12.75" x14ac:dyDescent="0.2">
      <c r="D94" s="7" t="s">
        <v>112</v>
      </c>
      <c r="H94" s="243" t="s">
        <v>52</v>
      </c>
      <c r="I94" s="243" t="s">
        <v>47</v>
      </c>
      <c r="J94" s="243" t="s">
        <v>40</v>
      </c>
      <c r="M94" s="98">
        <f>Inputs_Other!M87</f>
        <v>0</v>
      </c>
      <c r="N94" s="97">
        <f t="shared" ref="N94:S94" si="5">M99</f>
        <v>0</v>
      </c>
      <c r="O94" s="66">
        <f t="shared" si="5"/>
        <v>0</v>
      </c>
      <c r="P94" s="66">
        <f t="shared" si="5"/>
        <v>-4.3850665608498448E-3</v>
      </c>
      <c r="Q94" s="66">
        <f t="shared" si="5"/>
        <v>-1.9280447224525685E-3</v>
      </c>
      <c r="R94" s="66">
        <f t="shared" si="5"/>
        <v>-1.1202231229423024E-2</v>
      </c>
      <c r="S94" s="66">
        <f t="shared" si="5"/>
        <v>-8.9023947160386911E-3</v>
      </c>
    </row>
    <row r="95" spans="3:19" ht="12.75" x14ac:dyDescent="0.2">
      <c r="D95" s="7" t="s">
        <v>113</v>
      </c>
      <c r="H95" s="243" t="s">
        <v>52</v>
      </c>
      <c r="I95" s="243" t="s">
        <v>47</v>
      </c>
      <c r="J95" s="243" t="s">
        <v>40</v>
      </c>
      <c r="M95" s="66">
        <f>M94*Inputs_Other!M$89</f>
        <v>0</v>
      </c>
      <c r="N95" s="96">
        <f>N94*Inputs_Other!N$89</f>
        <v>0</v>
      </c>
      <c r="O95" s="66">
        <f>O94*O39</f>
        <v>0</v>
      </c>
      <c r="P95" s="66">
        <f>P94*P39</f>
        <v>-2.5184458786118289E-4</v>
      </c>
      <c r="Q95" s="66">
        <f>Q94*Q39</f>
        <v>-1.1329333863610236E-4</v>
      </c>
      <c r="R95" s="66">
        <f>R94*R39</f>
        <v>-6.731326040035901E-4</v>
      </c>
      <c r="S95" s="66">
        <f>S94*S39</f>
        <v>-5.4676342475943316E-4</v>
      </c>
    </row>
    <row r="96" spans="3:19" ht="12.75" x14ac:dyDescent="0.2">
      <c r="D96" s="7" t="s">
        <v>114</v>
      </c>
      <c r="H96" s="243" t="s">
        <v>52</v>
      </c>
      <c r="I96" s="243" t="s">
        <v>47</v>
      </c>
      <c r="J96" s="243" t="s">
        <v>40</v>
      </c>
      <c r="M96" s="66">
        <f>M86</f>
        <v>0</v>
      </c>
      <c r="N96" s="66">
        <f t="shared" ref="N96:S96" si="6">N86</f>
        <v>0</v>
      </c>
      <c r="O96" s="66">
        <f t="shared" si="6"/>
        <v>-4.2670021648518741E-3</v>
      </c>
      <c r="P96" s="66">
        <f t="shared" si="6"/>
        <v>2.6342761411797255E-3</v>
      </c>
      <c r="Q96" s="66">
        <f t="shared" si="6"/>
        <v>-8.9030518720392138E-3</v>
      </c>
      <c r="R96" s="66">
        <f t="shared" si="6"/>
        <v>2.8874814452137798E-3</v>
      </c>
      <c r="S96" s="66">
        <f t="shared" si="6"/>
        <v>-6.6958636743947864E-3</v>
      </c>
    </row>
    <row r="97" spans="1:20" ht="12.75" x14ac:dyDescent="0.2">
      <c r="D97" s="7" t="s">
        <v>115</v>
      </c>
      <c r="H97" s="243" t="s">
        <v>52</v>
      </c>
      <c r="I97" s="243" t="s">
        <v>47</v>
      </c>
      <c r="J97" s="243" t="s">
        <v>40</v>
      </c>
      <c r="M97" s="66">
        <f>M96*(1+Inputs_Other!M$89)^0.5-M96</f>
        <v>0</v>
      </c>
      <c r="N97" s="96">
        <f>N96*(1+Inputs_Other!N$89)^0.5-N96</f>
        <v>0</v>
      </c>
      <c r="O97" s="97">
        <f>O96*(1+O39)^0.5-O96</f>
        <v>-1.1806439599797072E-4</v>
      </c>
      <c r="P97" s="66">
        <f>P96*(1+P39)^0.5-P96</f>
        <v>7.4590285078733436E-5</v>
      </c>
      <c r="Q97" s="66">
        <f>Q96*(1+Q39)^0.5-Q96</f>
        <v>-2.5784129629513944E-4</v>
      </c>
      <c r="R97" s="66">
        <f>R96*(1+R39)^0.5-R96</f>
        <v>8.5487672174143145E-5</v>
      </c>
      <c r="S97" s="66">
        <f>S96*(1+S39)^0.5-S96</f>
        <v>-2.0255801514702538E-4</v>
      </c>
    </row>
    <row r="98" spans="1:20" ht="11.25" customHeight="1" x14ac:dyDescent="0.2"/>
    <row r="99" spans="1:20" ht="12.75" x14ac:dyDescent="0.2">
      <c r="D99" s="62" t="s">
        <v>753</v>
      </c>
      <c r="H99" s="56" t="str">
        <f>H94</f>
        <v>Calculated</v>
      </c>
      <c r="I99" s="56" t="str">
        <f>I94</f>
        <v>$000's</v>
      </c>
      <c r="J99" s="56" t="str">
        <f>J94</f>
        <v>Nominal</v>
      </c>
      <c r="M99" s="68">
        <f>SUM(M94:M97)</f>
        <v>0</v>
      </c>
      <c r="N99" s="68">
        <f t="shared" ref="N99:S99" si="7">SUM(N94:N97)</f>
        <v>0</v>
      </c>
      <c r="O99" s="68">
        <f t="shared" si="7"/>
        <v>-4.3850665608498448E-3</v>
      </c>
      <c r="P99" s="68">
        <f t="shared" si="7"/>
        <v>-1.9280447224525685E-3</v>
      </c>
      <c r="Q99" s="68">
        <f t="shared" si="7"/>
        <v>-1.1202231229423024E-2</v>
      </c>
      <c r="R99" s="68">
        <f t="shared" si="7"/>
        <v>-8.9023947160386911E-3</v>
      </c>
      <c r="S99" s="68">
        <f t="shared" si="7"/>
        <v>-1.6347579830339933E-2</v>
      </c>
    </row>
    <row r="100" spans="1:20" ht="11.25" customHeight="1" x14ac:dyDescent="0.2"/>
    <row r="101" spans="1:20" ht="11.25" customHeight="1" x14ac:dyDescent="0.2"/>
    <row r="102" spans="1:20" s="8" customFormat="1" ht="15" x14ac:dyDescent="0.2">
      <c r="C102" s="8" t="s">
        <v>116</v>
      </c>
    </row>
    <row r="103" spans="1:20" ht="11.25" customHeight="1" x14ac:dyDescent="0.2"/>
    <row r="104" spans="1:20" ht="11.25" customHeight="1" x14ac:dyDescent="0.2">
      <c r="D104" s="70" t="s">
        <v>55</v>
      </c>
      <c r="O104" s="54" t="str">
        <f>O$9</f>
        <v>FY25</v>
      </c>
      <c r="P104" s="54" t="str">
        <f>P$9</f>
        <v>FY26</v>
      </c>
      <c r="Q104" s="54" t="str">
        <f>Q$9</f>
        <v>FY27</v>
      </c>
      <c r="R104" s="54" t="str">
        <f>R$9</f>
        <v>FY28</v>
      </c>
      <c r="S104" s="54" t="str">
        <f>S$9</f>
        <v>FY29</v>
      </c>
    </row>
    <row r="105" spans="1:20" ht="11.25" customHeight="1" x14ac:dyDescent="0.2">
      <c r="D105" s="1"/>
    </row>
    <row r="106" spans="1:20" ht="12.75" x14ac:dyDescent="0.2">
      <c r="A106" s="59">
        <f>IF(COUNTIF($M106:$S106,"Fail")=0,0,1)</f>
        <v>0</v>
      </c>
      <c r="D106" s="7" t="s">
        <v>754</v>
      </c>
      <c r="O106" s="80" t="str">
        <f>IF(O$9&gt;=$H$19,IF(ROUND(O99,0)=0,"Pass","Fail"),"")</f>
        <v>Pass</v>
      </c>
      <c r="P106" s="80" t="str">
        <f>IF(P$9&gt;=$H$19,IF(ROUND(P99,0)=0,"Pass","Fail"),"")</f>
        <v>Pass</v>
      </c>
      <c r="Q106" s="80" t="str">
        <f>IF(Q$9&gt;=$H$19,IF(ROUND(Q99,0)=0,"Pass","Fail"),"")</f>
        <v>Pass</v>
      </c>
      <c r="R106" s="80" t="str">
        <f>IF(R$9&gt;=$H$19,IF(ROUND(R99,0)=0,"Pass","Fail"),"")</f>
        <v>Pass</v>
      </c>
      <c r="S106" s="80" t="str">
        <f>IF(S$9&gt;=$H$19,IF(ROUND(S99,0)=0,"Pass","Fail"),"")</f>
        <v>Pass</v>
      </c>
      <c r="T106" s="107" t="s">
        <v>230</v>
      </c>
    </row>
    <row r="107" spans="1:20" ht="11.25" customHeight="1" x14ac:dyDescent="0.2"/>
    <row r="108" spans="1:20" ht="11.25" customHeight="1" x14ac:dyDescent="0.2"/>
    <row r="109" spans="1:20" s="2" customFormat="1" ht="15.75" x14ac:dyDescent="0.2">
      <c r="B109" s="2" t="s">
        <v>755</v>
      </c>
    </row>
    <row r="110" spans="1:20" ht="4.5" customHeight="1" x14ac:dyDescent="0.2"/>
    <row r="111" spans="1:20" ht="11.25" customHeight="1" x14ac:dyDescent="0.2">
      <c r="D111" s="105" t="s">
        <v>180</v>
      </c>
    </row>
    <row r="112" spans="1:20" ht="11.25" customHeight="1" x14ac:dyDescent="0.2"/>
    <row r="113" spans="3:20" ht="11.25" customHeight="1" x14ac:dyDescent="0.2"/>
    <row r="114" spans="3:20" s="8" customFormat="1" ht="15" x14ac:dyDescent="0.2">
      <c r="C114" s="8" t="s">
        <v>170</v>
      </c>
    </row>
    <row r="115" spans="3:20" ht="11.25" customHeight="1" x14ac:dyDescent="0.2"/>
    <row r="116" spans="3:20" ht="11.25" customHeight="1" x14ac:dyDescent="0.2">
      <c r="D116" s="70" t="s">
        <v>756</v>
      </c>
      <c r="H116" s="54" t="str">
        <f>Lookup!E$19</f>
        <v>Source</v>
      </c>
      <c r="I116" s="54" t="str">
        <f>Lookup!F$19</f>
        <v>Unit</v>
      </c>
      <c r="J116" s="54" t="str">
        <f>Lookup!G$19</f>
        <v>Basis</v>
      </c>
      <c r="O116" s="54" t="str">
        <f>O$9</f>
        <v>FY25</v>
      </c>
      <c r="P116" s="54" t="str">
        <f>P$9</f>
        <v>FY26</v>
      </c>
      <c r="Q116" s="54" t="str">
        <f>Q$9</f>
        <v>FY27</v>
      </c>
      <c r="R116" s="54" t="str">
        <f>R$9</f>
        <v>FY28</v>
      </c>
      <c r="S116" s="54" t="str">
        <f>S$9</f>
        <v>FY29</v>
      </c>
    </row>
    <row r="117" spans="3:20" ht="11.25" customHeight="1" x14ac:dyDescent="0.2">
      <c r="D117" s="1"/>
    </row>
    <row r="118" spans="3:20" ht="12.75" x14ac:dyDescent="0.2">
      <c r="D118" s="124" t="s">
        <v>174</v>
      </c>
    </row>
    <row r="119" spans="3:20" ht="12.75" x14ac:dyDescent="0.2">
      <c r="D119" s="125" t="s">
        <v>64</v>
      </c>
      <c r="E119" s="82"/>
      <c r="F119" s="82"/>
      <c r="G119" s="82"/>
      <c r="H119" s="243" t="s">
        <v>130</v>
      </c>
      <c r="I119" s="243" t="s">
        <v>47</v>
      </c>
      <c r="J119" s="243" t="s">
        <v>40</v>
      </c>
      <c r="O119" s="95"/>
      <c r="P119" s="66">
        <f t="shared" ref="P119:S121" si="8">P191</f>
        <v>152428.02084244977</v>
      </c>
      <c r="Q119" s="66">
        <f t="shared" si="8"/>
        <v>167970.05898064704</v>
      </c>
      <c r="R119" s="66">
        <f t="shared" si="8"/>
        <v>184389.68100993041</v>
      </c>
      <c r="S119" s="66">
        <f t="shared" si="8"/>
        <v>194352.08698890018</v>
      </c>
    </row>
    <row r="120" spans="3:20" ht="12.75" x14ac:dyDescent="0.2">
      <c r="D120" s="125" t="s">
        <v>70</v>
      </c>
      <c r="E120" s="82"/>
      <c r="F120" s="82"/>
      <c r="G120" s="82"/>
      <c r="H120" s="243" t="s">
        <v>130</v>
      </c>
      <c r="I120" s="243" t="s">
        <v>47</v>
      </c>
      <c r="J120" s="243" t="s">
        <v>40</v>
      </c>
      <c r="O120" s="95"/>
      <c r="P120" s="66">
        <f t="shared" si="8"/>
        <v>19331.472092615717</v>
      </c>
      <c r="Q120" s="66">
        <f t="shared" si="8"/>
        <v>21210.489182434489</v>
      </c>
      <c r="R120" s="66">
        <f t="shared" si="8"/>
        <v>23486.114391789899</v>
      </c>
      <c r="S120" s="66">
        <f t="shared" si="8"/>
        <v>25045.790256963905</v>
      </c>
    </row>
    <row r="121" spans="3:20" ht="12.75" x14ac:dyDescent="0.2">
      <c r="D121" s="125" t="s">
        <v>69</v>
      </c>
      <c r="E121" s="82"/>
      <c r="F121" s="82"/>
      <c r="G121" s="82"/>
      <c r="H121" s="243" t="s">
        <v>130</v>
      </c>
      <c r="I121" s="243" t="s">
        <v>47</v>
      </c>
      <c r="J121" s="243" t="s">
        <v>40</v>
      </c>
      <c r="O121" s="95"/>
      <c r="P121" s="66">
        <f t="shared" si="8"/>
        <v>18978.608842756974</v>
      </c>
      <c r="Q121" s="66">
        <f t="shared" si="8"/>
        <v>20568.491258468886</v>
      </c>
      <c r="R121" s="66">
        <f t="shared" si="8"/>
        <v>22779.034552936064</v>
      </c>
      <c r="S121" s="66">
        <f t="shared" si="8"/>
        <v>24435.380896160292</v>
      </c>
    </row>
    <row r="122" spans="3:20" ht="11.25" customHeight="1" x14ac:dyDescent="0.2">
      <c r="D122" s="7"/>
    </row>
    <row r="123" spans="3:20" ht="12.75" x14ac:dyDescent="0.2">
      <c r="D123" s="124" t="s">
        <v>173</v>
      </c>
    </row>
    <row r="124" spans="3:20" ht="12.75" x14ac:dyDescent="0.2">
      <c r="D124" s="125" t="s">
        <v>64</v>
      </c>
      <c r="E124" s="82"/>
      <c r="F124" s="82"/>
      <c r="G124" s="82"/>
      <c r="H124" s="243" t="s">
        <v>52</v>
      </c>
      <c r="I124" s="243" t="s">
        <v>47</v>
      </c>
      <c r="J124" s="243" t="s">
        <v>40</v>
      </c>
      <c r="O124" s="95"/>
      <c r="P124" s="66">
        <f t="array" ref="P124">((SUM((Inputs_Prices!$F$20:$F$27=$D124)*(Inputs_Prices!O$20:O$27)*Inputs_Volumes!P$20:P$27)
+SUM((Inputs_Prices!$F$34:$F$47=$D124)*(Inputs_Prices!O$34:O$47)*Inputs_Volumes!P$34:P$47))
+SUM((Inputs_Prices!$F$54:$F$57=$D124)*(Inputs_Prices!O$54:O$57)*Inputs_Volumes!P$54:P$57))*Dollars_to_Thousands</f>
        <v>139301.1588982867</v>
      </c>
      <c r="Q124" s="66">
        <f t="array" ref="Q124">((SUM((Inputs_Prices!$F$20:$F$27=$D124)*(Inputs_Prices!P$20:P$27)*Inputs_Volumes!Q$20:Q$27)
+SUM((Inputs_Prices!$F$34:$F$47=$D124)*(Inputs_Prices!P$34:P$47)*Inputs_Volumes!Q$34:Q$47))
+SUM((Inputs_Prices!$F$54:$F$57=$D124)*(Inputs_Prices!P$54:P$57)*Inputs_Volumes!Q$54:Q$57))*Dollars_to_Thousands</f>
        <v>153566.18106104381</v>
      </c>
      <c r="R124" s="66">
        <f t="array" ref="R124">((SUM((Inputs_Prices!$F$20:$F$27=$D124)*(Inputs_Prices!Q$20:Q$27)*Inputs_Volumes!R$20:R$27)
+SUM((Inputs_Prices!$F$34:$F$47=$D124)*(Inputs_Prices!Q$34:Q$47)*Inputs_Volumes!R$34:R$47))
+SUM((Inputs_Prices!$F$54:$F$57=$D124)*(Inputs_Prices!Q$54:Q$57)*Inputs_Volumes!R$54:R$57))*Dollars_to_Thousands</f>
        <v>169111.68673485116</v>
      </c>
      <c r="S124" s="66">
        <f t="array" ref="S124">((SUM((Inputs_Prices!$F$20:$F$27=$D124)*(Inputs_Prices!R$20:R$27)*Inputs_Volumes!S$20:S$27)
+SUM((Inputs_Prices!$F$34:$F$47=$D124)*(Inputs_Prices!R$34:R$47)*Inputs_Volumes!S$34:S$47))
+SUM((Inputs_Prices!$F$54:$F$57=$D124)*(Inputs_Prices!R$54:R$57)*Inputs_Volumes!S$54:S$57))*Dollars_to_Thousands</f>
        <v>185388.82918683678</v>
      </c>
      <c r="T124" s="107" t="s">
        <v>179</v>
      </c>
    </row>
    <row r="125" spans="3:20" ht="12.75" x14ac:dyDescent="0.2">
      <c r="D125" s="125" t="s">
        <v>70</v>
      </c>
      <c r="E125" s="82"/>
      <c r="F125" s="82"/>
      <c r="G125" s="82"/>
      <c r="H125" s="243" t="s">
        <v>52</v>
      </c>
      <c r="I125" s="243" t="s">
        <v>47</v>
      </c>
      <c r="J125" s="243" t="s">
        <v>40</v>
      </c>
      <c r="O125" s="95"/>
      <c r="P125" s="66">
        <f t="array" ref="P125">((SUM((Inputs_Prices!$F$20:$F$27=$D125)*(Inputs_Prices!O$20:O$27)*Inputs_Volumes!P$20:P$27)
+SUM((Inputs_Prices!$F$34:$F$47=$D125)*(Inputs_Prices!O$34:O$47)*Inputs_Volumes!P$34:P$47))
+SUM((Inputs_Prices!$F$54:$F$57=$D125)*(Inputs_Prices!O$54:O$57)*Inputs_Volumes!P$54:P$57))*Dollars_to_Thousands</f>
        <v>17801.194777925841</v>
      </c>
      <c r="Q125" s="66">
        <f t="array" ref="Q125">((SUM((Inputs_Prices!$F$20:$F$27=$D125)*(Inputs_Prices!P$20:P$27)*Inputs_Volumes!Q$20:Q$27)
+SUM((Inputs_Prices!$F$34:$F$47=$D125)*(Inputs_Prices!P$34:P$47)*Inputs_Volumes!Q$34:Q$47))
+SUM((Inputs_Prices!$F$54:$F$57=$D125)*(Inputs_Prices!P$54:P$57)*Inputs_Volumes!Q$54:Q$57))*Dollars_to_Thousands</f>
        <v>19324.630402960785</v>
      </c>
      <c r="R125" s="66">
        <f t="array" ref="R125">((SUM((Inputs_Prices!$F$20:$F$27=$D125)*(Inputs_Prices!Q$20:Q$27)*Inputs_Volumes!R$20:R$27)
+SUM((Inputs_Prices!$F$34:$F$47=$D125)*(Inputs_Prices!Q$34:Q$47)*Inputs_Volumes!R$34:R$47))
+SUM((Inputs_Prices!$F$54:$F$57=$D125)*(Inputs_Prices!Q$54:Q$57)*Inputs_Volumes!R$54:R$57))*Dollars_to_Thousands</f>
        <v>21196.799207716518</v>
      </c>
      <c r="S125" s="66">
        <f t="array" ref="S125">((SUM((Inputs_Prices!$F$20:$F$27=$D125)*(Inputs_Prices!R$20:R$27)*Inputs_Volumes!S$20:S$27)
+SUM((Inputs_Prices!$F$34:$F$47=$D125)*(Inputs_Prices!R$34:R$47)*Inputs_Volumes!S$34:S$47))
+SUM((Inputs_Prices!$F$54:$F$57=$D125)*(Inputs_Prices!R$54:R$57)*Inputs_Volumes!S$54:S$57))*Dollars_to_Thousands</f>
        <v>23455.627634747401</v>
      </c>
      <c r="T125" s="107"/>
    </row>
    <row r="126" spans="3:20" ht="12.75" x14ac:dyDescent="0.2">
      <c r="D126" s="125" t="s">
        <v>69</v>
      </c>
      <c r="E126" s="82"/>
      <c r="F126" s="82"/>
      <c r="G126" s="82"/>
      <c r="H126" s="243" t="s">
        <v>52</v>
      </c>
      <c r="I126" s="243" t="s">
        <v>47</v>
      </c>
      <c r="J126" s="243" t="s">
        <v>40</v>
      </c>
      <c r="O126" s="95"/>
      <c r="P126" s="66">
        <f t="array" ref="P126">((SUM((Inputs_Prices!$F$20:$F$27=$D126)*(Inputs_Prices!O$20:O$27)*Inputs_Volumes!P$20:P$27)
+SUM((Inputs_Prices!$F$34:$F$47=$D126)*(Inputs_Prices!O$34:O$47)*Inputs_Volumes!P$34:P$47))
+SUM((Inputs_Prices!$F$54:$F$57=$D126)*(Inputs_Prices!O$54:O$57)*Inputs_Volumes!P$54:P$57))*Dollars_to_Thousands</f>
        <v>17204.715177152968</v>
      </c>
      <c r="Q126" s="66">
        <f t="array" ref="Q126">((SUM((Inputs_Prices!$F$20:$F$27=$D126)*(Inputs_Prices!P$20:P$27)*Inputs_Volumes!Q$20:Q$27)
+SUM((Inputs_Prices!$F$34:$F$47=$D126)*(Inputs_Prices!P$34:P$47)*Inputs_Volumes!Q$34:Q$47))
+SUM((Inputs_Prices!$F$54:$F$57=$D126)*(Inputs_Prices!P$54:P$57)*Inputs_Volumes!Q$54:Q$57))*Dollars_to_Thousands</f>
        <v>18948.748481713534</v>
      </c>
      <c r="R126" s="66">
        <f t="array" ref="R126">((SUM((Inputs_Prices!$F$20:$F$27=$D126)*(Inputs_Prices!Q$20:Q$27)*Inputs_Volumes!R$20:R$27)
+SUM((Inputs_Prices!$F$34:$F$47=$D126)*(Inputs_Prices!Q$34:Q$47)*Inputs_Volumes!R$34:R$47))
+SUM((Inputs_Prices!$F$54:$F$57=$D126)*(Inputs_Prices!Q$54:Q$57)*Inputs_Volumes!R$54:R$57))*Dollars_to_Thousands</f>
        <v>20473.247280623305</v>
      </c>
      <c r="S126" s="66">
        <f t="array" ref="S126">((SUM((Inputs_Prices!$F$20:$F$27=$D126)*(Inputs_Prices!R$20:R$27)*Inputs_Volumes!S$20:S$27)
+SUM((Inputs_Prices!$F$34:$F$47=$D126)*(Inputs_Prices!R$34:R$47)*Inputs_Volumes!S$34:S$47))
+SUM((Inputs_Prices!$F$54:$F$57=$D126)*(Inputs_Prices!R$54:R$57)*Inputs_Volumes!S$54:S$57))*Dollars_to_Thousands</f>
        <v>22662.276386268022</v>
      </c>
      <c r="T126" s="107"/>
    </row>
    <row r="127" spans="3:20" ht="11.25" customHeight="1" x14ac:dyDescent="0.2">
      <c r="D127" s="7"/>
    </row>
    <row r="128" spans="3:20" ht="12.75" x14ac:dyDescent="0.2">
      <c r="D128" s="124" t="s">
        <v>170</v>
      </c>
    </row>
    <row r="129" spans="3:20" ht="12.75" x14ac:dyDescent="0.2">
      <c r="D129" s="125" t="s">
        <v>64</v>
      </c>
      <c r="E129" s="82"/>
      <c r="F129" s="82"/>
      <c r="G129" s="82"/>
      <c r="H129" s="243" t="s">
        <v>52</v>
      </c>
      <c r="I129" s="243" t="s">
        <v>43</v>
      </c>
      <c r="J129" s="243" t="s">
        <v>21</v>
      </c>
      <c r="O129" s="95"/>
      <c r="P129" s="126">
        <f>P119/P124-1</f>
        <v>9.4233687989257131E-2</v>
      </c>
      <c r="Q129" s="126">
        <f>Q119/Q124-1</f>
        <v>9.3795898420353074E-2</v>
      </c>
      <c r="R129" s="126">
        <f>R119/R124-1</f>
        <v>9.0342628413573101E-2</v>
      </c>
      <c r="S129" s="126">
        <f>S119/S124-1</f>
        <v>4.8348424451346794E-2</v>
      </c>
    </row>
    <row r="130" spans="3:20" ht="12.75" x14ac:dyDescent="0.2">
      <c r="D130" s="125" t="s">
        <v>70</v>
      </c>
      <c r="E130" s="82"/>
      <c r="F130" s="82"/>
      <c r="G130" s="82"/>
      <c r="H130" s="243" t="s">
        <v>52</v>
      </c>
      <c r="I130" s="243" t="s">
        <v>43</v>
      </c>
      <c r="J130" s="243" t="s">
        <v>21</v>
      </c>
      <c r="O130" s="95"/>
      <c r="P130" s="126">
        <f t="shared" ref="P130:S131" si="9">P120/P125-1</f>
        <v>8.5964865492482501E-2</v>
      </c>
      <c r="Q130" s="126">
        <f t="shared" si="9"/>
        <v>9.7588349176642719E-2</v>
      </c>
      <c r="R130" s="126">
        <f t="shared" si="9"/>
        <v>0.1080028716429966</v>
      </c>
      <c r="S130" s="126">
        <f t="shared" si="9"/>
        <v>6.7794503177600829E-2</v>
      </c>
    </row>
    <row r="131" spans="3:20" ht="12.75" x14ac:dyDescent="0.2">
      <c r="D131" s="125" t="s">
        <v>69</v>
      </c>
      <c r="E131" s="82"/>
      <c r="F131" s="82"/>
      <c r="G131" s="82"/>
      <c r="H131" s="243" t="s">
        <v>52</v>
      </c>
      <c r="I131" s="243" t="s">
        <v>43</v>
      </c>
      <c r="J131" s="243" t="s">
        <v>21</v>
      </c>
      <c r="O131" s="95"/>
      <c r="P131" s="126">
        <f t="shared" si="9"/>
        <v>0.10310508760759096</v>
      </c>
      <c r="Q131" s="126">
        <f t="shared" si="9"/>
        <v>8.5480198247313455E-2</v>
      </c>
      <c r="R131" s="126">
        <f t="shared" si="9"/>
        <v>0.11262440397010431</v>
      </c>
      <c r="S131" s="126">
        <f t="shared" si="9"/>
        <v>7.824035324918488E-2</v>
      </c>
    </row>
    <row r="132" spans="3:20" ht="11.25" customHeight="1" x14ac:dyDescent="0.2"/>
    <row r="133" spans="3:20" ht="11.25" customHeight="1" x14ac:dyDescent="0.2"/>
    <row r="134" spans="3:20" s="8" customFormat="1" ht="15" x14ac:dyDescent="0.2">
      <c r="C134" s="8" t="s">
        <v>757</v>
      </c>
    </row>
    <row r="135" spans="3:20" ht="11.25" customHeight="1" x14ac:dyDescent="0.2"/>
    <row r="136" spans="3:20" ht="11.25" customHeight="1" x14ac:dyDescent="0.2">
      <c r="D136" s="70" t="s">
        <v>95</v>
      </c>
      <c r="H136" s="54" t="str">
        <f>Lookup!E$19</f>
        <v>Source</v>
      </c>
      <c r="I136" s="54" t="str">
        <f>Lookup!F$19</f>
        <v>Unit</v>
      </c>
      <c r="J136" s="54" t="str">
        <f>Lookup!G$19</f>
        <v>Basis</v>
      </c>
      <c r="O136" s="54" t="str">
        <f>O$9</f>
        <v>FY25</v>
      </c>
      <c r="P136" s="54" t="str">
        <f>P$9</f>
        <v>FY26</v>
      </c>
      <c r="Q136" s="54" t="str">
        <f>Q$9</f>
        <v>FY27</v>
      </c>
      <c r="R136" s="54" t="str">
        <f>R$9</f>
        <v>FY28</v>
      </c>
      <c r="S136" s="54" t="str">
        <f>S$9</f>
        <v>FY29</v>
      </c>
    </row>
    <row r="137" spans="3:20" ht="11.25" customHeight="1" x14ac:dyDescent="0.2">
      <c r="D137" s="1"/>
    </row>
    <row r="138" spans="3:20" ht="12.75" x14ac:dyDescent="0.2">
      <c r="D138" s="124" t="s">
        <v>172</v>
      </c>
    </row>
    <row r="139" spans="3:20" ht="12.75" x14ac:dyDescent="0.2">
      <c r="D139" s="19" t="s">
        <v>150</v>
      </c>
      <c r="H139" s="243" t="s">
        <v>52</v>
      </c>
      <c r="I139" s="243" t="s">
        <v>43</v>
      </c>
      <c r="J139" s="243" t="s">
        <v>21</v>
      </c>
      <c r="O139" s="95"/>
      <c r="P139" s="126">
        <f>Inputs_Other!P32</f>
        <v>2.7997811278454687E-2</v>
      </c>
      <c r="Q139" s="126">
        <f>Inputs_Other!Q32</f>
        <v>2.7997811278454687E-2</v>
      </c>
      <c r="R139" s="126">
        <f>Inputs_Other!R32</f>
        <v>2.7997811278454687E-2</v>
      </c>
      <c r="S139" s="126">
        <f>Inputs_Other!S32</f>
        <v>2.7997811278454687E-2</v>
      </c>
      <c r="T139" s="107" t="s">
        <v>218</v>
      </c>
    </row>
    <row r="140" spans="3:20" ht="12.75" x14ac:dyDescent="0.2">
      <c r="D140" s="19" t="s">
        <v>153</v>
      </c>
      <c r="H140" s="243" t="s">
        <v>52</v>
      </c>
      <c r="I140" s="243" t="s">
        <v>43</v>
      </c>
      <c r="J140" s="243" t="s">
        <v>21</v>
      </c>
      <c r="O140" s="95"/>
      <c r="P140" s="126">
        <f>Inputs_Other!P53</f>
        <v>-6.9720598862145419E-2</v>
      </c>
      <c r="Q140" s="126">
        <f>Inputs_Other!Q53</f>
        <v>-6.9720598862145419E-2</v>
      </c>
      <c r="R140" s="126">
        <f>Inputs_Other!R53</f>
        <v>-6.9720598862145419E-2</v>
      </c>
      <c r="S140" s="126">
        <f>Inputs_Other!S53</f>
        <v>-2.8343520443469883E-2</v>
      </c>
      <c r="T140" s="107" t="s">
        <v>159</v>
      </c>
    </row>
    <row r="141" spans="3:20" ht="12.75" x14ac:dyDescent="0.2">
      <c r="D141" s="19" t="s">
        <v>171</v>
      </c>
      <c r="H141" s="243" t="s">
        <v>52</v>
      </c>
      <c r="I141" s="243" t="s">
        <v>43</v>
      </c>
      <c r="J141" s="243" t="s">
        <v>21</v>
      </c>
      <c r="O141" s="95"/>
      <c r="P141" s="126">
        <f>Inputs_Other!$O$65</f>
        <v>0.02</v>
      </c>
      <c r="Q141" s="126">
        <f>Inputs_Other!$O$65</f>
        <v>0.02</v>
      </c>
      <c r="R141" s="126">
        <f>Inputs_Other!$O$65</f>
        <v>0.02</v>
      </c>
      <c r="S141" s="126">
        <f>Inputs_Other!$O$65</f>
        <v>0.02</v>
      </c>
    </row>
    <row r="142" spans="3:20" ht="12.75" x14ac:dyDescent="0.2">
      <c r="D142" s="19" t="s">
        <v>175</v>
      </c>
      <c r="H142" s="243" t="s">
        <v>52</v>
      </c>
      <c r="I142" s="243" t="s">
        <v>43</v>
      </c>
      <c r="J142" s="243" t="s">
        <v>21</v>
      </c>
      <c r="O142" s="95"/>
      <c r="P142" s="126">
        <f t="shared" ref="P142:S144" si="10">(P47-O47)/SUM(P$124:P$126)</f>
        <v>0</v>
      </c>
      <c r="Q142" s="126">
        <f t="shared" si="10"/>
        <v>0</v>
      </c>
      <c r="R142" s="126">
        <f t="shared" si="10"/>
        <v>0</v>
      </c>
      <c r="S142" s="126">
        <f t="shared" si="10"/>
        <v>0</v>
      </c>
      <c r="T142" s="107" t="s">
        <v>231</v>
      </c>
    </row>
    <row r="143" spans="3:20" ht="12.75" x14ac:dyDescent="0.2">
      <c r="D143" s="19" t="s">
        <v>176</v>
      </c>
      <c r="H143" s="243" t="s">
        <v>52</v>
      </c>
      <c r="I143" s="243" t="s">
        <v>43</v>
      </c>
      <c r="J143" s="243" t="s">
        <v>21</v>
      </c>
      <c r="O143" s="95"/>
      <c r="P143" s="126">
        <f t="shared" si="10"/>
        <v>2.5869467078244826E-8</v>
      </c>
      <c r="Q143" s="126">
        <f t="shared" si="10"/>
        <v>-1.3163855004015293E-8</v>
      </c>
      <c r="R143" s="126">
        <f t="shared" si="10"/>
        <v>4.5307555788609377E-8</v>
      </c>
      <c r="S143" s="126">
        <f t="shared" si="10"/>
        <v>-1.0203526071379008E-8</v>
      </c>
      <c r="T143" s="107" t="s">
        <v>232</v>
      </c>
    </row>
    <row r="144" spans="3:20" ht="12.75" x14ac:dyDescent="0.2">
      <c r="D144" s="19" t="s">
        <v>177</v>
      </c>
      <c r="H144" s="243" t="s">
        <v>52</v>
      </c>
      <c r="I144" s="243" t="s">
        <v>43</v>
      </c>
      <c r="J144" s="243" t="s">
        <v>21</v>
      </c>
      <c r="O144" s="95"/>
      <c r="P144" s="126">
        <f t="shared" si="10"/>
        <v>0</v>
      </c>
      <c r="Q144" s="126">
        <f t="shared" si="10"/>
        <v>0</v>
      </c>
      <c r="R144" s="126">
        <f t="shared" si="10"/>
        <v>0</v>
      </c>
      <c r="S144" s="126">
        <f t="shared" si="10"/>
        <v>0</v>
      </c>
    </row>
    <row r="145" spans="1:21" ht="11.25" customHeight="1" x14ac:dyDescent="0.2">
      <c r="D145" s="1"/>
    </row>
    <row r="146" spans="1:21" ht="12.75" x14ac:dyDescent="0.2">
      <c r="D146" s="7" t="s">
        <v>169</v>
      </c>
      <c r="E146" s="82"/>
      <c r="F146" s="82"/>
      <c r="G146" s="82"/>
      <c r="H146" s="243" t="s">
        <v>52</v>
      </c>
      <c r="I146" s="243" t="s">
        <v>43</v>
      </c>
      <c r="J146" s="243" t="s">
        <v>21</v>
      </c>
      <c r="O146" s="95"/>
      <c r="P146" s="126">
        <f>(1+P139)*(1-P140)*(1+P141)+P142+P143+P144-1</f>
        <v>0.12166386886542568</v>
      </c>
      <c r="Q146" s="126">
        <f>(1+Q139)*(1-Q140)*(1+Q141)+Q142+Q143+Q144-1</f>
        <v>0.12166382983210378</v>
      </c>
      <c r="R146" s="126">
        <f>(1+R139)*(1-R140)*(1+R141)+R142+R143+R144-1</f>
        <v>0.12166388830351438</v>
      </c>
      <c r="S146" s="126">
        <f>(1+S139)*(1-S140)*(1+S141)+S142+S143+S144-1</f>
        <v>7.8277575819907241E-2</v>
      </c>
    </row>
    <row r="147" spans="1:21" ht="11.25" customHeight="1" x14ac:dyDescent="0.2"/>
    <row r="148" spans="1:21" ht="11.25" customHeight="1" x14ac:dyDescent="0.2"/>
    <row r="149" spans="1:21" s="8" customFormat="1" ht="15" x14ac:dyDescent="0.2">
      <c r="C149" s="8" t="s">
        <v>116</v>
      </c>
      <c r="O149" s="8" t="s">
        <v>759</v>
      </c>
    </row>
    <row r="150" spans="1:21" ht="11.25" customHeight="1" x14ac:dyDescent="0.2"/>
    <row r="151" spans="1:21" ht="11.25" customHeight="1" x14ac:dyDescent="0.2">
      <c r="D151" s="70" t="s">
        <v>756</v>
      </c>
      <c r="O151" s="54" t="str">
        <f>O$9</f>
        <v>FY25</v>
      </c>
      <c r="P151" s="54" t="str">
        <f>P$9</f>
        <v>FY26</v>
      </c>
      <c r="Q151" s="54" t="str">
        <f>Q$9</f>
        <v>FY27</v>
      </c>
      <c r="R151" s="54" t="str">
        <f>R$9</f>
        <v>FY28</v>
      </c>
      <c r="S151" s="54" t="str">
        <f>S$9</f>
        <v>FY29</v>
      </c>
    </row>
    <row r="152" spans="1:21" ht="11.25" customHeight="1" x14ac:dyDescent="0.2">
      <c r="D152" s="1"/>
    </row>
    <row r="153" spans="1:21" ht="12.75" x14ac:dyDescent="0.2">
      <c r="A153" s="59">
        <f>IF(COUNTIF($M153:$S153,"Fail")=0,0,1)</f>
        <v>0</v>
      </c>
      <c r="D153" s="85" t="s">
        <v>64</v>
      </c>
      <c r="O153" s="95"/>
      <c r="P153" s="80" t="str">
        <f>IF(P$9&gt;=$H$19,IF(AND(P129&lt;=P$146),"Pass","Fail"),"")</f>
        <v>Pass</v>
      </c>
      <c r="Q153" s="80" t="str">
        <f t="shared" ref="Q153:S153" si="11">IF(Q$9&gt;=$H$19,IF(AND(Q129&lt;=Q$146),"Pass","Fail"),"")</f>
        <v>Pass</v>
      </c>
      <c r="R153" s="80" t="str">
        <f t="shared" si="11"/>
        <v>Pass</v>
      </c>
      <c r="S153" s="80" t="str">
        <f t="shared" si="11"/>
        <v>Pass</v>
      </c>
    </row>
    <row r="154" spans="1:21" ht="12.75" x14ac:dyDescent="0.2">
      <c r="A154" s="59">
        <f>IF(COUNTIF($M154:$S154,"Fail")=0,0,1)</f>
        <v>0</v>
      </c>
      <c r="D154" s="85" t="s">
        <v>70</v>
      </c>
      <c r="O154" s="95"/>
      <c r="P154" s="80" t="str">
        <f t="shared" ref="P154:S154" si="12">IF(P$9&gt;=$H$19,IF(AND(P130&lt;=P$146),"Pass","Fail"),"")</f>
        <v>Pass</v>
      </c>
      <c r="Q154" s="80" t="str">
        <f t="shared" si="12"/>
        <v>Pass</v>
      </c>
      <c r="R154" s="80" t="str">
        <f t="shared" si="12"/>
        <v>Pass</v>
      </c>
      <c r="S154" s="80" t="str">
        <f t="shared" si="12"/>
        <v>Pass</v>
      </c>
    </row>
    <row r="155" spans="1:21" ht="12.75" x14ac:dyDescent="0.2">
      <c r="A155" s="59">
        <f>IF(COUNTIF($M155:$S155,"Fail")=0,0,1)</f>
        <v>0</v>
      </c>
      <c r="D155" s="85" t="s">
        <v>69</v>
      </c>
      <c r="O155" s="95"/>
      <c r="P155" s="80" t="str">
        <f t="shared" ref="P155:S155" si="13">IF(P$9&gt;=$H$19,IF(AND(P131&lt;=P$146),"Pass","Fail"),"")</f>
        <v>Pass</v>
      </c>
      <c r="Q155" s="80" t="str">
        <f t="shared" si="13"/>
        <v>Pass</v>
      </c>
      <c r="R155" s="80" t="str">
        <f t="shared" si="13"/>
        <v>Pass</v>
      </c>
      <c r="S155" s="80" t="str">
        <f t="shared" si="13"/>
        <v>Pass</v>
      </c>
    </row>
    <row r="156" spans="1:21" ht="11.25" customHeight="1" x14ac:dyDescent="0.2"/>
    <row r="157" spans="1:21" ht="12.75" x14ac:dyDescent="0.2">
      <c r="A157" s="59">
        <f>IF(COUNTIF($M157:$S157,"Fail")=0,0,1)</f>
        <v>0</v>
      </c>
      <c r="D157" s="7" t="s">
        <v>188</v>
      </c>
      <c r="O157" s="287" t="str">
        <f>IF(COUNTIF(O$153:$S$155,"Fail")&gt;0,"Fail","Pass")</f>
        <v>Pass</v>
      </c>
      <c r="P157" s="287" t="str">
        <f>IF(COUNTIF(P$153:$S$155,"Fail")&gt;0,"Fail","Pass")</f>
        <v>Pass</v>
      </c>
      <c r="Q157" s="287" t="str">
        <f>IF(COUNTIF(Q$153:$S$155,"Fail")&gt;0,"Fail","Pass")</f>
        <v>Pass</v>
      </c>
      <c r="R157" s="287" t="str">
        <f>IF(COUNTIF(R$153:$S$155,"Fail")&gt;0,"Fail","Pass")</f>
        <v>Pass</v>
      </c>
      <c r="S157" s="287" t="str">
        <f>IF(COUNTIF(S$153:$S$155,"Fail")&gt;0,"Fail","Pass")</f>
        <v>Pass</v>
      </c>
      <c r="U157" s="107" t="s">
        <v>820</v>
      </c>
    </row>
    <row r="158" spans="1:21" ht="11.25" customHeight="1" x14ac:dyDescent="0.2"/>
    <row r="159" spans="1:21" ht="11.25" customHeight="1" x14ac:dyDescent="0.2"/>
    <row r="160" spans="1:21" s="2" customFormat="1" ht="15.75" x14ac:dyDescent="0.2">
      <c r="B160" s="2" t="s">
        <v>758</v>
      </c>
    </row>
    <row r="161" spans="1:19" ht="4.5" customHeight="1" x14ac:dyDescent="0.2"/>
    <row r="162" spans="1:19" ht="11.25" customHeight="1" x14ac:dyDescent="0.2">
      <c r="D162" s="105" t="s">
        <v>124</v>
      </c>
    </row>
    <row r="163" spans="1:19" ht="11.25" customHeight="1" x14ac:dyDescent="0.2"/>
    <row r="164" spans="1:19" ht="11.25" customHeight="1" x14ac:dyDescent="0.2"/>
    <row r="165" spans="1:19" s="8" customFormat="1" ht="15" x14ac:dyDescent="0.2">
      <c r="C165" s="8" t="s">
        <v>551</v>
      </c>
    </row>
    <row r="166" spans="1:19" ht="11.25" customHeight="1" x14ac:dyDescent="0.2"/>
    <row r="167" spans="1:19" ht="11.25" customHeight="1" x14ac:dyDescent="0.2">
      <c r="D167" s="70" t="s">
        <v>756</v>
      </c>
      <c r="H167" s="54" t="str">
        <f>Lookup!E$19</f>
        <v>Source</v>
      </c>
      <c r="I167" s="54" t="str">
        <f>Lookup!F$19</f>
        <v>Unit</v>
      </c>
      <c r="J167" s="54" t="str">
        <f>Lookup!G$19</f>
        <v>Basis</v>
      </c>
      <c r="O167" s="54" t="str">
        <f>O$9</f>
        <v>FY25</v>
      </c>
      <c r="P167" s="54" t="str">
        <f>P$9</f>
        <v>FY26</v>
      </c>
      <c r="Q167" s="54" t="str">
        <f>Q$9</f>
        <v>FY27</v>
      </c>
      <c r="R167" s="54" t="str">
        <f>R$9</f>
        <v>FY28</v>
      </c>
      <c r="S167" s="54" t="str">
        <f>S$9</f>
        <v>FY29</v>
      </c>
    </row>
    <row r="168" spans="1:19" ht="11.25" customHeight="1" x14ac:dyDescent="0.2">
      <c r="D168" s="1"/>
    </row>
    <row r="169" spans="1:19" ht="12.75" x14ac:dyDescent="0.2">
      <c r="D169" s="85" t="s">
        <v>64</v>
      </c>
      <c r="E169" s="82"/>
      <c r="F169" s="82"/>
      <c r="G169" s="82"/>
      <c r="H169" s="243" t="s">
        <v>52</v>
      </c>
      <c r="I169" s="243" t="s">
        <v>47</v>
      </c>
      <c r="J169" s="243" t="s">
        <v>40</v>
      </c>
      <c r="O169" s="66">
        <f>Calc_A_SA_Cost!O27</f>
        <v>567102.29100985709</v>
      </c>
      <c r="P169" s="66">
        <f>Calc_A_SA_Cost!P27</f>
        <v>579541.9970280421</v>
      </c>
      <c r="Q169" s="66">
        <f>Calc_A_SA_Cost!Q27</f>
        <v>597361.67183462635</v>
      </c>
      <c r="R169" s="66">
        <f>Calc_A_SA_Cost!R27</f>
        <v>613740.36817662534</v>
      </c>
      <c r="S169" s="66">
        <f>Calc_A_SA_Cost!S27</f>
        <v>632530.44323623879</v>
      </c>
    </row>
    <row r="170" spans="1:19" ht="12.75" x14ac:dyDescent="0.2">
      <c r="D170" s="85" t="s">
        <v>70</v>
      </c>
      <c r="E170" s="82"/>
      <c r="F170" s="82"/>
      <c r="G170" s="82"/>
      <c r="H170" s="243" t="s">
        <v>52</v>
      </c>
      <c r="I170" s="243" t="s">
        <v>47</v>
      </c>
      <c r="J170" s="243" t="s">
        <v>40</v>
      </c>
      <c r="O170" s="66">
        <f>Calc_A_SA_Cost!O28</f>
        <v>74112.984593500441</v>
      </c>
      <c r="P170" s="66">
        <f>Calc_A_SA_Cost!P28</f>
        <v>75423.377095320233</v>
      </c>
      <c r="Q170" s="66">
        <f>Calc_A_SA_Cost!Q28</f>
        <v>77429.199944427222</v>
      </c>
      <c r="R170" s="66">
        <f>Calc_A_SA_Cost!R28</f>
        <v>79226.991108665272</v>
      </c>
      <c r="S170" s="66">
        <f>Calc_A_SA_Cost!S28</f>
        <v>81317.192391944598</v>
      </c>
    </row>
    <row r="171" spans="1:19" ht="12.75" x14ac:dyDescent="0.2">
      <c r="D171" s="85" t="s">
        <v>69</v>
      </c>
      <c r="E171" s="82"/>
      <c r="F171" s="82"/>
      <c r="G171" s="82"/>
      <c r="H171" s="243" t="s">
        <v>52</v>
      </c>
      <c r="I171" s="243" t="s">
        <v>47</v>
      </c>
      <c r="J171" s="243" t="s">
        <v>40</v>
      </c>
      <c r="O171" s="66">
        <f>Calc_A_SA_Cost!O29</f>
        <v>105225.82919447497</v>
      </c>
      <c r="P171" s="66">
        <f>Calc_A_SA_Cost!P29</f>
        <v>113378.94117469146</v>
      </c>
      <c r="Q171" s="66">
        <f>Calc_A_SA_Cost!Q29</f>
        <v>116175.07806624392</v>
      </c>
      <c r="R171" s="66">
        <f>Calc_A_SA_Cost!R29</f>
        <v>118714.21034762279</v>
      </c>
      <c r="S171" s="66">
        <f>Calc_A_SA_Cost!S29</f>
        <v>121622.17709490749</v>
      </c>
    </row>
    <row r="172" spans="1:19" ht="11.25" customHeight="1" x14ac:dyDescent="0.2"/>
    <row r="173" spans="1:19" ht="12.75" hidden="1" outlineLevel="1" x14ac:dyDescent="0.2">
      <c r="D173" s="81" t="s">
        <v>90</v>
      </c>
      <c r="E173" s="82"/>
      <c r="G173" s="82"/>
      <c r="H173" s="243" t="s">
        <v>52</v>
      </c>
      <c r="I173" s="243" t="s">
        <v>47</v>
      </c>
      <c r="J173" s="243" t="s">
        <v>40</v>
      </c>
      <c r="K173" s="78"/>
      <c r="O173" s="66">
        <f>SUM(Calc_A_SA_Cost!O82:O89)</f>
        <v>746441.10479783243</v>
      </c>
      <c r="P173" s="66">
        <f>SUM(Calc_A_SA_Cost!P82:P89)</f>
        <v>768344.31529805379</v>
      </c>
      <c r="Q173" s="66">
        <f>SUM(Calc_A_SA_Cost!Q82:Q89)</f>
        <v>790965.94984529749</v>
      </c>
      <c r="R173" s="66">
        <f>SUM(Calc_A_SA_Cost!R82:R89)</f>
        <v>811681.56963291334</v>
      </c>
      <c r="S173" s="66">
        <f>SUM(Calc_A_SA_Cost!S82:S89)</f>
        <v>835469.81272309087</v>
      </c>
    </row>
    <row r="174" spans="1:19" ht="12.75" hidden="1" outlineLevel="1" x14ac:dyDescent="0.2">
      <c r="A174" s="59">
        <f>IF(SUM($M174:$S174)=0,0,1)</f>
        <v>0</v>
      </c>
      <c r="D174" s="81" t="s">
        <v>55</v>
      </c>
      <c r="E174" s="82"/>
      <c r="F174" s="80"/>
      <c r="G174" s="82"/>
      <c r="H174" s="80"/>
      <c r="I174" s="84"/>
      <c r="J174" s="84"/>
      <c r="K174" s="78"/>
      <c r="O174" s="59">
        <f>IF(ROUND(O173-SUM(O169:O171),2)=0,0,1)</f>
        <v>0</v>
      </c>
      <c r="P174" s="59">
        <f>IF(ROUND(P173-SUM(P169:P171),2)=0,0,1)</f>
        <v>0</v>
      </c>
      <c r="Q174" s="59">
        <f>IF(ROUND(Q173-SUM(Q169:Q171),2)=0,0,1)</f>
        <v>0</v>
      </c>
      <c r="R174" s="59">
        <f>IF(ROUND(R173-SUM(R169:R171),2)=0,0,1)</f>
        <v>0</v>
      </c>
      <c r="S174" s="59">
        <f>IF(ROUND(S173-SUM(S169:S171),2)=0,0,1)</f>
        <v>0</v>
      </c>
    </row>
    <row r="175" spans="1:19" ht="11.25" customHeight="1" collapsed="1" x14ac:dyDescent="0.2"/>
    <row r="176" spans="1:19" s="8" customFormat="1" ht="15" x14ac:dyDescent="0.2">
      <c r="C176" s="8" t="s">
        <v>200</v>
      </c>
    </row>
    <row r="177" spans="1:21" ht="11.25" customHeight="1" x14ac:dyDescent="0.2"/>
    <row r="178" spans="1:21" ht="11.25" customHeight="1" x14ac:dyDescent="0.2">
      <c r="D178" s="70" t="s">
        <v>756</v>
      </c>
      <c r="H178" s="54" t="str">
        <f>Lookup!E$19</f>
        <v>Source</v>
      </c>
      <c r="I178" s="54" t="str">
        <f>Lookup!F$19</f>
        <v>Unit</v>
      </c>
      <c r="J178" s="54" t="str">
        <f>Lookup!G$19</f>
        <v>Basis</v>
      </c>
      <c r="O178" s="54" t="str">
        <f>O$9</f>
        <v>FY25</v>
      </c>
      <c r="P178" s="54" t="str">
        <f>P$9</f>
        <v>FY26</v>
      </c>
      <c r="Q178" s="54" t="str">
        <f>Q$9</f>
        <v>FY27</v>
      </c>
      <c r="R178" s="54" t="str">
        <f>R$9</f>
        <v>FY28</v>
      </c>
      <c r="S178" s="54" t="str">
        <f>S$9</f>
        <v>FY29</v>
      </c>
    </row>
    <row r="179" spans="1:21" ht="11.25" customHeight="1" x14ac:dyDescent="0.2">
      <c r="D179" s="1"/>
    </row>
    <row r="180" spans="1:21" ht="12.75" x14ac:dyDescent="0.2">
      <c r="D180" s="85" t="s">
        <v>64</v>
      </c>
      <c r="E180" s="82"/>
      <c r="F180" s="82"/>
      <c r="G180" s="82"/>
      <c r="H180" s="243" t="s">
        <v>52</v>
      </c>
      <c r="I180" s="243" t="s">
        <v>47</v>
      </c>
      <c r="J180" s="243" t="s">
        <v>40</v>
      </c>
      <c r="O180" s="66">
        <f ca="1">Calc_A_SA_Cost!O39</f>
        <v>55116.752593134886</v>
      </c>
      <c r="P180" s="66">
        <f ca="1">Calc_A_SA_Cost!P39</f>
        <v>58168.336271946784</v>
      </c>
      <c r="Q180" s="66">
        <f ca="1">Calc_A_SA_Cost!Q39</f>
        <v>61007.611420396897</v>
      </c>
      <c r="R180" s="66">
        <f ca="1">Calc_A_SA_Cost!R39</f>
        <v>64014.850559367165</v>
      </c>
      <c r="S180" s="66">
        <f ca="1">Calc_A_SA_Cost!S39</f>
        <v>66921.533527087944</v>
      </c>
    </row>
    <row r="181" spans="1:21" ht="12.75" x14ac:dyDescent="0.2">
      <c r="D181" s="85" t="s">
        <v>70</v>
      </c>
      <c r="E181" s="82"/>
      <c r="F181" s="82"/>
      <c r="G181" s="82"/>
      <c r="H181" s="243" t="s">
        <v>52</v>
      </c>
      <c r="I181" s="243" t="s">
        <v>47</v>
      </c>
      <c r="J181" s="243" t="s">
        <v>40</v>
      </c>
      <c r="O181" s="66">
        <f ca="1">Calc_A_SA_Cost!O40</f>
        <v>7552.6365556471674</v>
      </c>
      <c r="P181" s="66">
        <f ca="1">Calc_A_SA_Cost!P40</f>
        <v>7970.794399875489</v>
      </c>
      <c r="Q181" s="66">
        <f ca="1">Calc_A_SA_Cost!Q40</f>
        <v>8359.8596526131096</v>
      </c>
      <c r="R181" s="66">
        <f ca="1">Calc_A_SA_Cost!R40</f>
        <v>8771.9409742435982</v>
      </c>
      <c r="S181" s="66">
        <f ca="1">Calc_A_SA_Cost!S40</f>
        <v>9170.2431057160429</v>
      </c>
    </row>
    <row r="182" spans="1:21" ht="12.75" x14ac:dyDescent="0.2">
      <c r="D182" s="85" t="s">
        <v>69</v>
      </c>
      <c r="E182" s="82"/>
      <c r="F182" s="82"/>
      <c r="G182" s="82"/>
      <c r="H182" s="243" t="s">
        <v>52</v>
      </c>
      <c r="I182" s="243" t="s">
        <v>47</v>
      </c>
      <c r="J182" s="243" t="s">
        <v>40</v>
      </c>
      <c r="O182" s="66">
        <f ca="1">Calc_A_SA_Cost!O41</f>
        <v>6509.5461607637053</v>
      </c>
      <c r="P182" s="66">
        <f ca="1">Calc_A_SA_Cost!P41</f>
        <v>6869.9524598665566</v>
      </c>
      <c r="Q182" s="66">
        <f ca="1">Calc_A_SA_Cost!Q41</f>
        <v>7205.2841289578046</v>
      </c>
      <c r="R182" s="66">
        <f ca="1">Calc_A_SA_Cost!R41</f>
        <v>7560.4531305876362</v>
      </c>
      <c r="S182" s="66">
        <f ca="1">Calc_A_SA_Cost!S41</f>
        <v>7903.7459782769411</v>
      </c>
    </row>
    <row r="183" spans="1:21" ht="11.25" customHeight="1" x14ac:dyDescent="0.2"/>
    <row r="184" spans="1:21" ht="12.75" hidden="1" outlineLevel="1" x14ac:dyDescent="0.2">
      <c r="D184" s="81" t="s">
        <v>90</v>
      </c>
      <c r="E184" s="82"/>
      <c r="G184" s="82"/>
      <c r="H184" s="243" t="s">
        <v>52</v>
      </c>
      <c r="I184" s="243" t="s">
        <v>47</v>
      </c>
      <c r="J184" s="243" t="s">
        <v>40</v>
      </c>
      <c r="K184" s="78"/>
      <c r="O184" s="66">
        <f ca="1">SUM(Calc_A_SA_Cost!O98:O105)</f>
        <v>69178.935309545763</v>
      </c>
      <c r="P184" s="66">
        <f ca="1">SUM(Calc_A_SA_Cost!P98:P105)</f>
        <v>73009.083131688836</v>
      </c>
      <c r="Q184" s="66">
        <f ca="1">SUM(Calc_A_SA_Cost!Q98:Q105)</f>
        <v>76572.755201967811</v>
      </c>
      <c r="R184" s="66">
        <f ca="1">SUM(Calc_A_SA_Cost!R98:R105)</f>
        <v>80347.244664198399</v>
      </c>
      <c r="S184" s="66">
        <f ca="1">SUM(Calc_A_SA_Cost!S98:S105)</f>
        <v>83995.522611080931</v>
      </c>
    </row>
    <row r="185" spans="1:21" ht="12.75" hidden="1" outlineLevel="1" x14ac:dyDescent="0.2">
      <c r="A185" s="59">
        <f ca="1">IF(SUM($M185:$S185)=0,0,1)</f>
        <v>0</v>
      </c>
      <c r="D185" s="81" t="s">
        <v>55</v>
      </c>
      <c r="E185" s="82"/>
      <c r="F185" s="80"/>
      <c r="G185" s="82"/>
      <c r="H185" s="80"/>
      <c r="I185" s="84"/>
      <c r="J185" s="84"/>
      <c r="K185" s="78"/>
      <c r="O185" s="59">
        <f ca="1">IF(ROUND(O184-SUM(O180:O182),2)=0,0,1)</f>
        <v>0</v>
      </c>
      <c r="P185" s="59">
        <f ca="1">IF(ROUND(P184-SUM(P180:P182),2)=0,0,1)</f>
        <v>0</v>
      </c>
      <c r="Q185" s="59">
        <f ca="1">IF(ROUND(Q184-SUM(Q180:Q182),2)=0,0,1)</f>
        <v>0</v>
      </c>
      <c r="R185" s="59">
        <f ca="1">IF(ROUND(R184-SUM(R180:R182),2)=0,0,1)</f>
        <v>0</v>
      </c>
      <c r="S185" s="59">
        <f ca="1">IF(ROUND(S184-SUM(S180:S182),2)=0,0,1)</f>
        <v>0</v>
      </c>
    </row>
    <row r="186" spans="1:21" ht="11.25" customHeight="1" collapsed="1" x14ac:dyDescent="0.2"/>
    <row r="187" spans="1:21" s="8" customFormat="1" ht="15" x14ac:dyDescent="0.2">
      <c r="C187" s="8" t="s">
        <v>103</v>
      </c>
    </row>
    <row r="188" spans="1:21" ht="11.25" customHeight="1" x14ac:dyDescent="0.2"/>
    <row r="189" spans="1:21" ht="11.25" customHeight="1" x14ac:dyDescent="0.2">
      <c r="D189" s="70" t="s">
        <v>62</v>
      </c>
      <c r="H189" s="54" t="str">
        <f>Lookup!E$19</f>
        <v>Source</v>
      </c>
      <c r="I189" s="54" t="str">
        <f>Lookup!F$19</f>
        <v>Unit</v>
      </c>
      <c r="J189" s="54" t="str">
        <f>Lookup!G$19</f>
        <v>Basis</v>
      </c>
      <c r="O189" s="54" t="str">
        <f>O$9</f>
        <v>FY25</v>
      </c>
      <c r="P189" s="54" t="str">
        <f>P$9</f>
        <v>FY26</v>
      </c>
      <c r="Q189" s="54" t="str">
        <f>Q$9</f>
        <v>FY27</v>
      </c>
      <c r="R189" s="54" t="str">
        <f>R$9</f>
        <v>FY28</v>
      </c>
      <c r="S189" s="54" t="str">
        <f>S$9</f>
        <v>FY29</v>
      </c>
    </row>
    <row r="190" spans="1:21" ht="11.25" customHeight="1" x14ac:dyDescent="0.2">
      <c r="D190" s="1"/>
    </row>
    <row r="191" spans="1:21" ht="12.75" x14ac:dyDescent="0.2">
      <c r="D191" s="85" t="s">
        <v>64</v>
      </c>
      <c r="E191" s="82"/>
      <c r="F191" s="82"/>
      <c r="G191" s="82"/>
      <c r="H191" s="243" t="s">
        <v>52</v>
      </c>
      <c r="I191" s="243" t="s">
        <v>47</v>
      </c>
      <c r="J191" s="243" t="s">
        <v>40</v>
      </c>
      <c r="O191" s="66">
        <f>SUMIF(Output_Revenue!$F$34:$F$41,$D191,Output_Revenue!O$34:O$41)</f>
        <v>138931.12327197602</v>
      </c>
      <c r="P191" s="66">
        <f>SUMIF(Output_Revenue!$F$34:$F$41,$D191,Output_Revenue!P$34:P$41)</f>
        <v>152428.02084244977</v>
      </c>
      <c r="Q191" s="66">
        <f>SUMIF(Output_Revenue!$F$34:$F$41,$D191,Output_Revenue!Q$34:Q$41)</f>
        <v>167970.05898064704</v>
      </c>
      <c r="R191" s="66">
        <f>SUMIF(Output_Revenue!$F$34:$F$41,$D191,Output_Revenue!R$34:R$41)</f>
        <v>184389.68100993041</v>
      </c>
      <c r="S191" s="66">
        <f>SUMIF(Output_Revenue!$F$34:$F$41,$D191,Output_Revenue!S$34:S$41)</f>
        <v>194352.08698890018</v>
      </c>
      <c r="U191" s="149"/>
    </row>
    <row r="192" spans="1:21" ht="12.75" x14ac:dyDescent="0.2">
      <c r="D192" s="85" t="s">
        <v>70</v>
      </c>
      <c r="E192" s="82"/>
      <c r="F192" s="82"/>
      <c r="G192" s="82"/>
      <c r="H192" s="243" t="s">
        <v>52</v>
      </c>
      <c r="I192" s="243" t="s">
        <v>47</v>
      </c>
      <c r="J192" s="243" t="s">
        <v>40</v>
      </c>
      <c r="O192" s="66">
        <f>SUMIF(Output_Revenue!$F$34:$F$41,$D192,Output_Revenue!O$34:O$41)</f>
        <v>17859.988312510686</v>
      </c>
      <c r="P192" s="66">
        <f>SUMIF(Output_Revenue!$F$34:$F$41,$D192,Output_Revenue!P$34:P$41)</f>
        <v>19331.472092615717</v>
      </c>
      <c r="Q192" s="66">
        <f>SUMIF(Output_Revenue!$F$34:$F$41,$D192,Output_Revenue!Q$34:Q$41)</f>
        <v>21210.489182434489</v>
      </c>
      <c r="R192" s="66">
        <f>SUMIF(Output_Revenue!$F$34:$F$41,$D192,Output_Revenue!R$34:R$41)</f>
        <v>23486.114391789899</v>
      </c>
      <c r="S192" s="66">
        <f>SUMIF(Output_Revenue!$F$34:$F$41,$D192,Output_Revenue!S$34:S$41)</f>
        <v>25045.790256963905</v>
      </c>
      <c r="U192" s="149"/>
    </row>
    <row r="193" spans="1:21" ht="12.75" x14ac:dyDescent="0.2">
      <c r="D193" s="85" t="s">
        <v>69</v>
      </c>
      <c r="E193" s="82"/>
      <c r="F193" s="82"/>
      <c r="G193" s="82"/>
      <c r="H193" s="243" t="s">
        <v>52</v>
      </c>
      <c r="I193" s="243" t="s">
        <v>47</v>
      </c>
      <c r="J193" s="243" t="s">
        <v>40</v>
      </c>
      <c r="O193" s="66">
        <f>SUMIF(Output_Revenue!$F$34:$F$41,$D193,Output_Revenue!O$34:O$41)</f>
        <v>16659.122685903581</v>
      </c>
      <c r="P193" s="66">
        <f>SUMIF(Output_Revenue!$F$34:$F$41,$D193,Output_Revenue!P$34:P$41)</f>
        <v>18978.608842756974</v>
      </c>
      <c r="Q193" s="66">
        <f>SUMIF(Output_Revenue!$F$34:$F$41,$D193,Output_Revenue!Q$34:Q$41)</f>
        <v>20568.491258468886</v>
      </c>
      <c r="R193" s="66">
        <f>SUMIF(Output_Revenue!$F$34:$F$41,$D193,Output_Revenue!R$34:R$41)</f>
        <v>22779.034552936064</v>
      </c>
      <c r="S193" s="66">
        <f>SUMIF(Output_Revenue!$F$34:$F$41,$D193,Output_Revenue!S$34:S$41)</f>
        <v>24435.380896160292</v>
      </c>
      <c r="U193" s="149"/>
    </row>
    <row r="194" spans="1:21" ht="11.25" customHeight="1" x14ac:dyDescent="0.2"/>
    <row r="195" spans="1:21" ht="12.75" hidden="1" outlineLevel="1" x14ac:dyDescent="0.2">
      <c r="D195" s="81" t="s">
        <v>90</v>
      </c>
      <c r="E195" s="82"/>
      <c r="G195" s="82"/>
      <c r="H195" s="243" t="s">
        <v>52</v>
      </c>
      <c r="I195" s="243" t="s">
        <v>47</v>
      </c>
      <c r="J195" s="243" t="s">
        <v>40</v>
      </c>
      <c r="K195" s="78"/>
      <c r="O195" s="66">
        <f>Output_Revenue!O26</f>
        <v>173450.23427039024</v>
      </c>
      <c r="P195" s="66">
        <f>Output_Revenue!P26</f>
        <v>190738.10177782248</v>
      </c>
      <c r="Q195" s="66">
        <f>Output_Revenue!Q26</f>
        <v>209749.03942155041</v>
      </c>
      <c r="R195" s="66">
        <f>Output_Revenue!R26</f>
        <v>230654.82995465636</v>
      </c>
      <c r="S195" s="66">
        <f>Output_Revenue!S26</f>
        <v>243833.25814202437</v>
      </c>
    </row>
    <row r="196" spans="1:21" ht="12.75" hidden="1" outlineLevel="1" x14ac:dyDescent="0.2">
      <c r="A196" s="59">
        <f>IF(SUM($M196:$S196)=0,0,1)</f>
        <v>0</v>
      </c>
      <c r="D196" s="81" t="s">
        <v>55</v>
      </c>
      <c r="E196" s="82"/>
      <c r="F196" s="80"/>
      <c r="G196" s="82"/>
      <c r="H196" s="80"/>
      <c r="I196" s="84"/>
      <c r="J196" s="84"/>
      <c r="K196" s="78"/>
      <c r="O196" s="59">
        <f>IF(ROUND(O195-SUM(O191:O193),2)=0,0,1)</f>
        <v>0</v>
      </c>
      <c r="P196" s="59">
        <f>IF(ROUND(P195-SUM(P191:P193),2)=0,0,1)</f>
        <v>0</v>
      </c>
      <c r="Q196" s="59">
        <f>IF(ROUND(Q195-SUM(Q191:Q193),2)=0,0,1)</f>
        <v>0</v>
      </c>
      <c r="R196" s="59">
        <f>IF(ROUND(R195-SUM(R191:R193),2)=0,0,1)</f>
        <v>0</v>
      </c>
      <c r="S196" s="59">
        <f>IF(ROUND(S195-SUM(S191:S193),2)=0,0,1)</f>
        <v>0</v>
      </c>
    </row>
    <row r="197" spans="1:21" ht="11.25" customHeight="1" collapsed="1" x14ac:dyDescent="0.2"/>
    <row r="198" spans="1:21" s="8" customFormat="1" ht="15" x14ac:dyDescent="0.2">
      <c r="C198" s="8" t="s">
        <v>116</v>
      </c>
    </row>
    <row r="199" spans="1:21" ht="11.25" customHeight="1" x14ac:dyDescent="0.2"/>
    <row r="200" spans="1:21" ht="11.25" customHeight="1" x14ac:dyDescent="0.2">
      <c r="D200" s="70" t="s">
        <v>62</v>
      </c>
      <c r="O200" s="54" t="str">
        <f>O$9</f>
        <v>FY25</v>
      </c>
      <c r="P200" s="54" t="str">
        <f>P$9</f>
        <v>FY26</v>
      </c>
      <c r="Q200" s="54" t="str">
        <f>Q$9</f>
        <v>FY27</v>
      </c>
      <c r="R200" s="54" t="str">
        <f>R$9</f>
        <v>FY28</v>
      </c>
      <c r="S200" s="54" t="str">
        <f>S$9</f>
        <v>FY29</v>
      </c>
    </row>
    <row r="201" spans="1:21" ht="11.25" customHeight="1" x14ac:dyDescent="0.2">
      <c r="D201" s="1"/>
    </row>
    <row r="202" spans="1:21" ht="12.75" x14ac:dyDescent="0.2">
      <c r="A202" s="59">
        <f ca="1">IF(COUNTIF($M202:$S202,"Fail")=0,0,1)</f>
        <v>0</v>
      </c>
      <c r="D202" s="85" t="s">
        <v>64</v>
      </c>
      <c r="O202" s="80" t="str">
        <f t="shared" ref="O202:S204" ca="1" si="14">IF(O$9&gt;=$H$19,IF(AND(O191&gt;O180,O191&lt;O169),"Pass","Fail"),"")</f>
        <v>Pass</v>
      </c>
      <c r="P202" s="80" t="str">
        <f t="shared" ca="1" si="14"/>
        <v>Pass</v>
      </c>
      <c r="Q202" s="80" t="str">
        <f t="shared" ca="1" si="14"/>
        <v>Pass</v>
      </c>
      <c r="R202" s="80" t="str">
        <f t="shared" ca="1" si="14"/>
        <v>Pass</v>
      </c>
      <c r="S202" s="80" t="str">
        <f t="shared" ca="1" si="14"/>
        <v>Pass</v>
      </c>
    </row>
    <row r="203" spans="1:21" ht="12.75" x14ac:dyDescent="0.2">
      <c r="A203" s="59">
        <f ca="1">IF(COUNTIF($M203:$S203,"Fail")=0,0,1)</f>
        <v>0</v>
      </c>
      <c r="D203" s="85" t="s">
        <v>70</v>
      </c>
      <c r="O203" s="80" t="str">
        <f t="shared" ca="1" si="14"/>
        <v>Pass</v>
      </c>
      <c r="P203" s="80" t="str">
        <f t="shared" ca="1" si="14"/>
        <v>Pass</v>
      </c>
      <c r="Q203" s="80" t="str">
        <f t="shared" ca="1" si="14"/>
        <v>Pass</v>
      </c>
      <c r="R203" s="80" t="str">
        <f t="shared" ca="1" si="14"/>
        <v>Pass</v>
      </c>
      <c r="S203" s="80" t="str">
        <f t="shared" ca="1" si="14"/>
        <v>Pass</v>
      </c>
    </row>
    <row r="204" spans="1:21" ht="12.75" x14ac:dyDescent="0.2">
      <c r="A204" s="59">
        <f ca="1">IF(COUNTIF($M204:$S204,"Fail")=0,0,1)</f>
        <v>0</v>
      </c>
      <c r="D204" s="85" t="s">
        <v>69</v>
      </c>
      <c r="O204" s="80" t="str">
        <f t="shared" ca="1" si="14"/>
        <v>Pass</v>
      </c>
      <c r="P204" s="80" t="str">
        <f t="shared" ca="1" si="14"/>
        <v>Pass</v>
      </c>
      <c r="Q204" s="80" t="str">
        <f t="shared" ca="1" si="14"/>
        <v>Pass</v>
      </c>
      <c r="R204" s="80" t="str">
        <f t="shared" ca="1" si="14"/>
        <v>Pass</v>
      </c>
      <c r="S204" s="80" t="str">
        <f t="shared" ca="1" si="14"/>
        <v>Pass</v>
      </c>
    </row>
    <row r="205" spans="1:21" ht="11.25" customHeight="1" x14ac:dyDescent="0.2"/>
    <row r="206" spans="1:21" ht="12.75" x14ac:dyDescent="0.2">
      <c r="A206" s="59">
        <f ca="1">IF(COUNTIF($M206:$S206,"Fail")=0,0,1)</f>
        <v>0</v>
      </c>
      <c r="D206" s="7" t="s">
        <v>188</v>
      </c>
      <c r="O206" s="80" t="str">
        <f ca="1">IF(O$9&gt;=$H$19,IF(COUNTIF(O202:O204,"Fail")&gt;0,"Fail","Pass"),"")</f>
        <v>Pass</v>
      </c>
      <c r="P206" s="80" t="str">
        <f ca="1">IF(P$9&gt;=$H$19,IF(COUNTIF(P202:P204,"Fail")&gt;0,"Fail","Pass"),"")</f>
        <v>Pass</v>
      </c>
      <c r="Q206" s="80" t="str">
        <f ca="1">IF(Q$9&gt;=$H$19,IF(COUNTIF(Q202:Q204,"Fail")&gt;0,"Fail","Pass"),"")</f>
        <v>Pass</v>
      </c>
      <c r="R206" s="80" t="str">
        <f ca="1">IF(R$9&gt;=$H$19,IF(COUNTIF(R202:R204,"Fail")&gt;0,"Fail","Pass"),"")</f>
        <v>Pass</v>
      </c>
      <c r="S206" s="80" t="str">
        <f ca="1">IF(S$9&gt;=$H$19,IF(COUNTIF(S202:S204,"Fail")&gt;0,"Fail","Pass"),"")</f>
        <v>Pass</v>
      </c>
    </row>
    <row r="207" spans="1:21" ht="11.25" customHeight="1" x14ac:dyDescent="0.2"/>
    <row r="208" spans="1:21" ht="11.25" customHeight="1" x14ac:dyDescent="0.2"/>
    <row r="209" spans="2:2" s="2" customFormat="1" ht="15.75" x14ac:dyDescent="0.2">
      <c r="B209" s="2" t="s">
        <v>20</v>
      </c>
    </row>
  </sheetData>
  <conditionalFormatting sqref="B2">
    <cfRule type="cellIs" dxfId="19" priority="45" operator="notEqual">
      <formula>"No Errors Found"</formula>
    </cfRule>
  </conditionalFormatting>
  <conditionalFormatting sqref="H22:H25">
    <cfRule type="cellIs" dxfId="18" priority="5" operator="equal">
      <formula>"Fail"</formula>
    </cfRule>
    <cfRule type="cellIs" dxfId="17" priority="6" operator="equal">
      <formula>"Pass"</formula>
    </cfRule>
  </conditionalFormatting>
  <conditionalFormatting sqref="O62:S62">
    <cfRule type="cellIs" dxfId="16" priority="14" operator="equal">
      <formula>"Fail"</formula>
    </cfRule>
    <cfRule type="cellIs" dxfId="15" priority="15" operator="equal">
      <formula>"Pass"</formula>
    </cfRule>
  </conditionalFormatting>
  <conditionalFormatting sqref="O106:S106">
    <cfRule type="cellIs" dxfId="14" priority="41" operator="equal">
      <formula>"Fail"</formula>
    </cfRule>
    <cfRule type="cellIs" dxfId="13" priority="42" operator="equal">
      <formula>"Pass"</formula>
    </cfRule>
  </conditionalFormatting>
  <conditionalFormatting sqref="O157:S157">
    <cfRule type="cellIs" dxfId="12" priority="3" operator="equal">
      <formula>"Fail"</formula>
    </cfRule>
    <cfRule type="cellIs" dxfId="11" priority="4" operator="equal">
      <formula>"Pass"</formula>
    </cfRule>
  </conditionalFormatting>
  <conditionalFormatting sqref="O202:S204">
    <cfRule type="cellIs" dxfId="10" priority="43" operator="equal">
      <formula>"Fail"</formula>
    </cfRule>
    <cfRule type="cellIs" dxfId="9" priority="44" operator="equal">
      <formula>"Pass"</formula>
    </cfRule>
  </conditionalFormatting>
  <conditionalFormatting sqref="O206:S206">
    <cfRule type="cellIs" dxfId="8" priority="1" operator="equal">
      <formula>"Fail"</formula>
    </cfRule>
    <cfRule type="cellIs" dxfId="7" priority="2" operator="equal">
      <formula>"Pass"</formula>
    </cfRule>
  </conditionalFormatting>
  <conditionalFormatting sqref="P153:S155">
    <cfRule type="cellIs" dxfId="6" priority="29" operator="equal">
      <formula>"Fail"</formula>
    </cfRule>
    <cfRule type="cellIs" dxfId="5" priority="30" operator="equal">
      <formula>"Pass"</formula>
    </cfRule>
  </conditionalFormatting>
  <dataValidations count="4">
    <dataValidation type="list" allowBlank="1" showInputMessage="1" showErrorMessage="1" sqref="K184:K185 K173:K174 K195:K196 K56" xr:uid="{00000000-0002-0000-0D00-000000000000}">
      <formula1>LU_Timing</formula1>
    </dataValidation>
    <dataValidation type="list" allowBlank="1" showInputMessage="1" showErrorMessage="1" sqref="I173:I174 I169:I171 I184:I185 I94:I97 I180:I182 I75:I76 I191:I193 I84 I195:I196 I146 I124:I127 I129:I131 I119:I122 I139:I144 I46:I49 I35:I39 I56 I54" xr:uid="{00000000-0002-0000-0D00-000001000000}">
      <formula1>LU_Units</formula1>
    </dataValidation>
    <dataValidation type="list" allowBlank="1" showInputMessage="1" showErrorMessage="1" sqref="J173:J174 J169:J171 J184:J185 J94:J97 J180:J182 J75:J76 J191:J193 J84 J195:J196 J146 J124:J127 J129:J131 J119:J122 J139:J144 J46:J49 J35:J39 J56 J54" xr:uid="{00000000-0002-0000-0D00-000002000000}">
      <formula1>LU_Basis</formula1>
    </dataValidation>
    <dataValidation type="list" allowBlank="1" showInputMessage="1" showErrorMessage="1" sqref="D169:D171 D180:D182 D191:D193 D153:D155 D119:D122 D124:D127 D129:D131 D202:D204" xr:uid="{00000000-0002-0000-0D00-000003000000}">
      <formula1>LU_Tariff_Classes</formula1>
    </dataValidation>
  </dataValidations>
  <hyperlinks>
    <hyperlink ref="B3:E3" location="TOC!A1" display="TOC!A1" xr:uid="{00000000-0004-0000-0D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Lookup!$O$19:$S$19</xm:f>
          </x14:formula1>
          <xm:sqref>H19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4"/>
  </sheetPr>
  <dimension ref="A1:XFB70"/>
  <sheetViews>
    <sheetView showGridLines="0" zoomScaleNormal="100" workbookViewId="0">
      <pane ySplit="5" topLeftCell="A6" activePane="bottomLeft" state="frozen"/>
      <selection activeCell="D242" sqref="D242"/>
      <selection pane="bottomLeft" activeCell="A6" sqref="A6"/>
    </sheetView>
  </sheetViews>
  <sheetFormatPr defaultColWidth="9.1640625" defaultRowHeight="11.25" x14ac:dyDescent="0.2"/>
  <cols>
    <col min="1" max="1" width="3.6640625" customWidth="1"/>
    <col min="2" max="3" width="2.83203125" customWidth="1"/>
    <col min="4" max="4" width="25.83203125" customWidth="1"/>
    <col min="5" max="5" width="24" customWidth="1"/>
    <col min="6" max="9" width="10.83203125" customWidth="1"/>
    <col min="10" max="10" width="12.83203125" customWidth="1"/>
    <col min="11" max="15" width="10.83203125" customWidth="1"/>
    <col min="16" max="16" width="28.83203125" customWidth="1"/>
    <col min="17" max="17" width="15.1640625" customWidth="1"/>
    <col min="18" max="24" width="10.83203125" customWidth="1"/>
  </cols>
  <sheetData>
    <row r="1" spans="1:7" ht="19.5" x14ac:dyDescent="0.2">
      <c r="A1" s="59">
        <f>IF(SUM($A10:$A70)&gt;0,1,0)</f>
        <v>0</v>
      </c>
      <c r="B1" s="3" t="s">
        <v>117</v>
      </c>
    </row>
    <row r="2" spans="1:7" x14ac:dyDescent="0.2">
      <c r="B2" s="13" t="str">
        <f ca="1">Title_Msg</f>
        <v>No Errors Found</v>
      </c>
    </row>
    <row r="3" spans="1:7" x14ac:dyDescent="0.2">
      <c r="B3" s="46" t="str">
        <f>TOC!B1</f>
        <v>Table of contents</v>
      </c>
      <c r="C3" s="42"/>
      <c r="D3" s="42"/>
      <c r="E3" s="42"/>
    </row>
    <row r="4" spans="1:7" ht="12.75" x14ac:dyDescent="0.2">
      <c r="B4" s="40" t="str">
        <f>Model_Name</f>
        <v>Pricing Model - Power and Water Corporation</v>
      </c>
    </row>
    <row r="6" spans="1:7" s="2" customFormat="1" ht="15.75" x14ac:dyDescent="0.2">
      <c r="B6" s="2" t="s">
        <v>760</v>
      </c>
    </row>
    <row r="7" spans="1:7" ht="11.25" customHeight="1" x14ac:dyDescent="0.2"/>
    <row r="8" spans="1:7" ht="11.25" customHeight="1" x14ac:dyDescent="0.2">
      <c r="D8" s="105" t="s">
        <v>148</v>
      </c>
    </row>
    <row r="9" spans="1:7" ht="11.25" customHeight="1" x14ac:dyDescent="0.2"/>
    <row r="10" spans="1:7" ht="11.25" customHeight="1" x14ac:dyDescent="0.2">
      <c r="D10" s="105" t="s">
        <v>147</v>
      </c>
      <c r="F10" s="106" t="s">
        <v>279</v>
      </c>
      <c r="G10" s="113">
        <f>MATCH(F10,Lookup!$O$19:$S$19)</f>
        <v>1</v>
      </c>
    </row>
    <row r="11" spans="1:7" ht="11.25" customHeight="1" x14ac:dyDescent="0.2"/>
    <row r="12" spans="1:7" ht="11.25" customHeight="1" x14ac:dyDescent="0.2"/>
    <row r="13" spans="1:7" s="2" customFormat="1" ht="15.75" x14ac:dyDescent="0.2">
      <c r="B13" s="2" t="s">
        <v>761</v>
      </c>
    </row>
    <row r="14" spans="1:7" ht="4.5" customHeight="1" x14ac:dyDescent="0.2"/>
    <row r="15" spans="1:7" s="8" customFormat="1" ht="15" x14ac:dyDescent="0.2">
      <c r="C15" s="8" t="str">
        <f>"Residual cost recovery share by tariff ("&amp;F10&amp;")"</f>
        <v>Residual cost recovery share by tariff (FY25)</v>
      </c>
    </row>
    <row r="17" spans="16:19 16382:16382" s="99" customFormat="1" ht="12.75" x14ac:dyDescent="0.2"/>
    <row r="18" spans="16:19 16382:16382" s="99" customFormat="1" ht="12.75" x14ac:dyDescent="0.2"/>
    <row r="19" spans="16:19 16382:16382" s="99" customFormat="1" ht="13.35" customHeight="1" x14ac:dyDescent="0.2"/>
    <row r="20" spans="16:19 16382:16382" s="99" customFormat="1" ht="12.75" x14ac:dyDescent="0.2">
      <c r="P20" s="109" t="s">
        <v>118</v>
      </c>
      <c r="Q20" s="108"/>
      <c r="R20" s="139" t="str">
        <f>"FY"&amp;RIGHT(S20,2)-1</f>
        <v>FY24</v>
      </c>
      <c r="S20" s="144" t="str">
        <f>F10</f>
        <v>FY25</v>
      </c>
    </row>
    <row r="21" spans="16:19 16382:16382" s="99" customFormat="1" ht="12.75" x14ac:dyDescent="0.2">
      <c r="P21" s="154" t="s">
        <v>280</v>
      </c>
      <c r="Q21" s="155"/>
      <c r="R21" s="147" t="str">
        <f>IF($G$10=1,NA,INDEX(Calc_Residual_Tariff!$O84:$S84,$G$10-1))</f>
        <v>N/A</v>
      </c>
      <c r="S21" s="147">
        <f ca="1">INDEX(Calc_Residual_Tariff!$O84:$S84,$G$10)</f>
        <v>0.32171488191541742</v>
      </c>
      <c r="XFB21" s="99" t="s">
        <v>205</v>
      </c>
    </row>
    <row r="22" spans="16:19 16382:16382" s="99" customFormat="1" ht="12.75" customHeight="1" x14ac:dyDescent="0.2">
      <c r="P22" s="154" t="s">
        <v>281</v>
      </c>
      <c r="Q22" s="155"/>
      <c r="R22" s="147" t="str">
        <f>IF($G$10=1,NA,INDEX(Calc_Residual_Tariff!$O85:$S85,$G$10-1))</f>
        <v>N/A</v>
      </c>
      <c r="S22" s="147">
        <f ca="1">INDEX(Calc_Residual_Tariff!$O85:$S85,$G$10)</f>
        <v>1.2004897566585687E-2</v>
      </c>
      <c r="XFB22" s="99" t="s">
        <v>206</v>
      </c>
    </row>
    <row r="23" spans="16:19 16382:16382" s="99" customFormat="1" ht="12.75" x14ac:dyDescent="0.2">
      <c r="P23" s="154" t="s">
        <v>282</v>
      </c>
      <c r="Q23" s="155"/>
      <c r="R23" s="147" t="str">
        <f>IF($G$10=1,NA,INDEX(Calc_Residual_Tariff!$O86:$S86,$G$10-1))</f>
        <v>N/A</v>
      </c>
      <c r="S23" s="147">
        <f ca="1">INDEX(Calc_Residual_Tariff!$O86:$S86,$G$10)</f>
        <v>0.19789032021472291</v>
      </c>
      <c r="XFB23" s="99" t="s">
        <v>211</v>
      </c>
    </row>
    <row r="24" spans="16:19 16382:16382" s="99" customFormat="1" ht="12.75" customHeight="1" x14ac:dyDescent="0.2">
      <c r="P24" s="154" t="s">
        <v>283</v>
      </c>
      <c r="Q24" s="155"/>
      <c r="R24" s="147" t="str">
        <f>IF($G$10=1,NA,INDEX(Calc_Residual_Tariff!$O87:$S87,$G$10-1))</f>
        <v>N/A</v>
      </c>
      <c r="S24" s="147">
        <f ca="1">INDEX(Calc_Residual_Tariff!$O87:$S87,$G$10)</f>
        <v>0.12301121246834304</v>
      </c>
      <c r="XFB24" s="99" t="s">
        <v>207</v>
      </c>
    </row>
    <row r="25" spans="16:19 16382:16382" s="99" customFormat="1" ht="12.75" customHeight="1" x14ac:dyDescent="0.2">
      <c r="P25" s="154" t="s">
        <v>284</v>
      </c>
      <c r="Q25" s="155"/>
      <c r="R25" s="147" t="str">
        <f>IF($G$10=1,NA,INDEX(Calc_Residual_Tariff!$O88:$S88,$G$10-1))</f>
        <v>N/A</v>
      </c>
      <c r="S25" s="147">
        <f ca="1">INDEX(Calc_Residual_Tariff!$O88:$S88,$G$10)</f>
        <v>0.11680834623380666</v>
      </c>
      <c r="XFB25" s="99" t="s">
        <v>208</v>
      </c>
    </row>
    <row r="26" spans="16:19 16382:16382" s="99" customFormat="1" ht="12.75" x14ac:dyDescent="0.2">
      <c r="P26" s="154" t="s">
        <v>285</v>
      </c>
      <c r="Q26" s="155"/>
      <c r="R26" s="147" t="str">
        <f>IF($G$10=1,NA,INDEX(Calc_Residual_Tariff!$O89:$S89,$G$10-1))</f>
        <v>N/A</v>
      </c>
      <c r="S26" s="147">
        <f ca="1">INDEX(Calc_Residual_Tariff!$O89:$S89,$G$10)</f>
        <v>1.4815222938979205E-2</v>
      </c>
      <c r="XFB26" s="99" t="s">
        <v>209</v>
      </c>
    </row>
    <row r="27" spans="16:19 16382:16382" s="99" customFormat="1" ht="12.75" x14ac:dyDescent="0.2">
      <c r="P27" s="154" t="s">
        <v>286</v>
      </c>
      <c r="Q27" s="155"/>
      <c r="R27" s="147" t="str">
        <f>IF($G$10=1,NA,INDEX(Calc_Residual_Tariff!$O90:$S90,$G$10-1))</f>
        <v>N/A</v>
      </c>
      <c r="S27" s="147">
        <f ca="1">INDEX(Calc_Residual_Tariff!$O90:$S90,$G$10)</f>
        <v>8.6962675201674403E-2</v>
      </c>
      <c r="XFB27" s="99" t="s">
        <v>210</v>
      </c>
    </row>
    <row r="28" spans="16:19 16382:16382" s="99" customFormat="1" ht="12.75" x14ac:dyDescent="0.2">
      <c r="P28" s="154" t="s">
        <v>287</v>
      </c>
      <c r="Q28" s="155"/>
      <c r="R28" s="147" t="str">
        <f>IF($G$10=1,NA,INDEX(Calc_Residual_Tariff!$O91:$S91,$G$10-1))</f>
        <v>N/A</v>
      </c>
      <c r="S28" s="147">
        <f ca="1">INDEX(Calc_Residual_Tariff!$O91:$S91,$G$10)</f>
        <v>0.12679244346047067</v>
      </c>
    </row>
    <row r="29" spans="16:19 16382:16382" s="99" customFormat="1" ht="12.75" x14ac:dyDescent="0.2">
      <c r="P29" s="296" t="s">
        <v>51</v>
      </c>
      <c r="Q29" s="297"/>
      <c r="R29" s="148">
        <f>SUM(R21:R28)</f>
        <v>0</v>
      </c>
      <c r="S29" s="148">
        <f ca="1">SUM(S21:S28)</f>
        <v>1</v>
      </c>
    </row>
    <row r="30" spans="16:19 16382:16382" s="99" customFormat="1" ht="12.75" x14ac:dyDescent="0.2"/>
    <row r="31" spans="16:19 16382:16382" s="99" customFormat="1" ht="12.75" x14ac:dyDescent="0.2"/>
    <row r="39" spans="3:20" s="8" customFormat="1" ht="15" x14ac:dyDescent="0.2">
      <c r="C39" s="8" t="str">
        <f>"Residual cost recovery shares by tariff and tariff charging parameter ("&amp;F10&amp;")"</f>
        <v>Residual cost recovery shares by tariff and tariff charging parameter (FY25)</v>
      </c>
    </row>
    <row r="40" spans="3:20" s="99" customFormat="1" ht="11.25" customHeight="1" x14ac:dyDescent="0.2"/>
    <row r="41" spans="3:20" s="99" customFormat="1" ht="12.75" x14ac:dyDescent="0.2">
      <c r="P41" s="110" t="s">
        <v>118</v>
      </c>
      <c r="Q41" s="100" t="s">
        <v>119</v>
      </c>
      <c r="R41" s="139" t="str">
        <f>"FY"&amp;RIGHT(S41,2)-1</f>
        <v>FY24</v>
      </c>
      <c r="S41" s="144" t="str">
        <f>S20</f>
        <v>FY25</v>
      </c>
    </row>
    <row r="42" spans="3:20" s="99" customFormat="1" ht="11.25" customHeight="1" x14ac:dyDescent="0.2">
      <c r="P42" s="298" t="s">
        <v>296</v>
      </c>
      <c r="Q42" s="101" t="str">
        <f>Calc_Residual_Tariff!E102</f>
        <v>SAC</v>
      </c>
      <c r="R42" s="102" t="str">
        <f>IF($G$10=1,NA,INDEX(Calc_Residual_Tariff!$O102:$S102,$G$10-1))</f>
        <v>N/A</v>
      </c>
      <c r="S42" s="102">
        <f ca="1">INDEX(Calc_Residual_Tariff!$O102:$S102,$G$10)</f>
        <v>0.22520041734079224</v>
      </c>
      <c r="T42" s="159" t="s">
        <v>205</v>
      </c>
    </row>
    <row r="43" spans="3:20" s="99" customFormat="1" ht="11.25" customHeight="1" x14ac:dyDescent="0.2">
      <c r="P43" s="298"/>
      <c r="Q43" s="101" t="str">
        <f>Calc_Residual_Tariff!E103</f>
        <v>Anytime Energy</v>
      </c>
      <c r="R43" s="102" t="str">
        <f>IF($G$10=1,NA,INDEX(Calc_Residual_Tariff!$O103:$S103,$G$10-1))</f>
        <v>N/A</v>
      </c>
      <c r="S43" s="102">
        <f ca="1">INDEX(Calc_Residual_Tariff!$O103:$S103,$G$10)</f>
        <v>9.6514464574625258E-2</v>
      </c>
      <c r="T43" s="159"/>
    </row>
    <row r="44" spans="3:20" s="99" customFormat="1" ht="11.25" customHeight="1" x14ac:dyDescent="0.2">
      <c r="P44" s="298" t="s">
        <v>298</v>
      </c>
      <c r="Q44" s="101" t="str">
        <f>Calc_Residual_Tariff!E104</f>
        <v>SAC</v>
      </c>
      <c r="R44" s="102" t="str">
        <f>IF($G$10=1,NA,INDEX(Calc_Residual_Tariff!$O104:$S104,$G$10-1))</f>
        <v>N/A</v>
      </c>
      <c r="S44" s="102">
        <f ca="1">INDEX(Calc_Residual_Tariff!$O104:$S104,$G$10)</f>
        <v>3.4646134377166308E-3</v>
      </c>
      <c r="T44" s="159" t="s">
        <v>206</v>
      </c>
    </row>
    <row r="45" spans="3:20" s="99" customFormat="1" ht="11.25" customHeight="1" x14ac:dyDescent="0.2">
      <c r="P45" s="298"/>
      <c r="Q45" s="101" t="str">
        <f>Calc_Residual_Tariff!E105</f>
        <v>Anytime Energy</v>
      </c>
      <c r="R45" s="102" t="str">
        <f>IF($G$10=1,NA,INDEX(Calc_Residual_Tariff!$O105:$S105,$G$10-1))</f>
        <v>N/A</v>
      </c>
      <c r="S45" s="102">
        <f ca="1">INDEX(Calc_Residual_Tariff!$O105:$S105,$G$10)</f>
        <v>8.5402841288690617E-3</v>
      </c>
      <c r="T45" s="159"/>
    </row>
    <row r="46" spans="3:20" s="99" customFormat="1" ht="11.25" customHeight="1" x14ac:dyDescent="0.2">
      <c r="P46" s="293" t="s">
        <v>297</v>
      </c>
      <c r="Q46" s="101" t="str">
        <f>Calc_Residual_Tariff!E106</f>
        <v>SAC</v>
      </c>
      <c r="R46" s="102" t="str">
        <f>IF($G$10=1,NA,INDEX(Calc_Residual_Tariff!$O106:$S106,$G$10-1))</f>
        <v>N/A</v>
      </c>
      <c r="S46" s="102">
        <f ca="1">INDEX(Calc_Residual_Tariff!$O106:$S106,$G$10)</f>
        <v>0.17810128819325069</v>
      </c>
      <c r="T46" s="159" t="s">
        <v>282</v>
      </c>
    </row>
    <row r="47" spans="3:20" s="99" customFormat="1" ht="11.25" customHeight="1" x14ac:dyDescent="0.2">
      <c r="P47" s="294"/>
      <c r="Q47" s="101" t="str">
        <f>Calc_Residual_Tariff!E107</f>
        <v>Peak Energy</v>
      </c>
      <c r="R47" s="102" t="str">
        <f>IF($G$10=1,NA,INDEX(Calc_Residual_Tariff!$O107:$S107,$G$10-1))</f>
        <v>N/A</v>
      </c>
      <c r="S47" s="102">
        <f ca="1">INDEX(Calc_Residual_Tariff!$O107:$S107,$G$10)</f>
        <v>0</v>
      </c>
      <c r="T47" s="159"/>
    </row>
    <row r="48" spans="3:20" s="99" customFormat="1" ht="11.25" customHeight="1" x14ac:dyDescent="0.2">
      <c r="P48" s="294"/>
      <c r="Q48" s="101" t="str">
        <f>Calc_Residual_Tariff!E108</f>
        <v>Off-peak Energy</v>
      </c>
      <c r="R48" s="102" t="str">
        <f>IF($G$10=1,NA,INDEX(Calc_Residual_Tariff!$O108:$S108,$G$10-1))</f>
        <v>N/A</v>
      </c>
      <c r="S48" s="102">
        <f ca="1">INDEX(Calc_Residual_Tariff!$O108:$S108,$G$10)</f>
        <v>1.9789032021472291E-2</v>
      </c>
      <c r="T48" s="159"/>
    </row>
    <row r="49" spans="16:20" s="99" customFormat="1" ht="11.25" customHeight="1" x14ac:dyDescent="0.2">
      <c r="P49" s="295"/>
      <c r="Q49" s="101" t="str">
        <f>Calc_Residual_Tariff!E109</f>
        <v>Super Off-peak Energy</v>
      </c>
      <c r="R49" s="102" t="str">
        <f>IF($G$10=1,NA,INDEX(Calc_Residual_Tariff!$O109:$S109,$G$10-1))</f>
        <v>N/A</v>
      </c>
      <c r="S49" s="102">
        <f ca="1">INDEX(Calc_Residual_Tariff!$O109:$S109,$G$10)</f>
        <v>0</v>
      </c>
      <c r="T49" s="159"/>
    </row>
    <row r="50" spans="16:20" s="99" customFormat="1" ht="11.25" customHeight="1" x14ac:dyDescent="0.2">
      <c r="P50" s="293" t="s">
        <v>299</v>
      </c>
      <c r="Q50" s="101" t="str">
        <f>Calc_Residual_Tariff!E110</f>
        <v>SAC</v>
      </c>
      <c r="R50" s="102" t="str">
        <f>IF($G$10=1,NA,INDEX(Calc_Residual_Tariff!$O110:$S110,$G$10-1))</f>
        <v>N/A</v>
      </c>
      <c r="S50" s="102">
        <f ca="1">INDEX(Calc_Residual_Tariff!$O110:$S110,$G$10)</f>
        <v>2.460224249366862E-2</v>
      </c>
      <c r="T50" s="159" t="s">
        <v>283</v>
      </c>
    </row>
    <row r="51" spans="16:20" s="99" customFormat="1" ht="11.25" customHeight="1" x14ac:dyDescent="0.2">
      <c r="P51" s="294"/>
      <c r="Q51" s="101" t="str">
        <f>Calc_Residual_Tariff!E111</f>
        <v>Peak Energy</v>
      </c>
      <c r="R51" s="102" t="str">
        <f>IF($G$10=1,NA,INDEX(Calc_Residual_Tariff!$O111:$S111,$G$10-1))</f>
        <v>N/A</v>
      </c>
      <c r="S51" s="102">
        <f ca="1">INDEX(Calc_Residual_Tariff!$O111:$S111,$G$10)</f>
        <v>0</v>
      </c>
      <c r="T51" s="159"/>
    </row>
    <row r="52" spans="16:20" s="99" customFormat="1" ht="11.25" customHeight="1" x14ac:dyDescent="0.2">
      <c r="P52" s="294"/>
      <c r="Q52" s="101" t="str">
        <f>Calc_Residual_Tariff!E112</f>
        <v>Off-peak Energy</v>
      </c>
      <c r="R52" s="102" t="str">
        <f>IF($G$10=1,NA,INDEX(Calc_Residual_Tariff!$O112:$S112,$G$10-1))</f>
        <v>N/A</v>
      </c>
      <c r="S52" s="102">
        <f ca="1">INDEX(Calc_Residual_Tariff!$O112:$S112,$G$10)</f>
        <v>9.8408969974674479E-2</v>
      </c>
      <c r="T52" s="159"/>
    </row>
    <row r="53" spans="16:20" s="99" customFormat="1" ht="11.25" customHeight="1" x14ac:dyDescent="0.2">
      <c r="P53" s="295"/>
      <c r="Q53" s="101" t="str">
        <f>Calc_Residual_Tariff!E113</f>
        <v>Super Off-peak Energy</v>
      </c>
      <c r="R53" s="102" t="str">
        <f>IF($G$10=1,NA,INDEX(Calc_Residual_Tariff!$O113:$S113,$G$10-1))</f>
        <v>N/A</v>
      </c>
      <c r="S53" s="102">
        <f ca="1">INDEX(Calc_Residual_Tariff!$O113:$S113,$G$10)</f>
        <v>0</v>
      </c>
      <c r="T53" s="159"/>
    </row>
    <row r="54" spans="16:20" s="99" customFormat="1" ht="11.25" customHeight="1" x14ac:dyDescent="0.2">
      <c r="P54" s="293" t="s">
        <v>300</v>
      </c>
      <c r="Q54" s="101" t="str">
        <f>Calc_Residual_Tariff!E114</f>
        <v>SAC</v>
      </c>
      <c r="R54" s="102" t="str">
        <f>IF($G$10=1,NA,INDEX(Calc_Residual_Tariff!$O114:$S114,$G$10-1))</f>
        <v>N/A</v>
      </c>
      <c r="S54" s="102">
        <f ca="1">INDEX(Calc_Residual_Tariff!$O114:$S114,$G$10)</f>
        <v>3.8546754257156209E-2</v>
      </c>
      <c r="T54" s="159" t="s">
        <v>284</v>
      </c>
    </row>
    <row r="55" spans="16:20" s="99" customFormat="1" ht="11.25" customHeight="1" x14ac:dyDescent="0.2">
      <c r="P55" s="294"/>
      <c r="Q55" s="101" t="str">
        <f>Calc_Residual_Tariff!E115</f>
        <v>Peak Energy</v>
      </c>
      <c r="R55" s="102" t="str">
        <f>IF($G$10=1,NA,INDEX(Calc_Residual_Tariff!$O115:$S115,$G$10-1))</f>
        <v>N/A</v>
      </c>
      <c r="S55" s="102">
        <f ca="1">INDEX(Calc_Residual_Tariff!$O115:$S115,$G$10)</f>
        <v>0</v>
      </c>
      <c r="T55" s="159"/>
    </row>
    <row r="56" spans="16:20" s="99" customFormat="1" ht="11.25" customHeight="1" x14ac:dyDescent="0.2">
      <c r="P56" s="294"/>
      <c r="Q56" s="101" t="str">
        <f>Calc_Residual_Tariff!E116</f>
        <v>Off-peak Energy</v>
      </c>
      <c r="R56" s="102" t="str">
        <f>IF($G$10=1,NA,INDEX(Calc_Residual_Tariff!$O116:$S116,$G$10-1))</f>
        <v>N/A</v>
      </c>
      <c r="S56" s="102">
        <f ca="1">INDEX(Calc_Residual_Tariff!$O116:$S116,$G$10)</f>
        <v>7.8261591976650474E-2</v>
      </c>
      <c r="T56" s="159"/>
    </row>
    <row r="57" spans="16:20" s="99" customFormat="1" ht="11.25" customHeight="1" x14ac:dyDescent="0.2">
      <c r="P57" s="295"/>
      <c r="Q57" s="101" t="str">
        <f>Calc_Residual_Tariff!E117</f>
        <v>Super Off-peak Energy</v>
      </c>
      <c r="R57" s="102" t="str">
        <f>IF($G$10=1,NA,INDEX(Calc_Residual_Tariff!$O117:$S117,$G$10-1))</f>
        <v>N/A</v>
      </c>
      <c r="S57" s="102">
        <f ca="1">INDEX(Calc_Residual_Tariff!$O117:$S117,$G$10)</f>
        <v>0</v>
      </c>
      <c r="T57" s="159"/>
    </row>
    <row r="58" spans="16:20" s="99" customFormat="1" ht="11.25" customHeight="1" x14ac:dyDescent="0.2">
      <c r="P58" s="103" t="s">
        <v>301</v>
      </c>
      <c r="Q58" s="101" t="str">
        <f>Calc_Residual_Tariff!E118</f>
        <v>Anytime Energy</v>
      </c>
      <c r="R58" s="102" t="str">
        <f>IF($G$10=1,NA,INDEX(Calc_Residual_Tariff!$O118:$S118,$G$10-1))</f>
        <v>N/A</v>
      </c>
      <c r="S58" s="102">
        <f ca="1">INDEX(Calc_Residual_Tariff!$O118:$S118,$G$10)</f>
        <v>1.481522293897921E-2</v>
      </c>
      <c r="T58" s="160" t="s">
        <v>285</v>
      </c>
    </row>
    <row r="59" spans="16:20" s="99" customFormat="1" ht="12.75" x14ac:dyDescent="0.2">
      <c r="P59" s="293" t="s">
        <v>302</v>
      </c>
      <c r="Q59" s="101" t="str">
        <f>Calc_Residual_Tariff!E119</f>
        <v>SAC</v>
      </c>
      <c r="R59" s="102" t="str">
        <f>IF($G$10=1,NA,INDEX(Calc_Residual_Tariff!$O119:$S119,$G$10-1))</f>
        <v>N/A</v>
      </c>
      <c r="S59" s="102">
        <f ca="1">INDEX(Calc_Residual_Tariff!$O119:$S119,$G$10)</f>
        <v>7.6092340801465125E-2</v>
      </c>
      <c r="T59" s="159" t="s">
        <v>286</v>
      </c>
    </row>
    <row r="60" spans="16:20" s="99" customFormat="1" ht="12.75" x14ac:dyDescent="0.2">
      <c r="P60" s="294"/>
      <c r="Q60" s="101" t="str">
        <f>Calc_Residual_Tariff!E120</f>
        <v>Anytime Energy Price</v>
      </c>
      <c r="R60" s="102" t="str">
        <f>IF($G$10=1,NA,INDEX(Calc_Residual_Tariff!$O120:$S120,$G$10-1))</f>
        <v>N/A</v>
      </c>
      <c r="S60" s="102">
        <f ca="1">INDEX(Calc_Residual_Tariff!$O120:$S120,$G$10)</f>
        <v>1.0870334400209304E-2</v>
      </c>
      <c r="T60" s="159"/>
    </row>
    <row r="61" spans="16:20" s="99" customFormat="1" ht="12.75" x14ac:dyDescent="0.2">
      <c r="P61" s="294"/>
      <c r="Q61" s="101" t="str">
        <f>Calc_Residual_Tariff!E121</f>
        <v>On-Season Demand</v>
      </c>
      <c r="R61" s="102" t="str">
        <f>IF($G$10=1,NA,INDEX(Calc_Residual_Tariff!$O121:$S121,$G$10-1))</f>
        <v>N/A</v>
      </c>
      <c r="S61" s="102">
        <f ca="1">INDEX(Calc_Residual_Tariff!$O121:$S121,$G$10)</f>
        <v>0</v>
      </c>
      <c r="T61" s="159"/>
    </row>
    <row r="62" spans="16:20" s="99" customFormat="1" ht="12.75" x14ac:dyDescent="0.2">
      <c r="P62" s="295"/>
      <c r="Q62" s="101" t="str">
        <f>Calc_Residual_Tariff!E122</f>
        <v>Off-Season Demand</v>
      </c>
      <c r="R62" s="102" t="str">
        <f>IF($G$10=1,NA,INDEX(Calc_Residual_Tariff!$O122:$S122,$G$10-1))</f>
        <v>N/A</v>
      </c>
      <c r="S62" s="102">
        <f ca="1">INDEX(Calc_Residual_Tariff!$O122:$S122,$G$10)</f>
        <v>0</v>
      </c>
      <c r="T62" s="159"/>
    </row>
    <row r="63" spans="16:20" s="99" customFormat="1" ht="12.75" x14ac:dyDescent="0.2">
      <c r="P63" s="293" t="s">
        <v>303</v>
      </c>
      <c r="Q63" s="101" t="str">
        <f>Calc_Residual_Tariff!E123</f>
        <v>SAC</v>
      </c>
      <c r="R63" s="102" t="str">
        <f>IF($G$10=1,NA,INDEX(Calc_Residual_Tariff!$O123:$S123,$G$10-1))</f>
        <v>N/A</v>
      </c>
      <c r="S63" s="102">
        <f ca="1">INDEX(Calc_Residual_Tariff!$O123:$S123,$G$10)</f>
        <v>3.1698110865117674E-2</v>
      </c>
      <c r="T63" s="159" t="s">
        <v>287</v>
      </c>
    </row>
    <row r="64" spans="16:20" s="99" customFormat="1" ht="12.75" x14ac:dyDescent="0.2">
      <c r="P64" s="294"/>
      <c r="Q64" s="101" t="str">
        <f>Calc_Residual_Tariff!E124</f>
        <v>Anytime Energy Price</v>
      </c>
      <c r="R64" s="102" t="str">
        <f>IF($G$10=1,NA,INDEX(Calc_Residual_Tariff!$O124:$S124,$G$10-1))</f>
        <v>N/A</v>
      </c>
      <c r="S64" s="102">
        <f ca="1">INDEX(Calc_Residual_Tariff!$O124:$S124,$G$10)</f>
        <v>9.5094332595353034E-2</v>
      </c>
      <c r="T64" s="159"/>
    </row>
    <row r="65" spans="2:20" s="99" customFormat="1" ht="12.75" x14ac:dyDescent="0.2">
      <c r="P65" s="294"/>
      <c r="Q65" s="101" t="str">
        <f>Calc_Residual_Tariff!E125</f>
        <v>On-Season Demand</v>
      </c>
      <c r="R65" s="102" t="str">
        <f>IF($G$10=1,NA,INDEX(Calc_Residual_Tariff!$O125:$S125,$G$10-1))</f>
        <v>N/A</v>
      </c>
      <c r="S65" s="102">
        <f ca="1">INDEX(Calc_Residual_Tariff!$O125:$S125,$G$10)</f>
        <v>0</v>
      </c>
      <c r="T65" s="159"/>
    </row>
    <row r="66" spans="2:20" s="99" customFormat="1" ht="12.75" x14ac:dyDescent="0.2">
      <c r="P66" s="295"/>
      <c r="Q66" s="101" t="str">
        <f>Calc_Residual_Tariff!E126</f>
        <v>Off-Season Demand</v>
      </c>
      <c r="R66" s="102" t="str">
        <f>IF($G$10=1,NA,INDEX(Calc_Residual_Tariff!$O126:$S126,$G$10-1))</f>
        <v>N/A</v>
      </c>
      <c r="S66" s="102">
        <f ca="1">INDEX(Calc_Residual_Tariff!$O126:$S126,$G$10)</f>
        <v>0</v>
      </c>
      <c r="T66" s="159"/>
    </row>
    <row r="67" spans="2:20" s="99" customFormat="1" ht="12.75" x14ac:dyDescent="0.2">
      <c r="P67" s="256" t="s">
        <v>51</v>
      </c>
      <c r="Q67" s="257"/>
      <c r="R67" s="104">
        <f>SUM(R40:R64)</f>
        <v>0</v>
      </c>
      <c r="S67" s="104">
        <f ca="1">SUM(S40:S64)</f>
        <v>1.0000000000000004</v>
      </c>
      <c r="T67" s="159" t="s">
        <v>288</v>
      </c>
    </row>
    <row r="68" spans="2:20" s="99" customFormat="1" ht="12.75" x14ac:dyDescent="0.2"/>
    <row r="69" spans="2:20" s="99" customFormat="1" ht="12.75" x14ac:dyDescent="0.2"/>
    <row r="70" spans="2:20" s="2" customFormat="1" ht="15.75" x14ac:dyDescent="0.2">
      <c r="B70" s="2" t="s">
        <v>20</v>
      </c>
    </row>
  </sheetData>
  <mergeCells count="8">
    <mergeCell ref="P46:P49"/>
    <mergeCell ref="P29:Q29"/>
    <mergeCell ref="P42:P43"/>
    <mergeCell ref="P44:P45"/>
    <mergeCell ref="P63:P66"/>
    <mergeCell ref="P59:P62"/>
    <mergeCell ref="P54:P57"/>
    <mergeCell ref="P50:P53"/>
  </mergeCells>
  <conditionalFormatting sqref="B2">
    <cfRule type="cellIs" dxfId="4" priority="1" operator="notEqual">
      <formula>"No Errors Found"</formula>
    </cfRule>
  </conditionalFormatting>
  <hyperlinks>
    <hyperlink ref="B3:E3" location="TOC!A1" display="TOC!A1" xr:uid="{00000000-0004-0000-0E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Lookup!$O$19:$S$19</xm:f>
          </x14:formula1>
          <xm:sqref>F10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00"/>
  </sheetPr>
  <dimension ref="A1:AK895"/>
  <sheetViews>
    <sheetView showGridLines="0" zoomScaleNormal="100" workbookViewId="0">
      <pane xSplit="1" ySplit="4" topLeftCell="B5" activePane="bottomRight" state="frozen"/>
      <selection activeCell="D242" sqref="D242"/>
      <selection pane="topRight" activeCell="D242" sqref="D242"/>
      <selection pane="bottomLeft" activeCell="D242" sqref="D242"/>
      <selection pane="bottomRight" activeCell="B5" sqref="B5"/>
    </sheetView>
  </sheetViews>
  <sheetFormatPr defaultColWidth="9.1640625" defaultRowHeight="12.75" x14ac:dyDescent="0.2"/>
  <cols>
    <col min="1" max="3" width="4.1640625" style="131" customWidth="1"/>
    <col min="4" max="4" width="61.83203125" style="131" customWidth="1"/>
    <col min="5" max="5" width="20.1640625" style="131" customWidth="1"/>
    <col min="6" max="10" width="14.83203125" style="131" customWidth="1"/>
    <col min="11" max="11" width="13.1640625" style="131" customWidth="1"/>
    <col min="12" max="12" width="14.83203125" style="131" customWidth="1"/>
    <col min="13" max="13" width="15" style="131" customWidth="1"/>
    <col min="14" max="16" width="13.1640625" style="131" customWidth="1"/>
    <col min="17" max="17" width="12.1640625" style="131" customWidth="1"/>
    <col min="18" max="18" width="14.6640625" style="131" customWidth="1"/>
    <col min="19" max="19" width="12.1640625" style="131" customWidth="1"/>
    <col min="20" max="25" width="17" style="131" customWidth="1"/>
    <col min="26" max="26" width="2.6640625" style="131" customWidth="1"/>
    <col min="27" max="31" width="17" style="131" customWidth="1"/>
    <col min="32" max="32" width="2.6640625" style="131" customWidth="1"/>
    <col min="33" max="37" width="17" style="131" customWidth="1"/>
    <col min="38" max="16384" width="9.1640625" style="131"/>
  </cols>
  <sheetData>
    <row r="1" spans="1:9" ht="21" x14ac:dyDescent="0.2">
      <c r="A1" s="59">
        <f>IF(SUM($A664:$A894)&gt;0,1,0)</f>
        <v>0</v>
      </c>
      <c r="B1" s="138" t="s">
        <v>787</v>
      </c>
    </row>
    <row r="2" spans="1:9" s="133" customFormat="1" ht="11.25" x14ac:dyDescent="0.2">
      <c r="B2" s="137" t="s">
        <v>213</v>
      </c>
    </row>
    <row r="3" spans="1:9" s="133" customFormat="1" x14ac:dyDescent="0.2">
      <c r="B3" s="136" t="s">
        <v>33</v>
      </c>
      <c r="C3" s="136"/>
      <c r="D3" s="136"/>
      <c r="E3" s="135"/>
    </row>
    <row r="4" spans="1:9" s="133" customFormat="1" x14ac:dyDescent="0.2">
      <c r="B4" s="134" t="s">
        <v>212</v>
      </c>
      <c r="I4"/>
    </row>
    <row r="6" spans="1:9" s="2" customFormat="1" ht="15.75" x14ac:dyDescent="0.2">
      <c r="B6" s="2" t="s">
        <v>788</v>
      </c>
    </row>
    <row r="8" spans="1:9" s="8" customFormat="1" ht="15" x14ac:dyDescent="0.2">
      <c r="C8" s="8" t="s">
        <v>549</v>
      </c>
    </row>
    <row r="9" spans="1:9" ht="13.5" thickBot="1" x14ac:dyDescent="0.25"/>
    <row r="10" spans="1:9" ht="15" x14ac:dyDescent="0.2">
      <c r="D10" s="180" t="s">
        <v>201</v>
      </c>
      <c r="E10" s="181" t="s">
        <v>550</v>
      </c>
      <c r="F10" s="181" t="s">
        <v>70</v>
      </c>
      <c r="G10" s="181" t="s">
        <v>69</v>
      </c>
    </row>
    <row r="11" spans="1:9" ht="15" x14ac:dyDescent="0.2">
      <c r="D11" s="182" t="s">
        <v>551</v>
      </c>
      <c r="E11" s="183">
        <f t="array" ref="E11:G11">TRANSPOSE(Output_AER_Compliance!$O$169:$O$171)/10^3/Inputs_Other!$O$34</f>
        <v>551.65709964361554</v>
      </c>
      <c r="F11" s="183">
        <v>72.094496486651948</v>
      </c>
      <c r="G11" s="183">
        <v>102.35997396104607</v>
      </c>
    </row>
    <row r="12" spans="1:9" ht="15" x14ac:dyDescent="0.2">
      <c r="D12" s="184" t="s">
        <v>552</v>
      </c>
      <c r="E12" s="185">
        <f t="array" ref="E12:G12">TRANSPOSE(Output_AER_Compliance!$O$191:$O$193)/10^3/Inputs_Other!$O$34</f>
        <v>135.14729481689881</v>
      </c>
      <c r="F12" s="185">
        <v>17.373566477052485</v>
      </c>
      <c r="G12" s="185">
        <v>16.205406765590002</v>
      </c>
    </row>
    <row r="13" spans="1:9" ht="15" x14ac:dyDescent="0.2">
      <c r="D13" s="182" t="s">
        <v>200</v>
      </c>
      <c r="E13" s="183">
        <f t="array" aca="1" ref="E13:G13" ca="1">TRANSPOSE(Output_AER_Compliance!$O$180:$O$182)/10^3/Inputs_Other!$O$34</f>
        <v>53.61563224010149</v>
      </c>
      <c r="F13" s="183">
        <f ca="1"/>
        <v>7.3469383619158091</v>
      </c>
      <c r="G13" s="183">
        <f ca="1"/>
        <v>6.3322568290959707</v>
      </c>
    </row>
    <row r="14" spans="1:9" ht="30.75" thickBot="1" x14ac:dyDescent="0.25">
      <c r="D14" s="186" t="s">
        <v>553</v>
      </c>
      <c r="E14" s="187" t="str">
        <f ca="1">IF(AND(E12&lt;=E11,E12&gt;=E13),"Yes","No")</f>
        <v>Yes</v>
      </c>
      <c r="F14" s="187" t="str">
        <f ca="1">IF(AND(F12&lt;=F11,F12&gt;=F13),"Yes","No")</f>
        <v>Yes</v>
      </c>
      <c r="G14" s="187" t="str">
        <f ca="1">IF(AND(G12&lt;=G11,G12&gt;=G13),"Yes","No")</f>
        <v>Yes</v>
      </c>
    </row>
    <row r="17" spans="3:13" s="8" customFormat="1" ht="15" x14ac:dyDescent="0.2">
      <c r="C17" s="8" t="s">
        <v>554</v>
      </c>
    </row>
    <row r="18" spans="3:13" ht="13.5" thickBot="1" x14ac:dyDescent="0.25"/>
    <row r="19" spans="3:13" ht="45" x14ac:dyDescent="0.2">
      <c r="D19" s="180" t="s">
        <v>254</v>
      </c>
      <c r="E19" s="188" t="s">
        <v>555</v>
      </c>
      <c r="F19" s="188" t="s">
        <v>556</v>
      </c>
      <c r="G19" s="188" t="s">
        <v>557</v>
      </c>
      <c r="H19" s="188" t="s">
        <v>558</v>
      </c>
      <c r="I19" s="188" t="s">
        <v>559</v>
      </c>
    </row>
    <row r="20" spans="3:13" ht="15" x14ac:dyDescent="0.2">
      <c r="D20" s="182" t="s">
        <v>560</v>
      </c>
      <c r="E20" s="189" t="s">
        <v>77</v>
      </c>
      <c r="F20" s="190">
        <f ca="1">Calc_LRMC!AE23</f>
        <v>26.855847649191041</v>
      </c>
      <c r="G20" s="190">
        <f ca="1">Calc_LRMC!AF23</f>
        <v>85.108128215359443</v>
      </c>
      <c r="H20" s="190">
        <f ca="1">Calc_LRMC!AG23</f>
        <v>59.596643445701432</v>
      </c>
      <c r="I20" s="190">
        <f ca="1">Calc_LRMC!AH23</f>
        <v>171.56061931025192</v>
      </c>
    </row>
    <row r="21" spans="3:13" ht="15.75" thickBot="1" x14ac:dyDescent="0.25">
      <c r="D21" s="186" t="s">
        <v>561</v>
      </c>
      <c r="E21" s="187" t="s">
        <v>77</v>
      </c>
      <c r="F21" s="191">
        <f ca="1">Calc_LRMC!AE22</f>
        <v>34.036225798703427</v>
      </c>
      <c r="G21" s="191">
        <f ca="1">Calc_LRMC!AF22</f>
        <v>31.479062253487228</v>
      </c>
      <c r="H21" s="191">
        <f ca="1">Calc_LRMC!AG22</f>
        <v>34.872745739328927</v>
      </c>
      <c r="I21" s="191">
        <f ca="1">Calc_LRMC!AH22</f>
        <v>100.38803379151956</v>
      </c>
    </row>
    <row r="24" spans="3:13" s="8" customFormat="1" ht="15" x14ac:dyDescent="0.2">
      <c r="C24" s="8" t="s">
        <v>562</v>
      </c>
    </row>
    <row r="25" spans="3:13" customFormat="1" ht="11.25" x14ac:dyDescent="0.2"/>
    <row r="26" spans="3:13" s="99" customFormat="1" x14ac:dyDescent="0.2">
      <c r="C26"/>
    </row>
    <row r="27" spans="3:13" s="99" customFormat="1" x14ac:dyDescent="0.2">
      <c r="C27"/>
      <c r="I27" s="110" t="str">
        <f>Output_Charts!P41</f>
        <v>Tariff</v>
      </c>
      <c r="J27" s="100" t="str">
        <f>Output_Charts!Q41</f>
        <v>Component</v>
      </c>
      <c r="K27" s="144" t="s">
        <v>279</v>
      </c>
      <c r="L27" s="144" t="s">
        <v>823</v>
      </c>
    </row>
    <row r="28" spans="3:13" s="99" customFormat="1" x14ac:dyDescent="0.2">
      <c r="C28"/>
      <c r="I28" s="298" t="s">
        <v>296</v>
      </c>
      <c r="J28" s="101" t="str">
        <f>Output_Charts!Q42</f>
        <v>SAC</v>
      </c>
      <c r="K28" s="102">
        <f ca="1">Calc_Residual_Tariff!O102</f>
        <v>0.22520041734079224</v>
      </c>
      <c r="L28" s="102">
        <f ca="1">Calc_Residual_Tariff!S102</f>
        <v>4.6700297454616478E-2</v>
      </c>
      <c r="M28" s="159" t="s">
        <v>205</v>
      </c>
    </row>
    <row r="29" spans="3:13" s="99" customFormat="1" x14ac:dyDescent="0.2">
      <c r="C29"/>
      <c r="I29" s="298"/>
      <c r="J29" s="101" t="str">
        <f>Output_Charts!Q43</f>
        <v>Anytime Energy</v>
      </c>
      <c r="K29" s="102">
        <f ca="1">Calc_Residual_Tariff!O103</f>
        <v>9.6514464574625258E-2</v>
      </c>
      <c r="L29" s="102">
        <f ca="1">Calc_Residual_Tariff!S103</f>
        <v>2.0014413194835635E-2</v>
      </c>
      <c r="M29" s="159"/>
    </row>
    <row r="30" spans="3:13" s="99" customFormat="1" x14ac:dyDescent="0.2">
      <c r="C30"/>
      <c r="I30" s="298" t="s">
        <v>298</v>
      </c>
      <c r="J30" s="101" t="str">
        <f>Output_Charts!Q44</f>
        <v>SAC</v>
      </c>
      <c r="K30" s="102">
        <f ca="1">Calc_Residual_Tariff!O104</f>
        <v>3.4646134377166308E-3</v>
      </c>
      <c r="L30" s="102">
        <f ca="1">Calc_Residual_Tariff!S104</f>
        <v>0</v>
      </c>
      <c r="M30" s="159" t="s">
        <v>206</v>
      </c>
    </row>
    <row r="31" spans="3:13" s="99" customFormat="1" x14ac:dyDescent="0.2">
      <c r="C31"/>
      <c r="I31" s="298"/>
      <c r="J31" s="101" t="str">
        <f>Output_Charts!Q45</f>
        <v>Anytime Energy</v>
      </c>
      <c r="K31" s="102">
        <f ca="1">Calc_Residual_Tariff!O105</f>
        <v>8.5402841288690617E-3</v>
      </c>
      <c r="L31" s="102">
        <f ca="1">Calc_Residual_Tariff!S105</f>
        <v>0</v>
      </c>
      <c r="M31" s="159"/>
    </row>
    <row r="32" spans="3:13" s="99" customFormat="1" x14ac:dyDescent="0.2">
      <c r="C32"/>
      <c r="I32" s="293" t="s">
        <v>297</v>
      </c>
      <c r="J32" s="101" t="str">
        <f>Output_Charts!Q46</f>
        <v>SAC</v>
      </c>
      <c r="K32" s="102">
        <f ca="1">Calc_Residual_Tariff!O106</f>
        <v>0.17810128819325069</v>
      </c>
      <c r="L32" s="102">
        <f ca="1">Calc_Residual_Tariff!S106</f>
        <v>0.38474220137623455</v>
      </c>
      <c r="M32" s="159" t="s">
        <v>282</v>
      </c>
    </row>
    <row r="33" spans="3:13" s="99" customFormat="1" x14ac:dyDescent="0.2">
      <c r="C33"/>
      <c r="I33" s="294"/>
      <c r="J33" s="101" t="str">
        <f>Output_Charts!Q47</f>
        <v>Peak Energy</v>
      </c>
      <c r="K33" s="102">
        <f ca="1">Calc_Residual_Tariff!O107</f>
        <v>0</v>
      </c>
      <c r="L33" s="102">
        <f ca="1">Calc_Residual_Tariff!S107</f>
        <v>0</v>
      </c>
      <c r="M33" s="159"/>
    </row>
    <row r="34" spans="3:13" s="99" customFormat="1" x14ac:dyDescent="0.2">
      <c r="C34"/>
      <c r="I34" s="294"/>
      <c r="J34" s="101" t="str">
        <f>Output_Charts!Q48</f>
        <v>Off-peak Energy</v>
      </c>
      <c r="K34" s="102">
        <f ca="1">Calc_Residual_Tariff!O108</f>
        <v>1.9789032021472291E-2</v>
      </c>
      <c r="L34" s="102">
        <f ca="1">Calc_Residual_Tariff!S108</f>
        <v>4.2749133486248266E-2</v>
      </c>
      <c r="M34" s="159"/>
    </row>
    <row r="35" spans="3:13" s="99" customFormat="1" x14ac:dyDescent="0.2">
      <c r="C35"/>
      <c r="I35" s="295"/>
      <c r="J35" s="101" t="str">
        <f>Output_Charts!Q49</f>
        <v>Super Off-peak Energy</v>
      </c>
      <c r="K35" s="102">
        <f ca="1">Calc_Residual_Tariff!O109</f>
        <v>0</v>
      </c>
      <c r="L35" s="102">
        <f ca="1">Calc_Residual_Tariff!S109</f>
        <v>0</v>
      </c>
      <c r="M35" s="159"/>
    </row>
    <row r="36" spans="3:13" s="99" customFormat="1" x14ac:dyDescent="0.2">
      <c r="C36"/>
      <c r="I36" s="293" t="s">
        <v>299</v>
      </c>
      <c r="J36" s="101" t="str">
        <f>Output_Charts!Q50</f>
        <v>SAC</v>
      </c>
      <c r="K36" s="102">
        <f ca="1">Calc_Residual_Tariff!O110</f>
        <v>2.460224249366862E-2</v>
      </c>
      <c r="L36" s="102">
        <f ca="1">Calc_Residual_Tariff!S110</f>
        <v>4.1666069078544483E-2</v>
      </c>
      <c r="M36" s="159" t="s">
        <v>283</v>
      </c>
    </row>
    <row r="37" spans="3:13" s="99" customFormat="1" x14ac:dyDescent="0.2">
      <c r="C37"/>
      <c r="I37" s="294"/>
      <c r="J37" s="101" t="str">
        <f>Output_Charts!Q51</f>
        <v>Peak Energy</v>
      </c>
      <c r="K37" s="102">
        <f ca="1">Calc_Residual_Tariff!O111</f>
        <v>0</v>
      </c>
      <c r="L37" s="102">
        <f ca="1">Calc_Residual_Tariff!S111</f>
        <v>0</v>
      </c>
      <c r="M37" s="159"/>
    </row>
    <row r="38" spans="3:13" s="99" customFormat="1" x14ac:dyDescent="0.2">
      <c r="C38"/>
      <c r="I38" s="294"/>
      <c r="J38" s="101" t="str">
        <f>Output_Charts!Q52</f>
        <v>Off-peak Energy</v>
      </c>
      <c r="K38" s="102">
        <f ca="1">Calc_Residual_Tariff!O112</f>
        <v>9.8408969974674479E-2</v>
      </c>
      <c r="L38" s="102">
        <f ca="1">Calc_Residual_Tariff!S112</f>
        <v>8.0881192917174563E-2</v>
      </c>
      <c r="M38" s="159"/>
    </row>
    <row r="39" spans="3:13" s="99" customFormat="1" x14ac:dyDescent="0.2">
      <c r="C39"/>
      <c r="I39" s="295"/>
      <c r="J39" s="101" t="str">
        <f>Output_Charts!Q53</f>
        <v>Super Off-peak Energy</v>
      </c>
      <c r="K39" s="102">
        <f ca="1">Calc_Residual_Tariff!O113</f>
        <v>0</v>
      </c>
      <c r="L39" s="102">
        <f ca="1">Calc_Residual_Tariff!S113</f>
        <v>0</v>
      </c>
      <c r="M39" s="159"/>
    </row>
    <row r="40" spans="3:13" s="99" customFormat="1" x14ac:dyDescent="0.2">
      <c r="C40"/>
      <c r="I40" s="293" t="s">
        <v>300</v>
      </c>
      <c r="J40" s="101" t="str">
        <f>Output_Charts!Q54</f>
        <v>SAC</v>
      </c>
      <c r="K40" s="102">
        <f ca="1">Calc_Residual_Tariff!O114</f>
        <v>3.8546754257156209E-2</v>
      </c>
      <c r="L40" s="102">
        <f ca="1">Calc_Residual_Tariff!S114</f>
        <v>4.8838577509212902E-2</v>
      </c>
      <c r="M40" s="159" t="s">
        <v>284</v>
      </c>
    </row>
    <row r="41" spans="3:13" s="99" customFormat="1" x14ac:dyDescent="0.2">
      <c r="C41"/>
      <c r="I41" s="294"/>
      <c r="J41" s="101" t="str">
        <f>Output_Charts!Q55</f>
        <v>Peak Energy</v>
      </c>
      <c r="K41" s="102">
        <f ca="1">Calc_Residual_Tariff!O115</f>
        <v>0</v>
      </c>
      <c r="L41" s="102">
        <f ca="1">Calc_Residual_Tariff!S115</f>
        <v>0</v>
      </c>
      <c r="M41" s="159"/>
    </row>
    <row r="42" spans="3:13" s="99" customFormat="1" x14ac:dyDescent="0.2">
      <c r="C42"/>
      <c r="I42" s="294"/>
      <c r="J42" s="101" t="str">
        <f>Output_Charts!Q56</f>
        <v>Off-peak Energy</v>
      </c>
      <c r="K42" s="102">
        <f ca="1">Calc_Residual_Tariff!O116</f>
        <v>7.8261591976650474E-2</v>
      </c>
      <c r="L42" s="102">
        <f ca="1">Calc_Residual_Tariff!S116</f>
        <v>9.9157111912644383E-2</v>
      </c>
      <c r="M42" s="159"/>
    </row>
    <row r="43" spans="3:13" s="99" customFormat="1" x14ac:dyDescent="0.2">
      <c r="I43" s="295"/>
      <c r="J43" s="101" t="str">
        <f>Output_Charts!Q57</f>
        <v>Super Off-peak Energy</v>
      </c>
      <c r="K43" s="102">
        <f ca="1">Calc_Residual_Tariff!O117</f>
        <v>0</v>
      </c>
      <c r="L43" s="102">
        <f ca="1">Calc_Residual_Tariff!S117</f>
        <v>0</v>
      </c>
      <c r="M43" s="159"/>
    </row>
    <row r="44" spans="3:13" s="99" customFormat="1" x14ac:dyDescent="0.2">
      <c r="I44" s="103" t="s">
        <v>301</v>
      </c>
      <c r="J44" s="101" t="str">
        <f>Output_Charts!Q58</f>
        <v>Anytime Energy</v>
      </c>
      <c r="K44" s="102">
        <f ca="1">Calc_Residual_Tariff!O118</f>
        <v>1.481522293897921E-2</v>
      </c>
      <c r="L44" s="102">
        <f ca="1">Calc_Residual_Tariff!S118</f>
        <v>1.7054004051778662E-2</v>
      </c>
      <c r="M44" s="160" t="s">
        <v>285</v>
      </c>
    </row>
    <row r="45" spans="3:13" s="99" customFormat="1" x14ac:dyDescent="0.2">
      <c r="I45" s="293" t="s">
        <v>302</v>
      </c>
      <c r="J45" s="101" t="str">
        <f>Output_Charts!Q59</f>
        <v>SAC</v>
      </c>
      <c r="K45" s="102">
        <f ca="1">Calc_Residual_Tariff!O119</f>
        <v>7.6092340801465125E-2</v>
      </c>
      <c r="L45" s="102">
        <f ca="1">Calc_Residual_Tariff!S119</f>
        <v>7.745862025625784E-2</v>
      </c>
      <c r="M45" s="159" t="s">
        <v>286</v>
      </c>
    </row>
    <row r="46" spans="3:13" s="99" customFormat="1" x14ac:dyDescent="0.2">
      <c r="I46" s="294"/>
      <c r="J46" s="101" t="str">
        <f>Output_Charts!Q60</f>
        <v>Anytime Energy Price</v>
      </c>
      <c r="K46" s="102">
        <f ca="1">Calc_Residual_Tariff!O120</f>
        <v>1.0870334400209304E-2</v>
      </c>
      <c r="L46" s="102">
        <f ca="1">Calc_Residual_Tariff!S120</f>
        <v>1.3669168280516092E-2</v>
      </c>
      <c r="M46" s="159"/>
    </row>
    <row r="47" spans="3:13" s="99" customFormat="1" x14ac:dyDescent="0.2">
      <c r="I47" s="294"/>
      <c r="J47" s="101" t="str">
        <f>Output_Charts!Q61</f>
        <v>On-Season Demand</v>
      </c>
      <c r="K47" s="102">
        <f ca="1">Calc_Residual_Tariff!O121</f>
        <v>0</v>
      </c>
      <c r="L47" s="102">
        <f ca="1">Calc_Residual_Tariff!S121</f>
        <v>0</v>
      </c>
      <c r="M47" s="159"/>
    </row>
    <row r="48" spans="3:13" s="99" customFormat="1" x14ac:dyDescent="0.2">
      <c r="I48" s="295"/>
      <c r="J48" s="101" t="str">
        <f>Output_Charts!Q62</f>
        <v>Off-Season Demand</v>
      </c>
      <c r="K48" s="102">
        <f ca="1">Calc_Residual_Tariff!O122</f>
        <v>0</v>
      </c>
      <c r="L48" s="102">
        <f ca="1">Calc_Residual_Tariff!S122</f>
        <v>0</v>
      </c>
      <c r="M48" s="159"/>
    </row>
    <row r="49" spans="3:18" s="99" customFormat="1" x14ac:dyDescent="0.2">
      <c r="I49" s="293" t="s">
        <v>303</v>
      </c>
      <c r="J49" s="101" t="str">
        <f>Output_Charts!Q63</f>
        <v>SAC</v>
      </c>
      <c r="K49" s="102">
        <f ca="1">Calc_Residual_Tariff!O123</f>
        <v>3.1698110865117674E-2</v>
      </c>
      <c r="L49" s="102">
        <f ca="1">Calc_Residual_Tariff!S123</f>
        <v>3.1767302620484029E-2</v>
      </c>
      <c r="M49" s="159" t="s">
        <v>287</v>
      </c>
    </row>
    <row r="50" spans="3:18" s="99" customFormat="1" x14ac:dyDescent="0.2">
      <c r="I50" s="294"/>
      <c r="J50" s="101" t="str">
        <f>Output_Charts!Q64</f>
        <v>Anytime Energy Price</v>
      </c>
      <c r="K50" s="102">
        <f ca="1">Calc_Residual_Tariff!O124</f>
        <v>9.5094332595353034E-2</v>
      </c>
      <c r="L50" s="102">
        <f ca="1">Calc_Residual_Tariff!S124</f>
        <v>9.5301907861452095E-2</v>
      </c>
      <c r="M50" s="159"/>
    </row>
    <row r="51" spans="3:18" s="99" customFormat="1" x14ac:dyDescent="0.2">
      <c r="I51" s="294"/>
      <c r="J51" s="101" t="str">
        <f>Output_Charts!Q65</f>
        <v>On-Season Demand</v>
      </c>
      <c r="K51" s="102">
        <f ca="1">Calc_Residual_Tariff!O125</f>
        <v>0</v>
      </c>
      <c r="L51" s="102">
        <f ca="1">Calc_Residual_Tariff!S125</f>
        <v>0</v>
      </c>
      <c r="M51" s="159"/>
    </row>
    <row r="52" spans="3:18" s="99" customFormat="1" x14ac:dyDescent="0.2">
      <c r="I52" s="295"/>
      <c r="J52" s="101" t="str">
        <f>Output_Charts!Q66</f>
        <v>Off-Season Demand</v>
      </c>
      <c r="K52" s="102">
        <f ca="1">Calc_Residual_Tariff!O126</f>
        <v>0</v>
      </c>
      <c r="L52" s="102">
        <f ca="1">Calc_Residual_Tariff!S126</f>
        <v>0</v>
      </c>
      <c r="M52" s="159"/>
    </row>
    <row r="53" spans="3:18" s="99" customFormat="1" x14ac:dyDescent="0.2">
      <c r="I53" s="296" t="s">
        <v>51</v>
      </c>
      <c r="J53" s="297"/>
      <c r="K53" s="104">
        <f ca="1">SUM(K28:K52)</f>
        <v>1.0000000000000004</v>
      </c>
      <c r="L53" s="104">
        <f ca="1">SUM(L28:L52)</f>
        <v>1</v>
      </c>
      <c r="M53" s="159"/>
    </row>
    <row r="54" spans="3:18" s="99" customFormat="1" x14ac:dyDescent="0.2"/>
    <row r="56" spans="3:18" s="8" customFormat="1" ht="15" x14ac:dyDescent="0.2">
      <c r="C56" s="8" t="s">
        <v>631</v>
      </c>
    </row>
    <row r="58" spans="3:18" x14ac:dyDescent="0.2">
      <c r="L58" s="222" t="s">
        <v>118</v>
      </c>
      <c r="M58" s="139" t="str">
        <f>Lookup!N$19</f>
        <v>FY24</v>
      </c>
      <c r="N58" s="139" t="str">
        <f>Lookup!O$19</f>
        <v>FY25</v>
      </c>
      <c r="O58" s="139" t="str">
        <f>Lookup!P$19</f>
        <v>FY26</v>
      </c>
      <c r="P58" s="139" t="str">
        <f>Lookup!Q$19</f>
        <v>FY27</v>
      </c>
      <c r="Q58" s="139" t="str">
        <f>Lookup!R$19</f>
        <v>FY28</v>
      </c>
      <c r="R58" s="139" t="str">
        <f>Lookup!S$19</f>
        <v>FY29</v>
      </c>
    </row>
    <row r="59" spans="3:18" x14ac:dyDescent="0.2">
      <c r="L59" s="223" t="s">
        <v>609</v>
      </c>
      <c r="M59" s="224">
        <f>T$332</f>
        <v>1052.5</v>
      </c>
      <c r="N59" s="224">
        <f t="shared" ref="N59:R59" si="0">U$332</f>
        <v>1231.5</v>
      </c>
      <c r="O59" s="224">
        <f t="shared" si="0"/>
        <v>1331.25</v>
      </c>
      <c r="P59" s="224">
        <f t="shared" si="0"/>
        <v>1482</v>
      </c>
      <c r="Q59" s="224">
        <f t="shared" si="0"/>
        <v>1641.875</v>
      </c>
      <c r="R59" s="224">
        <f t="shared" si="0"/>
        <v>1683.75</v>
      </c>
    </row>
    <row r="60" spans="3:18" x14ac:dyDescent="0.2">
      <c r="L60" s="223" t="s">
        <v>611</v>
      </c>
      <c r="M60" s="224">
        <f>T$335</f>
        <v>1254</v>
      </c>
      <c r="N60" s="224">
        <f t="shared" ref="N60:R60" si="1">U$335</f>
        <v>1231.1873487908158</v>
      </c>
      <c r="O60" s="224">
        <f t="shared" si="1"/>
        <v>1331.0951326134102</v>
      </c>
      <c r="P60" s="224">
        <f t="shared" si="1"/>
        <v>1482.1049288391189</v>
      </c>
      <c r="Q60" s="224">
        <f t="shared" si="1"/>
        <v>1642.3006822611997</v>
      </c>
      <c r="R60" s="224">
        <f t="shared" si="1"/>
        <v>1684.6390827341679</v>
      </c>
    </row>
    <row r="74" spans="3:17" s="8" customFormat="1" ht="15" x14ac:dyDescent="0.2">
      <c r="C74" s="8" t="s">
        <v>563</v>
      </c>
    </row>
    <row r="76" spans="3:17" x14ac:dyDescent="0.2">
      <c r="L76" s="222" t="s">
        <v>118</v>
      </c>
      <c r="M76" s="139" t="str">
        <f>Lookup!O$19</f>
        <v>FY25</v>
      </c>
      <c r="N76" s="139" t="str">
        <f>Lookup!P$19</f>
        <v>FY26</v>
      </c>
      <c r="O76" s="139" t="str">
        <f>Lookup!Q$19</f>
        <v>FY27</v>
      </c>
      <c r="P76" s="139" t="str">
        <f>Lookup!R$19</f>
        <v>FY28</v>
      </c>
      <c r="Q76" s="139" t="str">
        <f>Lookup!S$19</f>
        <v>FY29</v>
      </c>
    </row>
    <row r="77" spans="3:17" x14ac:dyDescent="0.2">
      <c r="L77" s="223" t="s">
        <v>609</v>
      </c>
      <c r="M77" s="229">
        <f>AG332</f>
        <v>0.17007125890736341</v>
      </c>
      <c r="N77" s="229">
        <f>AH332</f>
        <v>8.0998781973203413E-2</v>
      </c>
      <c r="O77" s="229">
        <f>AI332</f>
        <v>0.1132394366197183</v>
      </c>
      <c r="P77" s="229">
        <f>AJ332</f>
        <v>0.1078778677462888</v>
      </c>
      <c r="Q77" s="229">
        <f>AK332</f>
        <v>2.5504377617053674E-2</v>
      </c>
    </row>
    <row r="78" spans="3:17" x14ac:dyDescent="0.2">
      <c r="L78" s="223" t="s">
        <v>611</v>
      </c>
      <c r="M78" s="229">
        <f>AG335</f>
        <v>-1.8191906865378148E-2</v>
      </c>
      <c r="N78" s="229">
        <f>AH335</f>
        <v>8.1147506852402837E-2</v>
      </c>
      <c r="O78" s="229">
        <f>AI335</f>
        <v>0.11344778635710512</v>
      </c>
      <c r="P78" s="229">
        <f>AJ335</f>
        <v>0.10808664778380875</v>
      </c>
      <c r="Q78" s="229">
        <f>AK335</f>
        <v>2.5779932341424037E-2</v>
      </c>
    </row>
    <row r="92" spans="3:3" s="8" customFormat="1" ht="15" x14ac:dyDescent="0.2">
      <c r="C92" s="8" t="s">
        <v>564</v>
      </c>
    </row>
    <row r="114" spans="3:3" s="8" customFormat="1" ht="15" x14ac:dyDescent="0.2">
      <c r="C114" s="8" t="s">
        <v>818</v>
      </c>
    </row>
    <row r="135" spans="3:3" s="8" customFormat="1" ht="15" x14ac:dyDescent="0.2">
      <c r="C135" s="8" t="s">
        <v>819</v>
      </c>
    </row>
    <row r="156" spans="3:3" s="8" customFormat="1" ht="15" x14ac:dyDescent="0.2">
      <c r="C156" s="8" t="s">
        <v>817</v>
      </c>
    </row>
    <row r="176" spans="3:3" s="8" customFormat="1" ht="15" x14ac:dyDescent="0.2">
      <c r="C176" s="8" t="s">
        <v>632</v>
      </c>
    </row>
    <row r="177" spans="3:18" ht="13.5" thickBot="1" x14ac:dyDescent="0.25"/>
    <row r="178" spans="3:18" ht="77.25" x14ac:dyDescent="0.2">
      <c r="C178" s="180" t="s">
        <v>118</v>
      </c>
      <c r="D178" s="192" t="s">
        <v>565</v>
      </c>
      <c r="E178" s="192" t="s">
        <v>566</v>
      </c>
      <c r="F178" s="181" t="s">
        <v>567</v>
      </c>
      <c r="G178" s="181" t="s">
        <v>74</v>
      </c>
      <c r="H178" s="181" t="s">
        <v>76</v>
      </c>
      <c r="I178" s="193" t="s">
        <v>568</v>
      </c>
      <c r="J178" s="188"/>
      <c r="K178" s="194" t="s">
        <v>569</v>
      </c>
      <c r="L178" s="181"/>
      <c r="M178" s="195" t="s">
        <v>570</v>
      </c>
      <c r="N178" s="195" t="s">
        <v>571</v>
      </c>
      <c r="R178" s="301" t="s">
        <v>633</v>
      </c>
    </row>
    <row r="179" spans="3:18" ht="15" x14ac:dyDescent="0.2">
      <c r="C179" s="196"/>
      <c r="D179" s="197"/>
      <c r="E179" s="197" t="s">
        <v>227</v>
      </c>
      <c r="F179" s="197" t="s">
        <v>227</v>
      </c>
      <c r="G179" s="197"/>
      <c r="H179" s="197"/>
      <c r="I179" s="197" t="s">
        <v>572</v>
      </c>
      <c r="J179" s="197" t="s">
        <v>573</v>
      </c>
      <c r="K179" s="197" t="s">
        <v>199</v>
      </c>
      <c r="L179" s="197" t="s">
        <v>198</v>
      </c>
      <c r="M179" s="198"/>
      <c r="N179" s="198"/>
      <c r="R179" s="302"/>
    </row>
    <row r="180" spans="3:18" ht="17.25" x14ac:dyDescent="0.2">
      <c r="C180" s="199">
        <v>1</v>
      </c>
      <c r="D180" s="200" t="s">
        <v>574</v>
      </c>
      <c r="E180" s="201">
        <f>Inputs_Volumes!O20/Lookup!O$17</f>
        <v>41039.439552051139</v>
      </c>
      <c r="F180" s="201">
        <f>Inputs_Volumes!S20/Lookup!S$17</f>
        <v>9000.0751010344975</v>
      </c>
      <c r="G180" s="201">
        <f>L332</f>
        <v>8500</v>
      </c>
      <c r="H180" s="201">
        <f>H332</f>
        <v>0</v>
      </c>
      <c r="I180" s="201">
        <f>T332</f>
        <v>1052.5</v>
      </c>
      <c r="J180" s="201">
        <f>U332</f>
        <v>1231.5</v>
      </c>
      <c r="K180" s="201">
        <f>J180-I180</f>
        <v>179</v>
      </c>
      <c r="L180" s="230">
        <f>K180/I180</f>
        <v>0.17007125890736341</v>
      </c>
      <c r="M180" s="230">
        <f t="shared" ref="M180:M186" si="2">R180</f>
        <v>0.52256044240017596</v>
      </c>
      <c r="N180" s="230" t="s">
        <v>575</v>
      </c>
      <c r="R180" s="233">
        <v>0.52256044240017596</v>
      </c>
    </row>
    <row r="181" spans="3:18" ht="17.25" x14ac:dyDescent="0.2">
      <c r="C181" s="202">
        <v>2</v>
      </c>
      <c r="D181" s="203" t="s">
        <v>576</v>
      </c>
      <c r="E181" s="204">
        <f>Inputs_Volumes!O21/Lookup!O$17</f>
        <v>1882.6493037629057</v>
      </c>
      <c r="F181" s="204">
        <f>Inputs_Volumes!S21/Lookup!S$17</f>
        <v>0</v>
      </c>
      <c r="G181" s="204">
        <f>L333</f>
        <v>30000</v>
      </c>
      <c r="H181" s="204">
        <f>H333</f>
        <v>0</v>
      </c>
      <c r="I181" s="204">
        <f>T333</f>
        <v>2967.3</v>
      </c>
      <c r="J181" s="204">
        <f>U333</f>
        <v>2849.5</v>
      </c>
      <c r="K181" s="204">
        <f t="shared" ref="K181:K186" si="3">J181-I181</f>
        <v>-117.80000000000018</v>
      </c>
      <c r="L181" s="231">
        <f t="shared" ref="L181:L186" si="4">K181/I181</f>
        <v>-3.9699390017861415E-2</v>
      </c>
      <c r="M181" s="231">
        <f t="shared" si="2"/>
        <v>0.30937741709589339</v>
      </c>
      <c r="N181" s="231" t="s">
        <v>577</v>
      </c>
      <c r="R181" s="233">
        <v>0.30937741709589339</v>
      </c>
    </row>
    <row r="182" spans="3:18" ht="17.25" x14ac:dyDescent="0.2">
      <c r="C182" s="199" t="s">
        <v>491</v>
      </c>
      <c r="D182" s="200" t="s">
        <v>578</v>
      </c>
      <c r="E182" s="201">
        <f>Inputs_Volumes!O22/Lookup!O$17</f>
        <v>32776</v>
      </c>
      <c r="F182" s="201">
        <f>Inputs_Volumes!S22/Lookup!S$17</f>
        <v>65818</v>
      </c>
      <c r="G182" s="201">
        <f>L335</f>
        <v>8500</v>
      </c>
      <c r="H182" s="201">
        <f>H335</f>
        <v>20</v>
      </c>
      <c r="I182" s="201">
        <f>T335</f>
        <v>1254</v>
      </c>
      <c r="J182" s="201">
        <f>U335</f>
        <v>1231.1873487908158</v>
      </c>
      <c r="K182" s="201">
        <f t="shared" si="3"/>
        <v>-22.812651209184196</v>
      </c>
      <c r="L182" s="230">
        <f t="shared" si="4"/>
        <v>-1.8191906865378148E-2</v>
      </c>
      <c r="M182" s="230">
        <f t="shared" si="2"/>
        <v>0.52242777560830567</v>
      </c>
      <c r="N182" s="230" t="s">
        <v>575</v>
      </c>
      <c r="R182" s="233">
        <v>0.52242777560830567</v>
      </c>
    </row>
    <row r="183" spans="3:18" ht="17.25" x14ac:dyDescent="0.2">
      <c r="C183" s="202" t="s">
        <v>492</v>
      </c>
      <c r="D183" s="203" t="s">
        <v>579</v>
      </c>
      <c r="E183" s="204">
        <f>Inputs_Volumes!O23/Lookup!O$17</f>
        <v>9315</v>
      </c>
      <c r="F183" s="204">
        <f>Inputs_Volumes!S23/Lookup!S$17</f>
        <v>11185</v>
      </c>
      <c r="G183" s="204">
        <f>L337</f>
        <v>30000</v>
      </c>
      <c r="H183" s="204">
        <f>H337</f>
        <v>150</v>
      </c>
      <c r="I183" s="204">
        <f>T337</f>
        <v>4242</v>
      </c>
      <c r="J183" s="204">
        <f>U337</f>
        <v>2848.7417193644933</v>
      </c>
      <c r="K183" s="204">
        <f t="shared" si="3"/>
        <v>-1393.2582806355067</v>
      </c>
      <c r="L183" s="231">
        <f t="shared" si="4"/>
        <v>-0.32844372480799311</v>
      </c>
      <c r="M183" s="231">
        <f t="shared" si="2"/>
        <v>0.30929508865074623</v>
      </c>
      <c r="N183" s="231" t="s">
        <v>577</v>
      </c>
      <c r="R183" s="233">
        <v>0.30929508865074623</v>
      </c>
    </row>
    <row r="184" spans="3:18" ht="17.25" x14ac:dyDescent="0.2">
      <c r="C184" s="199" t="s">
        <v>493</v>
      </c>
      <c r="D184" s="200" t="s">
        <v>580</v>
      </c>
      <c r="E184" s="201">
        <f>Inputs_Volumes!O24/Lookup!O$17</f>
        <v>846</v>
      </c>
      <c r="F184" s="201">
        <f>Inputs_Volumes!S24/Lookup!S$17</f>
        <v>1015</v>
      </c>
      <c r="G184" s="201">
        <f>L339</f>
        <v>250000</v>
      </c>
      <c r="H184" s="201">
        <f>H339</f>
        <v>500</v>
      </c>
      <c r="I184" s="201">
        <f>T339</f>
        <v>14232</v>
      </c>
      <c r="J184" s="201">
        <f>U339</f>
        <v>24401.040934839992</v>
      </c>
      <c r="K184" s="201">
        <f t="shared" si="3"/>
        <v>10169.040934839992</v>
      </c>
      <c r="L184" s="230">
        <f t="shared" si="4"/>
        <v>0.71451945860314725</v>
      </c>
      <c r="M184" s="230">
        <f t="shared" si="2"/>
        <v>0.32690750672775926</v>
      </c>
      <c r="N184" s="230" t="s">
        <v>575</v>
      </c>
      <c r="R184" s="233">
        <v>0.32690750672775926</v>
      </c>
    </row>
    <row r="185" spans="3:18" ht="15" x14ac:dyDescent="0.2">
      <c r="C185" s="202">
        <v>5</v>
      </c>
      <c r="D185" s="203" t="s">
        <v>70</v>
      </c>
      <c r="E185" s="204">
        <f>Inputs_Volumes!O26/Lookup!O$17</f>
        <v>158.05598277652086</v>
      </c>
      <c r="F185" s="204">
        <f>Inputs_Volumes!S26/Lookup!S$17</f>
        <v>160.18930373745121</v>
      </c>
      <c r="G185" s="204">
        <f>L342</f>
        <v>3200000</v>
      </c>
      <c r="H185" s="204">
        <f>H342</f>
        <v>6675</v>
      </c>
      <c r="I185" s="204">
        <f>T342</f>
        <v>159395.6</v>
      </c>
      <c r="J185" s="204">
        <f>U342</f>
        <v>174042.60169289462</v>
      </c>
      <c r="K185" s="204">
        <f t="shared" si="3"/>
        <v>14647.001692894613</v>
      </c>
      <c r="L185" s="231">
        <f t="shared" si="4"/>
        <v>9.1890878373647789E-2</v>
      </c>
      <c r="M185" s="231">
        <f t="shared" si="2"/>
        <v>0.18868102307318632</v>
      </c>
      <c r="N185" s="231">
        <f>L185*M185</f>
        <v>1.7338064942633596E-2</v>
      </c>
      <c r="R185" s="233">
        <v>0.18868102307318632</v>
      </c>
    </row>
    <row r="186" spans="3:18" ht="15.75" thickBot="1" x14ac:dyDescent="0.25">
      <c r="C186" s="205">
        <v>6</v>
      </c>
      <c r="D186" s="206" t="s">
        <v>249</v>
      </c>
      <c r="E186" s="207">
        <f>Inputs_Volumes!O27/Lookup!O$17</f>
        <v>67</v>
      </c>
      <c r="F186" s="207">
        <f>Inputs_Volumes!S27/Lookup!S$17</f>
        <v>67.715354198829516</v>
      </c>
      <c r="G186" s="207">
        <f>L344</f>
        <v>5400000</v>
      </c>
      <c r="H186" s="207">
        <f>H344</f>
        <v>6850</v>
      </c>
      <c r="I186" s="207">
        <f>T344</f>
        <v>182150</v>
      </c>
      <c r="J186" s="207">
        <f>U344</f>
        <v>231317.36027999999</v>
      </c>
      <c r="K186" s="207">
        <f t="shared" si="3"/>
        <v>49167.360279999994</v>
      </c>
      <c r="L186" s="232">
        <f t="shared" si="4"/>
        <v>0.26992786318967882</v>
      </c>
      <c r="M186" s="232">
        <f t="shared" si="2"/>
        <v>0.15738202139649679</v>
      </c>
      <c r="N186" s="232">
        <f t="shared" ref="N186" si="5">L186*M186</f>
        <v>4.2481792740028688E-2</v>
      </c>
      <c r="R186" s="233">
        <v>0.15738202139649679</v>
      </c>
    </row>
    <row r="189" spans="3:18" s="8" customFormat="1" ht="15" x14ac:dyDescent="0.2">
      <c r="C189" s="8" t="s">
        <v>581</v>
      </c>
    </row>
    <row r="190" spans="3:18" ht="13.5" thickBot="1" x14ac:dyDescent="0.25"/>
    <row r="191" spans="3:18" ht="15" x14ac:dyDescent="0.2">
      <c r="C191" s="306" t="s">
        <v>118</v>
      </c>
      <c r="D191" s="307"/>
      <c r="E191" s="310" t="s">
        <v>582</v>
      </c>
      <c r="F191" s="311"/>
      <c r="G191" s="311"/>
      <c r="H191" s="311"/>
      <c r="I191" s="312"/>
    </row>
    <row r="192" spans="3:18" ht="15" x14ac:dyDescent="0.2">
      <c r="C192" s="308"/>
      <c r="D192" s="309"/>
      <c r="E192" s="208" t="s">
        <v>573</v>
      </c>
      <c r="F192" s="208" t="s">
        <v>583</v>
      </c>
      <c r="G192" s="208" t="s">
        <v>584</v>
      </c>
      <c r="H192" s="208" t="s">
        <v>585</v>
      </c>
      <c r="I192" s="263" t="s">
        <v>586</v>
      </c>
    </row>
    <row r="193" spans="3:9" ht="15" x14ac:dyDescent="0.2">
      <c r="C193" s="264">
        <v>1</v>
      </c>
      <c r="D193" s="209" t="s">
        <v>242</v>
      </c>
      <c r="E193" s="210"/>
      <c r="F193" s="210"/>
      <c r="G193" s="210"/>
      <c r="H193" s="210"/>
      <c r="I193" s="265"/>
    </row>
    <row r="194" spans="3:9" ht="15" x14ac:dyDescent="0.2">
      <c r="C194" s="264"/>
      <c r="D194" s="211" t="s">
        <v>587</v>
      </c>
      <c r="E194" s="245">
        <f>Inputs_Prices!O$20/Inputs_Other!O$34</f>
        <v>1.9455294340682776</v>
      </c>
      <c r="F194" s="245">
        <f>Inputs_Prices!P$20/Inputs_Other!P$34</f>
        <v>2.1291101880896433</v>
      </c>
      <c r="G194" s="245">
        <f>Inputs_Prices!Q$20/Inputs_Other!Q$34</f>
        <v>2.3012480773905821</v>
      </c>
      <c r="H194" s="245">
        <f>Inputs_Prices!R$20/Inputs_Other!R$34</f>
        <v>2.4624302283110264</v>
      </c>
      <c r="I194" s="266">
        <f>Inputs_Prices!S$20/Inputs_Other!S$34</f>
        <v>2.3953652442592852</v>
      </c>
    </row>
    <row r="195" spans="3:9" ht="15" x14ac:dyDescent="0.2">
      <c r="C195" s="264"/>
      <c r="D195" s="211" t="s">
        <v>588</v>
      </c>
      <c r="E195" s="245">
        <f>Inputs_Prices!O$34/Inputs_Other!O$34</f>
        <v>5.7393118305014187E-2</v>
      </c>
      <c r="F195" s="245">
        <f>Inputs_Prices!P$34/Inputs_Other!P$34</f>
        <v>5.6776271682390488E-2</v>
      </c>
      <c r="G195" s="245">
        <f>Inputs_Prices!Q$34/Inputs_Other!Q$34</f>
        <v>6.1673448474067603E-2</v>
      </c>
      <c r="H195" s="245">
        <f>Inputs_Prices!R$34/Inputs_Other!R$34</f>
        <v>6.6933330751363346E-2</v>
      </c>
      <c r="I195" s="266">
        <f>Inputs_Prices!S$34/Inputs_Other!S$34</f>
        <v>6.9683352560270126E-2</v>
      </c>
    </row>
    <row r="196" spans="3:9" ht="15" x14ac:dyDescent="0.2">
      <c r="C196" s="267">
        <v>2</v>
      </c>
      <c r="D196" s="212" t="s">
        <v>243</v>
      </c>
      <c r="E196" s="246"/>
      <c r="F196" s="246"/>
      <c r="G196" s="246"/>
      <c r="H196" s="246"/>
      <c r="I196" s="268"/>
    </row>
    <row r="197" spans="3:9" ht="15" x14ac:dyDescent="0.2">
      <c r="C197" s="267"/>
      <c r="D197" s="213" t="s">
        <v>587</v>
      </c>
      <c r="E197" s="246">
        <f>Inputs_Prices!O$21/Inputs_Other!O$34</f>
        <v>1.9455294340682776</v>
      </c>
      <c r="F197" s="246">
        <f>Inputs_Prices!P$21/Inputs_Other!P$34</f>
        <v>2.1291101880896433</v>
      </c>
      <c r="G197" s="246">
        <f>Inputs_Prices!Q$21/Inputs_Other!Q$34</f>
        <v>2.3012480773905821</v>
      </c>
      <c r="H197" s="246">
        <f>Inputs_Prices!R$21/Inputs_Other!R$34</f>
        <v>2.4624302283110264</v>
      </c>
      <c r="I197" s="268">
        <f>Inputs_Prices!S$21/Inputs_Other!S$34</f>
        <v>2.6131257210101295</v>
      </c>
    </row>
    <row r="198" spans="3:9" ht="15" x14ac:dyDescent="0.2">
      <c r="C198" s="267"/>
      <c r="D198" s="213" t="s">
        <v>588</v>
      </c>
      <c r="E198" s="246">
        <f>Inputs_Prices!O$35/Inputs_Other!O$34</f>
        <v>6.8725827258461908E-2</v>
      </c>
      <c r="F198" s="246">
        <f>Inputs_Prices!P$35/Inputs_Other!P$34</f>
        <v>6.9361678571987051E-2</v>
      </c>
      <c r="G198" s="246">
        <f>Inputs_Prices!Q$35/Inputs_Other!Q$34</f>
        <v>7.0878440783629926E-2</v>
      </c>
      <c r="H198" s="246">
        <f>Inputs_Prices!R$35/Inputs_Other!R$34</f>
        <v>7.1723876831895711E-2</v>
      </c>
      <c r="I198" s="268">
        <f>Inputs_Prices!S$35/Inputs_Other!S$34</f>
        <v>7.0989915420775179E-2</v>
      </c>
    </row>
    <row r="199" spans="3:9" ht="15" x14ac:dyDescent="0.2">
      <c r="C199" s="264" t="s">
        <v>491</v>
      </c>
      <c r="D199" s="209" t="s">
        <v>244</v>
      </c>
      <c r="E199" s="245"/>
      <c r="F199" s="245"/>
      <c r="G199" s="245"/>
      <c r="H199" s="245"/>
      <c r="I199" s="266"/>
    </row>
    <row r="200" spans="3:9" ht="15" x14ac:dyDescent="0.2">
      <c r="C200" s="264"/>
      <c r="D200" s="211" t="s">
        <v>587</v>
      </c>
      <c r="E200" s="245">
        <f>Inputs_Prices!O$22/Inputs_Other!O$34</f>
        <v>1.9455294340682776</v>
      </c>
      <c r="F200" s="245">
        <f>Inputs_Prices!P$22/Inputs_Other!P$34</f>
        <v>2.1291101880896433</v>
      </c>
      <c r="G200" s="245">
        <f>Inputs_Prices!Q$22/Inputs_Other!Q$34</f>
        <v>2.3012480773905821</v>
      </c>
      <c r="H200" s="245">
        <f>Inputs_Prices!R$22/Inputs_Other!R$34</f>
        <v>2.4624302283110264</v>
      </c>
      <c r="I200" s="266">
        <f>Inputs_Prices!S$22/Inputs_Other!S$34</f>
        <v>2.3953652442592852</v>
      </c>
    </row>
    <row r="201" spans="3:9" ht="15" x14ac:dyDescent="0.2">
      <c r="C201" s="264"/>
      <c r="D201" s="211" t="s">
        <v>589</v>
      </c>
      <c r="E201" s="245">
        <f>Inputs_Prices!O$36/Inputs_Other!O$34</f>
        <v>0.18482529623648639</v>
      </c>
      <c r="F201" s="245">
        <f>Inputs_Prices!P$36/Inputs_Other!P$34</f>
        <v>0.18452288296776909</v>
      </c>
      <c r="G201" s="245">
        <f>Inputs_Prices!Q$36/Inputs_Other!Q$34</f>
        <v>0.18409984619124659</v>
      </c>
      <c r="H201" s="245">
        <f>Inputs_Prices!R$36/Inputs_Other!R$34</f>
        <v>0.18804012652556928</v>
      </c>
      <c r="I201" s="266">
        <f>Inputs_Prices!S$36/Inputs_Other!S$34</f>
        <v>0.19162921954074283</v>
      </c>
    </row>
    <row r="202" spans="3:9" ht="15" x14ac:dyDescent="0.2">
      <c r="C202" s="264"/>
      <c r="D202" s="211" t="s">
        <v>590</v>
      </c>
      <c r="E202" s="245">
        <f>Inputs_Prices!O$37/Inputs_Other!O$34</f>
        <v>4.8638235851706943E-2</v>
      </c>
      <c r="F202" s="245">
        <f>Inputs_Prices!P$37/Inputs_Other!P$34</f>
        <v>4.7786695332678666E-2</v>
      </c>
      <c r="G202" s="245">
        <f>Inputs_Prices!Q$37/Inputs_Other!Q$34</f>
        <v>5.5414053703565211E-2</v>
      </c>
      <c r="H202" s="245">
        <f>Inputs_Prices!R$37/Inputs_Other!R$34</f>
        <v>6.2680042175189771E-2</v>
      </c>
      <c r="I202" s="266">
        <f>Inputs_Prices!S$37/Inputs_Other!S$34</f>
        <v>6.6199184932256613E-2</v>
      </c>
    </row>
    <row r="203" spans="3:9" ht="15" x14ac:dyDescent="0.2">
      <c r="C203" s="264"/>
      <c r="D203" s="211" t="s">
        <v>591</v>
      </c>
      <c r="E203" s="245">
        <f>Inputs_Prices!O$38/Inputs_Other!O$34</f>
        <v>0</v>
      </c>
      <c r="F203" s="245">
        <f>Inputs_Prices!P$38/Inputs_Other!P$34</f>
        <v>0</v>
      </c>
      <c r="G203" s="245">
        <f>Inputs_Prices!Q$38/Inputs_Other!Q$34</f>
        <v>0</v>
      </c>
      <c r="H203" s="245">
        <f>Inputs_Prices!R$38/Inputs_Other!R$34</f>
        <v>0</v>
      </c>
      <c r="I203" s="266">
        <f>Inputs_Prices!S$38/Inputs_Other!S$34</f>
        <v>0</v>
      </c>
    </row>
    <row r="204" spans="3:9" ht="15" x14ac:dyDescent="0.2">
      <c r="C204" s="267" t="s">
        <v>492</v>
      </c>
      <c r="D204" s="212" t="s">
        <v>245</v>
      </c>
      <c r="E204" s="246"/>
      <c r="F204" s="246"/>
      <c r="G204" s="246"/>
      <c r="H204" s="246"/>
      <c r="I204" s="268"/>
    </row>
    <row r="205" spans="3:9" ht="15" x14ac:dyDescent="0.2">
      <c r="C205" s="267"/>
      <c r="D205" s="213" t="s">
        <v>587</v>
      </c>
      <c r="E205" s="246">
        <f>Inputs_Prices!O$23/Inputs_Other!O$34</f>
        <v>2.4319117925853471</v>
      </c>
      <c r="F205" s="246">
        <f>Inputs_Prices!P$23/Inputs_Other!P$34</f>
        <v>2.6022457854428973</v>
      </c>
      <c r="G205" s="246">
        <f>Inputs_Prices!Q$23/Inputs_Other!Q$34</f>
        <v>2.7614976928686983</v>
      </c>
      <c r="H205" s="246">
        <f>Inputs_Prices!R$23/Inputs_Other!R$34</f>
        <v>2.9101448152766674</v>
      </c>
      <c r="I205" s="268">
        <f>Inputs_Prices!S$23/Inputs_Other!S$34</f>
        <v>3.0486466745118177</v>
      </c>
    </row>
    <row r="206" spans="3:9" ht="15" x14ac:dyDescent="0.2">
      <c r="C206" s="267"/>
      <c r="D206" s="213" t="s">
        <v>589</v>
      </c>
      <c r="E206" s="246">
        <f>Inputs_Prices!O$39/Inputs_Other!O$34</f>
        <v>0.2431911792585347</v>
      </c>
      <c r="F206" s="246">
        <f>Inputs_Prices!P$39/Inputs_Other!P$34</f>
        <v>0.24603051062369213</v>
      </c>
      <c r="G206" s="246">
        <f>Inputs_Prices!Q$39/Inputs_Other!Q$34</f>
        <v>0.24393229620340171</v>
      </c>
      <c r="H206" s="246">
        <f>Inputs_Prices!R$39/Inputs_Other!R$34</f>
        <v>0.24176587696144625</v>
      </c>
      <c r="I206" s="268">
        <f>Inputs_Prices!S$39/Inputs_Other!S$34</f>
        <v>0.2373589196584201</v>
      </c>
    </row>
    <row r="207" spans="3:9" ht="15" x14ac:dyDescent="0.2">
      <c r="C207" s="267"/>
      <c r="D207" s="213" t="s">
        <v>590</v>
      </c>
      <c r="E207" s="246">
        <f>Inputs_Prices!O$40/Inputs_Other!O$34</f>
        <v>5.5933971229462982E-2</v>
      </c>
      <c r="F207" s="246">
        <f>Inputs_Prices!P$40/Inputs_Other!P$34</f>
        <v>5.6776271682390488E-2</v>
      </c>
      <c r="G207" s="246">
        <f>Inputs_Prices!Q$40/Inputs_Other!Q$34</f>
        <v>6.0338724589181061E-2</v>
      </c>
      <c r="H207" s="246">
        <f>Inputs_Prices!R$40/Inputs_Other!R$34</f>
        <v>6.2680042175189771E-2</v>
      </c>
      <c r="I207" s="268">
        <f>Inputs_Prices!S$40/Inputs_Other!S$34</f>
        <v>6.2715017304243101E-2</v>
      </c>
    </row>
    <row r="208" spans="3:9" ht="15" x14ac:dyDescent="0.2">
      <c r="C208" s="267"/>
      <c r="D208" s="213" t="s">
        <v>591</v>
      </c>
      <c r="E208" s="246">
        <f>Inputs_Prices!O$41/Inputs_Other!O$34</f>
        <v>0</v>
      </c>
      <c r="F208" s="246">
        <f>Inputs_Prices!P$41/Inputs_Other!P$34</f>
        <v>0</v>
      </c>
      <c r="G208" s="246">
        <f>Inputs_Prices!Q$41/Inputs_Other!Q$34</f>
        <v>0</v>
      </c>
      <c r="H208" s="246">
        <f>Inputs_Prices!R$41/Inputs_Other!R$34</f>
        <v>0</v>
      </c>
      <c r="I208" s="268">
        <f>Inputs_Prices!S$41/Inputs_Other!S$34</f>
        <v>0</v>
      </c>
    </row>
    <row r="209" spans="3:9" ht="15" x14ac:dyDescent="0.2">
      <c r="C209" s="264" t="s">
        <v>493</v>
      </c>
      <c r="D209" s="209" t="s">
        <v>592</v>
      </c>
      <c r="E209" s="245"/>
      <c r="F209" s="245"/>
      <c r="G209" s="245"/>
      <c r="H209" s="245"/>
      <c r="I209" s="266"/>
    </row>
    <row r="210" spans="3:9" ht="15" x14ac:dyDescent="0.2">
      <c r="C210" s="264"/>
      <c r="D210" s="211" t="s">
        <v>587</v>
      </c>
      <c r="E210" s="245">
        <f>Inputs_Prices!O$24/Inputs_Other!O$34</f>
        <v>8.2685000947901806</v>
      </c>
      <c r="F210" s="245">
        <f>Inputs_Prices!P$24/Inputs_Other!P$34</f>
        <v>8.516440752358573</v>
      </c>
      <c r="G210" s="245">
        <f>Inputs_Prices!Q$24/Inputs_Other!Q$34</f>
        <v>8.7447426940842128</v>
      </c>
      <c r="H210" s="245">
        <f>Inputs_Prices!R$24/Inputs_Other!R$34</f>
        <v>8.7304344458300029</v>
      </c>
      <c r="I210" s="266">
        <f>Inputs_Prices!S$24/Inputs_Other!S$34</f>
        <v>8.7104190700337654</v>
      </c>
    </row>
    <row r="211" spans="3:9" ht="15" x14ac:dyDescent="0.2">
      <c r="C211" s="264"/>
      <c r="D211" s="211" t="s">
        <v>589</v>
      </c>
      <c r="E211" s="245">
        <f>Inputs_Prices!O$42/Inputs_Other!O$34</f>
        <v>0.29182941511024163</v>
      </c>
      <c r="F211" s="245">
        <f>Inputs_Prices!P$42/Inputs_Other!P$34</f>
        <v>0.30044110431931631</v>
      </c>
      <c r="G211" s="245">
        <f>Inputs_Prices!Q$42/Inputs_Other!Q$34</f>
        <v>0.29455975390599454</v>
      </c>
      <c r="H211" s="245">
        <f>Inputs_Prices!R$42/Inputs_Other!R$34</f>
        <v>0.31563878381077698</v>
      </c>
      <c r="I211" s="266">
        <f>Inputs_Prices!S$42/Inputs_Other!S$34</f>
        <v>0.33186696656828646</v>
      </c>
    </row>
    <row r="212" spans="3:9" ht="15" x14ac:dyDescent="0.2">
      <c r="C212" s="264"/>
      <c r="D212" s="211" t="s">
        <v>590</v>
      </c>
      <c r="E212" s="245">
        <f>Inputs_Prices!O$43/Inputs_Other!O$34</f>
        <v>7.78211773627311E-2</v>
      </c>
      <c r="F212" s="245">
        <f>Inputs_Prices!P$43/Inputs_Other!P$34</f>
        <v>9.462711947065082E-2</v>
      </c>
      <c r="G212" s="245">
        <f>Inputs_Prices!Q$43/Inputs_Other!Q$34</f>
        <v>9.9413916943273145E-2</v>
      </c>
      <c r="H212" s="245">
        <f>Inputs_Prices!R$43/Inputs_Other!R$34</f>
        <v>0.10297435500209746</v>
      </c>
      <c r="I212" s="266">
        <f>Inputs_Prices!S$43/Inputs_Other!S$34</f>
        <v>0.120475548241451</v>
      </c>
    </row>
    <row r="213" spans="3:9" ht="15" x14ac:dyDescent="0.2">
      <c r="C213" s="264"/>
      <c r="D213" s="211" t="s">
        <v>591</v>
      </c>
      <c r="E213" s="245">
        <f>Inputs_Prices!O$44/Inputs_Other!O$34</f>
        <v>0</v>
      </c>
      <c r="F213" s="245">
        <f>Inputs_Prices!P$44/Inputs_Other!P$34</f>
        <v>0</v>
      </c>
      <c r="G213" s="245">
        <f>Inputs_Prices!Q$44/Inputs_Other!Q$34</f>
        <v>0</v>
      </c>
      <c r="H213" s="245">
        <f>Inputs_Prices!R$44/Inputs_Other!R$34</f>
        <v>0</v>
      </c>
      <c r="I213" s="266">
        <f>Inputs_Prices!S$44/Inputs_Other!S$34</f>
        <v>0</v>
      </c>
    </row>
    <row r="214" spans="3:9" ht="15" x14ac:dyDescent="0.2">
      <c r="C214" s="267">
        <v>4</v>
      </c>
      <c r="D214" s="212" t="s">
        <v>593</v>
      </c>
      <c r="E214" s="246"/>
      <c r="F214" s="246"/>
      <c r="G214" s="246"/>
      <c r="H214" s="246"/>
      <c r="I214" s="268"/>
    </row>
    <row r="215" spans="3:9" ht="15" x14ac:dyDescent="0.2">
      <c r="C215" s="267"/>
      <c r="D215" s="213" t="s">
        <v>588</v>
      </c>
      <c r="E215" s="246">
        <f>Inputs_Prices!O$45/Inputs_Other!O$34</f>
        <v>9.5471993153315546E-2</v>
      </c>
      <c r="F215" s="246">
        <f>Inputs_Prices!P$45/Inputs_Other!P$34</f>
        <v>0.1417457473398667</v>
      </c>
      <c r="G215" s="246">
        <f>Inputs_Prices!Q$45/Inputs_Other!Q$34</f>
        <v>0.14716021205297294</v>
      </c>
      <c r="H215" s="246">
        <f>Inputs_Prices!R$45/Inputs_Other!R$34</f>
        <v>0.14652803002211504</v>
      </c>
      <c r="I215" s="268">
        <f>Inputs_Prices!S$45/Inputs_Other!S$34</f>
        <v>0.15290879364872173</v>
      </c>
    </row>
    <row r="216" spans="3:9" ht="15" x14ac:dyDescent="0.2">
      <c r="C216" s="264">
        <v>5</v>
      </c>
      <c r="D216" s="209" t="s">
        <v>248</v>
      </c>
      <c r="E216" s="245"/>
      <c r="F216" s="245"/>
      <c r="G216" s="245"/>
      <c r="H216" s="245"/>
      <c r="I216" s="266"/>
    </row>
    <row r="217" spans="3:9" ht="15" x14ac:dyDescent="0.2">
      <c r="C217" s="264"/>
      <c r="D217" s="211" t="s">
        <v>587</v>
      </c>
      <c r="E217" s="245">
        <f>Inputs_Prices!O$26/Inputs_Other!O$34</f>
        <v>92.412648118243183</v>
      </c>
      <c r="F217" s="245">
        <f>Inputs_Prices!P$26/Inputs_Other!P$34</f>
        <v>94.627119470650811</v>
      </c>
      <c r="G217" s="245">
        <f>Inputs_Prices!Q$26/Inputs_Other!Q$34</f>
        <v>101.25491540518561</v>
      </c>
      <c r="H217" s="245">
        <f>Inputs_Prices!R$26/Inputs_Other!R$34</f>
        <v>102.97435500209747</v>
      </c>
      <c r="I217" s="266">
        <f>Inputs_Prices!S$26/Inputs_Other!S$34</f>
        <v>104.52502884040517</v>
      </c>
    </row>
    <row r="218" spans="3:9" ht="15" x14ac:dyDescent="0.2">
      <c r="C218" s="264"/>
      <c r="D218" s="211" t="s">
        <v>588</v>
      </c>
      <c r="E218" s="245">
        <f>Inputs_Prices!O$46/Inputs_Other!O$34</f>
        <v>2.4319117925853471E-2</v>
      </c>
      <c r="F218" s="245">
        <f>Inputs_Prices!P$46/Inputs_Other!P$34</f>
        <v>2.6022457854428974E-2</v>
      </c>
      <c r="G218" s="245">
        <f>Inputs_Prices!Q$46/Inputs_Other!Q$34</f>
        <v>2.7614976928686984E-2</v>
      </c>
      <c r="H218" s="245">
        <f>Inputs_Prices!R$46/Inputs_Other!R$34</f>
        <v>2.9101448152766676E-2</v>
      </c>
      <c r="I218" s="266">
        <f>Inputs_Prices!S$46/Inputs_Other!S$34</f>
        <v>3.0486466745118179E-2</v>
      </c>
    </row>
    <row r="219" spans="3:9" ht="15" x14ac:dyDescent="0.2">
      <c r="C219" s="264"/>
      <c r="D219" s="211" t="s">
        <v>594</v>
      </c>
      <c r="E219" s="245">
        <f>Inputs_Prices!O$54/Inputs_Other!O$34</f>
        <v>14.591470755512082</v>
      </c>
      <c r="F219" s="245">
        <f>Inputs_Prices!P$54/Inputs_Other!P$34</f>
        <v>15.14033911530413</v>
      </c>
      <c r="G219" s="245">
        <f>Inputs_Prices!Q$54/Inputs_Other!Q$34</f>
        <v>15.648486926255957</v>
      </c>
      <c r="H219" s="245">
        <f>Inputs_Prices!R$54/Inputs_Other!R$34</f>
        <v>17.013154304694364</v>
      </c>
      <c r="I219" s="266">
        <f>Inputs_Prices!S$54/Inputs_Other!S$34</f>
        <v>17.420838140067531</v>
      </c>
    </row>
    <row r="220" spans="3:9" ht="15" x14ac:dyDescent="0.2">
      <c r="C220" s="264"/>
      <c r="D220" s="211" t="s">
        <v>595</v>
      </c>
      <c r="E220" s="245">
        <f>Inputs_Prices!O$55/Inputs_Other!O$34</f>
        <v>2.1400823774751054</v>
      </c>
      <c r="F220" s="245">
        <f>Inputs_Prices!P$55/Inputs_Other!P$34</f>
        <v>2.8388135841195243</v>
      </c>
      <c r="G220" s="245">
        <f>Inputs_Prices!Q$55/Inputs_Other!Q$34</f>
        <v>3.6819969238249315</v>
      </c>
      <c r="H220" s="245">
        <f>Inputs_Prices!R$55/Inputs_Other!R$34</f>
        <v>5.3725750435876938</v>
      </c>
      <c r="I220" s="266">
        <f>Inputs_Prices!S$55/Inputs_Other!S$34</f>
        <v>6.0972933490236354</v>
      </c>
    </row>
    <row r="221" spans="3:9" ht="15" x14ac:dyDescent="0.2">
      <c r="C221" s="267">
        <v>6</v>
      </c>
      <c r="D221" s="212" t="s">
        <v>249</v>
      </c>
      <c r="E221" s="246"/>
      <c r="F221" s="246"/>
      <c r="G221" s="246"/>
      <c r="H221" s="246"/>
      <c r="I221" s="268"/>
    </row>
    <row r="222" spans="3:9" ht="15" x14ac:dyDescent="0.2">
      <c r="C222" s="267"/>
      <c r="D222" s="213" t="s">
        <v>587</v>
      </c>
      <c r="E222" s="246">
        <f>Inputs_Prices!O$27/Inputs_Other!O$34</f>
        <v>107.00411887375527</v>
      </c>
      <c r="F222" s="246">
        <f>Inputs_Prices!P$27/Inputs_Other!P$34</f>
        <v>108.82118739124843</v>
      </c>
      <c r="G222" s="246">
        <f>Inputs_Prices!Q$27/Inputs_Other!Q$34</f>
        <v>110.45990771474794</v>
      </c>
      <c r="H222" s="246">
        <f>Inputs_Prices!R$27/Inputs_Other!R$34</f>
        <v>111.92864674141029</v>
      </c>
      <c r="I222" s="268">
        <f>Inputs_Prices!S$27/Inputs_Other!S$34</f>
        <v>113.23544791043894</v>
      </c>
    </row>
    <row r="223" spans="3:9" ht="15" x14ac:dyDescent="0.2">
      <c r="C223" s="267"/>
      <c r="D223" s="213" t="s">
        <v>588</v>
      </c>
      <c r="E223" s="246">
        <f>Inputs_Prices!O$47/Inputs_Other!O$34</f>
        <v>2.9182941511024164E-2</v>
      </c>
      <c r="F223" s="246">
        <f>Inputs_Prices!P$47/Inputs_Other!P$34</f>
        <v>3.0753813827961517E-2</v>
      </c>
      <c r="G223" s="246">
        <f>Inputs_Prices!Q$47/Inputs_Other!Q$34</f>
        <v>3.2217473083468152E-2</v>
      </c>
      <c r="H223" s="246">
        <f>Inputs_Prices!R$47/Inputs_Other!R$34</f>
        <v>3.3578594022423087E-2</v>
      </c>
      <c r="I223" s="268">
        <f>Inputs_Prices!S$47/Inputs_Other!S$34</f>
        <v>3.4841676280135063E-2</v>
      </c>
    </row>
    <row r="224" spans="3:9" ht="15" x14ac:dyDescent="0.2">
      <c r="C224" s="267"/>
      <c r="D224" s="213" t="s">
        <v>594</v>
      </c>
      <c r="E224" s="246">
        <f>Inputs_Prices!O$56/Inputs_Other!O$34</f>
        <v>6.3229706607219018</v>
      </c>
      <c r="F224" s="246">
        <f>Inputs_Prices!P$56/Inputs_Other!P$34</f>
        <v>7.5701695576520649</v>
      </c>
      <c r="G224" s="246">
        <f>Inputs_Prices!Q$56/Inputs_Other!Q$34</f>
        <v>8.2844930786060953</v>
      </c>
      <c r="H224" s="246">
        <f>Inputs_Prices!R$56/Inputs_Other!R$34</f>
        <v>9.8497209132441057</v>
      </c>
      <c r="I224" s="268">
        <f>Inputs_Prices!S$56/Inputs_Other!S$34</f>
        <v>10.452502884040518</v>
      </c>
    </row>
    <row r="225" spans="2:18" ht="15.75" thickBot="1" x14ac:dyDescent="0.25">
      <c r="C225" s="269"/>
      <c r="D225" s="270" t="s">
        <v>595</v>
      </c>
      <c r="E225" s="271">
        <f>Inputs_Prices!O$57/Inputs_Other!O$34</f>
        <v>1.7793666289280912</v>
      </c>
      <c r="F225" s="271">
        <f>Inputs_Prices!P$57/Inputs_Other!P$34</f>
        <v>2.0708577333435105</v>
      </c>
      <c r="G225" s="271">
        <f>Inputs_Prices!Q$57/Inputs_Other!Q$34</f>
        <v>2.4505254376747545</v>
      </c>
      <c r="H225" s="271">
        <f>Inputs_Prices!R$57/Inputs_Other!R$34</f>
        <v>3.6014653861561836</v>
      </c>
      <c r="I225" s="272">
        <f>Inputs_Prices!S$57/Inputs_Other!S$34</f>
        <v>4.3464991159468491</v>
      </c>
    </row>
    <row r="228" spans="2:18" s="2" customFormat="1" ht="15.75" x14ac:dyDescent="0.2">
      <c r="B228" s="2" t="s">
        <v>789</v>
      </c>
    </row>
    <row r="230" spans="2:18" s="8" customFormat="1" ht="15" x14ac:dyDescent="0.2">
      <c r="C230" s="8" t="s">
        <v>822</v>
      </c>
    </row>
    <row r="232" spans="2:18" x14ac:dyDescent="0.2">
      <c r="L232" s="222" t="s">
        <v>118</v>
      </c>
      <c r="M232" s="139" t="str">
        <f>Lookup!O$19</f>
        <v>FY25</v>
      </c>
      <c r="N232" s="139" t="str">
        <f>Lookup!P$19</f>
        <v>FY26</v>
      </c>
      <c r="O232" s="139" t="str">
        <f>Lookup!Q$19</f>
        <v>FY27</v>
      </c>
      <c r="P232" s="139" t="str">
        <f>Lookup!R$19</f>
        <v>FY28</v>
      </c>
      <c r="Q232" s="139" t="str">
        <f>Lookup!S$19</f>
        <v>FY29</v>
      </c>
      <c r="R232" s="139" t="s">
        <v>62</v>
      </c>
    </row>
    <row r="233" spans="2:18" x14ac:dyDescent="0.2">
      <c r="L233" s="223" t="s">
        <v>609</v>
      </c>
      <c r="M233" s="224">
        <f ca="1">Calc_A_SA_Cost!O98*Thousands_to_Millions/Inputs_Other!O$34</f>
        <v>20.702762337570352</v>
      </c>
      <c r="N233" s="224">
        <f ca="1">Calc_A_SA_Cost!P98*Thousands_to_Millions/Inputs_Other!P$34</f>
        <v>16.048911263376024</v>
      </c>
      <c r="O233" s="224">
        <f ca="1">Calc_A_SA_Cost!Q98*Thousands_to_Millions/Inputs_Other!Q$34</f>
        <v>11.015483890198823</v>
      </c>
      <c r="P233" s="224">
        <f ca="1">Calc_A_SA_Cost!R98*Thousands_to_Millions/Inputs_Other!R$34</f>
        <v>11.187572880335702</v>
      </c>
      <c r="Q233" s="224">
        <f ca="1">Calc_A_SA_Cost!S98*Thousands_to_Millions/Inputs_Other!S$34</f>
        <v>5.0302924995222913</v>
      </c>
      <c r="R233" s="223" t="str">
        <f>Inputs_Prices!F20</f>
        <v>LV &lt;750MWh</v>
      </c>
    </row>
    <row r="234" spans="2:18" x14ac:dyDescent="0.2">
      <c r="L234" s="223" t="s">
        <v>610</v>
      </c>
      <c r="M234" s="224">
        <f ca="1">Calc_A_SA_Cost!O99*Thousands_to_Millions/Inputs_Other!O$34</f>
        <v>1.3565826616833889</v>
      </c>
      <c r="N234" s="224">
        <f ca="1">Calc_A_SA_Cost!P99*Thousands_to_Millions/Inputs_Other!P$34</f>
        <v>0.99784782914111048</v>
      </c>
      <c r="O234" s="224">
        <f ca="1">Calc_A_SA_Cost!Q99*Thousands_to_Millions/Inputs_Other!Q$34</f>
        <v>0.63659131685664028</v>
      </c>
      <c r="P234" s="224">
        <f ca="1">Calc_A_SA_Cost!R99*Thousands_to_Millions/Inputs_Other!R$34</f>
        <v>0.28038779462755103</v>
      </c>
      <c r="Q234" s="224">
        <f ca="1">Calc_A_SA_Cost!S99*Thousands_to_Millions/Inputs_Other!S$34</f>
        <v>0</v>
      </c>
      <c r="R234" s="223" t="str">
        <f>Inputs_Prices!F21</f>
        <v>LV &lt;750MWh</v>
      </c>
    </row>
    <row r="235" spans="2:18" x14ac:dyDescent="0.2">
      <c r="L235" s="223" t="s">
        <v>611</v>
      </c>
      <c r="M235" s="224">
        <f ca="1">Calc_A_SA_Cost!O100*Thousands_to_Millions/Inputs_Other!O$34</f>
        <v>11.05356294358965</v>
      </c>
      <c r="N235" s="224">
        <f ca="1">Calc_A_SA_Cost!P100*Thousands_to_Millions/Inputs_Other!P$34</f>
        <v>16.55285072559878</v>
      </c>
      <c r="O235" s="224">
        <f ca="1">Calc_A_SA_Cost!Q100*Thousands_to_Millions/Inputs_Other!Q$34</f>
        <v>22.246355483874286</v>
      </c>
      <c r="P235" s="224">
        <f ca="1">Calc_A_SA_Cost!R100*Thousands_to_Millions/Inputs_Other!R$34</f>
        <v>22.763287622352816</v>
      </c>
      <c r="Q235" s="224">
        <f ca="1">Calc_A_SA_Cost!S100*Thousands_to_Millions/Inputs_Other!S$34</f>
        <v>29.495507035886249</v>
      </c>
      <c r="R235" s="223" t="str">
        <f>Inputs_Prices!F22</f>
        <v>LV &lt;750MWh</v>
      </c>
    </row>
    <row r="236" spans="2:18" x14ac:dyDescent="0.2">
      <c r="L236" s="223" t="s">
        <v>612</v>
      </c>
      <c r="M236" s="224">
        <f ca="1">Calc_A_SA_Cost!O101*Thousands_to_Millions/Inputs_Other!O$34</f>
        <v>10.547114992238532</v>
      </c>
      <c r="N236" s="224">
        <f ca="1">Calc_A_SA_Cost!P101*Thousands_to_Millions/Inputs_Other!P$34</f>
        <v>11.04038653799279</v>
      </c>
      <c r="O236" s="224">
        <f ca="1">Calc_A_SA_Cost!Q101*Thousands_to_Millions/Inputs_Other!Q$34</f>
        <v>11.470228682814529</v>
      </c>
      <c r="P236" s="224">
        <f ca="1">Calc_A_SA_Cost!R101*Thousands_to_Millions/Inputs_Other!R$34</f>
        <v>11.902434054165816</v>
      </c>
      <c r="Q236" s="224">
        <f ca="1">Calc_A_SA_Cost!S101*Thousands_to_Millions/Inputs_Other!S$34</f>
        <v>12.260292520076854</v>
      </c>
      <c r="R236" s="223" t="str">
        <f>Inputs_Prices!F23</f>
        <v>LV &lt;750MWh</v>
      </c>
    </row>
    <row r="237" spans="2:18" x14ac:dyDescent="0.2">
      <c r="L237" s="223" t="s">
        <v>613</v>
      </c>
      <c r="M237" s="224">
        <f ca="1">Calc_A_SA_Cost!O102*Thousands_to_Millions/Inputs_Other!O$34</f>
        <v>9.1770559822778335</v>
      </c>
      <c r="N237" s="224">
        <f ca="1">Calc_A_SA_Cost!P102*Thousands_to_Millions/Inputs_Other!P$34</f>
        <v>9.6037442469135517</v>
      </c>
      <c r="O237" s="224">
        <f ca="1">Calc_A_SA_Cost!Q102*Thousands_to_Millions/Inputs_Other!Q$34</f>
        <v>9.9733367918853837</v>
      </c>
      <c r="P237" s="224">
        <f ca="1">Calc_A_SA_Cost!R102*Thousands_to_Millions/Inputs_Other!R$34</f>
        <v>10.354726801987365</v>
      </c>
      <c r="Q237" s="224">
        <f ca="1">Calc_A_SA_Cost!S102*Thousands_to_Millions/Inputs_Other!S$34</f>
        <v>10.658917043838439</v>
      </c>
      <c r="R237" s="223" t="str">
        <f>Inputs_Prices!F24</f>
        <v>LV &lt;750MWh</v>
      </c>
    </row>
    <row r="238" spans="2:18" x14ac:dyDescent="0.2">
      <c r="L238" s="223" t="s">
        <v>614</v>
      </c>
      <c r="M238" s="224">
        <f ca="1">Calc_A_SA_Cost!O103*Thousands_to_Millions/Inputs_Other!O$34</f>
        <v>0.77855332274173283</v>
      </c>
      <c r="N238" s="224">
        <f ca="1">Calc_A_SA_Cost!P103*Thousands_to_Millions/Inputs_Other!P$34</f>
        <v>0.79928045512274359</v>
      </c>
      <c r="O238" s="224">
        <f ca="1">Calc_A_SA_Cost!Q103*Thousands_to_Millions/Inputs_Other!Q$34</f>
        <v>0.81546322932237225</v>
      </c>
      <c r="P238" s="224">
        <f ca="1">Calc_A_SA_Cost!R103*Thousands_to_Millions/Inputs_Other!R$34</f>
        <v>0.83235560223936822</v>
      </c>
      <c r="Q238" s="224">
        <f ca="1">Calc_A_SA_Cost!S103*Thousands_to_Millions/Inputs_Other!S$34</f>
        <v>0.84645108370125033</v>
      </c>
      <c r="R238" s="223" t="str">
        <f>Inputs_Prices!F25</f>
        <v>LV &lt;750MWh</v>
      </c>
    </row>
    <row r="239" spans="2:18" x14ac:dyDescent="0.2">
      <c r="L239" s="223" t="s">
        <v>616</v>
      </c>
      <c r="M239" s="224">
        <f ca="1">Calc_A_SA_Cost!O104*Thousands_to_Millions/Inputs_Other!O$34</f>
        <v>7.34693836191581</v>
      </c>
      <c r="N239" s="224">
        <f ca="1">Calc_A_SA_Cost!P104*Thousands_to_Millions/Inputs_Other!P$34</f>
        <v>7.5425331395301232</v>
      </c>
      <c r="O239" s="224">
        <f ca="1">Calc_A_SA_Cost!Q104*Thousands_to_Millions/Inputs_Other!Q$34</f>
        <v>7.6952443811324081</v>
      </c>
      <c r="P239" s="224">
        <f ca="1">Calc_A_SA_Cost!R104*Thousands_to_Millions/Inputs_Other!R$34</f>
        <v>7.8546518603409128</v>
      </c>
      <c r="Q239" s="224">
        <f ca="1">Calc_A_SA_Cost!S104*Thousands_to_Millions/Inputs_Other!S$34</f>
        <v>7.9876660424874677</v>
      </c>
      <c r="R239" s="223" t="str">
        <f>Inputs_Prices!F26</f>
        <v>LV &gt;750MWh</v>
      </c>
    </row>
    <row r="240" spans="2:18" x14ac:dyDescent="0.2">
      <c r="L240" s="223" t="s">
        <v>615</v>
      </c>
      <c r="M240" s="224">
        <f ca="1">Calc_A_SA_Cost!O105*Thousands_to_Millions/Inputs_Other!O$34</f>
        <v>6.3322568290959707</v>
      </c>
      <c r="N240" s="224">
        <f ca="1">Calc_A_SA_Cost!P105*Thousands_to_Millions/Inputs_Other!P$34</f>
        <v>6.5008381217748408</v>
      </c>
      <c r="O240" s="224">
        <f ca="1">Calc_A_SA_Cost!Q105*Thousands_to_Millions/Inputs_Other!Q$34</f>
        <v>6.6324584995268099</v>
      </c>
      <c r="P240" s="224">
        <f ca="1">Calc_A_SA_Cost!R105*Thousands_to_Millions/Inputs_Other!R$34</f>
        <v>6.7698503012682645</v>
      </c>
      <c r="Q240" s="224">
        <f ca="1">Calc_A_SA_Cost!S105*Thousands_to_Millions/Inputs_Other!S$34</f>
        <v>6.8844939693886138</v>
      </c>
      <c r="R240" s="223" t="str">
        <f>Inputs_Prices!F27</f>
        <v>HV</v>
      </c>
    </row>
    <row r="248" spans="3:17" s="8" customFormat="1" ht="15" x14ac:dyDescent="0.2">
      <c r="C248" s="8" t="s">
        <v>821</v>
      </c>
    </row>
    <row r="250" spans="3:17" x14ac:dyDescent="0.2">
      <c r="L250" s="222" t="s">
        <v>118</v>
      </c>
      <c r="M250" s="139" t="str">
        <f>Lookup!O$19</f>
        <v>FY25</v>
      </c>
      <c r="N250" s="139" t="str">
        <f>Lookup!P$19</f>
        <v>FY26</v>
      </c>
      <c r="O250" s="139" t="str">
        <f>Lookup!Q$19</f>
        <v>FY27</v>
      </c>
      <c r="P250" s="139" t="str">
        <f>Lookup!R$19</f>
        <v>FY28</v>
      </c>
      <c r="Q250" s="139" t="str">
        <f>Lookup!S$19</f>
        <v>FY29</v>
      </c>
    </row>
    <row r="251" spans="3:17" x14ac:dyDescent="0.2">
      <c r="L251" s="223" t="str" cm="1">
        <f t="array" ref="L251:L253">LU_Tariff_Classes</f>
        <v>LV &lt;750MWh</v>
      </c>
      <c r="M251" s="224">
        <f ca="1">SUMIF($R$233:$R$240,$L251,M$233:M$240)</f>
        <v>53.615632240101498</v>
      </c>
      <c r="N251" s="224">
        <f t="shared" ref="N251:Q253" ca="1" si="6">SUMIF($R$233:$R$240,$L251,N$233:N$240)</f>
        <v>55.043021058144994</v>
      </c>
      <c r="O251" s="224">
        <f t="shared" ca="1" si="6"/>
        <v>56.157459394952042</v>
      </c>
      <c r="P251" s="224">
        <f t="shared" ca="1" si="6"/>
        <v>57.320764755708616</v>
      </c>
      <c r="Q251" s="224">
        <f t="shared" ca="1" si="6"/>
        <v>58.291460183025073</v>
      </c>
    </row>
    <row r="252" spans="3:17" x14ac:dyDescent="0.2">
      <c r="L252" s="223" t="str">
        <v>LV &gt;750MWh</v>
      </c>
      <c r="M252" s="224">
        <f t="shared" ref="M252:M253" ca="1" si="7">SUMIF($R$233:$R$240,$L252,M$233:M$240)</f>
        <v>7.34693836191581</v>
      </c>
      <c r="N252" s="224">
        <f t="shared" ca="1" si="6"/>
        <v>7.5425331395301232</v>
      </c>
      <c r="O252" s="224">
        <f t="shared" ca="1" si="6"/>
        <v>7.6952443811324081</v>
      </c>
      <c r="P252" s="224">
        <f t="shared" ca="1" si="6"/>
        <v>7.8546518603409128</v>
      </c>
      <c r="Q252" s="224">
        <f t="shared" ca="1" si="6"/>
        <v>7.9876660424874677</v>
      </c>
    </row>
    <row r="253" spans="3:17" x14ac:dyDescent="0.2">
      <c r="L253" s="223" t="str">
        <v>HV</v>
      </c>
      <c r="M253" s="224">
        <f t="shared" ca="1" si="7"/>
        <v>6.3322568290959707</v>
      </c>
      <c r="N253" s="224">
        <f t="shared" ca="1" si="6"/>
        <v>6.5008381217748408</v>
      </c>
      <c r="O253" s="224">
        <f t="shared" ca="1" si="6"/>
        <v>6.6324584995268099</v>
      </c>
      <c r="P253" s="224">
        <f t="shared" ca="1" si="6"/>
        <v>6.7698503012682645</v>
      </c>
      <c r="Q253" s="224">
        <f t="shared" ca="1" si="6"/>
        <v>6.8844939693886138</v>
      </c>
    </row>
    <row r="266" spans="3:13" s="8" customFormat="1" ht="15" x14ac:dyDescent="0.2">
      <c r="C266" s="8" t="s">
        <v>605</v>
      </c>
    </row>
    <row r="267" spans="3:13" ht="13.5" thickBot="1" x14ac:dyDescent="0.25"/>
    <row r="268" spans="3:13" ht="15" x14ac:dyDescent="0.2">
      <c r="C268"/>
      <c r="D268" s="273" t="s">
        <v>596</v>
      </c>
      <c r="E268" s="274" t="s">
        <v>597</v>
      </c>
      <c r="F268" s="274" t="s">
        <v>598</v>
      </c>
      <c r="G268" s="274" t="s">
        <v>599</v>
      </c>
      <c r="H268" s="274" t="s">
        <v>600</v>
      </c>
      <c r="I268" s="274" t="s">
        <v>601</v>
      </c>
      <c r="J268" s="274" t="s">
        <v>602</v>
      </c>
      <c r="K268" s="262" t="s">
        <v>603</v>
      </c>
      <c r="M268" s="219" t="s">
        <v>134</v>
      </c>
    </row>
    <row r="269" spans="3:13" ht="15" x14ac:dyDescent="0.2">
      <c r="C269"/>
      <c r="D269" s="275">
        <v>1</v>
      </c>
      <c r="E269" s="214">
        <f ca="1">SUMIF(Calc_LRMC_Tariff!$C$58:$C$65,$D269,Calc_LRMC_Tariff!$O$58:$O$65)/Inputs_Other!O$34*Thousands_to_Millions</f>
        <v>19.106065851589964</v>
      </c>
      <c r="F269" s="214"/>
      <c r="G269" s="214"/>
      <c r="H269" s="214"/>
      <c r="I269" s="214">
        <f>SUMIFS(Calc_Revenue!$O$49:$O$62,Calc_Revenue!$E$49:$E$62,I$278,Calc_Revenue!$C$49:$C$62,$D269)/Inputs_Other!$O$34*Thousands_to_Millions</f>
        <v>22.595215069619158</v>
      </c>
      <c r="J269" s="214" t="str">
        <f ca="1">IF(E269&gt;SUM(F269:I269),E269-SUM(F269:I269),"")</f>
        <v/>
      </c>
      <c r="K269" s="276" t="str">
        <f ca="1">IF(M269&gt;=E269,"YES","NO")</f>
        <v>YES</v>
      </c>
      <c r="M269" s="220">
        <f>SUMIF(Output_Revenue!$C$34:$C$41,$D269,Output_Revenue!$O$34:$O$41)/Inputs_Other!O$34*Thousands_to_Millions</f>
        <v>51.738069795875347</v>
      </c>
    </row>
    <row r="270" spans="3:13" ht="15" x14ac:dyDescent="0.2">
      <c r="C270"/>
      <c r="D270" s="277">
        <v>2</v>
      </c>
      <c r="E270" s="215">
        <f ca="1">SUMIF(Calc_LRMC_Tariff!$C$58:$C$65,$D270,Calc_LRMC_Tariff!$O$58:$O$65)/Inputs_Other!O$34*Thousands_to_Millions</f>
        <v>2.2358742191245673</v>
      </c>
      <c r="F270" s="215"/>
      <c r="G270" s="215"/>
      <c r="H270" s="215"/>
      <c r="I270" s="215">
        <f>SUMIFS(Calc_Revenue!$O$49:$O$62,Calc_Revenue!$E$49:$E$62,I$278,Calc_Revenue!$C$49:$C$62,$D270)/Inputs_Other!$O$34*Thousands_to_Millions</f>
        <v>2.1166446573079711</v>
      </c>
      <c r="J270" s="215">
        <f t="shared" ref="J270:J276" ca="1" si="8">IF(E270&gt;SUM(F270:I270),E270-SUM(F270:I270),"")</f>
        <v>0.11922956181659616</v>
      </c>
      <c r="K270" s="278" t="str">
        <f t="shared" ref="K270:K276" ca="1" si="9">IF(M270&gt;=E270,"YES","NO")</f>
        <v>YES</v>
      </c>
      <c r="M270" s="221">
        <f>SUMIF(Output_Revenue!$C$34:$C$41,$D270,Output_Revenue!$O$34:$O$41)/Inputs_Other!O$34*Thousands_to_Millions</f>
        <v>3.4535482739000636</v>
      </c>
    </row>
    <row r="271" spans="3:13" ht="15" x14ac:dyDescent="0.2">
      <c r="C271"/>
      <c r="D271" s="275" t="s">
        <v>491</v>
      </c>
      <c r="E271" s="214">
        <f ca="1">SUMIF(Calc_LRMC_Tariff!$C$58:$C$65,$D271,Calc_LRMC_Tariff!$O$58:$O$65)/Inputs_Other!O$34*Thousands_to_Millions</f>
        <v>15.258990405009428</v>
      </c>
      <c r="F271" s="214">
        <f>SUMIFS(Calc_Revenue!$O$49:$O$62,Calc_Revenue!$E$49:$E$62,F$278,Calc_Revenue!$C$49:$C$62,$D271)/Inputs_Other!$O$34*Thousands_to_Millions</f>
        <v>5.3754821612420809</v>
      </c>
      <c r="G271" s="214"/>
      <c r="H271" s="214"/>
      <c r="I271" s="214"/>
      <c r="J271" s="214">
        <f t="shared" ca="1" si="8"/>
        <v>9.8835082437673467</v>
      </c>
      <c r="K271" s="276" t="str">
        <f t="shared" ca="1" si="9"/>
        <v>YES</v>
      </c>
      <c r="M271" s="220">
        <f>SUMIF(Output_Revenue!$C$34:$C$41,$D271,Output_Revenue!$O$34:$O$41)/Inputs_Other!O$34*Thousands_to_Millions</f>
        <v>35.3312906708097</v>
      </c>
    </row>
    <row r="272" spans="3:13" ht="15" x14ac:dyDescent="0.2">
      <c r="C272"/>
      <c r="D272" s="277" t="s">
        <v>492</v>
      </c>
      <c r="E272" s="215">
        <f ca="1">SUMIF(Calc_LRMC_Tariff!$C$58:$C$65,$D272,Calc_LRMC_Tariff!$O$58:$O$65)/Inputs_Other!O$34*Thousands_to_Millions</f>
        <v>10.824784104421191</v>
      </c>
      <c r="F272" s="215">
        <f>SUMIFS(Calc_Revenue!$O$49:$O$62,Calc_Revenue!$E$49:$E$62,F$278,Calc_Revenue!$C$49:$C$62,$D272)/Inputs_Other!$O$34*Thousands_to_Millions</f>
        <v>7.7895473413306791</v>
      </c>
      <c r="G272" s="215"/>
      <c r="H272" s="215"/>
      <c r="I272" s="215"/>
      <c r="J272" s="215">
        <f t="shared" ca="1" si="8"/>
        <v>3.0352367630905119</v>
      </c>
      <c r="K272" s="278" t="str">
        <f t="shared" ca="1" si="9"/>
        <v>YES</v>
      </c>
      <c r="M272" s="221">
        <f>SUMIF(Output_Revenue!$C$34:$C$41,$D272,Output_Revenue!$O$34:$O$41)/Inputs_Other!O$34*Thousands_to_Millions</f>
        <v>23.301988598534869</v>
      </c>
    </row>
    <row r="273" spans="3:18" ht="15.75" thickBot="1" x14ac:dyDescent="0.25">
      <c r="C273"/>
      <c r="D273" s="275" t="s">
        <v>493</v>
      </c>
      <c r="E273" s="214">
        <f ca="1">SUMIF(Calc_LRMC_Tariff!$C$58:$C$65,$D273,Calc_LRMC_Tariff!$O$58:$O$65)/Inputs_Other!O$34*Thousands_to_Millions</f>
        <v>7.9716292359275984</v>
      </c>
      <c r="F273" s="214">
        <f>SUMIFS(Calc_Revenue!$O$49:$O$62,Calc_Revenue!$E$49:$E$62,F$278,Calc_Revenue!$C$49:$C$62,$D273)/Inputs_Other!$O$34*Thousands_to_Millions</f>
        <v>7.6133612794404089</v>
      </c>
      <c r="G273" s="214"/>
      <c r="H273" s="214"/>
      <c r="I273" s="214"/>
      <c r="J273" s="214">
        <f t="shared" ca="1" si="8"/>
        <v>0.35826795648718956</v>
      </c>
      <c r="K273" s="276" t="str">
        <f t="shared" ca="1" si="9"/>
        <v>YES</v>
      </c>
      <c r="M273" s="220">
        <f>SUMIF(Output_Revenue!$C$34:$C$41,$D273,Output_Revenue!$O$34:$O$41)/Inputs_Other!O$34*Thousands_to_Millions</f>
        <v>19.81966807184682</v>
      </c>
    </row>
    <row r="274" spans="3:18" ht="15.75" thickBot="1" x14ac:dyDescent="0.25">
      <c r="C274"/>
      <c r="D274" s="277">
        <v>4</v>
      </c>
      <c r="E274" s="215">
        <f ca="1">SUMIF(Calc_LRMC_Tariff!$C$58:$C$65,$D274,Calc_LRMC_Tariff!$O$58:$O$65)/Inputs_Other!O$34*Thousands_to_Millions</f>
        <v>0</v>
      </c>
      <c r="F274" s="215"/>
      <c r="G274" s="215"/>
      <c r="H274" s="215"/>
      <c r="I274" s="217">
        <f>SUMIFS(Calc_Revenue!$O$49:$O$62,Calc_Revenue!$E$49:$E$62,I$278,Calc_Revenue!$C$49:$C$62,$D274)/Inputs_Other!$O$34*Thousands_to_Millions*0</f>
        <v>0</v>
      </c>
      <c r="J274" s="215" t="str">
        <f t="shared" ca="1" si="8"/>
        <v/>
      </c>
      <c r="K274" s="278" t="str">
        <f t="shared" ca="1" si="9"/>
        <v>YES</v>
      </c>
      <c r="M274" s="221">
        <f>SUMIF(Output_Revenue!$C$34:$C$41,$D274,Output_Revenue!$O$34:$O$41)/Inputs_Other!O$34*Thousands_to_Millions</f>
        <v>1.5027294059319938</v>
      </c>
      <c r="N274" s="218" t="s">
        <v>606</v>
      </c>
    </row>
    <row r="275" spans="3:18" ht="15" x14ac:dyDescent="0.2">
      <c r="C275"/>
      <c r="D275" s="275">
        <v>5</v>
      </c>
      <c r="E275" s="214">
        <f ca="1">SUMIF(Calc_LRMC_Tariff!$C$58:$C$65,$D275,Calc_LRMC_Tariff!$O$58:$O$65)/Inputs_Other!O$34*Thousands_to_Millions</f>
        <v>8.5528170504445793</v>
      </c>
      <c r="F275" s="214"/>
      <c r="G275" s="214">
        <f>SUMIFS(Calc_Revenue!$O$72:$O$75,Calc_Revenue!$E$72:$E$75,G$278,Calc_Revenue!$C$72:$C$75,$D275)/Inputs_Other!$O$34*Thousands_to_Millions</f>
        <v>5.3560821964713057</v>
      </c>
      <c r="H275" s="214">
        <f>SUMIFS(Calc_Revenue!$O$72:$O$75,Calc_Revenue!$E$72:$E$75,H$278,Calc_Revenue!$C$72:$C$75,$D275)/Inputs_Other!$O$34*Thousands_to_Millions</f>
        <v>0.71655025712936393</v>
      </c>
      <c r="I275" s="214"/>
      <c r="J275" s="214">
        <f t="shared" ca="1" si="8"/>
        <v>2.4801845968439098</v>
      </c>
      <c r="K275" s="276" t="str">
        <f t="shared" ca="1" si="9"/>
        <v>YES</v>
      </c>
      <c r="M275" s="220">
        <f>SUMIF(Output_Revenue!$C$34:$C$41,$D275,Output_Revenue!$O$34:$O$41)/Inputs_Other!O$34*Thousands_to_Millions</f>
        <v>17.373566477052485</v>
      </c>
    </row>
    <row r="276" spans="3:18" ht="15.75" thickBot="1" x14ac:dyDescent="0.25">
      <c r="C276"/>
      <c r="D276" s="279">
        <v>6</v>
      </c>
      <c r="E276" s="280">
        <f ca="1">SUMIF(Calc_LRMC_Tariff!$C$58:$C$65,$D276,Calc_LRMC_Tariff!$O$58:$O$65)/Inputs_Other!O$34*Thousands_to_Millions</f>
        <v>3.344666564595955</v>
      </c>
      <c r="F276" s="280"/>
      <c r="G276" s="280">
        <f>SUMIFS(Calc_Revenue!$O$72:$O$75,Calc_Revenue!$E$72:$E$75,G$278,Calc_Revenue!$C$72:$C$75,$D276)/Inputs_Other!$O$34*Thousands_to_Millions</f>
        <v>2.42058323577323</v>
      </c>
      <c r="H276" s="280">
        <f>SUMIFS(Calc_Revenue!$O$72:$O$75,Calc_Revenue!$E$72:$E$75,H$278,Calc_Revenue!$C$72:$C$75,$D276)/Inputs_Other!$O$34*Thousands_to_Millions</f>
        <v>0.62878502430218053</v>
      </c>
      <c r="I276" s="280"/>
      <c r="J276" s="280">
        <f t="shared" ca="1" si="8"/>
        <v>0.29529830452054462</v>
      </c>
      <c r="K276" s="281" t="str">
        <f t="shared" ca="1" si="9"/>
        <v>YES</v>
      </c>
      <c r="M276" s="282">
        <f>SUMIF(Output_Revenue!$C$34:$C$41,$D276,Output_Revenue!$O$34:$O$41)/Inputs_Other!O$34*Thousands_to_Millions</f>
        <v>16.205406765589998</v>
      </c>
    </row>
    <row r="278" spans="3:18" x14ac:dyDescent="0.2">
      <c r="F278" s="216" t="s">
        <v>272</v>
      </c>
      <c r="G278" s="216" t="s">
        <v>276</v>
      </c>
      <c r="H278" s="216" t="s">
        <v>277</v>
      </c>
      <c r="I278" s="216" t="s">
        <v>275</v>
      </c>
    </row>
    <row r="281" spans="3:18" s="8" customFormat="1" ht="15" x14ac:dyDescent="0.2">
      <c r="C281" s="8" t="s">
        <v>607</v>
      </c>
    </row>
    <row r="283" spans="3:18" x14ac:dyDescent="0.2">
      <c r="L283" s="222" t="s">
        <v>118</v>
      </c>
      <c r="M283" s="139" t="str">
        <f>Lookup!N$19</f>
        <v>FY24</v>
      </c>
      <c r="N283" s="139" t="str">
        <f>Lookup!O$19</f>
        <v>FY25</v>
      </c>
      <c r="O283" s="139" t="str">
        <f>Lookup!P$19</f>
        <v>FY26</v>
      </c>
      <c r="P283" s="139" t="str">
        <f>Lookup!Q$19</f>
        <v>FY27</v>
      </c>
      <c r="Q283" s="139" t="str">
        <f>Lookup!R$19</f>
        <v>FY28</v>
      </c>
      <c r="R283" s="139" t="str">
        <f>Lookup!S$19</f>
        <v>FY29</v>
      </c>
    </row>
    <row r="284" spans="3:18" x14ac:dyDescent="0.2">
      <c r="L284" s="223" t="s">
        <v>610</v>
      </c>
      <c r="M284" s="224">
        <f>T$333</f>
        <v>2967.3</v>
      </c>
      <c r="N284" s="224">
        <f t="shared" ref="N284:R284" si="10">U$333</f>
        <v>2849.5</v>
      </c>
      <c r="O284" s="224">
        <f t="shared" si="10"/>
        <v>3020.25</v>
      </c>
      <c r="P284" s="224">
        <f t="shared" si="10"/>
        <v>3222.5</v>
      </c>
      <c r="Q284" s="224">
        <f t="shared" si="10"/>
        <v>3409.5</v>
      </c>
      <c r="R284" s="224">
        <f t="shared" si="10"/>
        <v>3540</v>
      </c>
    </row>
    <row r="285" spans="3:18" x14ac:dyDescent="0.2">
      <c r="L285" s="223" t="s">
        <v>612</v>
      </c>
      <c r="M285" s="224">
        <f>T$336</f>
        <v>2967.3</v>
      </c>
      <c r="N285" s="224">
        <f t="shared" ref="N285:R285" si="11">U$336</f>
        <v>2848.7417193644933</v>
      </c>
      <c r="O285" s="224">
        <f t="shared" si="11"/>
        <v>3020.6865678898525</v>
      </c>
      <c r="P285" s="224">
        <f t="shared" si="11"/>
        <v>3222.0553567942929</v>
      </c>
      <c r="Q285" s="224">
        <f t="shared" si="11"/>
        <v>3408.8256570694466</v>
      </c>
      <c r="R285" s="224">
        <f t="shared" si="11"/>
        <v>3539.3099799873958</v>
      </c>
    </row>
    <row r="299" spans="2:3" s="2" customFormat="1" ht="15.75" x14ac:dyDescent="0.2">
      <c r="B299" s="2" t="s">
        <v>790</v>
      </c>
    </row>
    <row r="301" spans="2:3" s="8" customFormat="1" ht="15" x14ac:dyDescent="0.2">
      <c r="C301" s="8" t="s">
        <v>637</v>
      </c>
    </row>
    <row r="323" spans="2:37" s="2" customFormat="1" ht="15.75" x14ac:dyDescent="0.2">
      <c r="B323" s="2" t="s">
        <v>791</v>
      </c>
    </row>
    <row r="325" spans="2:37" s="8" customFormat="1" ht="15" x14ac:dyDescent="0.2">
      <c r="C325" s="8" t="s">
        <v>792</v>
      </c>
    </row>
    <row r="327" spans="2:37" x14ac:dyDescent="0.2">
      <c r="S327" s="226" t="s">
        <v>625</v>
      </c>
      <c r="T327" s="64">
        <f>Lookup!N$17</f>
        <v>366</v>
      </c>
      <c r="U327" s="64">
        <f>Lookup!O$17</f>
        <v>365</v>
      </c>
      <c r="V327" s="64">
        <f>Lookup!P$17</f>
        <v>365</v>
      </c>
      <c r="W327" s="64">
        <f>Lookup!Q$17</f>
        <v>365</v>
      </c>
      <c r="X327" s="64">
        <f>Lookup!R$17</f>
        <v>366</v>
      </c>
      <c r="Y327" s="64">
        <f>Lookup!S$17</f>
        <v>365</v>
      </c>
    </row>
    <row r="329" spans="2:37" x14ac:dyDescent="0.2">
      <c r="H329" s="303" t="s">
        <v>795</v>
      </c>
      <c r="I329" s="303"/>
      <c r="J329" s="303"/>
      <c r="L329" s="303" t="s">
        <v>626</v>
      </c>
      <c r="M329" s="303"/>
      <c r="N329" s="303"/>
      <c r="O329" s="303"/>
      <c r="T329" s="304" t="s">
        <v>803</v>
      </c>
      <c r="U329" s="304"/>
      <c r="V329" s="304"/>
      <c r="W329" s="304"/>
      <c r="X329" s="304"/>
      <c r="Y329" s="304"/>
      <c r="AA329" s="299" t="s">
        <v>804</v>
      </c>
      <c r="AB329" s="299"/>
      <c r="AC329" s="299"/>
      <c r="AD329" s="299"/>
      <c r="AE329" s="299"/>
      <c r="AG329" s="300" t="s">
        <v>630</v>
      </c>
      <c r="AH329" s="300"/>
      <c r="AI329" s="300"/>
      <c r="AJ329" s="300"/>
      <c r="AK329" s="300"/>
    </row>
    <row r="330" spans="2:37" ht="38.25" x14ac:dyDescent="0.2">
      <c r="D330" s="70" t="s">
        <v>794</v>
      </c>
      <c r="E330" s="54" t="s">
        <v>617</v>
      </c>
      <c r="F330" s="54" t="s">
        <v>618</v>
      </c>
      <c r="H330" s="61" t="s">
        <v>796</v>
      </c>
      <c r="I330" s="61" t="s">
        <v>797</v>
      </c>
      <c r="J330" s="61" t="s">
        <v>798</v>
      </c>
      <c r="L330" s="61" t="s">
        <v>799</v>
      </c>
      <c r="M330" s="61" t="s">
        <v>800</v>
      </c>
      <c r="N330" s="61" t="s">
        <v>801</v>
      </c>
      <c r="O330" s="61" t="s">
        <v>802</v>
      </c>
      <c r="T330" s="54" t="str">
        <f>Lookup!N$19</f>
        <v>FY24</v>
      </c>
      <c r="U330" s="54" t="str">
        <f>Lookup!O$19</f>
        <v>FY25</v>
      </c>
      <c r="V330" s="54" t="str">
        <f>Lookup!P$19</f>
        <v>FY26</v>
      </c>
      <c r="W330" s="54" t="str">
        <f>Lookup!Q$19</f>
        <v>FY27</v>
      </c>
      <c r="X330" s="54" t="str">
        <f>Lookup!R$19</f>
        <v>FY28</v>
      </c>
      <c r="Y330" s="54" t="str">
        <f>Lookup!S$19</f>
        <v>FY29</v>
      </c>
      <c r="AA330" s="54" t="str">
        <f>Lookup!O$19</f>
        <v>FY25</v>
      </c>
      <c r="AB330" s="54" t="str">
        <f>Lookup!P$19</f>
        <v>FY26</v>
      </c>
      <c r="AC330" s="54" t="str">
        <f>Lookup!Q$19</f>
        <v>FY27</v>
      </c>
      <c r="AD330" s="54" t="str">
        <f>Lookup!R$19</f>
        <v>FY28</v>
      </c>
      <c r="AE330" s="54" t="str">
        <f>Lookup!S$19</f>
        <v>FY29</v>
      </c>
      <c r="AG330" s="54" t="str">
        <f>Lookup!O$19</f>
        <v>FY25</v>
      </c>
      <c r="AH330" s="54" t="str">
        <f>Lookup!P$19</f>
        <v>FY26</v>
      </c>
      <c r="AI330" s="54" t="str">
        <f>Lookup!Q$19</f>
        <v>FY27</v>
      </c>
      <c r="AJ330" s="54" t="str">
        <f>Lookup!R$19</f>
        <v>FY28</v>
      </c>
      <c r="AK330" s="54" t="str">
        <f>Lookup!S$19</f>
        <v>FY29</v>
      </c>
    </row>
    <row r="332" spans="2:37" x14ac:dyDescent="0.2">
      <c r="D332" s="75" t="s">
        <v>197</v>
      </c>
      <c r="E332" s="80">
        <v>1</v>
      </c>
      <c r="F332" s="80">
        <v>1</v>
      </c>
      <c r="H332" s="64">
        <v>0</v>
      </c>
      <c r="I332" s="95"/>
      <c r="J332" s="95"/>
      <c r="L332" s="64">
        <v>8500</v>
      </c>
      <c r="M332" s="95"/>
      <c r="N332" s="95"/>
      <c r="O332" s="95"/>
      <c r="T332" s="96">
        <f>SUMIF(Inputs_FY23_FY24!$C$27:$C$33,$E332,Inputs_FY23_FY24!$N$27:$N$33)*T$327+
SUMIF(Inputs_FY23_FY24!$C$46:$C$52,$E332,Inputs_FY23_FY24!$N$46:$N$52)*$L332+
SUMIF(Inputs_FY23_FY24!$C$66:$C$69,$E332,Inputs_FY23_FY24!$N$66:$N$69)*$H332</f>
        <v>1052.5</v>
      </c>
      <c r="U332" s="97">
        <f>SUMIF(Inputs_Prices!$C$20:$C$27,$F332,Inputs_Prices!O$20:O$27)*U$327
+SUMIFS(Inputs_Prices!O$34:O$47,Inputs_Prices!$C$34:$C$47,$F332,Inputs_Prices!$E$34:$E$47,$L$330)*$L332
+SUMIFS(Inputs_Prices!O$34:O$47,Inputs_Prices!$C$34:$C$47,$F332,Inputs_Prices!$E$34:$E$47,$M$330)*$M332
+SUMIFS(Inputs_Prices!O$34:O$47,Inputs_Prices!$C$34:$C$47,$F332,Inputs_Prices!$E$34:$E$47,$N$330)*$N332
+SUMIFS(Inputs_Prices!O$34:O$47,Inputs_Prices!$C$34:$C$47,$F332,Inputs_Prices!$E$34:$E$47,$O$330)*$O332
+SUMIFS(Inputs_Prices!O$54:O$57,Inputs_Prices!$C$54:$C$57,$F332,Inputs_Prices!$E$54:$E$57,$I$330)*$I332
+SUMIFS(Inputs_Prices!O$54:O$57,Inputs_Prices!$C$54:$C$57,$F332,Inputs_Prices!$E$54:$E$57,$J$330)*$J332</f>
        <v>1231.5</v>
      </c>
      <c r="V332" s="175">
        <f>SUMIF(Inputs_Prices!$C$20:$C$27,$F332,Inputs_Prices!P$20:P$27)*V$327
+SUMIFS(Inputs_Prices!P$34:P$47,Inputs_Prices!$C$34:$C$47,$F332,Inputs_Prices!$E$34:$E$47,$L$330)*$L332
+SUMIFS(Inputs_Prices!P$34:P$47,Inputs_Prices!$C$34:$C$47,$F332,Inputs_Prices!$E$34:$E$47,$M$330)*$M332
+SUMIFS(Inputs_Prices!P$34:P$47,Inputs_Prices!$C$34:$C$47,$F332,Inputs_Prices!$E$34:$E$47,$N$330)*$N332
+SUMIFS(Inputs_Prices!P$34:P$47,Inputs_Prices!$C$34:$C$47,$F332,Inputs_Prices!$E$34:$E$47,$O$330)*$O332
+SUMIFS(Inputs_Prices!P$54:P$57,Inputs_Prices!$C$54:$C$57,$F332,Inputs_Prices!$E$54:$E$57,$I$330)*$I332
+SUMIFS(Inputs_Prices!P$54:P$57,Inputs_Prices!$C$54:$C$57,$F332,Inputs_Prices!$E$54:$E$57,$J$330)*$J332</f>
        <v>1331.25</v>
      </c>
      <c r="W332" s="175">
        <f>SUMIF(Inputs_Prices!$C$20:$C$27,$F332,Inputs_Prices!Q$20:Q$27)*W$327
+SUMIFS(Inputs_Prices!Q$34:Q$47,Inputs_Prices!$C$34:$C$47,$F332,Inputs_Prices!$E$34:$E$47,$L$330)*$L332
+SUMIFS(Inputs_Prices!Q$34:Q$47,Inputs_Prices!$C$34:$C$47,$F332,Inputs_Prices!$E$34:$E$47,$M$330)*$M332
+SUMIFS(Inputs_Prices!Q$34:Q$47,Inputs_Prices!$C$34:$C$47,$F332,Inputs_Prices!$E$34:$E$47,$N$330)*$N332
+SUMIFS(Inputs_Prices!Q$34:Q$47,Inputs_Prices!$C$34:$C$47,$F332,Inputs_Prices!$E$34:$E$47,$O$330)*$O332
+SUMIFS(Inputs_Prices!Q$54:Q$57,Inputs_Prices!$C$54:$C$57,$F332,Inputs_Prices!$E$54:$E$57,$I$330)*$I332
+SUMIFS(Inputs_Prices!Q$54:Q$57,Inputs_Prices!$C$54:$C$57,$F332,Inputs_Prices!$E$54:$E$57,$J$330)*$J332</f>
        <v>1482</v>
      </c>
      <c r="X332" s="175">
        <f>SUMIF(Inputs_Prices!$C$20:$C$27,$F332,Inputs_Prices!R$20:R$27)*X$327
+SUMIFS(Inputs_Prices!R$34:R$47,Inputs_Prices!$C$34:$C$47,$F332,Inputs_Prices!$E$34:$E$47,$L$330)*$L332
+SUMIFS(Inputs_Prices!R$34:R$47,Inputs_Prices!$C$34:$C$47,$F332,Inputs_Prices!$E$34:$E$47,$M$330)*$M332
+SUMIFS(Inputs_Prices!R$34:R$47,Inputs_Prices!$C$34:$C$47,$F332,Inputs_Prices!$E$34:$E$47,$N$330)*$N332
+SUMIFS(Inputs_Prices!R$34:R$47,Inputs_Prices!$C$34:$C$47,$F332,Inputs_Prices!$E$34:$E$47,$O$330)*$O332
+SUMIFS(Inputs_Prices!R$54:R$57,Inputs_Prices!$C$54:$C$57,$F332,Inputs_Prices!$E$54:$E$57,$I$330)*$I332
+SUMIFS(Inputs_Prices!R$54:R$57,Inputs_Prices!$C$54:$C$57,$F332,Inputs_Prices!$E$54:$E$57,$J$330)*$J332</f>
        <v>1641.875</v>
      </c>
      <c r="Y332" s="175">
        <f>SUMIF(Inputs_Prices!$C$20:$C$27,$F332,Inputs_Prices!S$20:S$27)*Y$327
+SUMIFS(Inputs_Prices!S$34:S$47,Inputs_Prices!$C$34:$C$47,$F332,Inputs_Prices!$E$34:$E$47,$L$330)*$L332
+SUMIFS(Inputs_Prices!S$34:S$47,Inputs_Prices!$C$34:$C$47,$F332,Inputs_Prices!$E$34:$E$47,$M$330)*$M332
+SUMIFS(Inputs_Prices!S$34:S$47,Inputs_Prices!$C$34:$C$47,$F332,Inputs_Prices!$E$34:$E$47,$N$330)*$N332
+SUMIFS(Inputs_Prices!S$34:S$47,Inputs_Prices!$C$34:$C$47,$F332,Inputs_Prices!$E$34:$E$47,$O$330)*$O332
+SUMIFS(Inputs_Prices!S$54:S$57,Inputs_Prices!$C$54:$C$57,$F332,Inputs_Prices!$E$54:$E$57,$I$330)*$I332
+SUMIFS(Inputs_Prices!S$54:S$57,Inputs_Prices!$C$54:$C$57,$F332,Inputs_Prices!$E$54:$E$57,$J$330)*$J332</f>
        <v>1683.75</v>
      </c>
      <c r="AA332" s="175">
        <f>U332-T332</f>
        <v>179</v>
      </c>
      <c r="AB332" s="175">
        <f t="shared" ref="AB332:AB347" si="12">V332-U332</f>
        <v>99.75</v>
      </c>
      <c r="AC332" s="175">
        <f t="shared" ref="AC332:AC347" si="13">W332-V332</f>
        <v>150.75</v>
      </c>
      <c r="AD332" s="175">
        <f t="shared" ref="AD332:AD347" si="14">X332-W332</f>
        <v>159.875</v>
      </c>
      <c r="AE332" s="175">
        <f t="shared" ref="AE332:AE347" si="15">Y332-X332</f>
        <v>41.875</v>
      </c>
      <c r="AG332" s="228">
        <f>IF(T332=0,0,AA332/T332)</f>
        <v>0.17007125890736341</v>
      </c>
      <c r="AH332" s="228">
        <f t="shared" ref="AH332:AH347" si="16">IF(U332=0,0,AB332/U332)</f>
        <v>8.0998781973203413E-2</v>
      </c>
      <c r="AI332" s="228">
        <f t="shared" ref="AI332:AI347" si="17">IF(V332=0,0,AC332/V332)</f>
        <v>0.1132394366197183</v>
      </c>
      <c r="AJ332" s="228">
        <f t="shared" ref="AJ332:AJ347" si="18">IF(W332=0,0,AD332/W332)</f>
        <v>0.1078778677462888</v>
      </c>
      <c r="AK332" s="228">
        <f t="shared" ref="AK332:AK347" si="19">IF(X332=0,0,AE332/X332)</f>
        <v>2.5504377617053674E-2</v>
      </c>
    </row>
    <row r="333" spans="2:37" x14ac:dyDescent="0.2">
      <c r="D333" s="75" t="s">
        <v>195</v>
      </c>
      <c r="E333" s="80">
        <v>2</v>
      </c>
      <c r="F333" s="80">
        <v>2</v>
      </c>
      <c r="H333" s="64">
        <v>0</v>
      </c>
      <c r="I333" s="95"/>
      <c r="J333" s="95"/>
      <c r="L333" s="64">
        <v>30000</v>
      </c>
      <c r="M333" s="95"/>
      <c r="N333" s="95"/>
      <c r="O333" s="95"/>
      <c r="T333" s="96">
        <f>SUMIF(Inputs_FY23_FY24!$C$27:$C$33,$E333,Inputs_FY23_FY24!$N$27:$N$33)*T$327+
SUMIF(Inputs_FY23_FY24!$C$46:$C$52,$E333,Inputs_FY23_FY24!$N$46:$N$52)*$L333+
SUMIF(Inputs_FY23_FY24!$C$66:$C$69,$E333,Inputs_FY23_FY24!$N$66:$N$69)*$H333</f>
        <v>2967.3</v>
      </c>
      <c r="U333" s="97">
        <f>SUMIF(Inputs_Prices!$C$20:$C$27,$F333,Inputs_Prices!O$20:O$27)*U$327
+SUMIFS(Inputs_Prices!O$34:O$47,Inputs_Prices!$C$34:$C$47,$F333,Inputs_Prices!$E$34:$E$47,$L$330)*$L333
+SUMIFS(Inputs_Prices!O$34:O$47,Inputs_Prices!$C$34:$C$47,$F333,Inputs_Prices!$E$34:$E$47,$M$330)*$M333
+SUMIFS(Inputs_Prices!O$34:O$47,Inputs_Prices!$C$34:$C$47,$F333,Inputs_Prices!$E$34:$E$47,$N$330)*$N333
+SUMIFS(Inputs_Prices!O$34:O$47,Inputs_Prices!$C$34:$C$47,$F333,Inputs_Prices!$E$34:$E$47,$O$330)*$O333
+SUMIFS(Inputs_Prices!O$54:O$57,Inputs_Prices!$C$54:$C$57,$F333,Inputs_Prices!$E$54:$E$57,$I$330)*$I333
+SUMIFS(Inputs_Prices!O$54:O$57,Inputs_Prices!$C$54:$C$57,$F333,Inputs_Prices!$E$54:$E$57,$J$330)*$J333</f>
        <v>2849.5</v>
      </c>
      <c r="V333" s="175">
        <f>SUMIF(Inputs_Prices!$C$20:$C$27,$F333,Inputs_Prices!P$20:P$27)*V$327
+SUMIFS(Inputs_Prices!P$34:P$47,Inputs_Prices!$C$34:$C$47,$F333,Inputs_Prices!$E$34:$E$47,$L$330)*$L333
+SUMIFS(Inputs_Prices!P$34:P$47,Inputs_Prices!$C$34:$C$47,$F333,Inputs_Prices!$E$34:$E$47,$M$330)*$M333
+SUMIFS(Inputs_Prices!P$34:P$47,Inputs_Prices!$C$34:$C$47,$F333,Inputs_Prices!$E$34:$E$47,$N$330)*$N333
+SUMIFS(Inputs_Prices!P$34:P$47,Inputs_Prices!$C$34:$C$47,$F333,Inputs_Prices!$E$34:$E$47,$O$330)*$O333
+SUMIFS(Inputs_Prices!P$54:P$57,Inputs_Prices!$C$54:$C$57,$F333,Inputs_Prices!$E$54:$E$57,$I$330)*$I333
+SUMIFS(Inputs_Prices!P$54:P$57,Inputs_Prices!$C$54:$C$57,$F333,Inputs_Prices!$E$54:$E$57,$J$330)*$J333</f>
        <v>3020.25</v>
      </c>
      <c r="W333" s="175">
        <f>SUMIF(Inputs_Prices!$C$20:$C$27,$F333,Inputs_Prices!Q$20:Q$27)*W$327
+SUMIFS(Inputs_Prices!Q$34:Q$47,Inputs_Prices!$C$34:$C$47,$F333,Inputs_Prices!$E$34:$E$47,$L$330)*$L333
+SUMIFS(Inputs_Prices!Q$34:Q$47,Inputs_Prices!$C$34:$C$47,$F333,Inputs_Prices!$E$34:$E$47,$M$330)*$M333
+SUMIFS(Inputs_Prices!Q$34:Q$47,Inputs_Prices!$C$34:$C$47,$F333,Inputs_Prices!$E$34:$E$47,$N$330)*$N333
+SUMIFS(Inputs_Prices!Q$34:Q$47,Inputs_Prices!$C$34:$C$47,$F333,Inputs_Prices!$E$34:$E$47,$O$330)*$O333
+SUMIFS(Inputs_Prices!Q$54:Q$57,Inputs_Prices!$C$54:$C$57,$F333,Inputs_Prices!$E$54:$E$57,$I$330)*$I333
+SUMIFS(Inputs_Prices!Q$54:Q$57,Inputs_Prices!$C$54:$C$57,$F333,Inputs_Prices!$E$54:$E$57,$J$330)*$J333</f>
        <v>3222.5</v>
      </c>
      <c r="X333" s="175">
        <f>SUMIF(Inputs_Prices!$C$20:$C$27,$F333,Inputs_Prices!R$20:R$27)*X$327
+SUMIFS(Inputs_Prices!R$34:R$47,Inputs_Prices!$C$34:$C$47,$F333,Inputs_Prices!$E$34:$E$47,$L$330)*$L333
+SUMIFS(Inputs_Prices!R$34:R$47,Inputs_Prices!$C$34:$C$47,$F333,Inputs_Prices!$E$34:$E$47,$M$330)*$M333
+SUMIFS(Inputs_Prices!R$34:R$47,Inputs_Prices!$C$34:$C$47,$F333,Inputs_Prices!$E$34:$E$47,$N$330)*$N333
+SUMIFS(Inputs_Prices!R$34:R$47,Inputs_Prices!$C$34:$C$47,$F333,Inputs_Prices!$E$34:$E$47,$O$330)*$O333
+SUMIFS(Inputs_Prices!R$54:R$57,Inputs_Prices!$C$54:$C$57,$F333,Inputs_Prices!$E$54:$E$57,$I$330)*$I333
+SUMIFS(Inputs_Prices!R$54:R$57,Inputs_Prices!$C$54:$C$57,$F333,Inputs_Prices!$E$54:$E$57,$J$330)*$J333</f>
        <v>3409.5</v>
      </c>
      <c r="Y333" s="175">
        <f>SUMIF(Inputs_Prices!$C$20:$C$27,$F333,Inputs_Prices!S$20:S$27)*Y$327
+SUMIFS(Inputs_Prices!S$34:S$47,Inputs_Prices!$C$34:$C$47,$F333,Inputs_Prices!$E$34:$E$47,$L$330)*$L333
+SUMIFS(Inputs_Prices!S$34:S$47,Inputs_Prices!$C$34:$C$47,$F333,Inputs_Prices!$E$34:$E$47,$M$330)*$M333
+SUMIFS(Inputs_Prices!S$34:S$47,Inputs_Prices!$C$34:$C$47,$F333,Inputs_Prices!$E$34:$E$47,$N$330)*$N333
+SUMIFS(Inputs_Prices!S$34:S$47,Inputs_Prices!$C$34:$C$47,$F333,Inputs_Prices!$E$34:$E$47,$O$330)*$O333
+SUMIFS(Inputs_Prices!S$54:S$57,Inputs_Prices!$C$54:$C$57,$F333,Inputs_Prices!$E$54:$E$57,$I$330)*$I333
+SUMIFS(Inputs_Prices!S$54:S$57,Inputs_Prices!$C$54:$C$57,$F333,Inputs_Prices!$E$54:$E$57,$J$330)*$J333</f>
        <v>3540</v>
      </c>
      <c r="AA333" s="175">
        <f t="shared" ref="AA333:AA347" si="20">U333-T333</f>
        <v>-117.80000000000018</v>
      </c>
      <c r="AB333" s="175">
        <f t="shared" si="12"/>
        <v>170.75</v>
      </c>
      <c r="AC333" s="175">
        <f t="shared" si="13"/>
        <v>202.25</v>
      </c>
      <c r="AD333" s="175">
        <f t="shared" si="14"/>
        <v>187</v>
      </c>
      <c r="AE333" s="175">
        <f t="shared" si="15"/>
        <v>130.5</v>
      </c>
      <c r="AG333" s="228">
        <f t="shared" ref="AG333:AG347" si="21">IF(T333=0,0,AA333/T333)</f>
        <v>-3.9699390017861415E-2</v>
      </c>
      <c r="AH333" s="228">
        <f t="shared" si="16"/>
        <v>5.9922793472539045E-2</v>
      </c>
      <c r="AI333" s="228">
        <f t="shared" si="17"/>
        <v>6.6964655243771209E-2</v>
      </c>
      <c r="AJ333" s="228">
        <f t="shared" si="18"/>
        <v>5.8029480217222651E-2</v>
      </c>
      <c r="AK333" s="228">
        <f t="shared" si="19"/>
        <v>3.8275406951165859E-2</v>
      </c>
    </row>
    <row r="334" spans="2:37" x14ac:dyDescent="0.2">
      <c r="D334" s="75" t="s">
        <v>196</v>
      </c>
      <c r="E334" s="80">
        <v>1</v>
      </c>
      <c r="F334" s="80" t="s">
        <v>491</v>
      </c>
      <c r="H334" s="64">
        <v>20</v>
      </c>
      <c r="I334" s="95"/>
      <c r="J334" s="95"/>
      <c r="L334" s="64">
        <v>8500</v>
      </c>
      <c r="M334" s="227">
        <f t="shared" ref="M334:O339" si="22">$L334*SUMIF($L$350:$L$352,$F334,M$350:M$352)</f>
        <v>1176.100107963259</v>
      </c>
      <c r="N334" s="227">
        <f t="shared" si="22"/>
        <v>5554.5665655559314</v>
      </c>
      <c r="O334" s="227">
        <f t="shared" si="22"/>
        <v>1769.3333264808093</v>
      </c>
      <c r="Q334" s="225"/>
      <c r="T334" s="96">
        <f>SUMIF(Inputs_FY23_FY24!$C$27:$C$33,$E334,Inputs_FY23_FY24!$N$27:$N$33)*T$327+
SUMIF(Inputs_FY23_FY24!$C$46:$C$52,$E334,Inputs_FY23_FY24!$N$46:$N$52)*$L334+
SUMIF(Inputs_FY23_FY24!$C$66:$C$69,$E334,Inputs_FY23_FY24!$N$66:$N$69)*$H334</f>
        <v>1052.5</v>
      </c>
      <c r="U334" s="97">
        <f>SUMIF(Inputs_Prices!$C$20:$C$27,$F334,Inputs_Prices!O$20:O$27)*U$327
+SUMIFS(Inputs_Prices!O$34:O$47,Inputs_Prices!$C$34:$C$47,$F334,Inputs_Prices!$E$34:$E$47,$L$330)*$L334
+SUMIFS(Inputs_Prices!O$34:O$47,Inputs_Prices!$C$34:$C$47,$F334,Inputs_Prices!$E$34:$E$47,$M$330)*$M334
+SUMIFS(Inputs_Prices!O$34:O$47,Inputs_Prices!$C$34:$C$47,$F334,Inputs_Prices!$E$34:$E$47,$N$330)*$N334
+SUMIFS(Inputs_Prices!O$34:O$47,Inputs_Prices!$C$34:$C$47,$F334,Inputs_Prices!$E$34:$E$47,$O$330)*$O334
+SUMIFS(Inputs_Prices!O$54:O$57,Inputs_Prices!$C$54:$C$57,$F334,Inputs_Prices!$E$54:$E$57,$I$330)*$I334
+SUMIFS(Inputs_Prices!O$54:O$57,Inputs_Prices!$C$54:$C$57,$F334,Inputs_Prices!$E$54:$E$57,$J$330)*$J334</f>
        <v>1231.1873487908158</v>
      </c>
      <c r="V334" s="175">
        <f>SUMIF(Inputs_Prices!$C$20:$C$27,$F334,Inputs_Prices!P$20:P$27)*V$327
+SUMIFS(Inputs_Prices!P$34:P$47,Inputs_Prices!$C$34:$C$47,$F334,Inputs_Prices!$E$34:$E$47,$L$330)*$L334
+SUMIFS(Inputs_Prices!P$34:P$47,Inputs_Prices!$C$34:$C$47,$F334,Inputs_Prices!$E$34:$E$47,$M$330)*$M334
+SUMIFS(Inputs_Prices!P$34:P$47,Inputs_Prices!$C$34:$C$47,$F334,Inputs_Prices!$E$34:$E$47,$N$330)*$N334
+SUMIFS(Inputs_Prices!P$34:P$47,Inputs_Prices!$C$34:$C$47,$F334,Inputs_Prices!$E$34:$E$47,$O$330)*$O334
+SUMIFS(Inputs_Prices!P$54:P$57,Inputs_Prices!$C$54:$C$57,$F334,Inputs_Prices!$E$54:$E$57,$I$330)*$I334
+SUMIFS(Inputs_Prices!P$54:P$57,Inputs_Prices!$C$54:$C$57,$F334,Inputs_Prices!$E$54:$E$57,$J$330)*$J334</f>
        <v>1331.0951326134102</v>
      </c>
      <c r="W334" s="175">
        <f>SUMIF(Inputs_Prices!$C$20:$C$27,$F334,Inputs_Prices!Q$20:Q$27)*W$327
+SUMIFS(Inputs_Prices!Q$34:Q$47,Inputs_Prices!$C$34:$C$47,$F334,Inputs_Prices!$E$34:$E$47,$L$330)*$L334
+SUMIFS(Inputs_Prices!Q$34:Q$47,Inputs_Prices!$C$34:$C$47,$F334,Inputs_Prices!$E$34:$E$47,$M$330)*$M334
+SUMIFS(Inputs_Prices!Q$34:Q$47,Inputs_Prices!$C$34:$C$47,$F334,Inputs_Prices!$E$34:$E$47,$N$330)*$N334
+SUMIFS(Inputs_Prices!Q$34:Q$47,Inputs_Prices!$C$34:$C$47,$F334,Inputs_Prices!$E$34:$E$47,$O$330)*$O334
+SUMIFS(Inputs_Prices!Q$54:Q$57,Inputs_Prices!$C$54:$C$57,$F334,Inputs_Prices!$E$54:$E$57,$I$330)*$I334
+SUMIFS(Inputs_Prices!Q$54:Q$57,Inputs_Prices!$C$54:$C$57,$F334,Inputs_Prices!$E$54:$E$57,$J$330)*$J334</f>
        <v>1482.1049288391189</v>
      </c>
      <c r="X334" s="175">
        <f>SUMIF(Inputs_Prices!$C$20:$C$27,$F334,Inputs_Prices!R$20:R$27)*X$327
+SUMIFS(Inputs_Prices!R$34:R$47,Inputs_Prices!$C$34:$C$47,$F334,Inputs_Prices!$E$34:$E$47,$L$330)*$L334
+SUMIFS(Inputs_Prices!R$34:R$47,Inputs_Prices!$C$34:$C$47,$F334,Inputs_Prices!$E$34:$E$47,$M$330)*$M334
+SUMIFS(Inputs_Prices!R$34:R$47,Inputs_Prices!$C$34:$C$47,$F334,Inputs_Prices!$E$34:$E$47,$N$330)*$N334
+SUMIFS(Inputs_Prices!R$34:R$47,Inputs_Prices!$C$34:$C$47,$F334,Inputs_Prices!$E$34:$E$47,$O$330)*$O334
+SUMIFS(Inputs_Prices!R$54:R$57,Inputs_Prices!$C$54:$C$57,$F334,Inputs_Prices!$E$54:$E$57,$I$330)*$I334
+SUMIFS(Inputs_Prices!R$54:R$57,Inputs_Prices!$C$54:$C$57,$F334,Inputs_Prices!$E$54:$E$57,$J$330)*$J334</f>
        <v>1642.3006822611997</v>
      </c>
      <c r="Y334" s="175">
        <f>SUMIF(Inputs_Prices!$C$20:$C$27,$F334,Inputs_Prices!S$20:S$27)*Y$327
+SUMIFS(Inputs_Prices!S$34:S$47,Inputs_Prices!$C$34:$C$47,$F334,Inputs_Prices!$E$34:$E$47,$L$330)*$L334
+SUMIFS(Inputs_Prices!S$34:S$47,Inputs_Prices!$C$34:$C$47,$F334,Inputs_Prices!$E$34:$E$47,$M$330)*$M334
+SUMIFS(Inputs_Prices!S$34:S$47,Inputs_Prices!$C$34:$C$47,$F334,Inputs_Prices!$E$34:$E$47,$N$330)*$N334
+SUMIFS(Inputs_Prices!S$34:S$47,Inputs_Prices!$C$34:$C$47,$F334,Inputs_Prices!$E$34:$E$47,$O$330)*$O334
+SUMIFS(Inputs_Prices!S$54:S$57,Inputs_Prices!$C$54:$C$57,$F334,Inputs_Prices!$E$54:$E$57,$I$330)*$I334
+SUMIFS(Inputs_Prices!S$54:S$57,Inputs_Prices!$C$54:$C$57,$F334,Inputs_Prices!$E$54:$E$57,$J$330)*$J334</f>
        <v>1684.6390827341679</v>
      </c>
      <c r="AA334" s="175">
        <f t="shared" si="20"/>
        <v>178.6873487908158</v>
      </c>
      <c r="AB334" s="175">
        <f t="shared" si="12"/>
        <v>99.907783822594411</v>
      </c>
      <c r="AC334" s="175">
        <f t="shared" si="13"/>
        <v>151.00979622570867</v>
      </c>
      <c r="AD334" s="175">
        <f t="shared" si="14"/>
        <v>160.19575342208077</v>
      </c>
      <c r="AE334" s="175">
        <f t="shared" si="15"/>
        <v>42.33840047296826</v>
      </c>
      <c r="AG334" s="228">
        <f t="shared" si="21"/>
        <v>0.16977420312666586</v>
      </c>
      <c r="AH334" s="228">
        <f t="shared" si="16"/>
        <v>8.1147506852402837E-2</v>
      </c>
      <c r="AI334" s="228">
        <f t="shared" si="17"/>
        <v>0.11344778635710512</v>
      </c>
      <c r="AJ334" s="228">
        <f t="shared" si="18"/>
        <v>0.10808664778380875</v>
      </c>
      <c r="AK334" s="228">
        <f t="shared" si="19"/>
        <v>2.5779932341424037E-2</v>
      </c>
    </row>
    <row r="335" spans="2:37" x14ac:dyDescent="0.2">
      <c r="D335" s="75" t="s">
        <v>196</v>
      </c>
      <c r="E335" s="80">
        <v>3</v>
      </c>
      <c r="F335" s="80" t="s">
        <v>491</v>
      </c>
      <c r="H335" s="64">
        <v>20</v>
      </c>
      <c r="I335" s="95"/>
      <c r="J335" s="95"/>
      <c r="L335" s="64">
        <v>8500</v>
      </c>
      <c r="M335" s="227">
        <f t="shared" si="22"/>
        <v>1176.100107963259</v>
      </c>
      <c r="N335" s="227">
        <f t="shared" si="22"/>
        <v>5554.5665655559314</v>
      </c>
      <c r="O335" s="227">
        <f t="shared" si="22"/>
        <v>1769.3333264808093</v>
      </c>
      <c r="Q335" s="225"/>
      <c r="T335" s="96">
        <f>SUMIF(Inputs_FY23_FY24!$C$27:$C$33,$E335,Inputs_FY23_FY24!$N$27:$N$33)*T$327+
SUMIF(Inputs_FY23_FY24!$C$46:$C$52,$E335,Inputs_FY23_FY24!$N$46:$N$52)*$L335+
SUMIF(Inputs_FY23_FY24!$C$66:$C$69,$E335,Inputs_FY23_FY24!$N$66:$N$69)*$H335</f>
        <v>1254</v>
      </c>
      <c r="U335" s="97">
        <f>SUMIF(Inputs_Prices!$C$20:$C$27,$F335,Inputs_Prices!O$20:O$27)*U$327
+SUMIFS(Inputs_Prices!O$34:O$47,Inputs_Prices!$C$34:$C$47,$F335,Inputs_Prices!$E$34:$E$47,$L$330)*$L335
+SUMIFS(Inputs_Prices!O$34:O$47,Inputs_Prices!$C$34:$C$47,$F335,Inputs_Prices!$E$34:$E$47,$M$330)*$M335
+SUMIFS(Inputs_Prices!O$34:O$47,Inputs_Prices!$C$34:$C$47,$F335,Inputs_Prices!$E$34:$E$47,$N$330)*$N335
+SUMIFS(Inputs_Prices!O$34:O$47,Inputs_Prices!$C$34:$C$47,$F335,Inputs_Prices!$E$34:$E$47,$O$330)*$O335
+SUMIFS(Inputs_Prices!O$54:O$57,Inputs_Prices!$C$54:$C$57,$F335,Inputs_Prices!$E$54:$E$57,$I$330)*$I335
+SUMIFS(Inputs_Prices!O$54:O$57,Inputs_Prices!$C$54:$C$57,$F335,Inputs_Prices!$E$54:$E$57,$J$330)*$J335</f>
        <v>1231.1873487908158</v>
      </c>
      <c r="V335" s="175">
        <f>SUMIF(Inputs_Prices!$C$20:$C$27,$F335,Inputs_Prices!P$20:P$27)*V$327
+SUMIFS(Inputs_Prices!P$34:P$47,Inputs_Prices!$C$34:$C$47,$F335,Inputs_Prices!$E$34:$E$47,$L$330)*$L335
+SUMIFS(Inputs_Prices!P$34:P$47,Inputs_Prices!$C$34:$C$47,$F335,Inputs_Prices!$E$34:$E$47,$M$330)*$M335
+SUMIFS(Inputs_Prices!P$34:P$47,Inputs_Prices!$C$34:$C$47,$F335,Inputs_Prices!$E$34:$E$47,$N$330)*$N335
+SUMIFS(Inputs_Prices!P$34:P$47,Inputs_Prices!$C$34:$C$47,$F335,Inputs_Prices!$E$34:$E$47,$O$330)*$O335
+SUMIFS(Inputs_Prices!P$54:P$57,Inputs_Prices!$C$54:$C$57,$F335,Inputs_Prices!$E$54:$E$57,$I$330)*$I335
+SUMIFS(Inputs_Prices!P$54:P$57,Inputs_Prices!$C$54:$C$57,$F335,Inputs_Prices!$E$54:$E$57,$J$330)*$J335</f>
        <v>1331.0951326134102</v>
      </c>
      <c r="W335" s="175">
        <f>SUMIF(Inputs_Prices!$C$20:$C$27,$F335,Inputs_Prices!Q$20:Q$27)*W$327
+SUMIFS(Inputs_Prices!Q$34:Q$47,Inputs_Prices!$C$34:$C$47,$F335,Inputs_Prices!$E$34:$E$47,$L$330)*$L335
+SUMIFS(Inputs_Prices!Q$34:Q$47,Inputs_Prices!$C$34:$C$47,$F335,Inputs_Prices!$E$34:$E$47,$M$330)*$M335
+SUMIFS(Inputs_Prices!Q$34:Q$47,Inputs_Prices!$C$34:$C$47,$F335,Inputs_Prices!$E$34:$E$47,$N$330)*$N335
+SUMIFS(Inputs_Prices!Q$34:Q$47,Inputs_Prices!$C$34:$C$47,$F335,Inputs_Prices!$E$34:$E$47,$O$330)*$O335
+SUMIFS(Inputs_Prices!Q$54:Q$57,Inputs_Prices!$C$54:$C$57,$F335,Inputs_Prices!$E$54:$E$57,$I$330)*$I335
+SUMIFS(Inputs_Prices!Q$54:Q$57,Inputs_Prices!$C$54:$C$57,$F335,Inputs_Prices!$E$54:$E$57,$J$330)*$J335</f>
        <v>1482.1049288391189</v>
      </c>
      <c r="X335" s="175">
        <f>SUMIF(Inputs_Prices!$C$20:$C$27,$F335,Inputs_Prices!R$20:R$27)*X$327
+SUMIFS(Inputs_Prices!R$34:R$47,Inputs_Prices!$C$34:$C$47,$F335,Inputs_Prices!$E$34:$E$47,$L$330)*$L335
+SUMIFS(Inputs_Prices!R$34:R$47,Inputs_Prices!$C$34:$C$47,$F335,Inputs_Prices!$E$34:$E$47,$M$330)*$M335
+SUMIFS(Inputs_Prices!R$34:R$47,Inputs_Prices!$C$34:$C$47,$F335,Inputs_Prices!$E$34:$E$47,$N$330)*$N335
+SUMIFS(Inputs_Prices!R$34:R$47,Inputs_Prices!$C$34:$C$47,$F335,Inputs_Prices!$E$34:$E$47,$O$330)*$O335
+SUMIFS(Inputs_Prices!R$54:R$57,Inputs_Prices!$C$54:$C$57,$F335,Inputs_Prices!$E$54:$E$57,$I$330)*$I335
+SUMIFS(Inputs_Prices!R$54:R$57,Inputs_Prices!$C$54:$C$57,$F335,Inputs_Prices!$E$54:$E$57,$J$330)*$J335</f>
        <v>1642.3006822611997</v>
      </c>
      <c r="Y335" s="175">
        <f>SUMIF(Inputs_Prices!$C$20:$C$27,$F335,Inputs_Prices!S$20:S$27)*Y$327
+SUMIFS(Inputs_Prices!S$34:S$47,Inputs_Prices!$C$34:$C$47,$F335,Inputs_Prices!$E$34:$E$47,$L$330)*$L335
+SUMIFS(Inputs_Prices!S$34:S$47,Inputs_Prices!$C$34:$C$47,$F335,Inputs_Prices!$E$34:$E$47,$M$330)*$M335
+SUMIFS(Inputs_Prices!S$34:S$47,Inputs_Prices!$C$34:$C$47,$F335,Inputs_Prices!$E$34:$E$47,$N$330)*$N335
+SUMIFS(Inputs_Prices!S$34:S$47,Inputs_Prices!$C$34:$C$47,$F335,Inputs_Prices!$E$34:$E$47,$O$330)*$O335
+SUMIFS(Inputs_Prices!S$54:S$57,Inputs_Prices!$C$54:$C$57,$F335,Inputs_Prices!$E$54:$E$57,$I$330)*$I335
+SUMIFS(Inputs_Prices!S$54:S$57,Inputs_Prices!$C$54:$C$57,$F335,Inputs_Prices!$E$54:$E$57,$J$330)*$J335</f>
        <v>1684.6390827341679</v>
      </c>
      <c r="AA335" s="175">
        <f t="shared" si="20"/>
        <v>-22.812651209184196</v>
      </c>
      <c r="AB335" s="175">
        <f t="shared" si="12"/>
        <v>99.907783822594411</v>
      </c>
      <c r="AC335" s="175">
        <f t="shared" si="13"/>
        <v>151.00979622570867</v>
      </c>
      <c r="AD335" s="175">
        <f t="shared" si="14"/>
        <v>160.19575342208077</v>
      </c>
      <c r="AE335" s="175">
        <f t="shared" si="15"/>
        <v>42.33840047296826</v>
      </c>
      <c r="AG335" s="228">
        <f t="shared" si="21"/>
        <v>-1.8191906865378148E-2</v>
      </c>
      <c r="AH335" s="228">
        <f t="shared" si="16"/>
        <v>8.1147506852402837E-2</v>
      </c>
      <c r="AI335" s="228">
        <f t="shared" si="17"/>
        <v>0.11344778635710512</v>
      </c>
      <c r="AJ335" s="228">
        <f t="shared" si="18"/>
        <v>0.10808664778380875</v>
      </c>
      <c r="AK335" s="228">
        <f t="shared" si="19"/>
        <v>2.5779932341424037E-2</v>
      </c>
    </row>
    <row r="336" spans="2:37" x14ac:dyDescent="0.2">
      <c r="D336" s="75" t="s">
        <v>619</v>
      </c>
      <c r="E336" s="80">
        <v>2</v>
      </c>
      <c r="F336" s="80" t="s">
        <v>492</v>
      </c>
      <c r="H336" s="64">
        <v>150</v>
      </c>
      <c r="I336" s="95"/>
      <c r="J336" s="95"/>
      <c r="L336" s="64">
        <v>30000</v>
      </c>
      <c r="M336" s="227">
        <f t="shared" si="22"/>
        <v>4013.0101640614484</v>
      </c>
      <c r="N336" s="227">
        <f t="shared" si="22"/>
        <v>16225.898753897929</v>
      </c>
      <c r="O336" s="227">
        <f t="shared" si="22"/>
        <v>9761.0910820406225</v>
      </c>
      <c r="Q336" s="225"/>
      <c r="T336" s="96">
        <f>SUMIF(Inputs_FY23_FY24!$C$27:$C$33,$E336,Inputs_FY23_FY24!$N$27:$N$33)*T$327+
SUMIF(Inputs_FY23_FY24!$C$46:$C$52,$E336,Inputs_FY23_FY24!$N$46:$N$52)*$L336+
SUMIF(Inputs_FY23_FY24!$C$66:$C$69,$E336,Inputs_FY23_FY24!$N$66:$N$69)*$H336</f>
        <v>2967.3</v>
      </c>
      <c r="U336" s="97">
        <f>SUMIF(Inputs_Prices!$C$20:$C$27,$F336,Inputs_Prices!O$20:O$27)*U$327
+SUMIFS(Inputs_Prices!O$34:O$47,Inputs_Prices!$C$34:$C$47,$F336,Inputs_Prices!$E$34:$E$47,$L$330)*$L336
+SUMIFS(Inputs_Prices!O$34:O$47,Inputs_Prices!$C$34:$C$47,$F336,Inputs_Prices!$E$34:$E$47,$M$330)*$M336
+SUMIFS(Inputs_Prices!O$34:O$47,Inputs_Prices!$C$34:$C$47,$F336,Inputs_Prices!$E$34:$E$47,$N$330)*$N336
+SUMIFS(Inputs_Prices!O$34:O$47,Inputs_Prices!$C$34:$C$47,$F336,Inputs_Prices!$E$34:$E$47,$O$330)*$O336
+SUMIFS(Inputs_Prices!O$54:O$57,Inputs_Prices!$C$54:$C$57,$F336,Inputs_Prices!$E$54:$E$57,$I$330)*$I336
+SUMIFS(Inputs_Prices!O$54:O$57,Inputs_Prices!$C$54:$C$57,$F336,Inputs_Prices!$E$54:$E$57,$J$330)*$J336</f>
        <v>2848.7417193644933</v>
      </c>
      <c r="V336" s="175">
        <f>SUMIF(Inputs_Prices!$C$20:$C$27,$F336,Inputs_Prices!P$20:P$27)*V$327
+SUMIFS(Inputs_Prices!P$34:P$47,Inputs_Prices!$C$34:$C$47,$F336,Inputs_Prices!$E$34:$E$47,$L$330)*$L336
+SUMIFS(Inputs_Prices!P$34:P$47,Inputs_Prices!$C$34:$C$47,$F336,Inputs_Prices!$E$34:$E$47,$M$330)*$M336
+SUMIFS(Inputs_Prices!P$34:P$47,Inputs_Prices!$C$34:$C$47,$F336,Inputs_Prices!$E$34:$E$47,$N$330)*$N336
+SUMIFS(Inputs_Prices!P$34:P$47,Inputs_Prices!$C$34:$C$47,$F336,Inputs_Prices!$E$34:$E$47,$O$330)*$O336
+SUMIFS(Inputs_Prices!P$54:P$57,Inputs_Prices!$C$54:$C$57,$F336,Inputs_Prices!$E$54:$E$57,$I$330)*$I336
+SUMIFS(Inputs_Prices!P$54:P$57,Inputs_Prices!$C$54:$C$57,$F336,Inputs_Prices!$E$54:$E$57,$J$330)*$J336</f>
        <v>3020.6865678898525</v>
      </c>
      <c r="W336" s="175">
        <f>SUMIF(Inputs_Prices!$C$20:$C$27,$F336,Inputs_Prices!Q$20:Q$27)*W$327
+SUMIFS(Inputs_Prices!Q$34:Q$47,Inputs_Prices!$C$34:$C$47,$F336,Inputs_Prices!$E$34:$E$47,$L$330)*$L336
+SUMIFS(Inputs_Prices!Q$34:Q$47,Inputs_Prices!$C$34:$C$47,$F336,Inputs_Prices!$E$34:$E$47,$M$330)*$M336
+SUMIFS(Inputs_Prices!Q$34:Q$47,Inputs_Prices!$C$34:$C$47,$F336,Inputs_Prices!$E$34:$E$47,$N$330)*$N336
+SUMIFS(Inputs_Prices!Q$34:Q$47,Inputs_Prices!$C$34:$C$47,$F336,Inputs_Prices!$E$34:$E$47,$O$330)*$O336
+SUMIFS(Inputs_Prices!Q$54:Q$57,Inputs_Prices!$C$54:$C$57,$F336,Inputs_Prices!$E$54:$E$57,$I$330)*$I336
+SUMIFS(Inputs_Prices!Q$54:Q$57,Inputs_Prices!$C$54:$C$57,$F336,Inputs_Prices!$E$54:$E$57,$J$330)*$J336</f>
        <v>3222.0553567942929</v>
      </c>
      <c r="X336" s="175">
        <f>SUMIF(Inputs_Prices!$C$20:$C$27,$F336,Inputs_Prices!R$20:R$27)*X$327
+SUMIFS(Inputs_Prices!R$34:R$47,Inputs_Prices!$C$34:$C$47,$F336,Inputs_Prices!$E$34:$E$47,$L$330)*$L336
+SUMIFS(Inputs_Prices!R$34:R$47,Inputs_Prices!$C$34:$C$47,$F336,Inputs_Prices!$E$34:$E$47,$M$330)*$M336
+SUMIFS(Inputs_Prices!R$34:R$47,Inputs_Prices!$C$34:$C$47,$F336,Inputs_Prices!$E$34:$E$47,$N$330)*$N336
+SUMIFS(Inputs_Prices!R$34:R$47,Inputs_Prices!$C$34:$C$47,$F336,Inputs_Prices!$E$34:$E$47,$O$330)*$O336
+SUMIFS(Inputs_Prices!R$54:R$57,Inputs_Prices!$C$54:$C$57,$F336,Inputs_Prices!$E$54:$E$57,$I$330)*$I336
+SUMIFS(Inputs_Prices!R$54:R$57,Inputs_Prices!$C$54:$C$57,$F336,Inputs_Prices!$E$54:$E$57,$J$330)*$J336</f>
        <v>3408.8256570694466</v>
      </c>
      <c r="Y336" s="175">
        <f>SUMIF(Inputs_Prices!$C$20:$C$27,$F336,Inputs_Prices!S$20:S$27)*Y$327
+SUMIFS(Inputs_Prices!S$34:S$47,Inputs_Prices!$C$34:$C$47,$F336,Inputs_Prices!$E$34:$E$47,$L$330)*$L336
+SUMIFS(Inputs_Prices!S$34:S$47,Inputs_Prices!$C$34:$C$47,$F336,Inputs_Prices!$E$34:$E$47,$M$330)*$M336
+SUMIFS(Inputs_Prices!S$34:S$47,Inputs_Prices!$C$34:$C$47,$F336,Inputs_Prices!$E$34:$E$47,$N$330)*$N336
+SUMIFS(Inputs_Prices!S$34:S$47,Inputs_Prices!$C$34:$C$47,$F336,Inputs_Prices!$E$34:$E$47,$O$330)*$O336
+SUMIFS(Inputs_Prices!S$54:S$57,Inputs_Prices!$C$54:$C$57,$F336,Inputs_Prices!$E$54:$E$57,$I$330)*$I336
+SUMIFS(Inputs_Prices!S$54:S$57,Inputs_Prices!$C$54:$C$57,$F336,Inputs_Prices!$E$54:$E$57,$J$330)*$J336</f>
        <v>3539.3099799873958</v>
      </c>
      <c r="AA336" s="175">
        <f t="shared" si="20"/>
        <v>-118.55828063550689</v>
      </c>
      <c r="AB336" s="175">
        <f t="shared" si="12"/>
        <v>171.94484852535925</v>
      </c>
      <c r="AC336" s="175">
        <f t="shared" si="13"/>
        <v>201.36878890444041</v>
      </c>
      <c r="AD336" s="175">
        <f t="shared" si="14"/>
        <v>186.77030027515366</v>
      </c>
      <c r="AE336" s="175">
        <f t="shared" si="15"/>
        <v>130.48432291794916</v>
      </c>
      <c r="AG336" s="228">
        <f t="shared" si="21"/>
        <v>-3.9954935677385797E-2</v>
      </c>
      <c r="AH336" s="228">
        <f t="shared" si="16"/>
        <v>6.0358174051565919E-2</v>
      </c>
      <c r="AI336" s="228">
        <f t="shared" si="17"/>
        <v>6.6663251674307172E-2</v>
      </c>
      <c r="AJ336" s="228">
        <f t="shared" si="18"/>
        <v>5.796619846437906E-2</v>
      </c>
      <c r="AK336" s="228">
        <f t="shared" si="19"/>
        <v>3.8278379725094534E-2</v>
      </c>
    </row>
    <row r="337" spans="4:37" x14ac:dyDescent="0.2">
      <c r="D337" s="75" t="s">
        <v>619</v>
      </c>
      <c r="E337" s="80">
        <v>3</v>
      </c>
      <c r="F337" s="80" t="s">
        <v>492</v>
      </c>
      <c r="H337" s="64">
        <v>150</v>
      </c>
      <c r="I337" s="95"/>
      <c r="J337" s="95"/>
      <c r="L337" s="64">
        <v>30000</v>
      </c>
      <c r="M337" s="227">
        <f t="shared" si="22"/>
        <v>4013.0101640614484</v>
      </c>
      <c r="N337" s="227">
        <f t="shared" si="22"/>
        <v>16225.898753897929</v>
      </c>
      <c r="O337" s="227">
        <f t="shared" si="22"/>
        <v>9761.0910820406225</v>
      </c>
      <c r="Q337" s="225"/>
      <c r="T337" s="96">
        <f>SUMIF(Inputs_FY23_FY24!$C$27:$C$33,$E337,Inputs_FY23_FY24!$N$27:$N$33)*T$327+
SUMIF(Inputs_FY23_FY24!$C$46:$C$52,$E337,Inputs_FY23_FY24!$N$46:$N$52)*$L337+
SUMIF(Inputs_FY23_FY24!$C$66:$C$69,$E337,Inputs_FY23_FY24!$N$66:$N$69)*$H337</f>
        <v>4242</v>
      </c>
      <c r="U337" s="97">
        <f>SUMIF(Inputs_Prices!$C$20:$C$27,$F337,Inputs_Prices!O$20:O$27)*U$327
+SUMIFS(Inputs_Prices!O$34:O$47,Inputs_Prices!$C$34:$C$47,$F337,Inputs_Prices!$E$34:$E$47,$L$330)*$L337
+SUMIFS(Inputs_Prices!O$34:O$47,Inputs_Prices!$C$34:$C$47,$F337,Inputs_Prices!$E$34:$E$47,$M$330)*$M337
+SUMIFS(Inputs_Prices!O$34:O$47,Inputs_Prices!$C$34:$C$47,$F337,Inputs_Prices!$E$34:$E$47,$N$330)*$N337
+SUMIFS(Inputs_Prices!O$34:O$47,Inputs_Prices!$C$34:$C$47,$F337,Inputs_Prices!$E$34:$E$47,$O$330)*$O337
+SUMIFS(Inputs_Prices!O$54:O$57,Inputs_Prices!$C$54:$C$57,$F337,Inputs_Prices!$E$54:$E$57,$I$330)*$I337
+SUMIFS(Inputs_Prices!O$54:O$57,Inputs_Prices!$C$54:$C$57,$F337,Inputs_Prices!$E$54:$E$57,$J$330)*$J337</f>
        <v>2848.7417193644933</v>
      </c>
      <c r="V337" s="175">
        <f>SUMIF(Inputs_Prices!$C$20:$C$27,$F337,Inputs_Prices!P$20:P$27)*V$327
+SUMIFS(Inputs_Prices!P$34:P$47,Inputs_Prices!$C$34:$C$47,$F337,Inputs_Prices!$E$34:$E$47,$L$330)*$L337
+SUMIFS(Inputs_Prices!P$34:P$47,Inputs_Prices!$C$34:$C$47,$F337,Inputs_Prices!$E$34:$E$47,$M$330)*$M337
+SUMIFS(Inputs_Prices!P$34:P$47,Inputs_Prices!$C$34:$C$47,$F337,Inputs_Prices!$E$34:$E$47,$N$330)*$N337
+SUMIFS(Inputs_Prices!P$34:P$47,Inputs_Prices!$C$34:$C$47,$F337,Inputs_Prices!$E$34:$E$47,$O$330)*$O337
+SUMIFS(Inputs_Prices!P$54:P$57,Inputs_Prices!$C$54:$C$57,$F337,Inputs_Prices!$E$54:$E$57,$I$330)*$I337
+SUMIFS(Inputs_Prices!P$54:P$57,Inputs_Prices!$C$54:$C$57,$F337,Inputs_Prices!$E$54:$E$57,$J$330)*$J337</f>
        <v>3020.6865678898525</v>
      </c>
      <c r="W337" s="175">
        <f>SUMIF(Inputs_Prices!$C$20:$C$27,$F337,Inputs_Prices!Q$20:Q$27)*W$327
+SUMIFS(Inputs_Prices!Q$34:Q$47,Inputs_Prices!$C$34:$C$47,$F337,Inputs_Prices!$E$34:$E$47,$L$330)*$L337
+SUMIFS(Inputs_Prices!Q$34:Q$47,Inputs_Prices!$C$34:$C$47,$F337,Inputs_Prices!$E$34:$E$47,$M$330)*$M337
+SUMIFS(Inputs_Prices!Q$34:Q$47,Inputs_Prices!$C$34:$C$47,$F337,Inputs_Prices!$E$34:$E$47,$N$330)*$N337
+SUMIFS(Inputs_Prices!Q$34:Q$47,Inputs_Prices!$C$34:$C$47,$F337,Inputs_Prices!$E$34:$E$47,$O$330)*$O337
+SUMIFS(Inputs_Prices!Q$54:Q$57,Inputs_Prices!$C$54:$C$57,$F337,Inputs_Prices!$E$54:$E$57,$I$330)*$I337
+SUMIFS(Inputs_Prices!Q$54:Q$57,Inputs_Prices!$C$54:$C$57,$F337,Inputs_Prices!$E$54:$E$57,$J$330)*$J337</f>
        <v>3222.0553567942929</v>
      </c>
      <c r="X337" s="175">
        <f>SUMIF(Inputs_Prices!$C$20:$C$27,$F337,Inputs_Prices!R$20:R$27)*X$327
+SUMIFS(Inputs_Prices!R$34:R$47,Inputs_Prices!$C$34:$C$47,$F337,Inputs_Prices!$E$34:$E$47,$L$330)*$L337
+SUMIFS(Inputs_Prices!R$34:R$47,Inputs_Prices!$C$34:$C$47,$F337,Inputs_Prices!$E$34:$E$47,$M$330)*$M337
+SUMIFS(Inputs_Prices!R$34:R$47,Inputs_Prices!$C$34:$C$47,$F337,Inputs_Prices!$E$34:$E$47,$N$330)*$N337
+SUMIFS(Inputs_Prices!R$34:R$47,Inputs_Prices!$C$34:$C$47,$F337,Inputs_Prices!$E$34:$E$47,$O$330)*$O337
+SUMIFS(Inputs_Prices!R$54:R$57,Inputs_Prices!$C$54:$C$57,$F337,Inputs_Prices!$E$54:$E$57,$I$330)*$I337
+SUMIFS(Inputs_Prices!R$54:R$57,Inputs_Prices!$C$54:$C$57,$F337,Inputs_Prices!$E$54:$E$57,$J$330)*$J337</f>
        <v>3408.8256570694466</v>
      </c>
      <c r="Y337" s="175">
        <f>SUMIF(Inputs_Prices!$C$20:$C$27,$F337,Inputs_Prices!S$20:S$27)*Y$327
+SUMIFS(Inputs_Prices!S$34:S$47,Inputs_Prices!$C$34:$C$47,$F337,Inputs_Prices!$E$34:$E$47,$L$330)*$L337
+SUMIFS(Inputs_Prices!S$34:S$47,Inputs_Prices!$C$34:$C$47,$F337,Inputs_Prices!$E$34:$E$47,$M$330)*$M337
+SUMIFS(Inputs_Prices!S$34:S$47,Inputs_Prices!$C$34:$C$47,$F337,Inputs_Prices!$E$34:$E$47,$N$330)*$N337
+SUMIFS(Inputs_Prices!S$34:S$47,Inputs_Prices!$C$34:$C$47,$F337,Inputs_Prices!$E$34:$E$47,$O$330)*$O337
+SUMIFS(Inputs_Prices!S$54:S$57,Inputs_Prices!$C$54:$C$57,$F337,Inputs_Prices!$E$54:$E$57,$I$330)*$I337
+SUMIFS(Inputs_Prices!S$54:S$57,Inputs_Prices!$C$54:$C$57,$F337,Inputs_Prices!$E$54:$E$57,$J$330)*$J337</f>
        <v>3539.3099799873958</v>
      </c>
      <c r="AA337" s="175">
        <f t="shared" si="20"/>
        <v>-1393.2582806355067</v>
      </c>
      <c r="AB337" s="175">
        <f t="shared" si="12"/>
        <v>171.94484852535925</v>
      </c>
      <c r="AC337" s="175">
        <f t="shared" si="13"/>
        <v>201.36878890444041</v>
      </c>
      <c r="AD337" s="175">
        <f t="shared" si="14"/>
        <v>186.77030027515366</v>
      </c>
      <c r="AE337" s="175">
        <f t="shared" si="15"/>
        <v>130.48432291794916</v>
      </c>
      <c r="AG337" s="228">
        <f t="shared" si="21"/>
        <v>-0.32844372480799311</v>
      </c>
      <c r="AH337" s="228">
        <f t="shared" si="16"/>
        <v>6.0358174051565919E-2</v>
      </c>
      <c r="AI337" s="228">
        <f t="shared" si="17"/>
        <v>6.6663251674307172E-2</v>
      </c>
      <c r="AJ337" s="228">
        <f t="shared" si="18"/>
        <v>5.796619846437906E-2</v>
      </c>
      <c r="AK337" s="228">
        <f t="shared" si="19"/>
        <v>3.8278379725094534E-2</v>
      </c>
    </row>
    <row r="338" spans="4:37" x14ac:dyDescent="0.2">
      <c r="D338" s="75" t="s">
        <v>620</v>
      </c>
      <c r="E338" s="80">
        <v>2</v>
      </c>
      <c r="F338" s="80" t="s">
        <v>493</v>
      </c>
      <c r="H338" s="64">
        <v>500</v>
      </c>
      <c r="I338" s="95"/>
      <c r="J338" s="95"/>
      <c r="L338" s="64">
        <v>250000</v>
      </c>
      <c r="M338" s="227">
        <f t="shared" si="22"/>
        <v>31304.176642577579</v>
      </c>
      <c r="N338" s="227">
        <f t="shared" si="22"/>
        <v>148841.09927583399</v>
      </c>
      <c r="O338" s="227">
        <f t="shared" si="22"/>
        <v>69854.724081588472</v>
      </c>
      <c r="Q338" s="225"/>
      <c r="T338" s="96">
        <f>SUMIF(Inputs_FY23_FY24!$C$27:$C$33,$E338,Inputs_FY23_FY24!$N$27:$N$33)*T$327+
SUMIF(Inputs_FY23_FY24!$C$46:$C$52,$E338,Inputs_FY23_FY24!$N$46:$N$52)*$L338+
SUMIF(Inputs_FY23_FY24!$C$66:$C$69,$E338,Inputs_FY23_FY24!$N$66:$N$69)*$H338</f>
        <v>20567.3</v>
      </c>
      <c r="U338" s="97">
        <f>SUMIF(Inputs_Prices!$C$20:$C$27,$F338,Inputs_Prices!O$20:O$27)*U$327
+SUMIFS(Inputs_Prices!O$34:O$47,Inputs_Prices!$C$34:$C$47,$F338,Inputs_Prices!$E$34:$E$47,$L$330)*$L338
+SUMIFS(Inputs_Prices!O$34:O$47,Inputs_Prices!$C$34:$C$47,$F338,Inputs_Prices!$E$34:$E$47,$M$330)*$M338
+SUMIFS(Inputs_Prices!O$34:O$47,Inputs_Prices!$C$34:$C$47,$F338,Inputs_Prices!$E$34:$E$47,$N$330)*$N338
+SUMIFS(Inputs_Prices!O$34:O$47,Inputs_Prices!$C$34:$C$47,$F338,Inputs_Prices!$E$34:$E$47,$O$330)*$O338
+SUMIFS(Inputs_Prices!O$54:O$57,Inputs_Prices!$C$54:$C$57,$F338,Inputs_Prices!$E$54:$E$57,$I$330)*$I338
+SUMIFS(Inputs_Prices!O$54:O$57,Inputs_Prices!$C$54:$C$57,$F338,Inputs_Prices!$E$54:$E$57,$J$330)*$J338</f>
        <v>24401.040934839992</v>
      </c>
      <c r="V338" s="175">
        <f>SUMIF(Inputs_Prices!$C$20:$C$27,$F338,Inputs_Prices!P$20:P$27)*V$327
+SUMIFS(Inputs_Prices!P$34:P$47,Inputs_Prices!$C$34:$C$47,$F338,Inputs_Prices!$E$34:$E$47,$L$330)*$L338
+SUMIFS(Inputs_Prices!P$34:P$47,Inputs_Prices!$C$34:$C$47,$F338,Inputs_Prices!$E$34:$E$47,$M$330)*$M338
+SUMIFS(Inputs_Prices!P$34:P$47,Inputs_Prices!$C$34:$C$47,$F338,Inputs_Prices!$E$34:$E$47,$N$330)*$N338
+SUMIFS(Inputs_Prices!P$34:P$47,Inputs_Prices!$C$34:$C$47,$F338,Inputs_Prices!$E$34:$E$47,$O$330)*$O338
+SUMIFS(Inputs_Prices!P$54:P$57,Inputs_Prices!$C$54:$C$57,$F338,Inputs_Prices!$E$54:$E$57,$I$330)*$I338
+SUMIFS(Inputs_Prices!P$54:P$57,Inputs_Prices!$C$54:$C$57,$F338,Inputs_Prices!$E$54:$E$57,$J$330)*$J338</f>
        <v>28108.186011601778</v>
      </c>
      <c r="W338" s="175">
        <f>SUMIF(Inputs_Prices!$C$20:$C$27,$F338,Inputs_Prices!Q$20:Q$27)*W$327
+SUMIFS(Inputs_Prices!Q$34:Q$47,Inputs_Prices!$C$34:$C$47,$F338,Inputs_Prices!$E$34:$E$47,$L$330)*$L338
+SUMIFS(Inputs_Prices!Q$34:Q$47,Inputs_Prices!$C$34:$C$47,$F338,Inputs_Prices!$E$34:$E$47,$M$330)*$M338
+SUMIFS(Inputs_Prices!Q$34:Q$47,Inputs_Prices!$C$34:$C$47,$F338,Inputs_Prices!$E$34:$E$47,$N$330)*$N338
+SUMIFS(Inputs_Prices!Q$34:Q$47,Inputs_Prices!$C$34:$C$47,$F338,Inputs_Prices!$E$34:$E$47,$O$330)*$O338
+SUMIFS(Inputs_Prices!Q$54:Q$57,Inputs_Prices!$C$54:$C$57,$F338,Inputs_Prices!$E$54:$E$57,$I$330)*$I338
+SUMIFS(Inputs_Prices!Q$54:Q$57,Inputs_Prices!$C$54:$C$57,$F338,Inputs_Prices!$E$54:$E$57,$J$330)*$J338</f>
        <v>29559.675247414896</v>
      </c>
      <c r="X338" s="175">
        <f>SUMIF(Inputs_Prices!$C$20:$C$27,$F338,Inputs_Prices!R$20:R$27)*X$327
+SUMIFS(Inputs_Prices!R$34:R$47,Inputs_Prices!$C$34:$C$47,$F338,Inputs_Prices!$E$34:$E$47,$L$330)*$L338
+SUMIFS(Inputs_Prices!R$34:R$47,Inputs_Prices!$C$34:$C$47,$F338,Inputs_Prices!$E$34:$E$47,$M$330)*$M338
+SUMIFS(Inputs_Prices!R$34:R$47,Inputs_Prices!$C$34:$C$47,$F338,Inputs_Prices!$E$34:$E$47,$N$330)*$N338
+SUMIFS(Inputs_Prices!R$34:R$47,Inputs_Prices!$C$34:$C$47,$F338,Inputs_Prices!$E$34:$E$47,$O$330)*$O338
+SUMIFS(Inputs_Prices!R$54:R$57,Inputs_Prices!$C$54:$C$57,$F338,Inputs_Prices!$E$54:$E$57,$I$330)*$I338
+SUMIFS(Inputs_Prices!R$54:R$57,Inputs_Prices!$C$54:$C$57,$F338,Inputs_Prices!$E$54:$E$57,$J$330)*$J338</f>
        <v>31719.948683229508</v>
      </c>
      <c r="Y338" s="175">
        <f>SUMIF(Inputs_Prices!$C$20:$C$27,$F338,Inputs_Prices!S$20:S$27)*Y$327
+SUMIFS(Inputs_Prices!S$34:S$47,Inputs_Prices!$C$34:$C$47,$F338,Inputs_Prices!$E$34:$E$47,$L$330)*$L338
+SUMIFS(Inputs_Prices!S$34:S$47,Inputs_Prices!$C$34:$C$47,$F338,Inputs_Prices!$E$34:$E$47,$M$330)*$M338
+SUMIFS(Inputs_Prices!S$34:S$47,Inputs_Prices!$C$34:$C$47,$F338,Inputs_Prices!$E$34:$E$47,$N$330)*$N338
+SUMIFS(Inputs_Prices!S$34:S$47,Inputs_Prices!$C$34:$C$47,$F338,Inputs_Prices!$E$34:$E$47,$O$330)*$O338
+SUMIFS(Inputs_Prices!S$54:S$57,Inputs_Prices!$C$54:$C$57,$F338,Inputs_Prices!$E$54:$E$57,$I$330)*$I338
+SUMIFS(Inputs_Prices!S$54:S$57,Inputs_Prices!$C$54:$C$57,$F338,Inputs_Prices!$E$54:$E$57,$J$330)*$J338</f>
        <v>36163.401423861207</v>
      </c>
      <c r="AA338" s="175">
        <f t="shared" si="20"/>
        <v>3833.7409348399924</v>
      </c>
      <c r="AB338" s="175">
        <f t="shared" si="12"/>
        <v>3707.1450767617862</v>
      </c>
      <c r="AC338" s="175">
        <f t="shared" si="13"/>
        <v>1451.4892358131183</v>
      </c>
      <c r="AD338" s="175">
        <f t="shared" si="14"/>
        <v>2160.2734358146117</v>
      </c>
      <c r="AE338" s="175">
        <f t="shared" si="15"/>
        <v>4443.4527406316993</v>
      </c>
      <c r="AG338" s="228">
        <f t="shared" si="21"/>
        <v>0.18639981596223096</v>
      </c>
      <c r="AH338" s="228">
        <f t="shared" si="16"/>
        <v>0.15192569393499505</v>
      </c>
      <c r="AI338" s="228">
        <f t="shared" si="17"/>
        <v>5.1639377767530414E-2</v>
      </c>
      <c r="AJ338" s="228">
        <f t="shared" si="18"/>
        <v>7.3081771627499043E-2</v>
      </c>
      <c r="AK338" s="228">
        <f t="shared" si="19"/>
        <v>0.14008385653476718</v>
      </c>
    </row>
    <row r="339" spans="4:37" x14ac:dyDescent="0.2">
      <c r="D339" s="75" t="s">
        <v>620</v>
      </c>
      <c r="E339" s="80">
        <v>3</v>
      </c>
      <c r="F339" s="80" t="s">
        <v>493</v>
      </c>
      <c r="H339" s="64">
        <v>500</v>
      </c>
      <c r="I339" s="95"/>
      <c r="J339" s="95"/>
      <c r="L339" s="64">
        <v>250000</v>
      </c>
      <c r="M339" s="227">
        <f t="shared" si="22"/>
        <v>31304.176642577579</v>
      </c>
      <c r="N339" s="227">
        <f t="shared" si="22"/>
        <v>148841.09927583399</v>
      </c>
      <c r="O339" s="227">
        <f t="shared" si="22"/>
        <v>69854.724081588472</v>
      </c>
      <c r="T339" s="96">
        <f>SUMIF(Inputs_FY23_FY24!$C$27:$C$33,$E339,Inputs_FY23_FY24!$N$27:$N$33)*T$327+
SUMIF(Inputs_FY23_FY24!$C$46:$C$52,$E339,Inputs_FY23_FY24!$N$46:$N$52)*$L339+
SUMIF(Inputs_FY23_FY24!$C$66:$C$69,$E339,Inputs_FY23_FY24!$N$66:$N$69)*$H339</f>
        <v>14232</v>
      </c>
      <c r="U339" s="97">
        <f>SUMIF(Inputs_Prices!$C$20:$C$27,$F339,Inputs_Prices!O$20:O$27)*U$327
+SUMIFS(Inputs_Prices!O$34:O$47,Inputs_Prices!$C$34:$C$47,$F339,Inputs_Prices!$E$34:$E$47,$L$330)*$L339
+SUMIFS(Inputs_Prices!O$34:O$47,Inputs_Prices!$C$34:$C$47,$F339,Inputs_Prices!$E$34:$E$47,$M$330)*$M339
+SUMIFS(Inputs_Prices!O$34:O$47,Inputs_Prices!$C$34:$C$47,$F339,Inputs_Prices!$E$34:$E$47,$N$330)*$N339
+SUMIFS(Inputs_Prices!O$34:O$47,Inputs_Prices!$C$34:$C$47,$F339,Inputs_Prices!$E$34:$E$47,$O$330)*$O339
+SUMIFS(Inputs_Prices!O$54:O$57,Inputs_Prices!$C$54:$C$57,$F339,Inputs_Prices!$E$54:$E$57,$I$330)*$I339
+SUMIFS(Inputs_Prices!O$54:O$57,Inputs_Prices!$C$54:$C$57,$F339,Inputs_Prices!$E$54:$E$57,$J$330)*$J339</f>
        <v>24401.040934839992</v>
      </c>
      <c r="V339" s="175">
        <f>SUMIF(Inputs_Prices!$C$20:$C$27,$F339,Inputs_Prices!P$20:P$27)*V$327
+SUMIFS(Inputs_Prices!P$34:P$47,Inputs_Prices!$C$34:$C$47,$F339,Inputs_Prices!$E$34:$E$47,$L$330)*$L339
+SUMIFS(Inputs_Prices!P$34:P$47,Inputs_Prices!$C$34:$C$47,$F339,Inputs_Prices!$E$34:$E$47,$M$330)*$M339
+SUMIFS(Inputs_Prices!P$34:P$47,Inputs_Prices!$C$34:$C$47,$F339,Inputs_Prices!$E$34:$E$47,$N$330)*$N339
+SUMIFS(Inputs_Prices!P$34:P$47,Inputs_Prices!$C$34:$C$47,$F339,Inputs_Prices!$E$34:$E$47,$O$330)*$O339
+SUMIFS(Inputs_Prices!P$54:P$57,Inputs_Prices!$C$54:$C$57,$F339,Inputs_Prices!$E$54:$E$57,$I$330)*$I339
+SUMIFS(Inputs_Prices!P$54:P$57,Inputs_Prices!$C$54:$C$57,$F339,Inputs_Prices!$E$54:$E$57,$J$330)*$J339</f>
        <v>28108.186011601778</v>
      </c>
      <c r="W339" s="175">
        <f>SUMIF(Inputs_Prices!$C$20:$C$27,$F339,Inputs_Prices!Q$20:Q$27)*W$327
+SUMIFS(Inputs_Prices!Q$34:Q$47,Inputs_Prices!$C$34:$C$47,$F339,Inputs_Prices!$E$34:$E$47,$L$330)*$L339
+SUMIFS(Inputs_Prices!Q$34:Q$47,Inputs_Prices!$C$34:$C$47,$F339,Inputs_Prices!$E$34:$E$47,$M$330)*$M339
+SUMIFS(Inputs_Prices!Q$34:Q$47,Inputs_Prices!$C$34:$C$47,$F339,Inputs_Prices!$E$34:$E$47,$N$330)*$N339
+SUMIFS(Inputs_Prices!Q$34:Q$47,Inputs_Prices!$C$34:$C$47,$F339,Inputs_Prices!$E$34:$E$47,$O$330)*$O339
+SUMIFS(Inputs_Prices!Q$54:Q$57,Inputs_Prices!$C$54:$C$57,$F339,Inputs_Prices!$E$54:$E$57,$I$330)*$I339
+SUMIFS(Inputs_Prices!Q$54:Q$57,Inputs_Prices!$C$54:$C$57,$F339,Inputs_Prices!$E$54:$E$57,$J$330)*$J339</f>
        <v>29559.675247414896</v>
      </c>
      <c r="X339" s="175">
        <f>SUMIF(Inputs_Prices!$C$20:$C$27,$F339,Inputs_Prices!R$20:R$27)*X$327
+SUMIFS(Inputs_Prices!R$34:R$47,Inputs_Prices!$C$34:$C$47,$F339,Inputs_Prices!$E$34:$E$47,$L$330)*$L339
+SUMIFS(Inputs_Prices!R$34:R$47,Inputs_Prices!$C$34:$C$47,$F339,Inputs_Prices!$E$34:$E$47,$M$330)*$M339
+SUMIFS(Inputs_Prices!R$34:R$47,Inputs_Prices!$C$34:$C$47,$F339,Inputs_Prices!$E$34:$E$47,$N$330)*$N339
+SUMIFS(Inputs_Prices!R$34:R$47,Inputs_Prices!$C$34:$C$47,$F339,Inputs_Prices!$E$34:$E$47,$O$330)*$O339
+SUMIFS(Inputs_Prices!R$54:R$57,Inputs_Prices!$C$54:$C$57,$F339,Inputs_Prices!$E$54:$E$57,$I$330)*$I339
+SUMIFS(Inputs_Prices!R$54:R$57,Inputs_Prices!$C$54:$C$57,$F339,Inputs_Prices!$E$54:$E$57,$J$330)*$J339</f>
        <v>31719.948683229508</v>
      </c>
      <c r="Y339" s="175">
        <f>SUMIF(Inputs_Prices!$C$20:$C$27,$F339,Inputs_Prices!S$20:S$27)*Y$327
+SUMIFS(Inputs_Prices!S$34:S$47,Inputs_Prices!$C$34:$C$47,$F339,Inputs_Prices!$E$34:$E$47,$L$330)*$L339
+SUMIFS(Inputs_Prices!S$34:S$47,Inputs_Prices!$C$34:$C$47,$F339,Inputs_Prices!$E$34:$E$47,$M$330)*$M339
+SUMIFS(Inputs_Prices!S$34:S$47,Inputs_Prices!$C$34:$C$47,$F339,Inputs_Prices!$E$34:$E$47,$N$330)*$N339
+SUMIFS(Inputs_Prices!S$34:S$47,Inputs_Prices!$C$34:$C$47,$F339,Inputs_Prices!$E$34:$E$47,$O$330)*$O339
+SUMIFS(Inputs_Prices!S$54:S$57,Inputs_Prices!$C$54:$C$57,$F339,Inputs_Prices!$E$54:$E$57,$I$330)*$I339
+SUMIFS(Inputs_Prices!S$54:S$57,Inputs_Prices!$C$54:$C$57,$F339,Inputs_Prices!$E$54:$E$57,$J$330)*$J339</f>
        <v>36163.401423861207</v>
      </c>
      <c r="AA339" s="175">
        <f t="shared" si="20"/>
        <v>10169.040934839992</v>
      </c>
      <c r="AB339" s="175">
        <f t="shared" si="12"/>
        <v>3707.1450767617862</v>
      </c>
      <c r="AC339" s="175">
        <f t="shared" si="13"/>
        <v>1451.4892358131183</v>
      </c>
      <c r="AD339" s="175">
        <f t="shared" si="14"/>
        <v>2160.2734358146117</v>
      </c>
      <c r="AE339" s="175">
        <f t="shared" si="15"/>
        <v>4443.4527406316993</v>
      </c>
      <c r="AG339" s="228">
        <f t="shared" si="21"/>
        <v>0.71451945860314725</v>
      </c>
      <c r="AH339" s="228">
        <f t="shared" si="16"/>
        <v>0.15192569393499505</v>
      </c>
      <c r="AI339" s="228">
        <f t="shared" si="17"/>
        <v>5.1639377767530414E-2</v>
      </c>
      <c r="AJ339" s="228">
        <f t="shared" si="18"/>
        <v>7.3081771627499043E-2</v>
      </c>
      <c r="AK339" s="228">
        <f t="shared" si="19"/>
        <v>0.14008385653476718</v>
      </c>
    </row>
    <row r="340" spans="4:37" x14ac:dyDescent="0.2">
      <c r="D340" s="75" t="s">
        <v>621</v>
      </c>
      <c r="E340" s="80">
        <v>5</v>
      </c>
      <c r="F340" s="80">
        <v>5</v>
      </c>
      <c r="H340" s="64">
        <v>2225</v>
      </c>
      <c r="I340" s="227">
        <f>$H340*SUMIF($H$350:$H$351,$F340,I$350:I$351)</f>
        <v>1163.6094190857978</v>
      </c>
      <c r="J340" s="227">
        <f t="shared" ref="J340:J347" si="23">$H340*SUMIF($H$350:$H$351,$F340,J$350:J$351)</f>
        <v>1061.3905809142022</v>
      </c>
      <c r="L340" s="64">
        <v>800000</v>
      </c>
      <c r="M340" s="95"/>
      <c r="N340" s="95"/>
      <c r="O340" s="95"/>
      <c r="T340" s="96">
        <f>SUMIF(Inputs_FY23_FY24!$C$27:$C$33,$E340,Inputs_FY23_FY24!$N$27:$N$33)*T$327+
SUMIF(Inputs_FY23_FY24!$C$46:$C$52,$E340,Inputs_FY23_FY24!$N$46:$N$52)*$L340+
SUMIF(Inputs_FY23_FY24!$C$66:$C$69,$E340,Inputs_FY23_FY24!$N$66:$N$69)*$H340</f>
        <v>69596.399999999994</v>
      </c>
      <c r="U340" s="97">
        <f>SUMIF(Inputs_Prices!$C$20:$C$27,$F340,Inputs_Prices!O$20:O$27)*U$327
+SUMIFS(Inputs_Prices!O$34:O$47,Inputs_Prices!$C$34:$C$47,$F340,Inputs_Prices!$E$34:$E$47,$L$330)*$L340
+SUMIFS(Inputs_Prices!O$34:O$47,Inputs_Prices!$C$34:$C$47,$F340,Inputs_Prices!$E$34:$E$47,$M$330)*$M340
+SUMIFS(Inputs_Prices!O$34:O$47,Inputs_Prices!$C$34:$C$47,$F340,Inputs_Prices!$E$34:$E$47,$N$330)*$N340
+SUMIFS(Inputs_Prices!O$34:O$47,Inputs_Prices!$C$34:$C$47,$F340,Inputs_Prices!$E$34:$E$47,$O$330)*$O340
+SUMIFS(Inputs_Prices!O$54:O$57,Inputs_Prices!$C$54:$C$57,$F340,Inputs_Prices!$E$54:$E$57,$I$330)*$I340
+SUMIFS(Inputs_Prices!O$54:O$57,Inputs_Prices!$C$54:$C$57,$F340,Inputs_Prices!$E$54:$E$57,$J$330)*$J340</f>
        <v>74464.200564298211</v>
      </c>
      <c r="V340" s="175">
        <f>SUMIF(Inputs_Prices!$C$20:$C$27,$F340,Inputs_Prices!P$20:P$27)*V$327
+SUMIFS(Inputs_Prices!P$34:P$47,Inputs_Prices!$C$34:$C$47,$F340,Inputs_Prices!$E$34:$E$47,$L$330)*$L340
+SUMIFS(Inputs_Prices!P$34:P$47,Inputs_Prices!$C$34:$C$47,$F340,Inputs_Prices!$E$34:$E$47,$M$330)*$M340
+SUMIFS(Inputs_Prices!P$34:P$47,Inputs_Prices!$C$34:$C$47,$F340,Inputs_Prices!$E$34:$E$47,$N$330)*$N340
+SUMIFS(Inputs_Prices!P$34:P$47,Inputs_Prices!$C$34:$C$47,$F340,Inputs_Prices!$E$34:$E$47,$O$330)*$O340
+SUMIFS(Inputs_Prices!P$54:P$57,Inputs_Prices!$C$54:$C$57,$F340,Inputs_Prices!$E$54:$E$57,$I$330)*$I340
+SUMIFS(Inputs_Prices!P$54:P$57,Inputs_Prices!$C$54:$C$57,$F340,Inputs_Prices!$E$54:$E$57,$J$330)*$J340</f>
        <v>80301.922448115365</v>
      </c>
      <c r="W340" s="175">
        <f>SUMIF(Inputs_Prices!$C$20:$C$27,$F340,Inputs_Prices!Q$20:Q$27)*W$327
+SUMIFS(Inputs_Prices!Q$34:Q$47,Inputs_Prices!$C$34:$C$47,$F340,Inputs_Prices!$E$34:$E$47,$L$330)*$L340
+SUMIFS(Inputs_Prices!Q$34:Q$47,Inputs_Prices!$C$34:$C$47,$F340,Inputs_Prices!$E$34:$E$47,$M$330)*$M340
+SUMIFS(Inputs_Prices!Q$34:Q$47,Inputs_Prices!$C$34:$C$47,$F340,Inputs_Prices!$E$34:$E$47,$N$330)*$N340
+SUMIFS(Inputs_Prices!Q$34:Q$47,Inputs_Prices!$C$34:$C$47,$F340,Inputs_Prices!$E$34:$E$47,$O$330)*$O340
+SUMIFS(Inputs_Prices!Q$54:Q$57,Inputs_Prices!$C$54:$C$57,$F340,Inputs_Prices!$E$54:$E$57,$I$330)*$I340
+SUMIFS(Inputs_Prices!Q$54:Q$57,Inputs_Prices!$C$54:$C$57,$F340,Inputs_Prices!$E$54:$E$57,$J$330)*$J340</f>
        <v>88176.922448115365</v>
      </c>
      <c r="X340" s="175">
        <f>SUMIF(Inputs_Prices!$C$20:$C$27,$F340,Inputs_Prices!R$20:R$27)*X$327
+SUMIFS(Inputs_Prices!R$34:R$47,Inputs_Prices!$C$34:$C$47,$F340,Inputs_Prices!$E$34:$E$47,$L$330)*$L340
+SUMIFS(Inputs_Prices!R$34:R$47,Inputs_Prices!$C$34:$C$47,$F340,Inputs_Prices!$E$34:$E$47,$M$330)*$M340
+SUMIFS(Inputs_Prices!R$34:R$47,Inputs_Prices!$C$34:$C$47,$F340,Inputs_Prices!$E$34:$E$47,$N$330)*$N340
+SUMIFS(Inputs_Prices!R$34:R$47,Inputs_Prices!$C$34:$C$47,$F340,Inputs_Prices!$E$34:$E$47,$O$330)*$O340
+SUMIFS(Inputs_Prices!R$54:R$57,Inputs_Prices!$C$54:$C$57,$F340,Inputs_Prices!$E$54:$E$57,$I$330)*$I340
+SUMIFS(Inputs_Prices!R$54:R$57,Inputs_Prices!$C$54:$C$57,$F340,Inputs_Prices!$E$54:$E$57,$J$330)*$J340</f>
        <v>96566.922448115365</v>
      </c>
      <c r="Y340" s="175">
        <f>SUMIF(Inputs_Prices!$C$20:$C$27,$F340,Inputs_Prices!S$20:S$27)*Y$327
+SUMIFS(Inputs_Prices!S$34:S$47,Inputs_Prices!$C$34:$C$47,$F340,Inputs_Prices!$E$34:$E$47,$L$330)*$L340
+SUMIFS(Inputs_Prices!S$34:S$47,Inputs_Prices!$C$34:$C$47,$F340,Inputs_Prices!$E$34:$E$47,$M$330)*$M340
+SUMIFS(Inputs_Prices!S$34:S$47,Inputs_Prices!$C$34:$C$47,$F340,Inputs_Prices!$E$34:$E$47,$N$330)*$N340
+SUMIFS(Inputs_Prices!S$34:S$47,Inputs_Prices!$C$34:$C$47,$F340,Inputs_Prices!$E$34:$E$47,$O$330)*$O340
+SUMIFS(Inputs_Prices!S$54:S$57,Inputs_Prices!$C$54:$C$57,$F340,Inputs_Prices!$E$54:$E$57,$I$330)*$I340
+SUMIFS(Inputs_Prices!S$54:S$57,Inputs_Prices!$C$54:$C$57,$F340,Inputs_Prices!$E$54:$E$57,$J$330)*$J340</f>
        <v>102501.92244811537</v>
      </c>
      <c r="AA340" s="175">
        <f t="shared" si="20"/>
        <v>4867.8005642982171</v>
      </c>
      <c r="AB340" s="175">
        <f t="shared" si="12"/>
        <v>5837.7218838171539</v>
      </c>
      <c r="AC340" s="175">
        <f t="shared" si="13"/>
        <v>7875</v>
      </c>
      <c r="AD340" s="175">
        <f t="shared" si="14"/>
        <v>8390</v>
      </c>
      <c r="AE340" s="175">
        <f t="shared" si="15"/>
        <v>5935</v>
      </c>
      <c r="AG340" s="228">
        <f t="shared" si="21"/>
        <v>6.9943281036062455E-2</v>
      </c>
      <c r="AH340" s="228">
        <f t="shared" si="16"/>
        <v>7.8396354752729921E-2</v>
      </c>
      <c r="AI340" s="228">
        <f t="shared" si="17"/>
        <v>9.8067390666620596E-2</v>
      </c>
      <c r="AJ340" s="228">
        <f t="shared" si="18"/>
        <v>9.514961247300055E-2</v>
      </c>
      <c r="AK340" s="228">
        <f t="shared" si="19"/>
        <v>6.1459968377772713E-2</v>
      </c>
    </row>
    <row r="341" spans="4:37" x14ac:dyDescent="0.2">
      <c r="D341" s="75" t="s">
        <v>621</v>
      </c>
      <c r="E341" s="80">
        <v>5</v>
      </c>
      <c r="F341" s="80">
        <v>5</v>
      </c>
      <c r="H341" s="64">
        <v>4450</v>
      </c>
      <c r="I341" s="227">
        <f t="shared" ref="I341:I347" si="24">$H341*SUMIF($H$350:$H$351,$F341,I$350:I$351)</f>
        <v>2327.2188381715955</v>
      </c>
      <c r="J341" s="227">
        <f t="shared" si="23"/>
        <v>2122.7811618284045</v>
      </c>
      <c r="L341" s="64">
        <v>1600000</v>
      </c>
      <c r="M341" s="95"/>
      <c r="N341" s="95"/>
      <c r="O341" s="95"/>
      <c r="T341" s="96">
        <f>SUMIF(Inputs_FY23_FY24!$C$27:$C$33,$E341,Inputs_FY23_FY24!$N$27:$N$33)*T$327+
SUMIF(Inputs_FY23_FY24!$C$46:$C$52,$E341,Inputs_FY23_FY24!$N$46:$N$52)*$L341+
SUMIF(Inputs_FY23_FY24!$C$66:$C$69,$E341,Inputs_FY23_FY24!$N$66:$N$69)*$H341</f>
        <v>109912.8</v>
      </c>
      <c r="U341" s="97">
        <f>SUMIF(Inputs_Prices!$C$20:$C$27,$F341,Inputs_Prices!O$20:O$27)*U$327
+SUMIFS(Inputs_Prices!O$34:O$47,Inputs_Prices!$C$34:$C$47,$F341,Inputs_Prices!$E$34:$E$47,$L$330)*$L341
+SUMIFS(Inputs_Prices!O$34:O$47,Inputs_Prices!$C$34:$C$47,$F341,Inputs_Prices!$E$34:$E$47,$M$330)*$M341
+SUMIFS(Inputs_Prices!O$34:O$47,Inputs_Prices!$C$34:$C$47,$F341,Inputs_Prices!$E$34:$E$47,$N$330)*$N341
+SUMIFS(Inputs_Prices!O$34:O$47,Inputs_Prices!$C$34:$C$47,$F341,Inputs_Prices!$E$34:$E$47,$O$330)*$O341
+SUMIFS(Inputs_Prices!O$54:O$57,Inputs_Prices!$C$54:$C$57,$F341,Inputs_Prices!$E$54:$E$57,$I$330)*$I341
+SUMIFS(Inputs_Prices!O$54:O$57,Inputs_Prices!$C$54:$C$57,$F341,Inputs_Prices!$E$54:$E$57,$J$330)*$J341</f>
        <v>114253.40112859641</v>
      </c>
      <c r="V341" s="175">
        <f>SUMIF(Inputs_Prices!$C$20:$C$27,$F341,Inputs_Prices!P$20:P$27)*V$327
+SUMIFS(Inputs_Prices!P$34:P$47,Inputs_Prices!$C$34:$C$47,$F341,Inputs_Prices!$E$34:$E$47,$L$330)*$L341
+SUMIFS(Inputs_Prices!P$34:P$47,Inputs_Prices!$C$34:$C$47,$F341,Inputs_Prices!$E$34:$E$47,$M$330)*$M341
+SUMIFS(Inputs_Prices!P$34:P$47,Inputs_Prices!$C$34:$C$47,$F341,Inputs_Prices!$E$34:$E$47,$N$330)*$N341
+SUMIFS(Inputs_Prices!P$34:P$47,Inputs_Prices!$C$34:$C$47,$F341,Inputs_Prices!$E$34:$E$47,$O$330)*$O341
+SUMIFS(Inputs_Prices!P$54:P$57,Inputs_Prices!$C$54:$C$57,$F341,Inputs_Prices!$E$54:$E$57,$I$330)*$I341
+SUMIFS(Inputs_Prices!P$54:P$57,Inputs_Prices!$C$54:$C$57,$F341,Inputs_Prices!$E$54:$E$57,$J$330)*$J341</f>
        <v>124103.84489623073</v>
      </c>
      <c r="W341" s="175">
        <f>SUMIF(Inputs_Prices!$C$20:$C$27,$F341,Inputs_Prices!Q$20:Q$27)*W$327
+SUMIFS(Inputs_Prices!Q$34:Q$47,Inputs_Prices!$C$34:$C$47,$F341,Inputs_Prices!$E$34:$E$47,$L$330)*$L341
+SUMIFS(Inputs_Prices!Q$34:Q$47,Inputs_Prices!$C$34:$C$47,$F341,Inputs_Prices!$E$34:$E$47,$M$330)*$M341
+SUMIFS(Inputs_Prices!Q$34:Q$47,Inputs_Prices!$C$34:$C$47,$F341,Inputs_Prices!$E$34:$E$47,$N$330)*$N341
+SUMIFS(Inputs_Prices!Q$34:Q$47,Inputs_Prices!$C$34:$C$47,$F341,Inputs_Prices!$E$34:$E$47,$O$330)*$O341
+SUMIFS(Inputs_Prices!Q$54:Q$57,Inputs_Prices!$C$54:$C$57,$F341,Inputs_Prices!$E$54:$E$57,$I$330)*$I341
+SUMIFS(Inputs_Prices!Q$54:Q$57,Inputs_Prices!$C$54:$C$57,$F341,Inputs_Prices!$E$54:$E$57,$J$330)*$J341</f>
        <v>136203.84489623073</v>
      </c>
      <c r="X341" s="175">
        <f>SUMIF(Inputs_Prices!$C$20:$C$27,$F341,Inputs_Prices!R$20:R$27)*X$327
+SUMIFS(Inputs_Prices!R$34:R$47,Inputs_Prices!$C$34:$C$47,$F341,Inputs_Prices!$E$34:$E$47,$L$330)*$L341
+SUMIFS(Inputs_Prices!R$34:R$47,Inputs_Prices!$C$34:$C$47,$F341,Inputs_Prices!$E$34:$E$47,$M$330)*$M341
+SUMIFS(Inputs_Prices!R$34:R$47,Inputs_Prices!$C$34:$C$47,$F341,Inputs_Prices!$E$34:$E$47,$N$330)*$N341
+SUMIFS(Inputs_Prices!R$34:R$47,Inputs_Prices!$C$34:$C$47,$F341,Inputs_Prices!$E$34:$E$47,$O$330)*$O341
+SUMIFS(Inputs_Prices!R$54:R$57,Inputs_Prices!$C$54:$C$57,$F341,Inputs_Prices!$E$54:$E$57,$I$330)*$I341
+SUMIFS(Inputs_Prices!R$54:R$57,Inputs_Prices!$C$54:$C$57,$F341,Inputs_Prices!$E$54:$E$57,$J$330)*$J341</f>
        <v>151043.84489623073</v>
      </c>
      <c r="Y341" s="175">
        <f>SUMIF(Inputs_Prices!$C$20:$C$27,$F341,Inputs_Prices!S$20:S$27)*Y$327
+SUMIFS(Inputs_Prices!S$34:S$47,Inputs_Prices!$C$34:$C$47,$F341,Inputs_Prices!$E$34:$E$47,$L$330)*$L341
+SUMIFS(Inputs_Prices!S$34:S$47,Inputs_Prices!$C$34:$C$47,$F341,Inputs_Prices!$E$34:$E$47,$M$330)*$M341
+SUMIFS(Inputs_Prices!S$34:S$47,Inputs_Prices!$C$34:$C$47,$F341,Inputs_Prices!$E$34:$E$47,$N$330)*$N341
+SUMIFS(Inputs_Prices!S$34:S$47,Inputs_Prices!$C$34:$C$47,$F341,Inputs_Prices!$E$34:$E$47,$O$330)*$O341
+SUMIFS(Inputs_Prices!S$54:S$57,Inputs_Prices!$C$54:$C$57,$F341,Inputs_Prices!$E$54:$E$57,$I$330)*$I341
+SUMIFS(Inputs_Prices!S$54:S$57,Inputs_Prices!$C$54:$C$57,$F341,Inputs_Prices!$E$54:$E$57,$J$330)*$J341</f>
        <v>161203.84489623073</v>
      </c>
      <c r="AA341" s="175">
        <f t="shared" si="20"/>
        <v>4340.601128596405</v>
      </c>
      <c r="AB341" s="175">
        <f t="shared" si="12"/>
        <v>9850.4437676343223</v>
      </c>
      <c r="AC341" s="175">
        <f t="shared" si="13"/>
        <v>12100</v>
      </c>
      <c r="AD341" s="175">
        <f t="shared" si="14"/>
        <v>14840</v>
      </c>
      <c r="AE341" s="175">
        <f t="shared" si="15"/>
        <v>10160</v>
      </c>
      <c r="AG341" s="228">
        <f t="shared" si="21"/>
        <v>3.949131610327828E-2</v>
      </c>
      <c r="AH341" s="228">
        <f t="shared" si="16"/>
        <v>8.621575962143381E-2</v>
      </c>
      <c r="AI341" s="228">
        <f t="shared" si="17"/>
        <v>9.7498993767013417E-2</v>
      </c>
      <c r="AJ341" s="228">
        <f t="shared" si="18"/>
        <v>0.10895433980814648</v>
      </c>
      <c r="AK341" s="228">
        <f t="shared" si="19"/>
        <v>6.7265236838879888E-2</v>
      </c>
    </row>
    <row r="342" spans="4:37" x14ac:dyDescent="0.2">
      <c r="D342" s="75" t="s">
        <v>621</v>
      </c>
      <c r="E342" s="80">
        <v>5</v>
      </c>
      <c r="F342" s="80">
        <v>5</v>
      </c>
      <c r="H342" s="64">
        <v>6675</v>
      </c>
      <c r="I342" s="227">
        <f t="shared" si="24"/>
        <v>3490.828257257393</v>
      </c>
      <c r="J342" s="227">
        <f t="shared" si="23"/>
        <v>3184.171742742607</v>
      </c>
      <c r="L342" s="64">
        <v>3200000</v>
      </c>
      <c r="M342" s="95"/>
      <c r="N342" s="95"/>
      <c r="O342" s="95"/>
      <c r="T342" s="96">
        <f>SUMIF(Inputs_FY23_FY24!$C$27:$C$33,$E342,Inputs_FY23_FY24!$N$27:$N$33)*T$327+
SUMIF(Inputs_FY23_FY24!$C$46:$C$52,$E342,Inputs_FY23_FY24!$N$46:$N$52)*$L342+
SUMIF(Inputs_FY23_FY24!$C$66:$C$69,$E342,Inputs_FY23_FY24!$N$66:$N$69)*$H342</f>
        <v>159395.6</v>
      </c>
      <c r="U342" s="97">
        <f>SUMIF(Inputs_Prices!$C$20:$C$27,$F342,Inputs_Prices!O$20:O$27)*U$327
+SUMIFS(Inputs_Prices!O$34:O$47,Inputs_Prices!$C$34:$C$47,$F342,Inputs_Prices!$E$34:$E$47,$L$330)*$L342
+SUMIFS(Inputs_Prices!O$34:O$47,Inputs_Prices!$C$34:$C$47,$F342,Inputs_Prices!$E$34:$E$47,$M$330)*$M342
+SUMIFS(Inputs_Prices!O$34:O$47,Inputs_Prices!$C$34:$C$47,$F342,Inputs_Prices!$E$34:$E$47,$N$330)*$N342
+SUMIFS(Inputs_Prices!O$34:O$47,Inputs_Prices!$C$34:$C$47,$F342,Inputs_Prices!$E$34:$E$47,$O$330)*$O342
+SUMIFS(Inputs_Prices!O$54:O$57,Inputs_Prices!$C$54:$C$57,$F342,Inputs_Prices!$E$54:$E$57,$I$330)*$I342
+SUMIFS(Inputs_Prices!O$54:O$57,Inputs_Prices!$C$54:$C$57,$F342,Inputs_Prices!$E$54:$E$57,$J$330)*$J342</f>
        <v>174042.60169289462</v>
      </c>
      <c r="V342" s="175">
        <f>SUMIF(Inputs_Prices!$C$20:$C$27,$F342,Inputs_Prices!P$20:P$27)*V$327
+SUMIFS(Inputs_Prices!P$34:P$47,Inputs_Prices!$C$34:$C$47,$F342,Inputs_Prices!$E$34:$E$47,$L$330)*$L342
+SUMIFS(Inputs_Prices!P$34:P$47,Inputs_Prices!$C$34:$C$47,$F342,Inputs_Prices!$E$34:$E$47,$M$330)*$M342
+SUMIFS(Inputs_Prices!P$34:P$47,Inputs_Prices!$C$34:$C$47,$F342,Inputs_Prices!$E$34:$E$47,$N$330)*$N342
+SUMIFS(Inputs_Prices!P$34:P$47,Inputs_Prices!$C$34:$C$47,$F342,Inputs_Prices!$E$34:$E$47,$O$330)*$O342
+SUMIFS(Inputs_Prices!P$54:P$57,Inputs_Prices!$C$54:$C$57,$F342,Inputs_Prices!$E$54:$E$57,$I$330)*$I342
+SUMIFS(Inputs_Prices!P$54:P$57,Inputs_Prices!$C$54:$C$57,$F342,Inputs_Prices!$E$54:$E$57,$J$330)*$J342</f>
        <v>189905.76734434612</v>
      </c>
      <c r="W342" s="175">
        <f>SUMIF(Inputs_Prices!$C$20:$C$27,$F342,Inputs_Prices!Q$20:Q$27)*W$327
+SUMIFS(Inputs_Prices!Q$34:Q$47,Inputs_Prices!$C$34:$C$47,$F342,Inputs_Prices!$E$34:$E$47,$L$330)*$L342
+SUMIFS(Inputs_Prices!Q$34:Q$47,Inputs_Prices!$C$34:$C$47,$F342,Inputs_Prices!$E$34:$E$47,$M$330)*$M342
+SUMIFS(Inputs_Prices!Q$34:Q$47,Inputs_Prices!$C$34:$C$47,$F342,Inputs_Prices!$E$34:$E$47,$N$330)*$N342
+SUMIFS(Inputs_Prices!Q$34:Q$47,Inputs_Prices!$C$34:$C$47,$F342,Inputs_Prices!$E$34:$E$47,$O$330)*$O342
+SUMIFS(Inputs_Prices!Q$54:Q$57,Inputs_Prices!$C$54:$C$57,$F342,Inputs_Prices!$E$54:$E$57,$I$330)*$I342
+SUMIFS(Inputs_Prices!Q$54:Q$57,Inputs_Prices!$C$54:$C$57,$F342,Inputs_Prices!$E$54:$E$57,$J$330)*$J342</f>
        <v>208230.7673443461</v>
      </c>
      <c r="X342" s="175">
        <f>SUMIF(Inputs_Prices!$C$20:$C$27,$F342,Inputs_Prices!R$20:R$27)*X$327
+SUMIFS(Inputs_Prices!R$34:R$47,Inputs_Prices!$C$34:$C$47,$F342,Inputs_Prices!$E$34:$E$47,$L$330)*$L342
+SUMIFS(Inputs_Prices!R$34:R$47,Inputs_Prices!$C$34:$C$47,$F342,Inputs_Prices!$E$34:$E$47,$M$330)*$M342
+SUMIFS(Inputs_Prices!R$34:R$47,Inputs_Prices!$C$34:$C$47,$F342,Inputs_Prices!$E$34:$E$47,$N$330)*$N342
+SUMIFS(Inputs_Prices!R$34:R$47,Inputs_Prices!$C$34:$C$47,$F342,Inputs_Prices!$E$34:$E$47,$O$330)*$O342
+SUMIFS(Inputs_Prices!R$54:R$57,Inputs_Prices!$C$54:$C$57,$F342,Inputs_Prices!$E$54:$E$57,$I$330)*$I342
+SUMIFS(Inputs_Prices!R$54:R$57,Inputs_Prices!$C$54:$C$57,$F342,Inputs_Prices!$E$54:$E$57,$J$330)*$J342</f>
        <v>231520.7673443461</v>
      </c>
      <c r="Y342" s="175">
        <f>SUMIF(Inputs_Prices!$C$20:$C$27,$F342,Inputs_Prices!S$20:S$27)*Y$327
+SUMIFS(Inputs_Prices!S$34:S$47,Inputs_Prices!$C$34:$C$47,$F342,Inputs_Prices!$E$34:$E$47,$L$330)*$L342
+SUMIFS(Inputs_Prices!S$34:S$47,Inputs_Prices!$C$34:$C$47,$F342,Inputs_Prices!$E$34:$E$47,$M$330)*$M342
+SUMIFS(Inputs_Prices!S$34:S$47,Inputs_Prices!$C$34:$C$47,$F342,Inputs_Prices!$E$34:$E$47,$N$330)*$N342
+SUMIFS(Inputs_Prices!S$34:S$47,Inputs_Prices!$C$34:$C$47,$F342,Inputs_Prices!$E$34:$E$47,$O$330)*$O342
+SUMIFS(Inputs_Prices!S$54:S$57,Inputs_Prices!$C$54:$C$57,$F342,Inputs_Prices!$E$54:$E$57,$I$330)*$I342
+SUMIFS(Inputs_Prices!S$54:S$57,Inputs_Prices!$C$54:$C$57,$F342,Inputs_Prices!$E$54:$E$57,$J$330)*$J342</f>
        <v>247905.7673443461</v>
      </c>
      <c r="AA342" s="175">
        <f t="shared" si="20"/>
        <v>14647.001692894613</v>
      </c>
      <c r="AB342" s="175">
        <f t="shared" si="12"/>
        <v>15863.165651451505</v>
      </c>
      <c r="AC342" s="175">
        <f t="shared" si="13"/>
        <v>18324.999999999971</v>
      </c>
      <c r="AD342" s="175">
        <f t="shared" si="14"/>
        <v>23290</v>
      </c>
      <c r="AE342" s="175">
        <f t="shared" si="15"/>
        <v>16385</v>
      </c>
      <c r="AG342" s="228">
        <f t="shared" si="21"/>
        <v>9.1890878373647789E-2</v>
      </c>
      <c r="AH342" s="228">
        <f t="shared" si="16"/>
        <v>9.1145302915217954E-2</v>
      </c>
      <c r="AI342" s="228">
        <f t="shared" si="17"/>
        <v>9.6495226323338637E-2</v>
      </c>
      <c r="AJ342" s="228">
        <f t="shared" si="18"/>
        <v>0.11184706418281551</v>
      </c>
      <c r="AK342" s="228">
        <f t="shared" si="19"/>
        <v>7.0771189072772106E-2</v>
      </c>
    </row>
    <row r="343" spans="4:37" x14ac:dyDescent="0.2">
      <c r="D343" s="75" t="s">
        <v>622</v>
      </c>
      <c r="E343" s="80">
        <v>6</v>
      </c>
      <c r="F343" s="80">
        <v>6</v>
      </c>
      <c r="H343" s="64">
        <v>1500</v>
      </c>
      <c r="I343" s="227">
        <f t="shared" si="24"/>
        <v>780</v>
      </c>
      <c r="J343" s="227">
        <f t="shared" si="23"/>
        <v>720</v>
      </c>
      <c r="L343" s="64">
        <v>250000</v>
      </c>
      <c r="M343" s="95"/>
      <c r="N343" s="95"/>
      <c r="O343" s="95"/>
      <c r="T343" s="96">
        <f>SUMIF(Inputs_FY23_FY24!$C$27:$C$33,$E343,Inputs_FY23_FY24!$N$27:$N$33)*T$327+
SUMIF(Inputs_FY23_FY24!$C$46:$C$52,$E343,Inputs_FY23_FY24!$N$46:$N$52)*$L343+
SUMIF(Inputs_FY23_FY24!$C$66:$C$69,$E343,Inputs_FY23_FY24!$N$66:$N$69)*$H343</f>
        <v>56350</v>
      </c>
      <c r="U343" s="97">
        <f>SUMIF(Inputs_Prices!$C$20:$C$27,$F343,Inputs_Prices!O$20:O$27)*U$327
+SUMIFS(Inputs_Prices!O$34:O$47,Inputs_Prices!$C$34:$C$47,$F343,Inputs_Prices!$E$34:$E$47,$L$330)*$L343
+SUMIFS(Inputs_Prices!O$34:O$47,Inputs_Prices!$C$34:$C$47,$F343,Inputs_Prices!$E$34:$E$47,$M$330)*$M343
+SUMIFS(Inputs_Prices!O$34:O$47,Inputs_Prices!$C$34:$C$47,$F343,Inputs_Prices!$E$34:$E$47,$N$330)*$N343
+SUMIFS(Inputs_Prices!O$34:O$47,Inputs_Prices!$C$34:$C$47,$F343,Inputs_Prices!$E$34:$E$47,$O$330)*$O343
+SUMIFS(Inputs_Prices!O$54:O$57,Inputs_Prices!$C$54:$C$57,$F343,Inputs_Prices!$E$54:$E$57,$I$330)*$I343
+SUMIFS(Inputs_Prices!O$54:O$57,Inputs_Prices!$C$54:$C$57,$F343,Inputs_Prices!$E$54:$E$57,$J$330)*$J343</f>
        <v>54037.013200000001</v>
      </c>
      <c r="V343" s="175">
        <f>SUMIF(Inputs_Prices!$C$20:$C$27,$F343,Inputs_Prices!P$20:P$27)*V$327
+SUMIFS(Inputs_Prices!P$34:P$47,Inputs_Prices!$C$34:$C$47,$F343,Inputs_Prices!$E$34:$E$47,$L$330)*$L343
+SUMIFS(Inputs_Prices!P$34:P$47,Inputs_Prices!$C$34:$C$47,$F343,Inputs_Prices!$E$34:$E$47,$M$330)*$M343
+SUMIFS(Inputs_Prices!P$34:P$47,Inputs_Prices!$C$34:$C$47,$F343,Inputs_Prices!$E$34:$E$47,$N$330)*$N343
+SUMIFS(Inputs_Prices!P$34:P$47,Inputs_Prices!$C$34:$C$47,$F343,Inputs_Prices!$E$34:$E$47,$O$330)*$O343
+SUMIFS(Inputs_Prices!P$54:P$57,Inputs_Prices!$C$54:$C$57,$F343,Inputs_Prices!$E$54:$E$57,$I$330)*$I343
+SUMIFS(Inputs_Prices!P$54:P$57,Inputs_Prices!$C$54:$C$57,$F343,Inputs_Prices!$E$54:$E$57,$J$330)*$J343</f>
        <v>57915.676800000001</v>
      </c>
      <c r="W343" s="175">
        <f>SUMIF(Inputs_Prices!$C$20:$C$27,$F343,Inputs_Prices!Q$20:Q$27)*W$327
+SUMIFS(Inputs_Prices!Q$34:Q$47,Inputs_Prices!$C$34:$C$47,$F343,Inputs_Prices!$E$34:$E$47,$L$330)*$L343
+SUMIFS(Inputs_Prices!Q$34:Q$47,Inputs_Prices!$C$34:$C$47,$F343,Inputs_Prices!$E$34:$E$47,$M$330)*$M343
+SUMIFS(Inputs_Prices!Q$34:Q$47,Inputs_Prices!$C$34:$C$47,$F343,Inputs_Prices!$E$34:$E$47,$N$330)*$N343
+SUMIFS(Inputs_Prices!Q$34:Q$47,Inputs_Prices!$C$34:$C$47,$F343,Inputs_Prices!$E$34:$E$47,$O$330)*$O343
+SUMIFS(Inputs_Prices!Q$54:Q$57,Inputs_Prices!$C$54:$C$57,$F343,Inputs_Prices!$E$54:$E$57,$I$330)*$I343
+SUMIFS(Inputs_Prices!Q$54:Q$57,Inputs_Prices!$C$54:$C$57,$F343,Inputs_Prices!$E$54:$E$57,$J$330)*$J343</f>
        <v>61486.7624</v>
      </c>
      <c r="X343" s="175">
        <f>SUMIF(Inputs_Prices!$C$20:$C$27,$F343,Inputs_Prices!R$20:R$27)*X$327
+SUMIFS(Inputs_Prices!R$34:R$47,Inputs_Prices!$C$34:$C$47,$F343,Inputs_Prices!$E$34:$E$47,$L$330)*$L343
+SUMIFS(Inputs_Prices!R$34:R$47,Inputs_Prices!$C$34:$C$47,$F343,Inputs_Prices!$E$34:$E$47,$M$330)*$M343
+SUMIFS(Inputs_Prices!R$34:R$47,Inputs_Prices!$C$34:$C$47,$F343,Inputs_Prices!$E$34:$E$47,$N$330)*$N343
+SUMIFS(Inputs_Prices!R$34:R$47,Inputs_Prices!$C$34:$C$47,$F343,Inputs_Prices!$E$34:$E$47,$O$330)*$O343
+SUMIFS(Inputs_Prices!R$54:R$57,Inputs_Prices!$C$54:$C$57,$F343,Inputs_Prices!$E$54:$E$57,$I$330)*$I343
+SUMIFS(Inputs_Prices!R$54:R$57,Inputs_Prices!$C$54:$C$57,$F343,Inputs_Prices!$E$54:$E$57,$J$330)*$J343</f>
        <v>66600.8796</v>
      </c>
      <c r="Y343" s="175">
        <f>SUMIF(Inputs_Prices!$C$20:$C$27,$F343,Inputs_Prices!S$20:S$27)*Y$327
+SUMIFS(Inputs_Prices!S$34:S$47,Inputs_Prices!$C$34:$C$47,$F343,Inputs_Prices!$E$34:$E$47,$L$330)*$L343
+SUMIFS(Inputs_Prices!S$34:S$47,Inputs_Prices!$C$34:$C$47,$F343,Inputs_Prices!$E$34:$E$47,$M$330)*$M343
+SUMIFS(Inputs_Prices!S$34:S$47,Inputs_Prices!$C$34:$C$47,$F343,Inputs_Prices!$E$34:$E$47,$N$330)*$N343
+SUMIFS(Inputs_Prices!S$34:S$47,Inputs_Prices!$C$34:$C$47,$F343,Inputs_Prices!$E$34:$E$47,$O$330)*$O343
+SUMIFS(Inputs_Prices!S$54:S$57,Inputs_Prices!$C$54:$C$57,$F343,Inputs_Prices!$E$54:$E$57,$I$330)*$I343
+SUMIFS(Inputs_Prices!S$54:S$57,Inputs_Prices!$C$54:$C$57,$F343,Inputs_Prices!$E$54:$E$57,$J$330)*$J343</f>
        <v>70402.8</v>
      </c>
      <c r="AA343" s="175">
        <f t="shared" si="20"/>
        <v>-2312.9867999999988</v>
      </c>
      <c r="AB343" s="175">
        <f t="shared" si="12"/>
        <v>3878.6635999999999</v>
      </c>
      <c r="AC343" s="175">
        <f t="shared" si="13"/>
        <v>3571.0855999999985</v>
      </c>
      <c r="AD343" s="175">
        <f t="shared" si="14"/>
        <v>5114.1172000000006</v>
      </c>
      <c r="AE343" s="175">
        <f t="shared" si="15"/>
        <v>3801.9204000000027</v>
      </c>
      <c r="AG343" s="228">
        <f t="shared" si="21"/>
        <v>-4.1046793256432984E-2</v>
      </c>
      <c r="AH343" s="228">
        <f t="shared" si="16"/>
        <v>7.1777905000863368E-2</v>
      </c>
      <c r="AI343" s="228">
        <f t="shared" si="17"/>
        <v>6.1660085788723763E-2</v>
      </c>
      <c r="AJ343" s="228">
        <f t="shared" si="18"/>
        <v>8.3174280127652336E-2</v>
      </c>
      <c r="AK343" s="228">
        <f t="shared" si="19"/>
        <v>5.7085137956646485E-2</v>
      </c>
    </row>
    <row r="344" spans="4:37" x14ac:dyDescent="0.2">
      <c r="D344" s="75" t="s">
        <v>623</v>
      </c>
      <c r="E344" s="80">
        <v>7</v>
      </c>
      <c r="F344" s="80">
        <v>6</v>
      </c>
      <c r="H344" s="64">
        <v>6850</v>
      </c>
      <c r="I344" s="227">
        <f t="shared" si="24"/>
        <v>3562</v>
      </c>
      <c r="J344" s="227">
        <f t="shared" si="23"/>
        <v>3288</v>
      </c>
      <c r="L344" s="64">
        <v>5400000</v>
      </c>
      <c r="M344" s="95"/>
      <c r="N344" s="95"/>
      <c r="O344" s="95"/>
      <c r="T344" s="96">
        <f>SUMIF(Inputs_FY23_FY24!$C$27:$C$33,$E344,Inputs_FY23_FY24!$N$27:$N$33)*T$327+
SUMIF(Inputs_FY23_FY24!$C$46:$C$52,$E344,Inputs_FY23_FY24!$N$46:$N$52)*$L344+
SUMIF(Inputs_FY23_FY24!$C$66:$C$69,$E344,Inputs_FY23_FY24!$N$66:$N$69)*$H344</f>
        <v>182150</v>
      </c>
      <c r="U344" s="97">
        <f>SUMIF(Inputs_Prices!$C$20:$C$27,$F344,Inputs_Prices!O$20:O$27)*U$327
+SUMIFS(Inputs_Prices!O$34:O$47,Inputs_Prices!$C$34:$C$47,$F344,Inputs_Prices!$E$34:$E$47,$L$330)*$L344
+SUMIFS(Inputs_Prices!O$34:O$47,Inputs_Prices!$C$34:$C$47,$F344,Inputs_Prices!$E$34:$E$47,$M$330)*$M344
+SUMIFS(Inputs_Prices!O$34:O$47,Inputs_Prices!$C$34:$C$47,$F344,Inputs_Prices!$E$34:$E$47,$N$330)*$N344
+SUMIFS(Inputs_Prices!O$34:O$47,Inputs_Prices!$C$34:$C$47,$F344,Inputs_Prices!$E$34:$E$47,$O$330)*$O344
+SUMIFS(Inputs_Prices!O$54:O$57,Inputs_Prices!$C$54:$C$57,$F344,Inputs_Prices!$E$54:$E$57,$I$330)*$I344
+SUMIFS(Inputs_Prices!O$54:O$57,Inputs_Prices!$C$54:$C$57,$F344,Inputs_Prices!$E$54:$E$57,$J$330)*$J344</f>
        <v>231317.36027999999</v>
      </c>
      <c r="V344" s="175">
        <f>SUMIF(Inputs_Prices!$C$20:$C$27,$F344,Inputs_Prices!P$20:P$27)*V$327
+SUMIFS(Inputs_Prices!P$34:P$47,Inputs_Prices!$C$34:$C$47,$F344,Inputs_Prices!$E$34:$E$47,$L$330)*$L344
+SUMIFS(Inputs_Prices!P$34:P$47,Inputs_Prices!$C$34:$C$47,$F344,Inputs_Prices!$E$34:$E$47,$M$330)*$M344
+SUMIFS(Inputs_Prices!P$34:P$47,Inputs_Prices!$C$34:$C$47,$F344,Inputs_Prices!$E$34:$E$47,$N$330)*$N344
+SUMIFS(Inputs_Prices!P$34:P$47,Inputs_Prices!$C$34:$C$47,$F344,Inputs_Prices!$E$34:$E$47,$O$330)*$O344
+SUMIFS(Inputs_Prices!P$54:P$57,Inputs_Prices!$C$54:$C$57,$F344,Inputs_Prices!$E$54:$E$57,$I$330)*$I344
+SUMIFS(Inputs_Prices!P$54:P$57,Inputs_Prices!$C$54:$C$57,$F344,Inputs_Prices!$E$54:$E$57,$J$330)*$J344</f>
        <v>253166.59072000001</v>
      </c>
      <c r="W344" s="175">
        <f>SUMIF(Inputs_Prices!$C$20:$C$27,$F344,Inputs_Prices!Q$20:Q$27)*W$327
+SUMIFS(Inputs_Prices!Q$34:Q$47,Inputs_Prices!$C$34:$C$47,$F344,Inputs_Prices!$E$34:$E$47,$L$330)*$L344
+SUMIFS(Inputs_Prices!Q$34:Q$47,Inputs_Prices!$C$34:$C$47,$F344,Inputs_Prices!$E$34:$E$47,$M$330)*$M344
+SUMIFS(Inputs_Prices!Q$34:Q$47,Inputs_Prices!$C$34:$C$47,$F344,Inputs_Prices!$E$34:$E$47,$N$330)*$N344
+SUMIFS(Inputs_Prices!Q$34:Q$47,Inputs_Prices!$C$34:$C$47,$F344,Inputs_Prices!$E$34:$E$47,$O$330)*$O344
+SUMIFS(Inputs_Prices!Q$54:Q$57,Inputs_Prices!$C$54:$C$57,$F344,Inputs_Prices!$E$54:$E$57,$I$330)*$I344
+SUMIFS(Inputs_Prices!Q$54:Q$57,Inputs_Prices!$C$54:$C$57,$F344,Inputs_Prices!$E$54:$E$57,$J$330)*$J344</f>
        <v>273611.21496000001</v>
      </c>
      <c r="X344" s="175">
        <f>SUMIF(Inputs_Prices!$C$20:$C$27,$F344,Inputs_Prices!R$20:R$27)*X$327
+SUMIFS(Inputs_Prices!R$34:R$47,Inputs_Prices!$C$34:$C$47,$F344,Inputs_Prices!$E$34:$E$47,$L$330)*$L344
+SUMIFS(Inputs_Prices!R$34:R$47,Inputs_Prices!$C$34:$C$47,$F344,Inputs_Prices!$E$34:$E$47,$M$330)*$M344
+SUMIFS(Inputs_Prices!R$34:R$47,Inputs_Prices!$C$34:$C$47,$F344,Inputs_Prices!$E$34:$E$47,$N$330)*$N344
+SUMIFS(Inputs_Prices!R$34:R$47,Inputs_Prices!$C$34:$C$47,$F344,Inputs_Prices!$E$34:$E$47,$O$330)*$O344
+SUMIFS(Inputs_Prices!R$54:R$57,Inputs_Prices!$C$54:$C$57,$F344,Inputs_Prices!$E$54:$E$57,$I$330)*$I344
+SUMIFS(Inputs_Prices!R$54:R$57,Inputs_Prices!$C$54:$C$57,$F344,Inputs_Prices!$E$54:$E$57,$J$330)*$J344</f>
        <v>300656.51684</v>
      </c>
      <c r="Y344" s="175">
        <f>SUMIF(Inputs_Prices!$C$20:$C$27,$F344,Inputs_Prices!S$20:S$27)*Y$327
+SUMIFS(Inputs_Prices!S$34:S$47,Inputs_Prices!$C$34:$C$47,$F344,Inputs_Prices!$E$34:$E$47,$L$330)*$L344
+SUMIFS(Inputs_Prices!S$34:S$47,Inputs_Prices!$C$34:$C$47,$F344,Inputs_Prices!$E$34:$E$47,$M$330)*$M344
+SUMIFS(Inputs_Prices!S$34:S$47,Inputs_Prices!$C$34:$C$47,$F344,Inputs_Prices!$E$34:$E$47,$N$330)*$N344
+SUMIFS(Inputs_Prices!S$34:S$47,Inputs_Prices!$C$34:$C$47,$F344,Inputs_Prices!$E$34:$E$47,$O$330)*$O344
+SUMIFS(Inputs_Prices!S$54:S$57,Inputs_Prices!$C$54:$C$57,$F344,Inputs_Prices!$E$54:$E$57,$I$330)*$I344
+SUMIFS(Inputs_Prices!S$54:S$57,Inputs_Prices!$C$54:$C$57,$F344,Inputs_Prices!$E$54:$E$57,$J$330)*$J344</f>
        <v>322601.12</v>
      </c>
      <c r="AA344" s="175">
        <f t="shared" si="20"/>
        <v>49167.360279999994</v>
      </c>
      <c r="AB344" s="175">
        <f t="shared" si="12"/>
        <v>21849.230440000014</v>
      </c>
      <c r="AC344" s="175">
        <f t="shared" si="13"/>
        <v>20444.624240000005</v>
      </c>
      <c r="AD344" s="175">
        <f t="shared" si="14"/>
        <v>27045.301879999985</v>
      </c>
      <c r="AE344" s="175">
        <f t="shared" si="15"/>
        <v>21944.603159999999</v>
      </c>
      <c r="AG344" s="228">
        <f t="shared" si="21"/>
        <v>0.26992786318967882</v>
      </c>
      <c r="AH344" s="228">
        <f t="shared" si="16"/>
        <v>9.4455644892162155E-2</v>
      </c>
      <c r="AI344" s="228">
        <f t="shared" si="17"/>
        <v>8.075561701034864E-2</v>
      </c>
      <c r="AJ344" s="228">
        <f t="shared" si="18"/>
        <v>9.8845735851704072E-2</v>
      </c>
      <c r="AK344" s="228">
        <f t="shared" si="19"/>
        <v>7.2988948952928331E-2</v>
      </c>
    </row>
    <row r="345" spans="4:37" x14ac:dyDescent="0.2">
      <c r="D345" s="75" t="s">
        <v>624</v>
      </c>
      <c r="E345" s="80">
        <v>7</v>
      </c>
      <c r="F345" s="80">
        <v>6</v>
      </c>
      <c r="H345" s="64">
        <v>11500</v>
      </c>
      <c r="I345" s="227">
        <f t="shared" si="24"/>
        <v>5980</v>
      </c>
      <c r="J345" s="227">
        <f t="shared" si="23"/>
        <v>5520</v>
      </c>
      <c r="L345" s="64">
        <v>3500000</v>
      </c>
      <c r="M345" s="95"/>
      <c r="N345" s="95"/>
      <c r="O345" s="95"/>
      <c r="T345" s="96">
        <f>SUMIF(Inputs_FY23_FY24!$C$27:$C$33,$E345,Inputs_FY23_FY24!$N$27:$N$33)*T$327+
SUMIF(Inputs_FY23_FY24!$C$46:$C$52,$E345,Inputs_FY23_FY24!$N$46:$N$52)*$L345+
SUMIF(Inputs_FY23_FY24!$C$66:$C$69,$E345,Inputs_FY23_FY24!$N$66:$N$69)*$H345</f>
        <v>208600</v>
      </c>
      <c r="U345" s="97">
        <f>SUMIF(Inputs_Prices!$C$20:$C$27,$F345,Inputs_Prices!O$20:O$27)*U$327
+SUMIFS(Inputs_Prices!O$34:O$47,Inputs_Prices!$C$34:$C$47,$F345,Inputs_Prices!$E$34:$E$47,$L$330)*$L345
+SUMIFS(Inputs_Prices!O$34:O$47,Inputs_Prices!$C$34:$C$47,$F345,Inputs_Prices!$E$34:$E$47,$M$330)*$M345
+SUMIFS(Inputs_Prices!O$34:O$47,Inputs_Prices!$C$34:$C$47,$F345,Inputs_Prices!$E$34:$E$47,$N$330)*$N345
+SUMIFS(Inputs_Prices!O$34:O$47,Inputs_Prices!$C$34:$C$47,$F345,Inputs_Prices!$E$34:$E$47,$O$330)*$O345
+SUMIFS(Inputs_Prices!O$54:O$57,Inputs_Prices!$C$54:$C$57,$F345,Inputs_Prices!$E$54:$E$57,$I$330)*$I345
+SUMIFS(Inputs_Prices!O$54:O$57,Inputs_Prices!$C$54:$C$57,$F345,Inputs_Prices!$E$54:$E$57,$J$330)*$J345</f>
        <v>194117.1012</v>
      </c>
      <c r="V345" s="175">
        <f>SUMIF(Inputs_Prices!$C$20:$C$27,$F345,Inputs_Prices!P$20:P$27)*V$327
+SUMIFS(Inputs_Prices!P$34:P$47,Inputs_Prices!$C$34:$C$47,$F345,Inputs_Prices!$E$34:$E$47,$L$330)*$L345
+SUMIFS(Inputs_Prices!P$34:P$47,Inputs_Prices!$C$34:$C$47,$F345,Inputs_Prices!$E$34:$E$47,$M$330)*$M345
+SUMIFS(Inputs_Prices!P$34:P$47,Inputs_Prices!$C$34:$C$47,$F345,Inputs_Prices!$E$34:$E$47,$N$330)*$N345
+SUMIFS(Inputs_Prices!P$34:P$47,Inputs_Prices!$C$34:$C$47,$F345,Inputs_Prices!$E$34:$E$47,$O$330)*$O345
+SUMIFS(Inputs_Prices!P$54:P$57,Inputs_Prices!$C$54:$C$57,$F345,Inputs_Prices!$E$54:$E$57,$I$330)*$I345
+SUMIFS(Inputs_Prices!P$54:P$57,Inputs_Prices!$C$54:$C$57,$F345,Inputs_Prices!$E$54:$E$57,$J$330)*$J345</f>
        <v>215645.1888</v>
      </c>
      <c r="W345" s="175">
        <f>SUMIF(Inputs_Prices!$C$20:$C$27,$F345,Inputs_Prices!Q$20:Q$27)*W$327
+SUMIFS(Inputs_Prices!Q$34:Q$47,Inputs_Prices!$C$34:$C$47,$F345,Inputs_Prices!$E$34:$E$47,$L$330)*$L345
+SUMIFS(Inputs_Prices!Q$34:Q$47,Inputs_Prices!$C$34:$C$47,$F345,Inputs_Prices!$E$34:$E$47,$M$330)*$M345
+SUMIFS(Inputs_Prices!Q$34:Q$47,Inputs_Prices!$C$34:$C$47,$F345,Inputs_Prices!$E$34:$E$47,$N$330)*$N345
+SUMIFS(Inputs_Prices!Q$34:Q$47,Inputs_Prices!$C$34:$C$47,$F345,Inputs_Prices!$E$34:$E$47,$O$330)*$O345
+SUMIFS(Inputs_Prices!Q$54:Q$57,Inputs_Prices!$C$54:$C$57,$F345,Inputs_Prices!$E$54:$E$57,$I$330)*$I345
+SUMIFS(Inputs_Prices!Q$54:Q$57,Inputs_Prices!$C$54:$C$57,$F345,Inputs_Prices!$E$54:$E$57,$J$330)*$J345</f>
        <v>234815.1784</v>
      </c>
      <c r="X345" s="175">
        <f>SUMIF(Inputs_Prices!$C$20:$C$27,$F345,Inputs_Prices!R$20:R$27)*X$327
+SUMIFS(Inputs_Prices!R$34:R$47,Inputs_Prices!$C$34:$C$47,$F345,Inputs_Prices!$E$34:$E$47,$L$330)*$L345
+SUMIFS(Inputs_Prices!R$34:R$47,Inputs_Prices!$C$34:$C$47,$F345,Inputs_Prices!$E$34:$E$47,$M$330)*$M345
+SUMIFS(Inputs_Prices!R$34:R$47,Inputs_Prices!$C$34:$C$47,$F345,Inputs_Prices!$E$34:$E$47,$N$330)*$N345
+SUMIFS(Inputs_Prices!R$34:R$47,Inputs_Prices!$C$34:$C$47,$F345,Inputs_Prices!$E$34:$E$47,$O$330)*$O345
+SUMIFS(Inputs_Prices!R$54:R$57,Inputs_Prices!$C$54:$C$57,$F345,Inputs_Prices!$E$54:$E$57,$I$330)*$I345
+SUMIFS(Inputs_Prices!R$54:R$57,Inputs_Prices!$C$54:$C$57,$F345,Inputs_Prices!$E$54:$E$57,$J$330)*$J345</f>
        <v>264981.74359999999</v>
      </c>
      <c r="Y345" s="175">
        <f>SUMIF(Inputs_Prices!$C$20:$C$27,$F345,Inputs_Prices!S$20:S$27)*Y$327
+SUMIFS(Inputs_Prices!S$34:S$47,Inputs_Prices!$C$34:$C$47,$F345,Inputs_Prices!$E$34:$E$47,$L$330)*$L345
+SUMIFS(Inputs_Prices!S$34:S$47,Inputs_Prices!$C$34:$C$47,$F345,Inputs_Prices!$E$34:$E$47,$M$330)*$M345
+SUMIFS(Inputs_Prices!S$34:S$47,Inputs_Prices!$C$34:$C$47,$F345,Inputs_Prices!$E$34:$E$47,$N$330)*$N345
+SUMIFS(Inputs_Prices!S$34:S$47,Inputs_Prices!$C$34:$C$47,$F345,Inputs_Prices!$E$34:$E$47,$O$330)*$O345
+SUMIFS(Inputs_Prices!S$54:S$57,Inputs_Prices!$C$54:$C$57,$F345,Inputs_Prices!$E$54:$E$57,$I$330)*$I345
+SUMIFS(Inputs_Prices!S$54:S$57,Inputs_Prices!$C$54:$C$57,$F345,Inputs_Prices!$E$54:$E$57,$J$330)*$J345</f>
        <v>286754.8</v>
      </c>
      <c r="AA345" s="175">
        <f t="shared" si="20"/>
        <v>-14482.898799999995</v>
      </c>
      <c r="AB345" s="175">
        <f t="shared" si="12"/>
        <v>21528.087599999999</v>
      </c>
      <c r="AC345" s="175">
        <f t="shared" si="13"/>
        <v>19169.989600000001</v>
      </c>
      <c r="AD345" s="175">
        <f t="shared" si="14"/>
        <v>30166.565199999983</v>
      </c>
      <c r="AE345" s="175">
        <f t="shared" si="15"/>
        <v>21773.056400000001</v>
      </c>
      <c r="AG345" s="228">
        <f t="shared" si="21"/>
        <v>-6.9429045062320213E-2</v>
      </c>
      <c r="AH345" s="228">
        <f t="shared" si="16"/>
        <v>0.1109025813126041</v>
      </c>
      <c r="AI345" s="228">
        <f t="shared" si="17"/>
        <v>8.8895976333509555E-2</v>
      </c>
      <c r="AJ345" s="228">
        <f t="shared" si="18"/>
        <v>0.12846940051129158</v>
      </c>
      <c r="AK345" s="228">
        <f t="shared" si="19"/>
        <v>8.2168137714676889E-2</v>
      </c>
    </row>
    <row r="346" spans="4:37" x14ac:dyDescent="0.2">
      <c r="D346" s="75" t="s">
        <v>811</v>
      </c>
      <c r="E346" s="80">
        <v>7</v>
      </c>
      <c r="F346" s="80">
        <v>6</v>
      </c>
      <c r="H346" s="64">
        <v>30000</v>
      </c>
      <c r="I346" s="227">
        <f t="shared" si="24"/>
        <v>15600</v>
      </c>
      <c r="J346" s="227">
        <f t="shared" si="23"/>
        <v>14400</v>
      </c>
      <c r="L346" s="64">
        <v>13200000</v>
      </c>
      <c r="M346" s="95"/>
      <c r="N346" s="95"/>
      <c r="O346" s="95"/>
      <c r="T346" s="96">
        <f>SUMIF(Inputs_FY23_FY24!$C$27:$C$33,$E346,Inputs_FY23_FY24!$N$27:$N$33)*T$327+
SUMIF(Inputs_FY23_FY24!$C$46:$C$52,$E346,Inputs_FY23_FY24!$N$46:$N$52)*$L346+
SUMIF(Inputs_FY23_FY24!$C$66:$C$69,$E346,Inputs_FY23_FY24!$N$66:$N$69)*$H346</f>
        <v>538200</v>
      </c>
      <c r="U346" s="97">
        <f>SUMIF(Inputs_Prices!$C$20:$C$27,$F346,Inputs_Prices!O$20:O$27)*U$327
+SUMIFS(Inputs_Prices!O$34:O$47,Inputs_Prices!$C$34:$C$47,$F346,Inputs_Prices!$E$34:$E$47,$L$330)*$L346
+SUMIFS(Inputs_Prices!O$34:O$47,Inputs_Prices!$C$34:$C$47,$F346,Inputs_Prices!$E$34:$E$47,$M$330)*$M346
+SUMIFS(Inputs_Prices!O$34:O$47,Inputs_Prices!$C$34:$C$47,$F346,Inputs_Prices!$E$34:$E$47,$N$330)*$N346
+SUMIFS(Inputs_Prices!O$34:O$47,Inputs_Prices!$C$34:$C$47,$F346,Inputs_Prices!$E$34:$E$47,$O$330)*$O346
+SUMIFS(Inputs_Prices!O$54:O$57,Inputs_Prices!$C$54:$C$57,$F346,Inputs_Prices!$E$54:$E$57,$I$330)*$I346
+SUMIFS(Inputs_Prices!O$54:O$57,Inputs_Prices!$C$54:$C$57,$F346,Inputs_Prices!$E$54:$E$57,$J$330)*$J346</f>
        <v>563890.26399999997</v>
      </c>
      <c r="V346" s="175">
        <f>SUMIF(Inputs_Prices!$C$20:$C$27,$F346,Inputs_Prices!P$20:P$27)*V$327
+SUMIFS(Inputs_Prices!P$34:P$47,Inputs_Prices!$C$34:$C$47,$F346,Inputs_Prices!$E$34:$E$47,$L$330)*$L346
+SUMIFS(Inputs_Prices!P$34:P$47,Inputs_Prices!$C$34:$C$47,$F346,Inputs_Prices!$E$34:$E$47,$M$330)*$M346
+SUMIFS(Inputs_Prices!P$34:P$47,Inputs_Prices!$C$34:$C$47,$F346,Inputs_Prices!$E$34:$E$47,$N$330)*$N346
+SUMIFS(Inputs_Prices!P$34:P$47,Inputs_Prices!$C$34:$C$47,$F346,Inputs_Prices!$E$34:$E$47,$O$330)*$O346
+SUMIFS(Inputs_Prices!P$54:P$57,Inputs_Prices!$C$54:$C$57,$F346,Inputs_Prices!$E$54:$E$57,$I$330)*$I346
+SUMIFS(Inputs_Prices!P$54:P$57,Inputs_Prices!$C$54:$C$57,$F346,Inputs_Prices!$E$54:$E$57,$J$330)*$J346</f>
        <v>627288.53599999996</v>
      </c>
      <c r="W346" s="175">
        <f>SUMIF(Inputs_Prices!$C$20:$C$27,$F346,Inputs_Prices!Q$20:Q$27)*W$327
+SUMIFS(Inputs_Prices!Q$34:Q$47,Inputs_Prices!$C$34:$C$47,$F346,Inputs_Prices!$E$34:$E$47,$L$330)*$L346
+SUMIFS(Inputs_Prices!Q$34:Q$47,Inputs_Prices!$C$34:$C$47,$F346,Inputs_Prices!$E$34:$E$47,$M$330)*$M346
+SUMIFS(Inputs_Prices!Q$34:Q$47,Inputs_Prices!$C$34:$C$47,$F346,Inputs_Prices!$E$34:$E$47,$N$330)*$N346
+SUMIFS(Inputs_Prices!Q$34:Q$47,Inputs_Prices!$C$34:$C$47,$F346,Inputs_Prices!$E$34:$E$47,$O$330)*$O346
+SUMIFS(Inputs_Prices!Q$54:Q$57,Inputs_Prices!$C$54:$C$57,$F346,Inputs_Prices!$E$54:$E$57,$I$330)*$I346
+SUMIFS(Inputs_Prices!Q$54:Q$57,Inputs_Prices!$C$54:$C$57,$F346,Inputs_Prices!$E$54:$E$57,$J$330)*$J346</f>
        <v>684535.24800000002</v>
      </c>
      <c r="X346" s="175">
        <f>SUMIF(Inputs_Prices!$C$20:$C$27,$F346,Inputs_Prices!R$20:R$27)*X$327
+SUMIFS(Inputs_Prices!R$34:R$47,Inputs_Prices!$C$34:$C$47,$F346,Inputs_Prices!$E$34:$E$47,$L$330)*$L346
+SUMIFS(Inputs_Prices!R$34:R$47,Inputs_Prices!$C$34:$C$47,$F346,Inputs_Prices!$E$34:$E$47,$M$330)*$M346
+SUMIFS(Inputs_Prices!R$34:R$47,Inputs_Prices!$C$34:$C$47,$F346,Inputs_Prices!$E$34:$E$47,$N$330)*$N346
+SUMIFS(Inputs_Prices!R$34:R$47,Inputs_Prices!$C$34:$C$47,$F346,Inputs_Prices!$E$34:$E$47,$O$330)*$O346
+SUMIFS(Inputs_Prices!R$54:R$57,Inputs_Prices!$C$54:$C$57,$F346,Inputs_Prices!$E$54:$E$57,$I$330)*$I346
+SUMIFS(Inputs_Prices!R$54:R$57,Inputs_Prices!$C$54:$C$57,$F346,Inputs_Prices!$E$54:$E$57,$J$330)*$J346</f>
        <v>770267.59199999995</v>
      </c>
      <c r="Y346" s="175">
        <f>SUMIF(Inputs_Prices!$C$20:$C$27,$F346,Inputs_Prices!S$20:S$27)*Y$327
+SUMIFS(Inputs_Prices!S$34:S$47,Inputs_Prices!$C$34:$C$47,$F346,Inputs_Prices!$E$34:$E$47,$L$330)*$L346
+SUMIFS(Inputs_Prices!S$34:S$47,Inputs_Prices!$C$34:$C$47,$F346,Inputs_Prices!$E$34:$E$47,$M$330)*$M346
+SUMIFS(Inputs_Prices!S$34:S$47,Inputs_Prices!$C$34:$C$47,$F346,Inputs_Prices!$E$34:$E$47,$N$330)*$N346
+SUMIFS(Inputs_Prices!S$34:S$47,Inputs_Prices!$C$34:$C$47,$F346,Inputs_Prices!$E$34:$E$47,$O$330)*$O346
+SUMIFS(Inputs_Prices!S$54:S$57,Inputs_Prices!$C$54:$C$57,$F346,Inputs_Prices!$E$54:$E$57,$I$330)*$I346
+SUMIFS(Inputs_Prices!S$54:S$57,Inputs_Prices!$C$54:$C$57,$F346,Inputs_Prices!$E$54:$E$57,$J$330)*$J346</f>
        <v>834506</v>
      </c>
      <c r="AA346" s="175">
        <f t="shared" si="20"/>
        <v>25690.263999999966</v>
      </c>
      <c r="AB346" s="175">
        <f t="shared" si="12"/>
        <v>63398.271999999997</v>
      </c>
      <c r="AC346" s="175">
        <f t="shared" si="13"/>
        <v>57246.712000000058</v>
      </c>
      <c r="AD346" s="175">
        <f t="shared" si="14"/>
        <v>85732.343999999925</v>
      </c>
      <c r="AE346" s="175">
        <f t="shared" si="15"/>
        <v>64238.408000000054</v>
      </c>
      <c r="AG346" s="228">
        <f t="shared" si="21"/>
        <v>4.773367521367515E-2</v>
      </c>
      <c r="AH346" s="228">
        <f t="shared" si="16"/>
        <v>0.11243015892893657</v>
      </c>
      <c r="AI346" s="228">
        <f t="shared" si="17"/>
        <v>9.126057422480946E-2</v>
      </c>
      <c r="AJ346" s="228">
        <f t="shared" si="18"/>
        <v>0.12524167930063979</v>
      </c>
      <c r="AK346" s="228">
        <f t="shared" si="19"/>
        <v>8.339752141616788E-2</v>
      </c>
    </row>
    <row r="347" spans="4:37" x14ac:dyDescent="0.2">
      <c r="D347" s="75" t="s">
        <v>811</v>
      </c>
      <c r="E347" s="80">
        <v>7</v>
      </c>
      <c r="F347" s="80">
        <v>6</v>
      </c>
      <c r="H347" s="64">
        <v>53000</v>
      </c>
      <c r="I347" s="227">
        <f t="shared" si="24"/>
        <v>27560</v>
      </c>
      <c r="J347" s="227">
        <f t="shared" si="23"/>
        <v>25440</v>
      </c>
      <c r="L347" s="64">
        <v>25000000</v>
      </c>
      <c r="M347" s="95"/>
      <c r="N347" s="95"/>
      <c r="O347" s="95"/>
      <c r="T347" s="96">
        <f>SUMIF(Inputs_FY23_FY24!$C$27:$C$33,$E347,Inputs_FY23_FY24!$N$27:$N$33)*T$327+
SUMIF(Inputs_FY23_FY24!$C$46:$C$52,$E347,Inputs_FY23_FY24!$N$46:$N$52)*$L347+
SUMIF(Inputs_FY23_FY24!$C$66:$C$69,$E347,Inputs_FY23_FY24!$N$66:$N$69)*$H347</f>
        <v>944600</v>
      </c>
      <c r="U347" s="97">
        <f>SUMIF(Inputs_Prices!$C$20:$C$27,$F347,Inputs_Prices!O$20:O$27)*U$327
+SUMIFS(Inputs_Prices!O$34:O$47,Inputs_Prices!$C$34:$C$47,$F347,Inputs_Prices!$E$34:$E$47,$L$330)*$L347
+SUMIFS(Inputs_Prices!O$34:O$47,Inputs_Prices!$C$34:$C$47,$F347,Inputs_Prices!$E$34:$E$47,$M$330)*$M347
+SUMIFS(Inputs_Prices!O$34:O$47,Inputs_Prices!$C$34:$C$47,$F347,Inputs_Prices!$E$34:$E$47,$N$330)*$N347
+SUMIFS(Inputs_Prices!O$34:O$47,Inputs_Prices!$C$34:$C$47,$F347,Inputs_Prices!$E$34:$E$47,$O$330)*$O347
+SUMIFS(Inputs_Prices!O$54:O$57,Inputs_Prices!$C$54:$C$57,$F347,Inputs_Prices!$E$54:$E$57,$I$330)*$I347
+SUMIFS(Inputs_Prices!O$54:O$57,Inputs_Prices!$C$54:$C$57,$F347,Inputs_Prices!$E$54:$E$57,$J$330)*$J347</f>
        <v>1015824.4664</v>
      </c>
      <c r="V347" s="175">
        <f>SUMIF(Inputs_Prices!$C$20:$C$27,$F347,Inputs_Prices!P$20:P$27)*V$327
+SUMIFS(Inputs_Prices!P$34:P$47,Inputs_Prices!$C$34:$C$47,$F347,Inputs_Prices!$E$34:$E$47,$L$330)*$L347
+SUMIFS(Inputs_Prices!P$34:P$47,Inputs_Prices!$C$34:$C$47,$F347,Inputs_Prices!$E$34:$E$47,$M$330)*$M347
+SUMIFS(Inputs_Prices!P$34:P$47,Inputs_Prices!$C$34:$C$47,$F347,Inputs_Prices!$E$34:$E$47,$N$330)*$N347
+SUMIFS(Inputs_Prices!P$34:P$47,Inputs_Prices!$C$34:$C$47,$F347,Inputs_Prices!$E$34:$E$47,$O$330)*$O347
+SUMIFS(Inputs_Prices!P$54:P$57,Inputs_Prices!$C$54:$C$57,$F347,Inputs_Prices!$E$54:$E$57,$I$330)*$I347
+SUMIFS(Inputs_Prices!P$54:P$57,Inputs_Prices!$C$54:$C$57,$F347,Inputs_Prices!$E$54:$E$57,$J$330)*$J347</f>
        <v>1130628.9136000001</v>
      </c>
      <c r="W347" s="175">
        <f>SUMIF(Inputs_Prices!$C$20:$C$27,$F347,Inputs_Prices!Q$20:Q$27)*W$327
+SUMIFS(Inputs_Prices!Q$34:Q$47,Inputs_Prices!$C$34:$C$47,$F347,Inputs_Prices!$E$34:$E$47,$L$330)*$L347
+SUMIFS(Inputs_Prices!Q$34:Q$47,Inputs_Prices!$C$34:$C$47,$F347,Inputs_Prices!$E$34:$E$47,$M$330)*$M347
+SUMIFS(Inputs_Prices!Q$34:Q$47,Inputs_Prices!$C$34:$C$47,$F347,Inputs_Prices!$E$34:$E$47,$N$330)*$N347
+SUMIFS(Inputs_Prices!Q$34:Q$47,Inputs_Prices!$C$34:$C$47,$F347,Inputs_Prices!$E$34:$E$47,$O$330)*$O347
+SUMIFS(Inputs_Prices!Q$54:Q$57,Inputs_Prices!$C$54:$C$57,$F347,Inputs_Prices!$E$54:$E$57,$I$330)*$I347
+SUMIFS(Inputs_Prices!Q$54:Q$57,Inputs_Prices!$C$54:$C$57,$F347,Inputs_Prices!$E$54:$E$57,$J$330)*$J347</f>
        <v>1234565.6048000001</v>
      </c>
      <c r="X347" s="175">
        <f>SUMIF(Inputs_Prices!$C$20:$C$27,$F347,Inputs_Prices!R$20:R$27)*X$327
+SUMIFS(Inputs_Prices!R$34:R$47,Inputs_Prices!$C$34:$C$47,$F347,Inputs_Prices!$E$34:$E$47,$L$330)*$L347
+SUMIFS(Inputs_Prices!R$34:R$47,Inputs_Prices!$C$34:$C$47,$F347,Inputs_Prices!$E$34:$E$47,$M$330)*$M347
+SUMIFS(Inputs_Prices!R$34:R$47,Inputs_Prices!$C$34:$C$47,$F347,Inputs_Prices!$E$34:$E$47,$N$330)*$N347
+SUMIFS(Inputs_Prices!R$34:R$47,Inputs_Prices!$C$34:$C$47,$F347,Inputs_Prices!$E$34:$E$47,$O$330)*$O347
+SUMIFS(Inputs_Prices!R$54:R$57,Inputs_Prices!$C$54:$C$57,$F347,Inputs_Prices!$E$54:$E$57,$I$330)*$I347
+SUMIFS(Inputs_Prices!R$54:R$57,Inputs_Prices!$C$54:$C$57,$F347,Inputs_Prices!$E$54:$E$57,$J$330)*$J347</f>
        <v>1388731.0792</v>
      </c>
      <c r="Y347" s="175">
        <f>SUMIF(Inputs_Prices!$C$20:$C$27,$F347,Inputs_Prices!S$20:S$27)*Y$327
+SUMIFS(Inputs_Prices!S$34:S$47,Inputs_Prices!$C$34:$C$47,$F347,Inputs_Prices!$E$34:$E$47,$L$330)*$L347
+SUMIFS(Inputs_Prices!S$34:S$47,Inputs_Prices!$C$34:$C$47,$F347,Inputs_Prices!$E$34:$E$47,$M$330)*$M347
+SUMIFS(Inputs_Prices!S$34:S$47,Inputs_Prices!$C$34:$C$47,$F347,Inputs_Prices!$E$34:$E$47,$N$330)*$N347
+SUMIFS(Inputs_Prices!S$34:S$47,Inputs_Prices!$C$34:$C$47,$F347,Inputs_Prices!$E$34:$E$47,$O$330)*$O347
+SUMIFS(Inputs_Prices!S$54:S$57,Inputs_Prices!$C$54:$C$57,$F347,Inputs_Prices!$E$54:$E$57,$I$330)*$I347
+SUMIFS(Inputs_Prices!S$54:S$57,Inputs_Prices!$C$54:$C$57,$F347,Inputs_Prices!$E$54:$E$57,$J$330)*$J347</f>
        <v>1505115.6</v>
      </c>
      <c r="AA347" s="175">
        <f t="shared" si="20"/>
        <v>71224.466400000034</v>
      </c>
      <c r="AB347" s="175">
        <f t="shared" si="12"/>
        <v>114804.44720000005</v>
      </c>
      <c r="AC347" s="175">
        <f t="shared" si="13"/>
        <v>103936.6912</v>
      </c>
      <c r="AD347" s="175">
        <f t="shared" si="14"/>
        <v>154165.47439999995</v>
      </c>
      <c r="AE347" s="175">
        <f t="shared" si="15"/>
        <v>116384.52080000006</v>
      </c>
      <c r="AG347" s="228">
        <f t="shared" si="21"/>
        <v>7.5401721786999817E-2</v>
      </c>
      <c r="AH347" s="228">
        <f t="shared" si="16"/>
        <v>0.11301602884882046</v>
      </c>
      <c r="AI347" s="228">
        <f t="shared" si="17"/>
        <v>9.19282091142163E-2</v>
      </c>
      <c r="AJ347" s="228">
        <f t="shared" si="18"/>
        <v>0.12487426654412163</v>
      </c>
      <c r="AK347" s="228">
        <f t="shared" si="19"/>
        <v>8.3806377305997326E-2</v>
      </c>
    </row>
    <row r="349" spans="4:37" x14ac:dyDescent="0.2">
      <c r="I349" s="305" t="s">
        <v>629</v>
      </c>
      <c r="J349" s="305"/>
      <c r="M349" s="305" t="s">
        <v>627</v>
      </c>
      <c r="N349" s="305"/>
      <c r="O349" s="305"/>
    </row>
    <row r="350" spans="4:37" x14ac:dyDescent="0.2">
      <c r="H350" s="80">
        <v>5</v>
      </c>
      <c r="I350" s="94">
        <v>0.52297052543181921</v>
      </c>
      <c r="J350" s="94">
        <v>0.47702947456818079</v>
      </c>
      <c r="L350" s="80" t="s">
        <v>491</v>
      </c>
      <c r="M350" s="94">
        <v>0.13836471858391283</v>
      </c>
      <c r="N350" s="94">
        <v>0.65347841947716845</v>
      </c>
      <c r="O350" s="94">
        <v>0.20815686193891875</v>
      </c>
    </row>
    <row r="351" spans="4:37" x14ac:dyDescent="0.2">
      <c r="H351" s="80">
        <v>6</v>
      </c>
      <c r="I351" s="94">
        <v>0.52</v>
      </c>
      <c r="J351" s="94">
        <v>0.48</v>
      </c>
      <c r="L351" s="80" t="s">
        <v>492</v>
      </c>
      <c r="M351" s="94">
        <v>0.13376700546871495</v>
      </c>
      <c r="N351" s="94">
        <v>0.54086329179659764</v>
      </c>
      <c r="O351" s="94">
        <v>0.3253697027346874</v>
      </c>
    </row>
    <row r="352" spans="4:37" x14ac:dyDescent="0.2">
      <c r="L352" s="80" t="s">
        <v>493</v>
      </c>
      <c r="M352" s="94">
        <v>0.12521670657031031</v>
      </c>
      <c r="N352" s="94">
        <v>0.59536439710333589</v>
      </c>
      <c r="O352" s="94">
        <v>0.27941889632635392</v>
      </c>
    </row>
    <row r="353" spans="3:37" x14ac:dyDescent="0.2">
      <c r="K353" s="80"/>
    </row>
    <row r="356" spans="3:37" s="8" customFormat="1" ht="15" x14ac:dyDescent="0.2">
      <c r="C356" s="8" t="s">
        <v>793</v>
      </c>
    </row>
    <row r="357" spans="3:37" ht="13.5" thickBot="1" x14ac:dyDescent="0.25"/>
    <row r="358" spans="3:37" ht="13.5" thickBot="1" x14ac:dyDescent="0.25">
      <c r="S358" s="226" t="s">
        <v>625</v>
      </c>
      <c r="T358" s="64">
        <f>Lookup!N$17</f>
        <v>366</v>
      </c>
      <c r="U358" s="64">
        <f>Lookup!O$17</f>
        <v>365</v>
      </c>
      <c r="AD358" s="226" t="s">
        <v>636</v>
      </c>
      <c r="AE358" s="234">
        <f>(1+AI360)*(1+AI359)*(1-AI358)-1</f>
        <v>0.1122328118842657</v>
      </c>
      <c r="AH358" s="226" t="s">
        <v>812</v>
      </c>
      <c r="AI358" s="283">
        <v>-1.3304560347542217E-3</v>
      </c>
    </row>
    <row r="359" spans="3:37" ht="13.5" thickBot="1" x14ac:dyDescent="0.25">
      <c r="H359" s="303" t="s">
        <v>628</v>
      </c>
      <c r="I359" s="303"/>
      <c r="J359" s="303"/>
      <c r="L359" s="303" t="s">
        <v>626</v>
      </c>
      <c r="M359" s="303"/>
      <c r="N359" s="303"/>
      <c r="O359" s="303"/>
      <c r="W359" s="303" t="s">
        <v>635</v>
      </c>
      <c r="X359" s="303"/>
      <c r="AH359" s="226" t="s">
        <v>813</v>
      </c>
      <c r="AI359" s="283">
        <v>3.0080899421427082E-2</v>
      </c>
    </row>
    <row r="360" spans="3:37" ht="39" thickBot="1" x14ac:dyDescent="0.25">
      <c r="D360" s="70" t="s">
        <v>634</v>
      </c>
      <c r="E360" s="54" t="s">
        <v>617</v>
      </c>
      <c r="F360" s="54" t="s">
        <v>618</v>
      </c>
      <c r="H360" s="61" t="s">
        <v>541</v>
      </c>
      <c r="I360" s="61" t="s">
        <v>276</v>
      </c>
      <c r="J360" s="61" t="s">
        <v>277</v>
      </c>
      <c r="L360" s="61" t="s">
        <v>275</v>
      </c>
      <c r="M360" s="61" t="s">
        <v>272</v>
      </c>
      <c r="N360" s="61" t="s">
        <v>273</v>
      </c>
      <c r="O360" s="61" t="s">
        <v>274</v>
      </c>
      <c r="T360" s="54" t="str">
        <f>Lookup!N$19</f>
        <v>FY24</v>
      </c>
      <c r="U360" s="54" t="str">
        <f>Lookup!O$19</f>
        <v>FY25</v>
      </c>
      <c r="W360" s="54" t="s">
        <v>199</v>
      </c>
      <c r="X360" s="54" t="s">
        <v>198</v>
      </c>
      <c r="Y360" s="61" t="s">
        <v>805</v>
      </c>
      <c r="AA360" s="61" t="s">
        <v>806</v>
      </c>
      <c r="AC360" s="61" t="s">
        <v>807</v>
      </c>
      <c r="AD360" s="61" t="s">
        <v>808</v>
      </c>
      <c r="AE360" s="61" t="str">
        <f>"Revenue Increase + CPI = "&amp;ROUND(AE358*100,1)&amp;"%"</f>
        <v>Revenue Increase + CPI = 11.2%</v>
      </c>
      <c r="AH360" s="226" t="s">
        <v>150</v>
      </c>
      <c r="AI360" s="283">
        <v>7.8318219291014124E-2</v>
      </c>
    </row>
    <row r="361" spans="3:37" x14ac:dyDescent="0.2">
      <c r="D361" s="75">
        <v>1</v>
      </c>
      <c r="E361" s="80">
        <v>5</v>
      </c>
      <c r="F361" s="80">
        <v>5</v>
      </c>
      <c r="H361" s="239" t="s">
        <v>828</v>
      </c>
      <c r="I361" s="239" t="s">
        <v>828</v>
      </c>
      <c r="J361" s="239" t="s">
        <v>828</v>
      </c>
      <c r="L361" s="239" t="s">
        <v>828</v>
      </c>
      <c r="M361" s="95"/>
      <c r="N361" s="95"/>
      <c r="O361" s="95"/>
      <c r="T361" s="240" t="s">
        <v>828</v>
      </c>
      <c r="U361" s="241" t="s">
        <v>828</v>
      </c>
      <c r="V361" s="175"/>
      <c r="W361" s="242" t="s">
        <v>828</v>
      </c>
      <c r="X361" s="228">
        <v>7.6768425602739165E-2</v>
      </c>
      <c r="Y361" s="248">
        <v>93</v>
      </c>
      <c r="AA361" s="248">
        <v>93</v>
      </c>
      <c r="AB361" s="175"/>
      <c r="AC361" s="248">
        <f>N(AC360)+1</f>
        <v>1</v>
      </c>
      <c r="AD361" s="249">
        <v>-0.18882725711447981</v>
      </c>
      <c r="AE361" s="228">
        <f t="shared" ref="AE361:AE392" si="25">$AE$358</f>
        <v>0.1122328118842657</v>
      </c>
      <c r="AH361" s="228"/>
      <c r="AI361" s="228"/>
      <c r="AJ361" s="228"/>
      <c r="AK361" s="228"/>
    </row>
    <row r="362" spans="3:37" x14ac:dyDescent="0.2">
      <c r="D362" s="75">
        <v>2</v>
      </c>
      <c r="E362" s="80">
        <v>5</v>
      </c>
      <c r="F362" s="80">
        <v>5</v>
      </c>
      <c r="H362" s="239" t="s">
        <v>828</v>
      </c>
      <c r="I362" s="239" t="s">
        <v>828</v>
      </c>
      <c r="J362" s="239" t="s">
        <v>828</v>
      </c>
      <c r="L362" s="239" t="s">
        <v>828</v>
      </c>
      <c r="M362" s="95"/>
      <c r="N362" s="95"/>
      <c r="O362" s="95"/>
      <c r="T362" s="240" t="s">
        <v>828</v>
      </c>
      <c r="U362" s="241" t="s">
        <v>828</v>
      </c>
      <c r="W362" s="242" t="s">
        <v>828</v>
      </c>
      <c r="X362" s="228">
        <v>0.15127737410037229</v>
      </c>
      <c r="Y362" s="248">
        <v>153</v>
      </c>
      <c r="AA362" s="248">
        <v>153</v>
      </c>
      <c r="AC362" s="248">
        <f t="shared" ref="AC362:AC425" si="26">N(AC361)+1</f>
        <v>2</v>
      </c>
      <c r="AD362" s="249">
        <v>-0.13900349252692187</v>
      </c>
      <c r="AE362" s="228">
        <f t="shared" si="25"/>
        <v>0.1122328118842657</v>
      </c>
    </row>
    <row r="363" spans="3:37" x14ac:dyDescent="0.2">
      <c r="D363" s="75">
        <v>3</v>
      </c>
      <c r="E363" s="80">
        <v>5</v>
      </c>
      <c r="F363" s="80">
        <v>5</v>
      </c>
      <c r="H363" s="239" t="s">
        <v>828</v>
      </c>
      <c r="I363" s="239" t="s">
        <v>828</v>
      </c>
      <c r="J363" s="239" t="s">
        <v>828</v>
      </c>
      <c r="L363" s="239" t="s">
        <v>828</v>
      </c>
      <c r="M363" s="95"/>
      <c r="N363" s="95"/>
      <c r="O363" s="95"/>
      <c r="T363" s="240" t="s">
        <v>828</v>
      </c>
      <c r="U363" s="241" t="s">
        <v>828</v>
      </c>
      <c r="W363" s="242" t="s">
        <v>828</v>
      </c>
      <c r="X363" s="228">
        <v>0.12047345405911075</v>
      </c>
      <c r="Y363" s="248">
        <v>142</v>
      </c>
      <c r="AA363" s="248">
        <v>142</v>
      </c>
      <c r="AC363" s="248">
        <f t="shared" si="26"/>
        <v>3</v>
      </c>
      <c r="AD363" s="249">
        <v>-0.13076096242074176</v>
      </c>
      <c r="AE363" s="228">
        <f t="shared" si="25"/>
        <v>0.1122328118842657</v>
      </c>
    </row>
    <row r="364" spans="3:37" x14ac:dyDescent="0.2">
      <c r="D364" s="75">
        <v>4</v>
      </c>
      <c r="E364" s="80">
        <v>5</v>
      </c>
      <c r="F364" s="80">
        <v>5</v>
      </c>
      <c r="H364" s="239" t="s">
        <v>828</v>
      </c>
      <c r="I364" s="239" t="s">
        <v>828</v>
      </c>
      <c r="J364" s="239" t="s">
        <v>828</v>
      </c>
      <c r="L364" s="239" t="s">
        <v>828</v>
      </c>
      <c r="M364" s="95"/>
      <c r="N364" s="95"/>
      <c r="O364" s="95"/>
      <c r="T364" s="240" t="s">
        <v>828</v>
      </c>
      <c r="U364" s="241" t="s">
        <v>828</v>
      </c>
      <c r="W364" s="242" t="s">
        <v>828</v>
      </c>
      <c r="X364" s="228">
        <v>9.2702221733732382E-2</v>
      </c>
      <c r="Y364" s="248">
        <v>108</v>
      </c>
      <c r="AA364" s="248">
        <v>108</v>
      </c>
      <c r="AC364" s="248">
        <f t="shared" si="26"/>
        <v>4</v>
      </c>
      <c r="AD364" s="249">
        <v>-0.11988485400468367</v>
      </c>
      <c r="AE364" s="228">
        <f t="shared" si="25"/>
        <v>0.1122328118842657</v>
      </c>
    </row>
    <row r="365" spans="3:37" x14ac:dyDescent="0.2">
      <c r="D365" s="75">
        <v>5</v>
      </c>
      <c r="E365" s="80">
        <v>5</v>
      </c>
      <c r="F365" s="80">
        <v>5</v>
      </c>
      <c r="H365" s="239" t="s">
        <v>828</v>
      </c>
      <c r="I365" s="239" t="s">
        <v>828</v>
      </c>
      <c r="J365" s="239" t="s">
        <v>828</v>
      </c>
      <c r="L365" s="239" t="s">
        <v>828</v>
      </c>
      <c r="M365" s="95"/>
      <c r="N365" s="95"/>
      <c r="O365" s="95"/>
      <c r="T365" s="240" t="s">
        <v>828</v>
      </c>
      <c r="U365" s="241" t="s">
        <v>828</v>
      </c>
      <c r="W365" s="242" t="s">
        <v>828</v>
      </c>
      <c r="X365" s="228">
        <v>5.2303056572180297E-2</v>
      </c>
      <c r="Y365" s="248">
        <v>68</v>
      </c>
      <c r="AA365" s="248">
        <v>68</v>
      </c>
      <c r="AC365" s="248">
        <f t="shared" si="26"/>
        <v>5</v>
      </c>
      <c r="AD365" s="249">
        <v>-9.9973753411121261E-2</v>
      </c>
      <c r="AE365" s="228">
        <f t="shared" si="25"/>
        <v>0.1122328118842657</v>
      </c>
    </row>
    <row r="366" spans="3:37" x14ac:dyDescent="0.2">
      <c r="D366" s="75">
        <v>6</v>
      </c>
      <c r="E366" s="80">
        <v>5</v>
      </c>
      <c r="F366" s="80">
        <v>5</v>
      </c>
      <c r="H366" s="239" t="s">
        <v>828</v>
      </c>
      <c r="I366" s="239" t="s">
        <v>828</v>
      </c>
      <c r="J366" s="239" t="s">
        <v>828</v>
      </c>
      <c r="L366" s="239" t="s">
        <v>828</v>
      </c>
      <c r="M366" s="95"/>
      <c r="N366" s="95"/>
      <c r="O366" s="95"/>
      <c r="T366" s="240" t="s">
        <v>828</v>
      </c>
      <c r="U366" s="241" t="s">
        <v>828</v>
      </c>
      <c r="W366" s="242" t="s">
        <v>828</v>
      </c>
      <c r="X366" s="228">
        <v>6.927650758883637E-2</v>
      </c>
      <c r="Y366" s="248">
        <v>84</v>
      </c>
      <c r="AA366" s="248">
        <v>84</v>
      </c>
      <c r="AC366" s="248">
        <f t="shared" si="26"/>
        <v>6</v>
      </c>
      <c r="AD366" s="249">
        <v>-9.9294126702905702E-2</v>
      </c>
      <c r="AE366" s="228">
        <f t="shared" si="25"/>
        <v>0.1122328118842657</v>
      </c>
    </row>
    <row r="367" spans="3:37" x14ac:dyDescent="0.2">
      <c r="D367" s="75">
        <v>7</v>
      </c>
      <c r="E367" s="80">
        <v>5</v>
      </c>
      <c r="F367" s="80">
        <v>5</v>
      </c>
      <c r="H367" s="239" t="s">
        <v>828</v>
      </c>
      <c r="I367" s="239" t="s">
        <v>828</v>
      </c>
      <c r="J367" s="239" t="s">
        <v>828</v>
      </c>
      <c r="L367" s="239" t="s">
        <v>828</v>
      </c>
      <c r="M367" s="95"/>
      <c r="N367" s="95"/>
      <c r="O367" s="95"/>
      <c r="T367" s="240" t="s">
        <v>828</v>
      </c>
      <c r="U367" s="241" t="s">
        <v>828</v>
      </c>
      <c r="W367" s="242" t="s">
        <v>828</v>
      </c>
      <c r="X367" s="228">
        <v>8.4231128199944758E-2</v>
      </c>
      <c r="Y367" s="248">
        <v>99</v>
      </c>
      <c r="AA367" s="248">
        <v>99</v>
      </c>
      <c r="AC367" s="248">
        <f t="shared" si="26"/>
        <v>7</v>
      </c>
      <c r="AD367" s="249">
        <v>-9.7330860683964071E-2</v>
      </c>
      <c r="AE367" s="228">
        <f t="shared" si="25"/>
        <v>0.1122328118842657</v>
      </c>
    </row>
    <row r="368" spans="3:37" x14ac:dyDescent="0.2">
      <c r="D368" s="75">
        <v>8</v>
      </c>
      <c r="E368" s="80">
        <v>5</v>
      </c>
      <c r="F368" s="80">
        <v>5</v>
      </c>
      <c r="H368" s="239" t="s">
        <v>828</v>
      </c>
      <c r="I368" s="239" t="s">
        <v>828</v>
      </c>
      <c r="J368" s="239" t="s">
        <v>828</v>
      </c>
      <c r="L368" s="239" t="s">
        <v>828</v>
      </c>
      <c r="M368" s="95"/>
      <c r="N368" s="95"/>
      <c r="O368" s="95"/>
      <c r="T368" s="240" t="s">
        <v>828</v>
      </c>
      <c r="U368" s="241" t="s">
        <v>828</v>
      </c>
      <c r="W368" s="242" t="s">
        <v>828</v>
      </c>
      <c r="X368" s="228">
        <v>0.10252666642691345</v>
      </c>
      <c r="Y368" s="248">
        <v>120</v>
      </c>
      <c r="AA368" s="248">
        <v>120</v>
      </c>
      <c r="AC368" s="248">
        <f t="shared" si="26"/>
        <v>8</v>
      </c>
      <c r="AD368" s="249">
        <v>-9.7314815834521479E-2</v>
      </c>
      <c r="AE368" s="228">
        <f t="shared" si="25"/>
        <v>0.1122328118842657</v>
      </c>
    </row>
    <row r="369" spans="4:31" x14ac:dyDescent="0.2">
      <c r="D369" s="75">
        <v>9</v>
      </c>
      <c r="E369" s="80">
        <v>5</v>
      </c>
      <c r="F369" s="80">
        <v>5</v>
      </c>
      <c r="H369" s="239" t="s">
        <v>828</v>
      </c>
      <c r="I369" s="239" t="s">
        <v>828</v>
      </c>
      <c r="J369" s="239" t="s">
        <v>828</v>
      </c>
      <c r="L369" s="239" t="s">
        <v>828</v>
      </c>
      <c r="M369" s="95"/>
      <c r="N369" s="95"/>
      <c r="O369" s="95"/>
      <c r="T369" s="240" t="s">
        <v>828</v>
      </c>
      <c r="U369" s="241" t="s">
        <v>828</v>
      </c>
      <c r="W369" s="242" t="s">
        <v>828</v>
      </c>
      <c r="X369" s="228">
        <v>4.2988118104570462E-2</v>
      </c>
      <c r="Y369" s="248">
        <v>62</v>
      </c>
      <c r="AA369" s="248">
        <v>62</v>
      </c>
      <c r="AC369" s="248">
        <f t="shared" si="26"/>
        <v>9</v>
      </c>
      <c r="AD369" s="249">
        <v>-9.599682247552567E-2</v>
      </c>
      <c r="AE369" s="228">
        <f t="shared" si="25"/>
        <v>0.1122328118842657</v>
      </c>
    </row>
    <row r="370" spans="4:31" x14ac:dyDescent="0.2">
      <c r="D370" s="75">
        <v>10</v>
      </c>
      <c r="E370" s="80">
        <v>5</v>
      </c>
      <c r="F370" s="80">
        <v>5</v>
      </c>
      <c r="H370" s="239" t="s">
        <v>828</v>
      </c>
      <c r="I370" s="239" t="s">
        <v>828</v>
      </c>
      <c r="J370" s="239" t="s">
        <v>828</v>
      </c>
      <c r="L370" s="239" t="s">
        <v>828</v>
      </c>
      <c r="M370" s="95"/>
      <c r="N370" s="95"/>
      <c r="O370" s="95"/>
      <c r="T370" s="240" t="s">
        <v>828</v>
      </c>
      <c r="U370" s="241" t="s">
        <v>828</v>
      </c>
      <c r="W370" s="242" t="s">
        <v>828</v>
      </c>
      <c r="X370" s="228">
        <v>8.5261127108484866E-2</v>
      </c>
      <c r="Y370" s="248">
        <v>103</v>
      </c>
      <c r="AA370" s="248">
        <v>103</v>
      </c>
      <c r="AC370" s="248">
        <f t="shared" si="26"/>
        <v>10</v>
      </c>
      <c r="AD370" s="249">
        <v>-9.523648587007616E-2</v>
      </c>
      <c r="AE370" s="228">
        <f t="shared" si="25"/>
        <v>0.1122328118842657</v>
      </c>
    </row>
    <row r="371" spans="4:31" x14ac:dyDescent="0.2">
      <c r="D371" s="75">
        <v>11</v>
      </c>
      <c r="E371" s="80">
        <v>5</v>
      </c>
      <c r="F371" s="80">
        <v>5</v>
      </c>
      <c r="H371" s="239" t="s">
        <v>828</v>
      </c>
      <c r="I371" s="239" t="s">
        <v>828</v>
      </c>
      <c r="J371" s="239" t="s">
        <v>828</v>
      </c>
      <c r="L371" s="239" t="s">
        <v>828</v>
      </c>
      <c r="M371" s="95"/>
      <c r="N371" s="95"/>
      <c r="O371" s="95"/>
      <c r="T371" s="240" t="s">
        <v>828</v>
      </c>
      <c r="U371" s="241" t="s">
        <v>828</v>
      </c>
      <c r="W371" s="242" t="s">
        <v>828</v>
      </c>
      <c r="X371" s="228">
        <v>8.2883549019453981E-2</v>
      </c>
      <c r="Y371" s="248">
        <v>97</v>
      </c>
      <c r="AA371" s="248">
        <v>97</v>
      </c>
      <c r="AC371" s="248">
        <f t="shared" si="26"/>
        <v>11</v>
      </c>
      <c r="AD371" s="249">
        <v>-9.1221127035423052E-2</v>
      </c>
      <c r="AE371" s="228">
        <f t="shared" si="25"/>
        <v>0.1122328118842657</v>
      </c>
    </row>
    <row r="372" spans="4:31" x14ac:dyDescent="0.2">
      <c r="D372" s="75">
        <v>12</v>
      </c>
      <c r="E372" s="80">
        <v>5</v>
      </c>
      <c r="F372" s="80">
        <v>5</v>
      </c>
      <c r="H372" s="239" t="s">
        <v>828</v>
      </c>
      <c r="I372" s="239" t="s">
        <v>828</v>
      </c>
      <c r="J372" s="239" t="s">
        <v>828</v>
      </c>
      <c r="L372" s="239" t="s">
        <v>828</v>
      </c>
      <c r="M372" s="95"/>
      <c r="N372" s="95"/>
      <c r="O372" s="95"/>
      <c r="T372" s="240" t="s">
        <v>828</v>
      </c>
      <c r="U372" s="241" t="s">
        <v>828</v>
      </c>
      <c r="W372" s="242" t="s">
        <v>828</v>
      </c>
      <c r="X372" s="228">
        <v>7.4706393262441384E-2</v>
      </c>
      <c r="Y372" s="248">
        <v>88</v>
      </c>
      <c r="AA372" s="248">
        <v>88</v>
      </c>
      <c r="AC372" s="248">
        <f t="shared" si="26"/>
        <v>12</v>
      </c>
      <c r="AD372" s="249">
        <v>-9.0429460349449486E-2</v>
      </c>
      <c r="AE372" s="228">
        <f t="shared" si="25"/>
        <v>0.1122328118842657</v>
      </c>
    </row>
    <row r="373" spans="4:31" x14ac:dyDescent="0.2">
      <c r="D373" s="75">
        <v>13</v>
      </c>
      <c r="E373" s="80">
        <v>5</v>
      </c>
      <c r="F373" s="80">
        <v>5</v>
      </c>
      <c r="H373" s="239" t="s">
        <v>828</v>
      </c>
      <c r="I373" s="239" t="s">
        <v>828</v>
      </c>
      <c r="J373" s="239" t="s">
        <v>828</v>
      </c>
      <c r="L373" s="239" t="s">
        <v>828</v>
      </c>
      <c r="M373" s="95"/>
      <c r="N373" s="95"/>
      <c r="O373" s="95"/>
      <c r="T373" s="240" t="s">
        <v>828</v>
      </c>
      <c r="U373" s="241" t="s">
        <v>828</v>
      </c>
      <c r="W373" s="242" t="s">
        <v>828</v>
      </c>
      <c r="X373" s="228">
        <v>4.833119516923913E-2</v>
      </c>
      <c r="Y373" s="248">
        <v>66</v>
      </c>
      <c r="AA373" s="248">
        <v>66</v>
      </c>
      <c r="AC373" s="248">
        <f t="shared" si="26"/>
        <v>13</v>
      </c>
      <c r="AD373" s="249">
        <v>-9.0381262511824323E-2</v>
      </c>
      <c r="AE373" s="228">
        <f t="shared" si="25"/>
        <v>0.1122328118842657</v>
      </c>
    </row>
    <row r="374" spans="4:31" x14ac:dyDescent="0.2">
      <c r="D374" s="75">
        <v>14</v>
      </c>
      <c r="E374" s="80">
        <v>5</v>
      </c>
      <c r="F374" s="80">
        <v>5</v>
      </c>
      <c r="H374" s="239" t="s">
        <v>828</v>
      </c>
      <c r="I374" s="239" t="s">
        <v>828</v>
      </c>
      <c r="J374" s="239" t="s">
        <v>828</v>
      </c>
      <c r="L374" s="239" t="s">
        <v>828</v>
      </c>
      <c r="M374" s="95"/>
      <c r="N374" s="95"/>
      <c r="O374" s="95"/>
      <c r="T374" s="240" t="s">
        <v>828</v>
      </c>
      <c r="U374" s="241" t="s">
        <v>828</v>
      </c>
      <c r="W374" s="242" t="s">
        <v>828</v>
      </c>
      <c r="X374" s="228">
        <v>0.10650405345817276</v>
      </c>
      <c r="Y374" s="248">
        <v>122</v>
      </c>
      <c r="AA374" s="248">
        <v>122</v>
      </c>
      <c r="AC374" s="248">
        <f t="shared" si="26"/>
        <v>14</v>
      </c>
      <c r="AD374" s="249">
        <v>-9.036011230135825E-2</v>
      </c>
      <c r="AE374" s="228">
        <f t="shared" si="25"/>
        <v>0.1122328118842657</v>
      </c>
    </row>
    <row r="375" spans="4:31" x14ac:dyDescent="0.2">
      <c r="D375" s="75">
        <v>15</v>
      </c>
      <c r="E375" s="80">
        <v>5</v>
      </c>
      <c r="F375" s="80">
        <v>5</v>
      </c>
      <c r="H375" s="239" t="s">
        <v>828</v>
      </c>
      <c r="I375" s="239" t="s">
        <v>828</v>
      </c>
      <c r="J375" s="239" t="s">
        <v>828</v>
      </c>
      <c r="L375" s="239" t="s">
        <v>828</v>
      </c>
      <c r="M375" s="95"/>
      <c r="N375" s="95"/>
      <c r="O375" s="95"/>
      <c r="T375" s="240" t="s">
        <v>828</v>
      </c>
      <c r="U375" s="241" t="s">
        <v>828</v>
      </c>
      <c r="W375" s="242" t="s">
        <v>828</v>
      </c>
      <c r="X375" s="228">
        <v>0.11923454957574921</v>
      </c>
      <c r="Y375" s="248">
        <v>141</v>
      </c>
      <c r="AA375" s="248">
        <v>141</v>
      </c>
      <c r="AC375" s="248">
        <f t="shared" si="26"/>
        <v>15</v>
      </c>
      <c r="AD375" s="249">
        <v>-8.5810727067428025E-2</v>
      </c>
      <c r="AE375" s="228">
        <f t="shared" si="25"/>
        <v>0.1122328118842657</v>
      </c>
    </row>
    <row r="376" spans="4:31" x14ac:dyDescent="0.2">
      <c r="D376" s="75">
        <v>16</v>
      </c>
      <c r="E376" s="80">
        <v>5</v>
      </c>
      <c r="F376" s="80">
        <v>5</v>
      </c>
      <c r="H376" s="239" t="s">
        <v>828</v>
      </c>
      <c r="I376" s="239" t="s">
        <v>828</v>
      </c>
      <c r="J376" s="239" t="s">
        <v>828</v>
      </c>
      <c r="L376" s="239" t="s">
        <v>828</v>
      </c>
      <c r="M376" s="95"/>
      <c r="N376" s="95"/>
      <c r="O376" s="95"/>
      <c r="T376" s="240" t="s">
        <v>828</v>
      </c>
      <c r="U376" s="241" t="s">
        <v>828</v>
      </c>
      <c r="W376" s="242" t="s">
        <v>828</v>
      </c>
      <c r="X376" s="228">
        <v>3.1754171183599258E-2</v>
      </c>
      <c r="Y376" s="248">
        <v>58</v>
      </c>
      <c r="AA376" s="248">
        <v>58</v>
      </c>
      <c r="AC376" s="248">
        <f t="shared" si="26"/>
        <v>16</v>
      </c>
      <c r="AD376" s="249">
        <v>-8.0728849595447461E-2</v>
      </c>
      <c r="AE376" s="228">
        <f t="shared" si="25"/>
        <v>0.1122328118842657</v>
      </c>
    </row>
    <row r="377" spans="4:31" x14ac:dyDescent="0.2">
      <c r="D377" s="75">
        <v>17</v>
      </c>
      <c r="E377" s="80">
        <v>5</v>
      </c>
      <c r="F377" s="80">
        <v>5</v>
      </c>
      <c r="H377" s="239" t="s">
        <v>828</v>
      </c>
      <c r="I377" s="239" t="s">
        <v>828</v>
      </c>
      <c r="J377" s="239" t="s">
        <v>828</v>
      </c>
      <c r="L377" s="239" t="s">
        <v>828</v>
      </c>
      <c r="M377" s="95"/>
      <c r="N377" s="95"/>
      <c r="O377" s="95"/>
      <c r="T377" s="240" t="s">
        <v>828</v>
      </c>
      <c r="U377" s="241" t="s">
        <v>828</v>
      </c>
      <c r="W377" s="242" t="s">
        <v>828</v>
      </c>
      <c r="X377" s="228">
        <v>8.3923388628387732E-2</v>
      </c>
      <c r="Y377" s="248">
        <v>98</v>
      </c>
      <c r="AA377" s="248">
        <v>98</v>
      </c>
      <c r="AC377" s="248">
        <f t="shared" si="26"/>
        <v>17</v>
      </c>
      <c r="AD377" s="249">
        <v>-7.9820251067397582E-2</v>
      </c>
      <c r="AE377" s="228">
        <f t="shared" si="25"/>
        <v>0.1122328118842657</v>
      </c>
    </row>
    <row r="378" spans="4:31" x14ac:dyDescent="0.2">
      <c r="D378" s="75">
        <v>18</v>
      </c>
      <c r="E378" s="80">
        <v>5</v>
      </c>
      <c r="F378" s="80">
        <v>5</v>
      </c>
      <c r="H378" s="239" t="s">
        <v>828</v>
      </c>
      <c r="I378" s="239" t="s">
        <v>828</v>
      </c>
      <c r="J378" s="239" t="s">
        <v>828</v>
      </c>
      <c r="L378" s="239" t="s">
        <v>828</v>
      </c>
      <c r="M378" s="95"/>
      <c r="N378" s="95"/>
      <c r="O378" s="95"/>
      <c r="T378" s="240" t="s">
        <v>828</v>
      </c>
      <c r="U378" s="241" t="s">
        <v>828</v>
      </c>
      <c r="W378" s="242" t="s">
        <v>828</v>
      </c>
      <c r="X378" s="228">
        <v>0.11482027358407883</v>
      </c>
      <c r="Y378" s="248">
        <v>136</v>
      </c>
      <c r="AA378" s="248">
        <v>136</v>
      </c>
      <c r="AC378" s="248">
        <f t="shared" si="26"/>
        <v>18</v>
      </c>
      <c r="AD378" s="249">
        <v>-6.4899076699458061E-2</v>
      </c>
      <c r="AE378" s="228">
        <f t="shared" si="25"/>
        <v>0.1122328118842657</v>
      </c>
    </row>
    <row r="379" spans="4:31" x14ac:dyDescent="0.2">
      <c r="D379" s="75">
        <v>19</v>
      </c>
      <c r="E379" s="80">
        <v>5</v>
      </c>
      <c r="F379" s="80">
        <v>5</v>
      </c>
      <c r="H379" s="239" t="s">
        <v>828</v>
      </c>
      <c r="I379" s="239" t="s">
        <v>828</v>
      </c>
      <c r="J379" s="239" t="s">
        <v>828</v>
      </c>
      <c r="L379" s="239" t="s">
        <v>828</v>
      </c>
      <c r="M379" s="95"/>
      <c r="N379" s="95"/>
      <c r="O379" s="95"/>
      <c r="T379" s="240" t="s">
        <v>828</v>
      </c>
      <c r="U379" s="241" t="s">
        <v>828</v>
      </c>
      <c r="W379" s="242" t="s">
        <v>828</v>
      </c>
      <c r="X379" s="228">
        <v>-2.6770453482209546E-2</v>
      </c>
      <c r="Y379" s="248">
        <v>29</v>
      </c>
      <c r="AA379" s="248">
        <v>29</v>
      </c>
      <c r="AC379" s="248">
        <f t="shared" si="26"/>
        <v>19</v>
      </c>
      <c r="AD379" s="249">
        <v>-6.4855722868962642E-2</v>
      </c>
      <c r="AE379" s="228">
        <f t="shared" si="25"/>
        <v>0.1122328118842657</v>
      </c>
    </row>
    <row r="380" spans="4:31" x14ac:dyDescent="0.2">
      <c r="D380" s="75">
        <v>20</v>
      </c>
      <c r="E380" s="80">
        <v>5</v>
      </c>
      <c r="F380" s="80">
        <v>5</v>
      </c>
      <c r="H380" s="239" t="s">
        <v>828</v>
      </c>
      <c r="I380" s="239" t="s">
        <v>828</v>
      </c>
      <c r="J380" s="239" t="s">
        <v>828</v>
      </c>
      <c r="L380" s="239" t="s">
        <v>828</v>
      </c>
      <c r="M380" s="95"/>
      <c r="N380" s="95"/>
      <c r="O380" s="95"/>
      <c r="T380" s="240" t="s">
        <v>828</v>
      </c>
      <c r="U380" s="241" t="s">
        <v>828</v>
      </c>
      <c r="W380" s="242" t="s">
        <v>828</v>
      </c>
      <c r="X380" s="228">
        <v>7.0066542955208477E-2</v>
      </c>
      <c r="Y380" s="248">
        <v>85</v>
      </c>
      <c r="AA380" s="248">
        <v>85</v>
      </c>
      <c r="AC380" s="248">
        <f t="shared" si="26"/>
        <v>20</v>
      </c>
      <c r="AD380" s="249">
        <v>-6.4703493743359194E-2</v>
      </c>
      <c r="AE380" s="228">
        <f t="shared" si="25"/>
        <v>0.1122328118842657</v>
      </c>
    </row>
    <row r="381" spans="4:31" x14ac:dyDescent="0.2">
      <c r="D381" s="75">
        <v>21</v>
      </c>
      <c r="E381" s="80">
        <v>5</v>
      </c>
      <c r="F381" s="80">
        <v>5</v>
      </c>
      <c r="H381" s="239" t="s">
        <v>828</v>
      </c>
      <c r="I381" s="239" t="s">
        <v>828</v>
      </c>
      <c r="J381" s="239" t="s">
        <v>828</v>
      </c>
      <c r="L381" s="239" t="s">
        <v>828</v>
      </c>
      <c r="M381" s="95"/>
      <c r="N381" s="95"/>
      <c r="O381" s="95"/>
      <c r="T381" s="240" t="s">
        <v>828</v>
      </c>
      <c r="U381" s="241" t="s">
        <v>828</v>
      </c>
      <c r="W381" s="242" t="s">
        <v>828</v>
      </c>
      <c r="X381" s="228">
        <v>0.1246324642663227</v>
      </c>
      <c r="Y381" s="248">
        <v>143</v>
      </c>
      <c r="AA381" s="248">
        <v>143</v>
      </c>
      <c r="AC381" s="248">
        <f t="shared" si="26"/>
        <v>21</v>
      </c>
      <c r="AD381" s="249">
        <v>-5.910017598373557E-2</v>
      </c>
      <c r="AE381" s="228">
        <f t="shared" si="25"/>
        <v>0.1122328118842657</v>
      </c>
    </row>
    <row r="382" spans="4:31" x14ac:dyDescent="0.2">
      <c r="D382" s="75">
        <v>22</v>
      </c>
      <c r="E382" s="80">
        <v>5</v>
      </c>
      <c r="F382" s="80">
        <v>5</v>
      </c>
      <c r="H382" s="239" t="s">
        <v>828</v>
      </c>
      <c r="I382" s="239" t="s">
        <v>828</v>
      </c>
      <c r="J382" s="239" t="s">
        <v>828</v>
      </c>
      <c r="L382" s="239" t="s">
        <v>828</v>
      </c>
      <c r="M382" s="95"/>
      <c r="N382" s="95"/>
      <c r="O382" s="95"/>
      <c r="T382" s="240" t="s">
        <v>828</v>
      </c>
      <c r="U382" s="241" t="s">
        <v>828</v>
      </c>
      <c r="W382" s="242" t="s">
        <v>828</v>
      </c>
      <c r="X382" s="228">
        <v>0.17264104523526258</v>
      </c>
      <c r="Y382" s="248">
        <v>158</v>
      </c>
      <c r="AA382" s="248">
        <v>158</v>
      </c>
      <c r="AC382" s="248">
        <f t="shared" si="26"/>
        <v>22</v>
      </c>
      <c r="AD382" s="249">
        <v>-5.737091430412971E-2</v>
      </c>
      <c r="AE382" s="228">
        <f t="shared" si="25"/>
        <v>0.1122328118842657</v>
      </c>
    </row>
    <row r="383" spans="4:31" x14ac:dyDescent="0.2">
      <c r="D383" s="75">
        <v>23</v>
      </c>
      <c r="E383" s="80">
        <v>5</v>
      </c>
      <c r="F383" s="80">
        <v>5</v>
      </c>
      <c r="H383" s="239" t="s">
        <v>828</v>
      </c>
      <c r="I383" s="239" t="s">
        <v>828</v>
      </c>
      <c r="J383" s="239" t="s">
        <v>828</v>
      </c>
      <c r="L383" s="239" t="s">
        <v>828</v>
      </c>
      <c r="M383" s="95"/>
      <c r="N383" s="95"/>
      <c r="O383" s="95"/>
      <c r="T383" s="240" t="s">
        <v>828</v>
      </c>
      <c r="U383" s="241" t="s">
        <v>828</v>
      </c>
      <c r="W383" s="242" t="s">
        <v>828</v>
      </c>
      <c r="X383" s="228">
        <v>9.3685827333789246E-2</v>
      </c>
      <c r="Y383" s="248">
        <v>110</v>
      </c>
      <c r="AA383" s="248">
        <v>110</v>
      </c>
      <c r="AC383" s="248">
        <f t="shared" si="26"/>
        <v>23</v>
      </c>
      <c r="AD383" s="249">
        <v>-5.2860010682834795E-2</v>
      </c>
      <c r="AE383" s="228">
        <f t="shared" si="25"/>
        <v>0.1122328118842657</v>
      </c>
    </row>
    <row r="384" spans="4:31" x14ac:dyDescent="0.2">
      <c r="D384" s="75">
        <v>24</v>
      </c>
      <c r="E384" s="80">
        <v>5</v>
      </c>
      <c r="F384" s="80">
        <v>5</v>
      </c>
      <c r="H384" s="239" t="s">
        <v>828</v>
      </c>
      <c r="I384" s="239" t="s">
        <v>828</v>
      </c>
      <c r="J384" s="239" t="s">
        <v>828</v>
      </c>
      <c r="L384" s="239" t="s">
        <v>828</v>
      </c>
      <c r="M384" s="95"/>
      <c r="N384" s="95"/>
      <c r="O384" s="95"/>
      <c r="T384" s="240" t="s">
        <v>828</v>
      </c>
      <c r="U384" s="241" t="s">
        <v>828</v>
      </c>
      <c r="W384" s="242" t="s">
        <v>828</v>
      </c>
      <c r="X384" s="228">
        <v>1.8975950972787394E-2</v>
      </c>
      <c r="Y384" s="248">
        <v>53</v>
      </c>
      <c r="AA384" s="248">
        <v>53</v>
      </c>
      <c r="AC384" s="248">
        <f t="shared" si="26"/>
        <v>24</v>
      </c>
      <c r="AD384" s="249">
        <v>-4.7182008117809225E-2</v>
      </c>
      <c r="AE384" s="228">
        <f t="shared" si="25"/>
        <v>0.1122328118842657</v>
      </c>
    </row>
    <row r="385" spans="4:31" x14ac:dyDescent="0.2">
      <c r="D385" s="75">
        <v>25</v>
      </c>
      <c r="E385" s="80">
        <v>5</v>
      </c>
      <c r="F385" s="80">
        <v>5</v>
      </c>
      <c r="H385" s="239" t="s">
        <v>828</v>
      </c>
      <c r="I385" s="239" t="s">
        <v>828</v>
      </c>
      <c r="J385" s="239" t="s">
        <v>828</v>
      </c>
      <c r="L385" s="239" t="s">
        <v>828</v>
      </c>
      <c r="M385" s="95"/>
      <c r="N385" s="95"/>
      <c r="O385" s="95"/>
      <c r="T385" s="240" t="s">
        <v>828</v>
      </c>
      <c r="U385" s="241" t="s">
        <v>828</v>
      </c>
      <c r="W385" s="242" t="s">
        <v>828</v>
      </c>
      <c r="X385" s="228">
        <v>1.0670728813247436E-2</v>
      </c>
      <c r="Y385" s="248">
        <v>45</v>
      </c>
      <c r="AA385" s="248">
        <v>45</v>
      </c>
      <c r="AC385" s="248">
        <f t="shared" si="26"/>
        <v>25</v>
      </c>
      <c r="AD385" s="249">
        <v>-4.3481308230450114E-2</v>
      </c>
      <c r="AE385" s="228">
        <f t="shared" si="25"/>
        <v>0.1122328118842657</v>
      </c>
    </row>
    <row r="386" spans="4:31" x14ac:dyDescent="0.2">
      <c r="D386" s="75">
        <v>26</v>
      </c>
      <c r="E386" s="80">
        <v>5</v>
      </c>
      <c r="F386" s="80">
        <v>5</v>
      </c>
      <c r="H386" s="239" t="s">
        <v>828</v>
      </c>
      <c r="I386" s="239" t="s">
        <v>828</v>
      </c>
      <c r="J386" s="239" t="s">
        <v>828</v>
      </c>
      <c r="L386" s="239" t="s">
        <v>828</v>
      </c>
      <c r="M386" s="95"/>
      <c r="N386" s="95"/>
      <c r="O386" s="95"/>
      <c r="T386" s="240" t="s">
        <v>828</v>
      </c>
      <c r="U386" s="241" t="s">
        <v>828</v>
      </c>
      <c r="W386" s="242" t="s">
        <v>828</v>
      </c>
      <c r="X386" s="228">
        <v>0.11619163408301864</v>
      </c>
      <c r="Y386" s="248">
        <v>138</v>
      </c>
      <c r="AA386" s="248">
        <v>138</v>
      </c>
      <c r="AC386" s="248">
        <f t="shared" si="26"/>
        <v>26</v>
      </c>
      <c r="AD386" s="249">
        <v>-3.2635744129926446E-2</v>
      </c>
      <c r="AE386" s="228">
        <f t="shared" si="25"/>
        <v>0.1122328118842657</v>
      </c>
    </row>
    <row r="387" spans="4:31" x14ac:dyDescent="0.2">
      <c r="D387" s="75">
        <v>27</v>
      </c>
      <c r="E387" s="80">
        <v>5</v>
      </c>
      <c r="F387" s="80">
        <v>5</v>
      </c>
      <c r="H387" s="239" t="s">
        <v>828</v>
      </c>
      <c r="I387" s="239" t="s">
        <v>828</v>
      </c>
      <c r="J387" s="239" t="s">
        <v>828</v>
      </c>
      <c r="L387" s="239" t="s">
        <v>828</v>
      </c>
      <c r="M387" s="95"/>
      <c r="N387" s="95"/>
      <c r="O387" s="95"/>
      <c r="T387" s="240" t="s">
        <v>828</v>
      </c>
      <c r="U387" s="241" t="s">
        <v>828</v>
      </c>
      <c r="W387" s="242" t="s">
        <v>828</v>
      </c>
      <c r="X387" s="228">
        <v>1.3929016484080559E-2</v>
      </c>
      <c r="Y387" s="248">
        <v>49</v>
      </c>
      <c r="AA387" s="248">
        <v>49</v>
      </c>
      <c r="AC387" s="248">
        <f t="shared" si="26"/>
        <v>27</v>
      </c>
      <c r="AD387" s="249">
        <v>-3.2108837604418718E-2</v>
      </c>
      <c r="AE387" s="228">
        <f t="shared" si="25"/>
        <v>0.1122328118842657</v>
      </c>
    </row>
    <row r="388" spans="4:31" x14ac:dyDescent="0.2">
      <c r="D388" s="75">
        <v>28</v>
      </c>
      <c r="E388" s="80">
        <v>5</v>
      </c>
      <c r="F388" s="80">
        <v>5</v>
      </c>
      <c r="H388" s="239" t="s">
        <v>828</v>
      </c>
      <c r="I388" s="239" t="s">
        <v>828</v>
      </c>
      <c r="J388" s="239" t="s">
        <v>828</v>
      </c>
      <c r="L388" s="239" t="s">
        <v>828</v>
      </c>
      <c r="M388" s="95"/>
      <c r="N388" s="95"/>
      <c r="O388" s="95"/>
      <c r="T388" s="240" t="s">
        <v>828</v>
      </c>
      <c r="U388" s="241" t="s">
        <v>828</v>
      </c>
      <c r="W388" s="242" t="s">
        <v>828</v>
      </c>
      <c r="X388" s="228">
        <v>0.10769917834619777</v>
      </c>
      <c r="Y388" s="248">
        <v>123</v>
      </c>
      <c r="AA388" s="248">
        <v>123</v>
      </c>
      <c r="AC388" s="248">
        <f t="shared" si="26"/>
        <v>28</v>
      </c>
      <c r="AD388" s="249">
        <v>-2.8491958214856748E-2</v>
      </c>
      <c r="AE388" s="228">
        <f t="shared" si="25"/>
        <v>0.1122328118842657</v>
      </c>
    </row>
    <row r="389" spans="4:31" x14ac:dyDescent="0.2">
      <c r="D389" s="75">
        <v>29</v>
      </c>
      <c r="E389" s="80">
        <v>5</v>
      </c>
      <c r="F389" s="80">
        <v>5</v>
      </c>
      <c r="H389" s="239" t="s">
        <v>828</v>
      </c>
      <c r="I389" s="239" t="s">
        <v>828</v>
      </c>
      <c r="J389" s="239" t="s">
        <v>828</v>
      </c>
      <c r="L389" s="239" t="s">
        <v>828</v>
      </c>
      <c r="M389" s="95"/>
      <c r="N389" s="95"/>
      <c r="O389" s="95"/>
      <c r="T389" s="240" t="s">
        <v>828</v>
      </c>
      <c r="U389" s="241" t="s">
        <v>828</v>
      </c>
      <c r="W389" s="242" t="s">
        <v>828</v>
      </c>
      <c r="X389" s="228">
        <v>1.6482790388196621E-2</v>
      </c>
      <c r="Y389" s="248">
        <v>51</v>
      </c>
      <c r="AA389" s="248">
        <v>51</v>
      </c>
      <c r="AC389" s="248">
        <f t="shared" si="26"/>
        <v>29</v>
      </c>
      <c r="AD389" s="249">
        <v>-2.6770453482209546E-2</v>
      </c>
      <c r="AE389" s="228">
        <f t="shared" si="25"/>
        <v>0.1122328118842657</v>
      </c>
    </row>
    <row r="390" spans="4:31" x14ac:dyDescent="0.2">
      <c r="D390" s="75">
        <v>30</v>
      </c>
      <c r="E390" s="80">
        <v>5</v>
      </c>
      <c r="F390" s="80">
        <v>5</v>
      </c>
      <c r="H390" s="239" t="s">
        <v>828</v>
      </c>
      <c r="I390" s="239" t="s">
        <v>828</v>
      </c>
      <c r="J390" s="239" t="s">
        <v>828</v>
      </c>
      <c r="L390" s="239" t="s">
        <v>828</v>
      </c>
      <c r="M390" s="95"/>
      <c r="N390" s="95"/>
      <c r="O390" s="95"/>
      <c r="T390" s="240" t="s">
        <v>828</v>
      </c>
      <c r="U390" s="241" t="s">
        <v>828</v>
      </c>
      <c r="W390" s="242" t="s">
        <v>828</v>
      </c>
      <c r="X390" s="228">
        <v>0.12720692233777495</v>
      </c>
      <c r="Y390" s="248">
        <v>146</v>
      </c>
      <c r="AA390" s="248">
        <v>146</v>
      </c>
      <c r="AC390" s="248">
        <f t="shared" si="26"/>
        <v>30</v>
      </c>
      <c r="AD390" s="249">
        <v>-2.5401132465296548E-2</v>
      </c>
      <c r="AE390" s="228">
        <f t="shared" si="25"/>
        <v>0.1122328118842657</v>
      </c>
    </row>
    <row r="391" spans="4:31" x14ac:dyDescent="0.2">
      <c r="D391" s="75">
        <v>31</v>
      </c>
      <c r="E391" s="80">
        <v>5</v>
      </c>
      <c r="F391" s="80">
        <v>5</v>
      </c>
      <c r="H391" s="239" t="s">
        <v>828</v>
      </c>
      <c r="I391" s="239" t="s">
        <v>828</v>
      </c>
      <c r="J391" s="239" t="s">
        <v>828</v>
      </c>
      <c r="L391" s="239" t="s">
        <v>828</v>
      </c>
      <c r="M391" s="95"/>
      <c r="N391" s="95"/>
      <c r="O391" s="95"/>
      <c r="T391" s="240" t="s">
        <v>828</v>
      </c>
      <c r="U391" s="241" t="s">
        <v>828</v>
      </c>
      <c r="W391" s="242" t="s">
        <v>828</v>
      </c>
      <c r="X391" s="228">
        <v>6.8451801524280695E-2</v>
      </c>
      <c r="Y391" s="248">
        <v>81</v>
      </c>
      <c r="AA391" s="248">
        <v>81</v>
      </c>
      <c r="AC391" s="248">
        <f t="shared" si="26"/>
        <v>31</v>
      </c>
      <c r="AD391" s="249">
        <v>-2.508792091687042E-2</v>
      </c>
      <c r="AE391" s="228">
        <f t="shared" si="25"/>
        <v>0.1122328118842657</v>
      </c>
    </row>
    <row r="392" spans="4:31" x14ac:dyDescent="0.2">
      <c r="D392" s="75">
        <v>32</v>
      </c>
      <c r="E392" s="80">
        <v>5</v>
      </c>
      <c r="F392" s="80">
        <v>5</v>
      </c>
      <c r="H392" s="239" t="s">
        <v>828</v>
      </c>
      <c r="I392" s="239" t="s">
        <v>828</v>
      </c>
      <c r="J392" s="239" t="s">
        <v>828</v>
      </c>
      <c r="L392" s="239" t="s">
        <v>828</v>
      </c>
      <c r="M392" s="95"/>
      <c r="N392" s="95"/>
      <c r="O392" s="95"/>
      <c r="T392" s="240" t="s">
        <v>828</v>
      </c>
      <c r="U392" s="241" t="s">
        <v>828</v>
      </c>
      <c r="W392" s="242" t="s">
        <v>828</v>
      </c>
      <c r="X392" s="228">
        <v>9.9303411242097267E-2</v>
      </c>
      <c r="Y392" s="248">
        <v>116</v>
      </c>
      <c r="AA392" s="248">
        <v>116</v>
      </c>
      <c r="AC392" s="248">
        <f t="shared" si="26"/>
        <v>32</v>
      </c>
      <c r="AD392" s="249">
        <v>-1.9588124441091728E-2</v>
      </c>
      <c r="AE392" s="228">
        <f t="shared" si="25"/>
        <v>0.1122328118842657</v>
      </c>
    </row>
    <row r="393" spans="4:31" x14ac:dyDescent="0.2">
      <c r="D393" s="75">
        <v>33</v>
      </c>
      <c r="E393" s="80">
        <v>5</v>
      </c>
      <c r="F393" s="80">
        <v>5</v>
      </c>
      <c r="H393" s="239" t="s">
        <v>828</v>
      </c>
      <c r="I393" s="239" t="s">
        <v>828</v>
      </c>
      <c r="J393" s="239" t="s">
        <v>828</v>
      </c>
      <c r="L393" s="239" t="s">
        <v>828</v>
      </c>
      <c r="M393" s="95"/>
      <c r="N393" s="95"/>
      <c r="O393" s="95"/>
      <c r="T393" s="240" t="s">
        <v>828</v>
      </c>
      <c r="U393" s="241" t="s">
        <v>828</v>
      </c>
      <c r="W393" s="242" t="s">
        <v>828</v>
      </c>
      <c r="X393" s="228">
        <v>-6.4899076699458061E-2</v>
      </c>
      <c r="Y393" s="248">
        <v>18</v>
      </c>
      <c r="AA393" s="248">
        <v>18</v>
      </c>
      <c r="AC393" s="248">
        <f t="shared" si="26"/>
        <v>33</v>
      </c>
      <c r="AD393" s="249">
        <v>-1.8297334764632744E-2</v>
      </c>
      <c r="AE393" s="228">
        <f t="shared" ref="AE393:AE424" si="27">$AE$358</f>
        <v>0.1122328118842657</v>
      </c>
    </row>
    <row r="394" spans="4:31" x14ac:dyDescent="0.2">
      <c r="D394" s="75">
        <v>34</v>
      </c>
      <c r="E394" s="80">
        <v>5</v>
      </c>
      <c r="F394" s="80">
        <v>5</v>
      </c>
      <c r="H394" s="239" t="s">
        <v>828</v>
      </c>
      <c r="I394" s="239" t="s">
        <v>828</v>
      </c>
      <c r="J394" s="239" t="s">
        <v>828</v>
      </c>
      <c r="L394" s="239" t="s">
        <v>828</v>
      </c>
      <c r="M394" s="95"/>
      <c r="N394" s="95"/>
      <c r="O394" s="95"/>
      <c r="T394" s="240" t="s">
        <v>828</v>
      </c>
      <c r="U394" s="241" t="s">
        <v>828</v>
      </c>
      <c r="W394" s="242" t="s">
        <v>828</v>
      </c>
      <c r="X394" s="228">
        <v>0.1535406388662888</v>
      </c>
      <c r="Y394" s="248">
        <v>154</v>
      </c>
      <c r="AA394" s="248">
        <v>154</v>
      </c>
      <c r="AC394" s="248">
        <f t="shared" si="26"/>
        <v>34</v>
      </c>
      <c r="AD394" s="249">
        <v>-1.7482316792807498E-2</v>
      </c>
      <c r="AE394" s="228">
        <f t="shared" si="27"/>
        <v>0.1122328118842657</v>
      </c>
    </row>
    <row r="395" spans="4:31" x14ac:dyDescent="0.2">
      <c r="D395" s="75">
        <v>35</v>
      </c>
      <c r="E395" s="80">
        <v>5</v>
      </c>
      <c r="F395" s="80">
        <v>5</v>
      </c>
      <c r="H395" s="239" t="s">
        <v>828</v>
      </c>
      <c r="I395" s="239" t="s">
        <v>828</v>
      </c>
      <c r="J395" s="239" t="s">
        <v>828</v>
      </c>
      <c r="L395" s="239" t="s">
        <v>828</v>
      </c>
      <c r="M395" s="95"/>
      <c r="N395" s="95"/>
      <c r="O395" s="95"/>
      <c r="T395" s="240" t="s">
        <v>828</v>
      </c>
      <c r="U395" s="241" t="s">
        <v>828</v>
      </c>
      <c r="W395" s="242" t="s">
        <v>828</v>
      </c>
      <c r="X395" s="228">
        <v>5.4348457105506433E-2</v>
      </c>
      <c r="Y395" s="248">
        <v>70</v>
      </c>
      <c r="AA395" s="248">
        <v>70</v>
      </c>
      <c r="AC395" s="248">
        <f t="shared" si="26"/>
        <v>35</v>
      </c>
      <c r="AD395" s="249">
        <v>-1.5614877459299006E-2</v>
      </c>
      <c r="AE395" s="228">
        <f t="shared" si="27"/>
        <v>0.1122328118842657</v>
      </c>
    </row>
    <row r="396" spans="4:31" x14ac:dyDescent="0.2">
      <c r="D396" s="75">
        <v>36</v>
      </c>
      <c r="E396" s="80">
        <v>5</v>
      </c>
      <c r="F396" s="80">
        <v>5</v>
      </c>
      <c r="H396" s="239" t="s">
        <v>828</v>
      </c>
      <c r="I396" s="239" t="s">
        <v>828</v>
      </c>
      <c r="J396" s="239" t="s">
        <v>828</v>
      </c>
      <c r="L396" s="239" t="s">
        <v>828</v>
      </c>
      <c r="M396" s="95"/>
      <c r="N396" s="95"/>
      <c r="O396" s="95"/>
      <c r="T396" s="240" t="s">
        <v>828</v>
      </c>
      <c r="U396" s="241" t="s">
        <v>828</v>
      </c>
      <c r="W396" s="242" t="s">
        <v>828</v>
      </c>
      <c r="X396" s="228">
        <v>8.9468767854772209E-3</v>
      </c>
      <c r="Y396" s="248">
        <v>44</v>
      </c>
      <c r="AA396" s="248">
        <v>44</v>
      </c>
      <c r="AC396" s="248">
        <f t="shared" si="26"/>
        <v>36</v>
      </c>
      <c r="AD396" s="249">
        <v>-1.4293890296946997E-2</v>
      </c>
      <c r="AE396" s="228">
        <f t="shared" si="27"/>
        <v>0.1122328118842657</v>
      </c>
    </row>
    <row r="397" spans="4:31" x14ac:dyDescent="0.2">
      <c r="D397" s="75">
        <v>37</v>
      </c>
      <c r="E397" s="80">
        <v>5</v>
      </c>
      <c r="F397" s="80">
        <v>5</v>
      </c>
      <c r="H397" s="239" t="s">
        <v>828</v>
      </c>
      <c r="I397" s="239" t="s">
        <v>828</v>
      </c>
      <c r="J397" s="239" t="s">
        <v>828</v>
      </c>
      <c r="L397" s="239" t="s">
        <v>828</v>
      </c>
      <c r="M397" s="95"/>
      <c r="N397" s="95"/>
      <c r="O397" s="95"/>
      <c r="T397" s="240" t="s">
        <v>828</v>
      </c>
      <c r="U397" s="241" t="s">
        <v>828</v>
      </c>
      <c r="W397" s="242" t="s">
        <v>828</v>
      </c>
      <c r="X397" s="228">
        <v>0.11705087037706825</v>
      </c>
      <c r="Y397" s="248">
        <v>139</v>
      </c>
      <c r="AA397" s="248">
        <v>139</v>
      </c>
      <c r="AC397" s="248">
        <f t="shared" si="26"/>
        <v>37</v>
      </c>
      <c r="AD397" s="249">
        <v>-1.3961299129028248E-2</v>
      </c>
      <c r="AE397" s="228">
        <f t="shared" si="27"/>
        <v>0.1122328118842657</v>
      </c>
    </row>
    <row r="398" spans="4:31" x14ac:dyDescent="0.2">
      <c r="D398" s="75">
        <v>38</v>
      </c>
      <c r="E398" s="80">
        <v>5</v>
      </c>
      <c r="F398" s="80">
        <v>5</v>
      </c>
      <c r="H398" s="239" t="s">
        <v>828</v>
      </c>
      <c r="I398" s="239" t="s">
        <v>828</v>
      </c>
      <c r="J398" s="239" t="s">
        <v>828</v>
      </c>
      <c r="L398" s="239" t="s">
        <v>828</v>
      </c>
      <c r="M398" s="95"/>
      <c r="N398" s="95"/>
      <c r="O398" s="95"/>
      <c r="T398" s="240" t="s">
        <v>828</v>
      </c>
      <c r="U398" s="241" t="s">
        <v>828</v>
      </c>
      <c r="W398" s="242" t="s">
        <v>828</v>
      </c>
      <c r="X398" s="228">
        <v>0.10965947674947887</v>
      </c>
      <c r="Y398" s="248">
        <v>129</v>
      </c>
      <c r="AA398" s="248">
        <v>129</v>
      </c>
      <c r="AC398" s="248">
        <f t="shared" si="26"/>
        <v>38</v>
      </c>
      <c r="AD398" s="249">
        <v>-1.0569461217144723E-2</v>
      </c>
      <c r="AE398" s="228">
        <f t="shared" si="27"/>
        <v>0.1122328118842657</v>
      </c>
    </row>
    <row r="399" spans="4:31" x14ac:dyDescent="0.2">
      <c r="D399" s="75">
        <v>39</v>
      </c>
      <c r="E399" s="80">
        <v>5</v>
      </c>
      <c r="F399" s="80">
        <v>5</v>
      </c>
      <c r="H399" s="239" t="s">
        <v>828</v>
      </c>
      <c r="I399" s="239" t="s">
        <v>828</v>
      </c>
      <c r="J399" s="239" t="s">
        <v>828</v>
      </c>
      <c r="L399" s="239" t="s">
        <v>828</v>
      </c>
      <c r="M399" s="95"/>
      <c r="N399" s="95"/>
      <c r="O399" s="95"/>
      <c r="T399" s="240" t="s">
        <v>828</v>
      </c>
      <c r="U399" s="241" t="s">
        <v>828</v>
      </c>
      <c r="W399" s="242" t="s">
        <v>828</v>
      </c>
      <c r="X399" s="228">
        <v>1.271965014549622E-2</v>
      </c>
      <c r="Y399" s="248">
        <v>48</v>
      </c>
      <c r="AA399" s="248">
        <v>48</v>
      </c>
      <c r="AC399" s="248">
        <f t="shared" si="26"/>
        <v>39</v>
      </c>
      <c r="AD399" s="249">
        <v>-8.2776710341285701E-3</v>
      </c>
      <c r="AE399" s="228">
        <f t="shared" si="27"/>
        <v>0.1122328118842657</v>
      </c>
    </row>
    <row r="400" spans="4:31" x14ac:dyDescent="0.2">
      <c r="D400" s="75">
        <v>40</v>
      </c>
      <c r="E400" s="80">
        <v>5</v>
      </c>
      <c r="F400" s="80">
        <v>5</v>
      </c>
      <c r="H400" s="239" t="s">
        <v>828</v>
      </c>
      <c r="I400" s="239" t="s">
        <v>828</v>
      </c>
      <c r="J400" s="239" t="s">
        <v>828</v>
      </c>
      <c r="L400" s="239" t="s">
        <v>828</v>
      </c>
      <c r="M400" s="95"/>
      <c r="N400" s="95"/>
      <c r="O400" s="95"/>
      <c r="T400" s="240" t="s">
        <v>828</v>
      </c>
      <c r="U400" s="241" t="s">
        <v>828</v>
      </c>
      <c r="W400" s="242" t="s">
        <v>828</v>
      </c>
      <c r="X400" s="228">
        <v>-2.5401132465296548E-2</v>
      </c>
      <c r="Y400" s="248">
        <v>30</v>
      </c>
      <c r="AA400" s="248">
        <v>30</v>
      </c>
      <c r="AC400" s="248">
        <f t="shared" si="26"/>
        <v>40</v>
      </c>
      <c r="AD400" s="249">
        <v>-3.5261373059112967E-3</v>
      </c>
      <c r="AE400" s="228">
        <f t="shared" si="27"/>
        <v>0.1122328118842657</v>
      </c>
    </row>
    <row r="401" spans="4:31" x14ac:dyDescent="0.2">
      <c r="D401" s="75">
        <v>41</v>
      </c>
      <c r="E401" s="80">
        <v>5</v>
      </c>
      <c r="F401" s="80">
        <v>5</v>
      </c>
      <c r="H401" s="239" t="s">
        <v>828</v>
      </c>
      <c r="I401" s="239" t="s">
        <v>828</v>
      </c>
      <c r="J401" s="239" t="s">
        <v>828</v>
      </c>
      <c r="L401" s="239" t="s">
        <v>828</v>
      </c>
      <c r="M401" s="95"/>
      <c r="N401" s="95"/>
      <c r="O401" s="95"/>
      <c r="T401" s="240" t="s">
        <v>828</v>
      </c>
      <c r="U401" s="241" t="s">
        <v>828</v>
      </c>
      <c r="W401" s="242" t="s">
        <v>828</v>
      </c>
      <c r="X401" s="228">
        <v>7.1275155370214588E-2</v>
      </c>
      <c r="Y401" s="248">
        <v>86</v>
      </c>
      <c r="AA401" s="248">
        <v>86</v>
      </c>
      <c r="AC401" s="248">
        <f t="shared" si="26"/>
        <v>41</v>
      </c>
      <c r="AD401" s="249">
        <v>-2.4551151356803249E-3</v>
      </c>
      <c r="AE401" s="228">
        <f t="shared" si="27"/>
        <v>0.1122328118842657</v>
      </c>
    </row>
    <row r="402" spans="4:31" x14ac:dyDescent="0.2">
      <c r="D402" s="75">
        <v>42</v>
      </c>
      <c r="E402" s="80">
        <v>5</v>
      </c>
      <c r="F402" s="80">
        <v>5</v>
      </c>
      <c r="H402" s="239" t="s">
        <v>828</v>
      </c>
      <c r="I402" s="239" t="s">
        <v>828</v>
      </c>
      <c r="J402" s="239" t="s">
        <v>828</v>
      </c>
      <c r="L402" s="239" t="s">
        <v>828</v>
      </c>
      <c r="M402" s="95"/>
      <c r="N402" s="95"/>
      <c r="O402" s="95"/>
      <c r="T402" s="240" t="s">
        <v>828</v>
      </c>
      <c r="U402" s="241" t="s">
        <v>828</v>
      </c>
      <c r="W402" s="242" t="s">
        <v>828</v>
      </c>
      <c r="X402" s="228">
        <v>4.7203646376646063E-2</v>
      </c>
      <c r="Y402" s="248">
        <v>65</v>
      </c>
      <c r="AA402" s="248">
        <v>65</v>
      </c>
      <c r="AC402" s="248">
        <f t="shared" si="26"/>
        <v>42</v>
      </c>
      <c r="AD402" s="249">
        <v>3.7182774108928248E-3</v>
      </c>
      <c r="AE402" s="228">
        <f t="shared" si="27"/>
        <v>0.1122328118842657</v>
      </c>
    </row>
    <row r="403" spans="4:31" x14ac:dyDescent="0.2">
      <c r="D403" s="75">
        <v>43</v>
      </c>
      <c r="E403" s="80">
        <v>5</v>
      </c>
      <c r="F403" s="80">
        <v>5</v>
      </c>
      <c r="H403" s="239" t="s">
        <v>828</v>
      </c>
      <c r="I403" s="239" t="s">
        <v>828</v>
      </c>
      <c r="J403" s="239" t="s">
        <v>828</v>
      </c>
      <c r="L403" s="239" t="s">
        <v>828</v>
      </c>
      <c r="M403" s="95"/>
      <c r="N403" s="95"/>
      <c r="O403" s="95"/>
      <c r="T403" s="240" t="s">
        <v>828</v>
      </c>
      <c r="U403" s="241" t="s">
        <v>828</v>
      </c>
      <c r="W403" s="242" t="s">
        <v>828</v>
      </c>
      <c r="X403" s="228">
        <v>0.10160392837183095</v>
      </c>
      <c r="Y403" s="248">
        <v>118</v>
      </c>
      <c r="AA403" s="248">
        <v>118</v>
      </c>
      <c r="AC403" s="248">
        <f t="shared" si="26"/>
        <v>43</v>
      </c>
      <c r="AD403" s="249">
        <v>4.6556096092726955E-3</v>
      </c>
      <c r="AE403" s="228">
        <f t="shared" si="27"/>
        <v>0.1122328118842657</v>
      </c>
    </row>
    <row r="404" spans="4:31" x14ac:dyDescent="0.2">
      <c r="D404" s="75">
        <v>44</v>
      </c>
      <c r="E404" s="80">
        <v>5</v>
      </c>
      <c r="F404" s="80">
        <v>5</v>
      </c>
      <c r="H404" s="239" t="s">
        <v>828</v>
      </c>
      <c r="I404" s="239" t="s">
        <v>828</v>
      </c>
      <c r="J404" s="239" t="s">
        <v>828</v>
      </c>
      <c r="L404" s="239" t="s">
        <v>828</v>
      </c>
      <c r="M404" s="95"/>
      <c r="N404" s="95"/>
      <c r="O404" s="95"/>
      <c r="T404" s="240" t="s">
        <v>828</v>
      </c>
      <c r="U404" s="241" t="s">
        <v>828</v>
      </c>
      <c r="W404" s="242" t="s">
        <v>828</v>
      </c>
      <c r="X404" s="228">
        <v>6.8986638201086192E-2</v>
      </c>
      <c r="Y404" s="248">
        <v>83</v>
      </c>
      <c r="AA404" s="248">
        <v>83</v>
      </c>
      <c r="AC404" s="248">
        <f t="shared" si="26"/>
        <v>44</v>
      </c>
      <c r="AD404" s="249">
        <v>8.9468767854772209E-3</v>
      </c>
      <c r="AE404" s="228">
        <f t="shared" si="27"/>
        <v>0.1122328118842657</v>
      </c>
    </row>
    <row r="405" spans="4:31" x14ac:dyDescent="0.2">
      <c r="D405" s="75">
        <v>45</v>
      </c>
      <c r="E405" s="80">
        <v>5</v>
      </c>
      <c r="F405" s="80">
        <v>5</v>
      </c>
      <c r="H405" s="239" t="s">
        <v>828</v>
      </c>
      <c r="I405" s="239" t="s">
        <v>828</v>
      </c>
      <c r="J405" s="239" t="s">
        <v>828</v>
      </c>
      <c r="L405" s="239" t="s">
        <v>828</v>
      </c>
      <c r="M405" s="95"/>
      <c r="N405" s="95"/>
      <c r="O405" s="95"/>
      <c r="T405" s="240" t="s">
        <v>828</v>
      </c>
      <c r="U405" s="241" t="s">
        <v>828</v>
      </c>
      <c r="W405" s="242" t="s">
        <v>828</v>
      </c>
      <c r="X405" s="228">
        <v>0.13256727764503948</v>
      </c>
      <c r="Y405" s="248">
        <v>150</v>
      </c>
      <c r="AA405" s="248">
        <v>150</v>
      </c>
      <c r="AC405" s="248">
        <f t="shared" si="26"/>
        <v>45</v>
      </c>
      <c r="AD405" s="249">
        <v>1.0670728813247436E-2</v>
      </c>
      <c r="AE405" s="228">
        <f t="shared" si="27"/>
        <v>0.1122328118842657</v>
      </c>
    </row>
    <row r="406" spans="4:31" x14ac:dyDescent="0.2">
      <c r="D406" s="75">
        <v>46</v>
      </c>
      <c r="E406" s="80">
        <v>5</v>
      </c>
      <c r="F406" s="80">
        <v>5</v>
      </c>
      <c r="H406" s="239" t="s">
        <v>828</v>
      </c>
      <c r="I406" s="239" t="s">
        <v>828</v>
      </c>
      <c r="J406" s="239" t="s">
        <v>828</v>
      </c>
      <c r="L406" s="239" t="s">
        <v>828</v>
      </c>
      <c r="M406" s="95"/>
      <c r="N406" s="95"/>
      <c r="O406" s="95"/>
      <c r="T406" s="240" t="s">
        <v>828</v>
      </c>
      <c r="U406" s="241" t="s">
        <v>828</v>
      </c>
      <c r="W406" s="242" t="s">
        <v>828</v>
      </c>
      <c r="X406" s="228">
        <v>8.1624906994801336E-2</v>
      </c>
      <c r="Y406" s="248">
        <v>94</v>
      </c>
      <c r="AA406" s="248">
        <v>94</v>
      </c>
      <c r="AC406" s="248">
        <f t="shared" si="26"/>
        <v>46</v>
      </c>
      <c r="AD406" s="249">
        <v>1.2282463858278185E-2</v>
      </c>
      <c r="AE406" s="228">
        <f t="shared" si="27"/>
        <v>0.1122328118842657</v>
      </c>
    </row>
    <row r="407" spans="4:31" x14ac:dyDescent="0.2">
      <c r="D407" s="75">
        <v>47</v>
      </c>
      <c r="E407" s="80">
        <v>5</v>
      </c>
      <c r="F407" s="80">
        <v>5</v>
      </c>
      <c r="H407" s="239" t="s">
        <v>828</v>
      </c>
      <c r="I407" s="239" t="s">
        <v>828</v>
      </c>
      <c r="J407" s="239" t="s">
        <v>828</v>
      </c>
      <c r="L407" s="239" t="s">
        <v>828</v>
      </c>
      <c r="M407" s="95"/>
      <c r="N407" s="95"/>
      <c r="O407" s="95"/>
      <c r="T407" s="240" t="s">
        <v>828</v>
      </c>
      <c r="U407" s="241" t="s">
        <v>828</v>
      </c>
      <c r="W407" s="242" t="s">
        <v>828</v>
      </c>
      <c r="X407" s="228">
        <v>-9.9294126702905702E-2</v>
      </c>
      <c r="Y407" s="248">
        <v>6</v>
      </c>
      <c r="AA407" s="248">
        <v>6</v>
      </c>
      <c r="AC407" s="248">
        <f t="shared" si="26"/>
        <v>47</v>
      </c>
      <c r="AD407" s="249">
        <v>1.2672089736356274E-2</v>
      </c>
      <c r="AE407" s="228">
        <f t="shared" si="27"/>
        <v>0.1122328118842657</v>
      </c>
    </row>
    <row r="408" spans="4:31" x14ac:dyDescent="0.2">
      <c r="D408" s="75">
        <v>48</v>
      </c>
      <c r="E408" s="80">
        <v>5</v>
      </c>
      <c r="F408" s="80">
        <v>5</v>
      </c>
      <c r="H408" s="239" t="s">
        <v>828</v>
      </c>
      <c r="I408" s="239" t="s">
        <v>828</v>
      </c>
      <c r="J408" s="239" t="s">
        <v>828</v>
      </c>
      <c r="L408" s="239" t="s">
        <v>828</v>
      </c>
      <c r="M408" s="95"/>
      <c r="N408" s="95"/>
      <c r="O408" s="95"/>
      <c r="T408" s="240" t="s">
        <v>828</v>
      </c>
      <c r="U408" s="241" t="s">
        <v>828</v>
      </c>
      <c r="W408" s="242" t="s">
        <v>828</v>
      </c>
      <c r="X408" s="228">
        <v>6.7078899330452163E-2</v>
      </c>
      <c r="Y408" s="248">
        <v>79</v>
      </c>
      <c r="AA408" s="248">
        <v>79</v>
      </c>
      <c r="AC408" s="248">
        <f t="shared" si="26"/>
        <v>48</v>
      </c>
      <c r="AD408" s="249">
        <v>1.271965014549622E-2</v>
      </c>
      <c r="AE408" s="228">
        <f t="shared" si="27"/>
        <v>0.1122328118842657</v>
      </c>
    </row>
    <row r="409" spans="4:31" x14ac:dyDescent="0.2">
      <c r="D409" s="75">
        <v>49</v>
      </c>
      <c r="E409" s="80">
        <v>5</v>
      </c>
      <c r="F409" s="80">
        <v>5</v>
      </c>
      <c r="H409" s="239" t="s">
        <v>828</v>
      </c>
      <c r="I409" s="239" t="s">
        <v>828</v>
      </c>
      <c r="J409" s="239" t="s">
        <v>828</v>
      </c>
      <c r="L409" s="239" t="s">
        <v>828</v>
      </c>
      <c r="M409" s="95"/>
      <c r="N409" s="95"/>
      <c r="O409" s="95"/>
      <c r="T409" s="240" t="s">
        <v>828</v>
      </c>
      <c r="U409" s="241" t="s">
        <v>828</v>
      </c>
      <c r="W409" s="242" t="s">
        <v>828</v>
      </c>
      <c r="X409" s="228">
        <v>4.3974877877907742E-2</v>
      </c>
      <c r="Y409" s="248">
        <v>63</v>
      </c>
      <c r="AA409" s="248">
        <v>63</v>
      </c>
      <c r="AC409" s="248">
        <f t="shared" si="26"/>
        <v>49</v>
      </c>
      <c r="AD409" s="249">
        <v>1.3929016484080559E-2</v>
      </c>
      <c r="AE409" s="228">
        <f t="shared" si="27"/>
        <v>0.1122328118842657</v>
      </c>
    </row>
    <row r="410" spans="4:31" x14ac:dyDescent="0.2">
      <c r="D410" s="75">
        <v>50</v>
      </c>
      <c r="E410" s="80">
        <v>5</v>
      </c>
      <c r="F410" s="80">
        <v>5</v>
      </c>
      <c r="H410" s="239" t="s">
        <v>828</v>
      </c>
      <c r="I410" s="239" t="s">
        <v>828</v>
      </c>
      <c r="J410" s="239" t="s">
        <v>828</v>
      </c>
      <c r="L410" s="239" t="s">
        <v>828</v>
      </c>
      <c r="M410" s="95"/>
      <c r="N410" s="95"/>
      <c r="O410" s="95"/>
      <c r="T410" s="240" t="s">
        <v>828</v>
      </c>
      <c r="U410" s="241" t="s">
        <v>828</v>
      </c>
      <c r="W410" s="242" t="s">
        <v>828</v>
      </c>
      <c r="X410" s="228">
        <v>-0.13076096242074176</v>
      </c>
      <c r="Y410" s="248">
        <v>3</v>
      </c>
      <c r="AA410" s="248">
        <v>3</v>
      </c>
      <c r="AC410" s="248">
        <f t="shared" si="26"/>
        <v>50</v>
      </c>
      <c r="AD410" s="249">
        <v>1.5554225705909634E-2</v>
      </c>
      <c r="AE410" s="228">
        <f t="shared" si="27"/>
        <v>0.1122328118842657</v>
      </c>
    </row>
    <row r="411" spans="4:31" x14ac:dyDescent="0.2">
      <c r="D411" s="75">
        <v>51</v>
      </c>
      <c r="E411" s="80">
        <v>5</v>
      </c>
      <c r="F411" s="80">
        <v>5</v>
      </c>
      <c r="H411" s="239" t="s">
        <v>828</v>
      </c>
      <c r="I411" s="239" t="s">
        <v>828</v>
      </c>
      <c r="J411" s="239" t="s">
        <v>828</v>
      </c>
      <c r="L411" s="239" t="s">
        <v>828</v>
      </c>
      <c r="M411" s="95"/>
      <c r="N411" s="95"/>
      <c r="O411" s="95"/>
      <c r="T411" s="240" t="s">
        <v>828</v>
      </c>
      <c r="U411" s="241" t="s">
        <v>828</v>
      </c>
      <c r="W411" s="242" t="s">
        <v>828</v>
      </c>
      <c r="X411" s="228">
        <v>0.10365495493348925</v>
      </c>
      <c r="Y411" s="248">
        <v>121</v>
      </c>
      <c r="AA411" s="248">
        <v>121</v>
      </c>
      <c r="AC411" s="248">
        <f t="shared" si="26"/>
        <v>51</v>
      </c>
      <c r="AD411" s="249">
        <v>1.6482790388196621E-2</v>
      </c>
      <c r="AE411" s="228">
        <f t="shared" si="27"/>
        <v>0.1122328118842657</v>
      </c>
    </row>
    <row r="412" spans="4:31" x14ac:dyDescent="0.2">
      <c r="D412" s="75">
        <v>52</v>
      </c>
      <c r="E412" s="80">
        <v>5</v>
      </c>
      <c r="F412" s="80">
        <v>5</v>
      </c>
      <c r="H412" s="239" t="s">
        <v>828</v>
      </c>
      <c r="I412" s="239" t="s">
        <v>828</v>
      </c>
      <c r="J412" s="239" t="s">
        <v>828</v>
      </c>
      <c r="L412" s="239" t="s">
        <v>828</v>
      </c>
      <c r="M412" s="95"/>
      <c r="N412" s="95"/>
      <c r="O412" s="95"/>
      <c r="T412" s="240" t="s">
        <v>828</v>
      </c>
      <c r="U412" s="241" t="s">
        <v>828</v>
      </c>
      <c r="W412" s="242" t="s">
        <v>828</v>
      </c>
      <c r="X412" s="228">
        <v>0.12584014324019077</v>
      </c>
      <c r="Y412" s="248">
        <v>144</v>
      </c>
      <c r="AA412" s="248">
        <v>144</v>
      </c>
      <c r="AC412" s="248">
        <f t="shared" si="26"/>
        <v>52</v>
      </c>
      <c r="AD412" s="249">
        <v>1.6972679195296988E-2</v>
      </c>
      <c r="AE412" s="228">
        <f t="shared" si="27"/>
        <v>0.1122328118842657</v>
      </c>
    </row>
    <row r="413" spans="4:31" x14ac:dyDescent="0.2">
      <c r="D413" s="75">
        <v>53</v>
      </c>
      <c r="E413" s="80">
        <v>5</v>
      </c>
      <c r="F413" s="80">
        <v>5</v>
      </c>
      <c r="H413" s="239" t="s">
        <v>828</v>
      </c>
      <c r="I413" s="239" t="s">
        <v>828</v>
      </c>
      <c r="J413" s="239" t="s">
        <v>828</v>
      </c>
      <c r="L413" s="239" t="s">
        <v>828</v>
      </c>
      <c r="M413" s="95"/>
      <c r="N413" s="95"/>
      <c r="O413" s="95"/>
      <c r="T413" s="240" t="s">
        <v>828</v>
      </c>
      <c r="U413" s="241" t="s">
        <v>828</v>
      </c>
      <c r="W413" s="242" t="s">
        <v>828</v>
      </c>
      <c r="X413" s="228">
        <v>8.8710050765899703E-2</v>
      </c>
      <c r="Y413" s="248">
        <v>106</v>
      </c>
      <c r="AA413" s="248">
        <v>106</v>
      </c>
      <c r="AC413" s="248">
        <f t="shared" si="26"/>
        <v>53</v>
      </c>
      <c r="AD413" s="249">
        <v>1.8975950972787394E-2</v>
      </c>
      <c r="AE413" s="228">
        <f t="shared" si="27"/>
        <v>0.1122328118842657</v>
      </c>
    </row>
    <row r="414" spans="4:31" x14ac:dyDescent="0.2">
      <c r="D414" s="75">
        <v>54</v>
      </c>
      <c r="E414" s="80">
        <v>5</v>
      </c>
      <c r="F414" s="80">
        <v>5</v>
      </c>
      <c r="H414" s="239" t="s">
        <v>828</v>
      </c>
      <c r="I414" s="239" t="s">
        <v>828</v>
      </c>
      <c r="J414" s="239" t="s">
        <v>828</v>
      </c>
      <c r="L414" s="239" t="s">
        <v>828</v>
      </c>
      <c r="M414" s="95"/>
      <c r="N414" s="95"/>
      <c r="O414" s="95"/>
      <c r="T414" s="240" t="s">
        <v>828</v>
      </c>
      <c r="U414" s="241" t="s">
        <v>828</v>
      </c>
      <c r="W414" s="242" t="s">
        <v>828</v>
      </c>
      <c r="X414" s="228">
        <v>0.11307996786579705</v>
      </c>
      <c r="Y414" s="248">
        <v>135</v>
      </c>
      <c r="AA414" s="248">
        <v>135</v>
      </c>
      <c r="AC414" s="248">
        <f t="shared" si="26"/>
        <v>54</v>
      </c>
      <c r="AD414" s="249">
        <v>1.9918722213049873E-2</v>
      </c>
      <c r="AE414" s="228">
        <f t="shared" si="27"/>
        <v>0.1122328118842657</v>
      </c>
    </row>
    <row r="415" spans="4:31" x14ac:dyDescent="0.2">
      <c r="D415" s="75">
        <v>55</v>
      </c>
      <c r="E415" s="80">
        <v>5</v>
      </c>
      <c r="F415" s="80">
        <v>5</v>
      </c>
      <c r="H415" s="239" t="s">
        <v>828</v>
      </c>
      <c r="I415" s="239" t="s">
        <v>828</v>
      </c>
      <c r="J415" s="239" t="s">
        <v>828</v>
      </c>
      <c r="L415" s="239" t="s">
        <v>828</v>
      </c>
      <c r="M415" s="95"/>
      <c r="N415" s="95"/>
      <c r="O415" s="95"/>
      <c r="T415" s="240" t="s">
        <v>828</v>
      </c>
      <c r="U415" s="241" t="s">
        <v>828</v>
      </c>
      <c r="W415" s="242" t="s">
        <v>828</v>
      </c>
      <c r="X415" s="228">
        <v>3.0293610456135503E-2</v>
      </c>
      <c r="Y415" s="248">
        <v>55</v>
      </c>
      <c r="AA415" s="248">
        <v>55</v>
      </c>
      <c r="AC415" s="248">
        <f t="shared" si="26"/>
        <v>55</v>
      </c>
      <c r="AD415" s="249">
        <v>3.0293610456135503E-2</v>
      </c>
      <c r="AE415" s="228">
        <f t="shared" si="27"/>
        <v>0.1122328118842657</v>
      </c>
    </row>
    <row r="416" spans="4:31" x14ac:dyDescent="0.2">
      <c r="D416" s="75">
        <v>56</v>
      </c>
      <c r="E416" s="80">
        <v>5</v>
      </c>
      <c r="F416" s="80">
        <v>5</v>
      </c>
      <c r="H416" s="239" t="s">
        <v>828</v>
      </c>
      <c r="I416" s="239" t="s">
        <v>828</v>
      </c>
      <c r="J416" s="239" t="s">
        <v>828</v>
      </c>
      <c r="L416" s="239" t="s">
        <v>828</v>
      </c>
      <c r="M416" s="95"/>
      <c r="N416" s="95"/>
      <c r="O416" s="95"/>
      <c r="T416" s="240" t="s">
        <v>828</v>
      </c>
      <c r="U416" s="241" t="s">
        <v>828</v>
      </c>
      <c r="W416" s="242" t="s">
        <v>828</v>
      </c>
      <c r="X416" s="228">
        <v>8.4783821902782594E-2</v>
      </c>
      <c r="Y416" s="248">
        <v>100</v>
      </c>
      <c r="AA416" s="248">
        <v>100</v>
      </c>
      <c r="AC416" s="248">
        <f t="shared" si="26"/>
        <v>56</v>
      </c>
      <c r="AD416" s="249">
        <v>3.0353339394786252E-2</v>
      </c>
      <c r="AE416" s="228">
        <f t="shared" si="27"/>
        <v>0.1122328118842657</v>
      </c>
    </row>
    <row r="417" spans="4:31" x14ac:dyDescent="0.2">
      <c r="D417" s="75">
        <v>57</v>
      </c>
      <c r="E417" s="80">
        <v>5</v>
      </c>
      <c r="F417" s="80">
        <v>5</v>
      </c>
      <c r="H417" s="239" t="s">
        <v>828</v>
      </c>
      <c r="I417" s="239" t="s">
        <v>828</v>
      </c>
      <c r="J417" s="239" t="s">
        <v>828</v>
      </c>
      <c r="L417" s="239" t="s">
        <v>828</v>
      </c>
      <c r="M417" s="95"/>
      <c r="N417" s="95"/>
      <c r="O417" s="95"/>
      <c r="T417" s="240" t="s">
        <v>828</v>
      </c>
      <c r="U417" s="241" t="s">
        <v>828</v>
      </c>
      <c r="W417" s="242" t="s">
        <v>828</v>
      </c>
      <c r="X417" s="228">
        <v>0.16934297905682114</v>
      </c>
      <c r="Y417" s="248">
        <v>157</v>
      </c>
      <c r="AA417" s="248">
        <v>157</v>
      </c>
      <c r="AC417" s="248">
        <f t="shared" si="26"/>
        <v>57</v>
      </c>
      <c r="AD417" s="249">
        <v>3.0928842942981677E-2</v>
      </c>
      <c r="AE417" s="228">
        <f t="shared" si="27"/>
        <v>0.1122328118842657</v>
      </c>
    </row>
    <row r="418" spans="4:31" x14ac:dyDescent="0.2">
      <c r="D418" s="75">
        <v>58</v>
      </c>
      <c r="E418" s="80">
        <v>5</v>
      </c>
      <c r="F418" s="80">
        <v>5</v>
      </c>
      <c r="H418" s="239" t="s">
        <v>828</v>
      </c>
      <c r="I418" s="239" t="s">
        <v>828</v>
      </c>
      <c r="J418" s="239" t="s">
        <v>828</v>
      </c>
      <c r="L418" s="239" t="s">
        <v>828</v>
      </c>
      <c r="M418" s="95"/>
      <c r="N418" s="95"/>
      <c r="O418" s="95"/>
      <c r="T418" s="240" t="s">
        <v>828</v>
      </c>
      <c r="U418" s="241" t="s">
        <v>828</v>
      </c>
      <c r="W418" s="242" t="s">
        <v>828</v>
      </c>
      <c r="X418" s="228">
        <v>0.1281133789718851</v>
      </c>
      <c r="Y418" s="248">
        <v>147</v>
      </c>
      <c r="AA418" s="248">
        <v>147</v>
      </c>
      <c r="AC418" s="248">
        <f t="shared" si="26"/>
        <v>58</v>
      </c>
      <c r="AD418" s="249">
        <v>3.1754171183599258E-2</v>
      </c>
      <c r="AE418" s="228">
        <f t="shared" si="27"/>
        <v>0.1122328118842657</v>
      </c>
    </row>
    <row r="419" spans="4:31" x14ac:dyDescent="0.2">
      <c r="D419" s="75">
        <v>59</v>
      </c>
      <c r="E419" s="80">
        <v>5</v>
      </c>
      <c r="F419" s="80">
        <v>5</v>
      </c>
      <c r="H419" s="239" t="s">
        <v>828</v>
      </c>
      <c r="I419" s="239" t="s">
        <v>828</v>
      </c>
      <c r="J419" s="239" t="s">
        <v>828</v>
      </c>
      <c r="L419" s="239" t="s">
        <v>828</v>
      </c>
      <c r="M419" s="95"/>
      <c r="N419" s="95"/>
      <c r="O419" s="95"/>
      <c r="T419" s="240" t="s">
        <v>828</v>
      </c>
      <c r="U419" s="241" t="s">
        <v>828</v>
      </c>
      <c r="W419" s="242" t="s">
        <v>828</v>
      </c>
      <c r="X419" s="228">
        <v>-2.8491958214856748E-2</v>
      </c>
      <c r="Y419" s="248">
        <v>28</v>
      </c>
      <c r="AA419" s="248">
        <v>28</v>
      </c>
      <c r="AC419" s="248">
        <f t="shared" si="26"/>
        <v>59</v>
      </c>
      <c r="AD419" s="249">
        <v>3.7944408173042954E-2</v>
      </c>
      <c r="AE419" s="228">
        <f t="shared" si="27"/>
        <v>0.1122328118842657</v>
      </c>
    </row>
    <row r="420" spans="4:31" x14ac:dyDescent="0.2">
      <c r="D420" s="75">
        <v>60</v>
      </c>
      <c r="E420" s="80">
        <v>5</v>
      </c>
      <c r="F420" s="80">
        <v>5</v>
      </c>
      <c r="H420" s="239" t="s">
        <v>828</v>
      </c>
      <c r="I420" s="239" t="s">
        <v>828</v>
      </c>
      <c r="J420" s="239" t="s">
        <v>828</v>
      </c>
      <c r="L420" s="239" t="s">
        <v>828</v>
      </c>
      <c r="M420" s="95"/>
      <c r="N420" s="95"/>
      <c r="O420" s="95"/>
      <c r="T420" s="240" t="s">
        <v>828</v>
      </c>
      <c r="U420" s="241" t="s">
        <v>828</v>
      </c>
      <c r="W420" s="242" t="s">
        <v>828</v>
      </c>
      <c r="X420" s="228">
        <v>0.16004255217806621</v>
      </c>
      <c r="Y420" s="248">
        <v>156</v>
      </c>
      <c r="AA420" s="248">
        <v>156</v>
      </c>
      <c r="AC420" s="248">
        <f t="shared" si="26"/>
        <v>60</v>
      </c>
      <c r="AD420" s="249">
        <v>4.055226972606385E-2</v>
      </c>
      <c r="AE420" s="228">
        <f t="shared" si="27"/>
        <v>0.1122328118842657</v>
      </c>
    </row>
    <row r="421" spans="4:31" x14ac:dyDescent="0.2">
      <c r="D421" s="75">
        <v>61</v>
      </c>
      <c r="E421" s="80">
        <v>5</v>
      </c>
      <c r="F421" s="80">
        <v>5</v>
      </c>
      <c r="H421" s="239" t="s">
        <v>828</v>
      </c>
      <c r="I421" s="239" t="s">
        <v>828</v>
      </c>
      <c r="J421" s="239" t="s">
        <v>828</v>
      </c>
      <c r="L421" s="239" t="s">
        <v>828</v>
      </c>
      <c r="M421" s="95"/>
      <c r="N421" s="95"/>
      <c r="O421" s="95"/>
      <c r="T421" s="240" t="s">
        <v>828</v>
      </c>
      <c r="U421" s="241" t="s">
        <v>828</v>
      </c>
      <c r="W421" s="242" t="s">
        <v>828</v>
      </c>
      <c r="X421" s="228">
        <v>-1.7482316792807498E-2</v>
      </c>
      <c r="Y421" s="248">
        <v>34</v>
      </c>
      <c r="AA421" s="248">
        <v>34</v>
      </c>
      <c r="AC421" s="248">
        <f t="shared" si="26"/>
        <v>61</v>
      </c>
      <c r="AD421" s="249">
        <v>4.139275177290222E-2</v>
      </c>
      <c r="AE421" s="228">
        <f t="shared" si="27"/>
        <v>0.1122328118842657</v>
      </c>
    </row>
    <row r="422" spans="4:31" x14ac:dyDescent="0.2">
      <c r="D422" s="75">
        <v>62</v>
      </c>
      <c r="E422" s="80">
        <v>5</v>
      </c>
      <c r="F422" s="80">
        <v>5</v>
      </c>
      <c r="H422" s="239" t="s">
        <v>828</v>
      </c>
      <c r="I422" s="239" t="s">
        <v>828</v>
      </c>
      <c r="J422" s="239" t="s">
        <v>828</v>
      </c>
      <c r="L422" s="239" t="s">
        <v>828</v>
      </c>
      <c r="M422" s="95"/>
      <c r="N422" s="95"/>
      <c r="O422" s="95"/>
      <c r="T422" s="240" t="s">
        <v>828</v>
      </c>
      <c r="U422" s="241" t="s">
        <v>828</v>
      </c>
      <c r="W422" s="242" t="s">
        <v>828</v>
      </c>
      <c r="X422" s="228">
        <v>-9.7330860683964071E-2</v>
      </c>
      <c r="Y422" s="248">
        <v>7</v>
      </c>
      <c r="AA422" s="248">
        <v>7</v>
      </c>
      <c r="AC422" s="248">
        <f t="shared" si="26"/>
        <v>62</v>
      </c>
      <c r="AD422" s="249">
        <v>4.2988118104570462E-2</v>
      </c>
      <c r="AE422" s="228">
        <f t="shared" si="27"/>
        <v>0.1122328118842657</v>
      </c>
    </row>
    <row r="423" spans="4:31" x14ac:dyDescent="0.2">
      <c r="D423" s="75">
        <v>63</v>
      </c>
      <c r="E423" s="80">
        <v>5</v>
      </c>
      <c r="F423" s="80">
        <v>5</v>
      </c>
      <c r="H423" s="239" t="s">
        <v>828</v>
      </c>
      <c r="I423" s="239" t="s">
        <v>828</v>
      </c>
      <c r="J423" s="239" t="s">
        <v>828</v>
      </c>
      <c r="L423" s="239" t="s">
        <v>828</v>
      </c>
      <c r="M423" s="95"/>
      <c r="N423" s="95"/>
      <c r="O423" s="95"/>
      <c r="T423" s="240" t="s">
        <v>828</v>
      </c>
      <c r="U423" s="241" t="s">
        <v>828</v>
      </c>
      <c r="W423" s="242" t="s">
        <v>828</v>
      </c>
      <c r="X423" s="228">
        <v>0.11281001162415792</v>
      </c>
      <c r="Y423" s="248">
        <v>134</v>
      </c>
      <c r="AA423" s="248">
        <v>134</v>
      </c>
      <c r="AC423" s="248">
        <f t="shared" si="26"/>
        <v>63</v>
      </c>
      <c r="AD423" s="249">
        <v>4.3974877877907742E-2</v>
      </c>
      <c r="AE423" s="228">
        <f t="shared" si="27"/>
        <v>0.1122328118842657</v>
      </c>
    </row>
    <row r="424" spans="4:31" x14ac:dyDescent="0.2">
      <c r="D424" s="75">
        <v>64</v>
      </c>
      <c r="E424" s="80">
        <v>5</v>
      </c>
      <c r="F424" s="80">
        <v>5</v>
      </c>
      <c r="H424" s="239" t="s">
        <v>828</v>
      </c>
      <c r="I424" s="239" t="s">
        <v>828</v>
      </c>
      <c r="J424" s="239" t="s">
        <v>828</v>
      </c>
      <c r="L424" s="239" t="s">
        <v>828</v>
      </c>
      <c r="M424" s="95"/>
      <c r="N424" s="95"/>
      <c r="O424" s="95"/>
      <c r="T424" s="240" t="s">
        <v>828</v>
      </c>
      <c r="U424" s="241" t="s">
        <v>828</v>
      </c>
      <c r="W424" s="242" t="s">
        <v>828</v>
      </c>
      <c r="X424" s="228">
        <v>9.6692427453249116E-2</v>
      </c>
      <c r="Y424" s="248">
        <v>113</v>
      </c>
      <c r="AA424" s="248">
        <v>113</v>
      </c>
      <c r="AC424" s="248">
        <f t="shared" si="26"/>
        <v>64</v>
      </c>
      <c r="AD424" s="249">
        <v>4.6829813039374259E-2</v>
      </c>
      <c r="AE424" s="228">
        <f t="shared" si="27"/>
        <v>0.1122328118842657</v>
      </c>
    </row>
    <row r="425" spans="4:31" x14ac:dyDescent="0.2">
      <c r="D425" s="75">
        <v>65</v>
      </c>
      <c r="E425" s="80">
        <v>5</v>
      </c>
      <c r="F425" s="80">
        <v>5</v>
      </c>
      <c r="H425" s="239" t="s">
        <v>828</v>
      </c>
      <c r="I425" s="239" t="s">
        <v>828</v>
      </c>
      <c r="J425" s="239" t="s">
        <v>828</v>
      </c>
      <c r="L425" s="239" t="s">
        <v>828</v>
      </c>
      <c r="M425" s="95"/>
      <c r="N425" s="95"/>
      <c r="O425" s="95"/>
      <c r="T425" s="240" t="s">
        <v>828</v>
      </c>
      <c r="U425" s="241" t="s">
        <v>828</v>
      </c>
      <c r="W425" s="242" t="s">
        <v>828</v>
      </c>
      <c r="X425" s="228">
        <v>-3.2635744129926446E-2</v>
      </c>
      <c r="Y425" s="248">
        <v>26</v>
      </c>
      <c r="AA425" s="248">
        <v>26</v>
      </c>
      <c r="AC425" s="248">
        <f t="shared" si="26"/>
        <v>65</v>
      </c>
      <c r="AD425" s="249">
        <v>4.7203646376646063E-2</v>
      </c>
      <c r="AE425" s="228">
        <f t="shared" ref="AE425:AE456" si="28">$AE$358</f>
        <v>0.1122328118842657</v>
      </c>
    </row>
    <row r="426" spans="4:31" x14ac:dyDescent="0.2">
      <c r="D426" s="75">
        <v>66</v>
      </c>
      <c r="E426" s="80">
        <v>5</v>
      </c>
      <c r="F426" s="80">
        <v>5</v>
      </c>
      <c r="H426" s="239" t="s">
        <v>828</v>
      </c>
      <c r="I426" s="239" t="s">
        <v>828</v>
      </c>
      <c r="J426" s="239" t="s">
        <v>828</v>
      </c>
      <c r="L426" s="239" t="s">
        <v>828</v>
      </c>
      <c r="M426" s="95"/>
      <c r="N426" s="95"/>
      <c r="O426" s="95"/>
      <c r="T426" s="240" t="s">
        <v>828</v>
      </c>
      <c r="U426" s="241" t="s">
        <v>828</v>
      </c>
      <c r="W426" s="242" t="s">
        <v>828</v>
      </c>
      <c r="X426" s="228">
        <v>-3.2108837604418718E-2</v>
      </c>
      <c r="Y426" s="248">
        <v>27</v>
      </c>
      <c r="AA426" s="248">
        <v>27</v>
      </c>
      <c r="AC426" s="248">
        <f t="shared" ref="AC426:AC489" si="29">N(AC425)+1</f>
        <v>66</v>
      </c>
      <c r="AD426" s="249">
        <v>4.833119516923913E-2</v>
      </c>
      <c r="AE426" s="228">
        <f t="shared" si="28"/>
        <v>0.1122328118842657</v>
      </c>
    </row>
    <row r="427" spans="4:31" x14ac:dyDescent="0.2">
      <c r="D427" s="75">
        <v>67</v>
      </c>
      <c r="E427" s="80">
        <v>5</v>
      </c>
      <c r="F427" s="80">
        <v>5</v>
      </c>
      <c r="H427" s="239" t="s">
        <v>828</v>
      </c>
      <c r="I427" s="239" t="s">
        <v>828</v>
      </c>
      <c r="J427" s="239" t="s">
        <v>828</v>
      </c>
      <c r="L427" s="239" t="s">
        <v>828</v>
      </c>
      <c r="M427" s="95"/>
      <c r="N427" s="95"/>
      <c r="O427" s="95"/>
      <c r="T427" s="240" t="s">
        <v>828</v>
      </c>
      <c r="U427" s="241" t="s">
        <v>828</v>
      </c>
      <c r="W427" s="242" t="s">
        <v>828</v>
      </c>
      <c r="X427" s="228">
        <v>1.2282463858278185E-2</v>
      </c>
      <c r="Y427" s="248">
        <v>46</v>
      </c>
      <c r="AA427" s="248">
        <v>46</v>
      </c>
      <c r="AC427" s="248">
        <f t="shared" si="29"/>
        <v>67</v>
      </c>
      <c r="AD427" s="249">
        <v>4.9873319357820634E-2</v>
      </c>
      <c r="AE427" s="228">
        <f t="shared" si="28"/>
        <v>0.1122328118842657</v>
      </c>
    </row>
    <row r="428" spans="4:31" x14ac:dyDescent="0.2">
      <c r="D428" s="75">
        <v>68</v>
      </c>
      <c r="E428" s="80">
        <v>5</v>
      </c>
      <c r="F428" s="80">
        <v>5</v>
      </c>
      <c r="H428" s="239" t="s">
        <v>828</v>
      </c>
      <c r="I428" s="239" t="s">
        <v>828</v>
      </c>
      <c r="J428" s="239" t="s">
        <v>828</v>
      </c>
      <c r="L428" s="239" t="s">
        <v>828</v>
      </c>
      <c r="M428" s="95"/>
      <c r="N428" s="95"/>
      <c r="O428" s="95"/>
      <c r="T428" s="240" t="s">
        <v>828</v>
      </c>
      <c r="U428" s="241" t="s">
        <v>828</v>
      </c>
      <c r="W428" s="242" t="s">
        <v>828</v>
      </c>
      <c r="X428" s="228">
        <v>-0.13900349252692187</v>
      </c>
      <c r="Y428" s="248">
        <v>2</v>
      </c>
      <c r="AA428" s="248">
        <v>2</v>
      </c>
      <c r="AC428" s="248">
        <f t="shared" si="29"/>
        <v>68</v>
      </c>
      <c r="AD428" s="249">
        <v>5.2303056572180297E-2</v>
      </c>
      <c r="AE428" s="228">
        <f t="shared" si="28"/>
        <v>0.1122328118842657</v>
      </c>
    </row>
    <row r="429" spans="4:31" x14ac:dyDescent="0.2">
      <c r="D429" s="75">
        <v>69</v>
      </c>
      <c r="E429" s="80">
        <v>5</v>
      </c>
      <c r="F429" s="80">
        <v>5</v>
      </c>
      <c r="H429" s="239" t="s">
        <v>828</v>
      </c>
      <c r="I429" s="239" t="s">
        <v>828</v>
      </c>
      <c r="J429" s="239" t="s">
        <v>828</v>
      </c>
      <c r="L429" s="239" t="s">
        <v>828</v>
      </c>
      <c r="M429" s="95"/>
      <c r="N429" s="95"/>
      <c r="O429" s="95"/>
      <c r="T429" s="240" t="s">
        <v>828</v>
      </c>
      <c r="U429" s="241" t="s">
        <v>828</v>
      </c>
      <c r="W429" s="242" t="s">
        <v>828</v>
      </c>
      <c r="X429" s="228">
        <v>5.4396378066283717E-2</v>
      </c>
      <c r="Y429" s="248">
        <v>71</v>
      </c>
      <c r="AA429" s="248">
        <v>71</v>
      </c>
      <c r="AC429" s="248">
        <f t="shared" si="29"/>
        <v>69</v>
      </c>
      <c r="AD429" s="249">
        <v>5.2983635472529211E-2</v>
      </c>
      <c r="AE429" s="228">
        <f t="shared" si="28"/>
        <v>0.1122328118842657</v>
      </c>
    </row>
    <row r="430" spans="4:31" x14ac:dyDescent="0.2">
      <c r="D430" s="75">
        <v>70</v>
      </c>
      <c r="E430" s="80">
        <v>5</v>
      </c>
      <c r="F430" s="80">
        <v>5</v>
      </c>
      <c r="H430" s="239" t="s">
        <v>828</v>
      </c>
      <c r="I430" s="239" t="s">
        <v>828</v>
      </c>
      <c r="J430" s="239" t="s">
        <v>828</v>
      </c>
      <c r="L430" s="239" t="s">
        <v>828</v>
      </c>
      <c r="M430" s="95"/>
      <c r="N430" s="95"/>
      <c r="O430" s="95"/>
      <c r="T430" s="240" t="s">
        <v>828</v>
      </c>
      <c r="U430" s="241" t="s">
        <v>828</v>
      </c>
      <c r="W430" s="242" t="s">
        <v>828</v>
      </c>
      <c r="X430" s="228">
        <v>-8.5810727067428025E-2</v>
      </c>
      <c r="Y430" s="248">
        <v>15</v>
      </c>
      <c r="AA430" s="248">
        <v>15</v>
      </c>
      <c r="AC430" s="248">
        <f t="shared" si="29"/>
        <v>70</v>
      </c>
      <c r="AD430" s="249">
        <v>5.4348457105506433E-2</v>
      </c>
      <c r="AE430" s="228">
        <f t="shared" si="28"/>
        <v>0.1122328118842657</v>
      </c>
    </row>
    <row r="431" spans="4:31" x14ac:dyDescent="0.2">
      <c r="D431" s="75">
        <v>71</v>
      </c>
      <c r="E431" s="80">
        <v>5</v>
      </c>
      <c r="F431" s="80">
        <v>5</v>
      </c>
      <c r="H431" s="239" t="s">
        <v>828</v>
      </c>
      <c r="I431" s="239" t="s">
        <v>828</v>
      </c>
      <c r="J431" s="239" t="s">
        <v>828</v>
      </c>
      <c r="L431" s="239" t="s">
        <v>828</v>
      </c>
      <c r="M431" s="95"/>
      <c r="N431" s="95"/>
      <c r="O431" s="95"/>
      <c r="T431" s="240" t="s">
        <v>828</v>
      </c>
      <c r="U431" s="241" t="s">
        <v>828</v>
      </c>
      <c r="W431" s="242" t="s">
        <v>828</v>
      </c>
      <c r="X431" s="228">
        <v>0.10803074242464944</v>
      </c>
      <c r="Y431" s="248">
        <v>124</v>
      </c>
      <c r="AA431" s="248">
        <v>124</v>
      </c>
      <c r="AC431" s="248">
        <f t="shared" si="29"/>
        <v>71</v>
      </c>
      <c r="AD431" s="249">
        <v>5.4396378066283717E-2</v>
      </c>
      <c r="AE431" s="228">
        <f t="shared" si="28"/>
        <v>0.1122328118842657</v>
      </c>
    </row>
    <row r="432" spans="4:31" x14ac:dyDescent="0.2">
      <c r="D432" s="75">
        <v>72</v>
      </c>
      <c r="E432" s="80">
        <v>5</v>
      </c>
      <c r="F432" s="80">
        <v>5</v>
      </c>
      <c r="H432" s="239" t="s">
        <v>828</v>
      </c>
      <c r="I432" s="239" t="s">
        <v>828</v>
      </c>
      <c r="J432" s="239" t="s">
        <v>828</v>
      </c>
      <c r="L432" s="239" t="s">
        <v>828</v>
      </c>
      <c r="M432" s="95"/>
      <c r="N432" s="95"/>
      <c r="O432" s="95"/>
      <c r="T432" s="240" t="s">
        <v>828</v>
      </c>
      <c r="U432" s="241" t="s">
        <v>828</v>
      </c>
      <c r="W432" s="242" t="s">
        <v>828</v>
      </c>
      <c r="X432" s="228">
        <v>5.2983635472529211E-2</v>
      </c>
      <c r="Y432" s="248">
        <v>69</v>
      </c>
      <c r="AA432" s="248">
        <v>69</v>
      </c>
      <c r="AC432" s="248">
        <f t="shared" si="29"/>
        <v>72</v>
      </c>
      <c r="AD432" s="249">
        <v>5.5419539851011418E-2</v>
      </c>
      <c r="AE432" s="228">
        <f t="shared" si="28"/>
        <v>0.1122328118842657</v>
      </c>
    </row>
    <row r="433" spans="4:31" x14ac:dyDescent="0.2">
      <c r="D433" s="75">
        <v>73</v>
      </c>
      <c r="E433" s="80">
        <v>5</v>
      </c>
      <c r="F433" s="80">
        <v>5</v>
      </c>
      <c r="H433" s="239" t="s">
        <v>828</v>
      </c>
      <c r="I433" s="239" t="s">
        <v>828</v>
      </c>
      <c r="J433" s="239" t="s">
        <v>828</v>
      </c>
      <c r="L433" s="239" t="s">
        <v>828</v>
      </c>
      <c r="M433" s="95"/>
      <c r="N433" s="95"/>
      <c r="O433" s="95"/>
      <c r="T433" s="240" t="s">
        <v>828</v>
      </c>
      <c r="U433" s="241" t="s">
        <v>828</v>
      </c>
      <c r="W433" s="242" t="s">
        <v>828</v>
      </c>
      <c r="X433" s="228">
        <v>-0.18882725711447981</v>
      </c>
      <c r="Y433" s="248">
        <v>1</v>
      </c>
      <c r="AA433" s="248">
        <v>1</v>
      </c>
      <c r="AC433" s="248">
        <f t="shared" si="29"/>
        <v>73</v>
      </c>
      <c r="AD433" s="249">
        <v>5.9246708554538584E-2</v>
      </c>
      <c r="AE433" s="228">
        <f t="shared" si="28"/>
        <v>0.1122328118842657</v>
      </c>
    </row>
    <row r="434" spans="4:31" x14ac:dyDescent="0.2">
      <c r="D434" s="75">
        <v>74</v>
      </c>
      <c r="E434" s="80">
        <v>5</v>
      </c>
      <c r="F434" s="80">
        <v>5</v>
      </c>
      <c r="H434" s="239" t="s">
        <v>828</v>
      </c>
      <c r="I434" s="239" t="s">
        <v>828</v>
      </c>
      <c r="J434" s="239" t="s">
        <v>828</v>
      </c>
      <c r="L434" s="239" t="s">
        <v>828</v>
      </c>
      <c r="M434" s="95"/>
      <c r="N434" s="95"/>
      <c r="O434" s="95"/>
      <c r="T434" s="240" t="s">
        <v>828</v>
      </c>
      <c r="U434" s="241" t="s">
        <v>828</v>
      </c>
      <c r="W434" s="242" t="s">
        <v>828</v>
      </c>
      <c r="X434" s="228">
        <v>-9.036011230135825E-2</v>
      </c>
      <c r="Y434" s="248">
        <v>14</v>
      </c>
      <c r="AA434" s="248">
        <v>14</v>
      </c>
      <c r="AC434" s="248">
        <f t="shared" si="29"/>
        <v>74</v>
      </c>
      <c r="AD434" s="249">
        <v>6.0433506710704799E-2</v>
      </c>
      <c r="AE434" s="228">
        <f t="shared" si="28"/>
        <v>0.1122328118842657</v>
      </c>
    </row>
    <row r="435" spans="4:31" x14ac:dyDescent="0.2">
      <c r="D435" s="75">
        <v>75</v>
      </c>
      <c r="E435" s="80">
        <v>5</v>
      </c>
      <c r="F435" s="80">
        <v>5</v>
      </c>
      <c r="H435" s="239" t="s">
        <v>828</v>
      </c>
      <c r="I435" s="239" t="s">
        <v>828</v>
      </c>
      <c r="J435" s="239" t="s">
        <v>828</v>
      </c>
      <c r="L435" s="239" t="s">
        <v>828</v>
      </c>
      <c r="M435" s="95"/>
      <c r="N435" s="95"/>
      <c r="O435" s="95"/>
      <c r="T435" s="240" t="s">
        <v>828</v>
      </c>
      <c r="U435" s="241" t="s">
        <v>828</v>
      </c>
      <c r="W435" s="242" t="s">
        <v>828</v>
      </c>
      <c r="X435" s="228">
        <v>-6.4855722868962642E-2</v>
      </c>
      <c r="Y435" s="248">
        <v>19</v>
      </c>
      <c r="AA435" s="248">
        <v>19</v>
      </c>
      <c r="AC435" s="248">
        <f t="shared" si="29"/>
        <v>75</v>
      </c>
      <c r="AD435" s="249">
        <v>6.403449398502864E-2</v>
      </c>
      <c r="AE435" s="228">
        <f t="shared" si="28"/>
        <v>0.1122328118842657</v>
      </c>
    </row>
    <row r="436" spans="4:31" x14ac:dyDescent="0.2">
      <c r="D436" s="75">
        <v>76</v>
      </c>
      <c r="E436" s="80">
        <v>5</v>
      </c>
      <c r="F436" s="80">
        <v>5</v>
      </c>
      <c r="H436" s="239" t="s">
        <v>828</v>
      </c>
      <c r="I436" s="239" t="s">
        <v>828</v>
      </c>
      <c r="J436" s="239" t="s">
        <v>828</v>
      </c>
      <c r="L436" s="239" t="s">
        <v>828</v>
      </c>
      <c r="M436" s="95"/>
      <c r="N436" s="95"/>
      <c r="O436" s="95"/>
      <c r="T436" s="240" t="s">
        <v>828</v>
      </c>
      <c r="U436" s="241" t="s">
        <v>828</v>
      </c>
      <c r="W436" s="242" t="s">
        <v>828</v>
      </c>
      <c r="X436" s="228">
        <v>-9.0381262511824323E-2</v>
      </c>
      <c r="Y436" s="248">
        <v>13</v>
      </c>
      <c r="AA436" s="248">
        <v>13</v>
      </c>
      <c r="AC436" s="248">
        <f t="shared" si="29"/>
        <v>76</v>
      </c>
      <c r="AD436" s="249">
        <v>6.4707051752853448E-2</v>
      </c>
      <c r="AE436" s="228">
        <f t="shared" si="28"/>
        <v>0.1122328118842657</v>
      </c>
    </row>
    <row r="437" spans="4:31" x14ac:dyDescent="0.2">
      <c r="D437" s="75">
        <v>77</v>
      </c>
      <c r="E437" s="80">
        <v>5</v>
      </c>
      <c r="F437" s="80">
        <v>5</v>
      </c>
      <c r="H437" s="239" t="s">
        <v>828</v>
      </c>
      <c r="I437" s="239" t="s">
        <v>828</v>
      </c>
      <c r="J437" s="239" t="s">
        <v>828</v>
      </c>
      <c r="L437" s="239" t="s">
        <v>828</v>
      </c>
      <c r="M437" s="95"/>
      <c r="N437" s="95"/>
      <c r="O437" s="95"/>
      <c r="T437" s="240" t="s">
        <v>828</v>
      </c>
      <c r="U437" s="241" t="s">
        <v>828</v>
      </c>
      <c r="W437" s="242" t="s">
        <v>828</v>
      </c>
      <c r="X437" s="228">
        <v>-8.2776710341285701E-3</v>
      </c>
      <c r="Y437" s="248">
        <v>39</v>
      </c>
      <c r="AA437" s="248">
        <v>39</v>
      </c>
      <c r="AC437" s="248">
        <f t="shared" si="29"/>
        <v>77</v>
      </c>
      <c r="AD437" s="249">
        <v>6.6210633321691942E-2</v>
      </c>
      <c r="AE437" s="228">
        <f t="shared" si="28"/>
        <v>0.1122328118842657</v>
      </c>
    </row>
    <row r="438" spans="4:31" x14ac:dyDescent="0.2">
      <c r="D438" s="75">
        <v>78</v>
      </c>
      <c r="E438" s="80">
        <v>5</v>
      </c>
      <c r="F438" s="80">
        <v>5</v>
      </c>
      <c r="H438" s="239" t="s">
        <v>828</v>
      </c>
      <c r="I438" s="239" t="s">
        <v>828</v>
      </c>
      <c r="J438" s="239" t="s">
        <v>828</v>
      </c>
      <c r="L438" s="239" t="s">
        <v>828</v>
      </c>
      <c r="M438" s="95"/>
      <c r="N438" s="95"/>
      <c r="O438" s="95"/>
      <c r="T438" s="240" t="s">
        <v>828</v>
      </c>
      <c r="U438" s="241" t="s">
        <v>828</v>
      </c>
      <c r="W438" s="242" t="s">
        <v>828</v>
      </c>
      <c r="X438" s="228">
        <v>-1.0569461217144723E-2</v>
      </c>
      <c r="Y438" s="248">
        <v>38</v>
      </c>
      <c r="AA438" s="248">
        <v>38</v>
      </c>
      <c r="AC438" s="248">
        <f t="shared" si="29"/>
        <v>78</v>
      </c>
      <c r="AD438" s="249">
        <v>6.6378404046690029E-2</v>
      </c>
      <c r="AE438" s="228">
        <f t="shared" si="28"/>
        <v>0.1122328118842657</v>
      </c>
    </row>
    <row r="439" spans="4:31" x14ac:dyDescent="0.2">
      <c r="D439" s="75">
        <v>79</v>
      </c>
      <c r="E439" s="80">
        <v>5</v>
      </c>
      <c r="F439" s="80">
        <v>5</v>
      </c>
      <c r="H439" s="239" t="s">
        <v>828</v>
      </c>
      <c r="I439" s="239" t="s">
        <v>828</v>
      </c>
      <c r="J439" s="239" t="s">
        <v>828</v>
      </c>
      <c r="L439" s="239" t="s">
        <v>828</v>
      </c>
      <c r="M439" s="95"/>
      <c r="N439" s="95"/>
      <c r="O439" s="95"/>
      <c r="T439" s="240" t="s">
        <v>828</v>
      </c>
      <c r="U439" s="241" t="s">
        <v>828</v>
      </c>
      <c r="W439" s="242" t="s">
        <v>828</v>
      </c>
      <c r="X439" s="228">
        <v>0.13057106278329692</v>
      </c>
      <c r="Y439" s="248">
        <v>148</v>
      </c>
      <c r="AA439" s="248">
        <v>148</v>
      </c>
      <c r="AC439" s="248">
        <f t="shared" si="29"/>
        <v>79</v>
      </c>
      <c r="AD439" s="249">
        <v>6.7078899330452163E-2</v>
      </c>
      <c r="AE439" s="228">
        <f t="shared" si="28"/>
        <v>0.1122328118842657</v>
      </c>
    </row>
    <row r="440" spans="4:31" x14ac:dyDescent="0.2">
      <c r="D440" s="75">
        <v>80</v>
      </c>
      <c r="E440" s="80">
        <v>5</v>
      </c>
      <c r="F440" s="80">
        <v>5</v>
      </c>
      <c r="H440" s="239" t="s">
        <v>828</v>
      </c>
      <c r="I440" s="239" t="s">
        <v>828</v>
      </c>
      <c r="J440" s="239" t="s">
        <v>828</v>
      </c>
      <c r="L440" s="239" t="s">
        <v>828</v>
      </c>
      <c r="M440" s="95"/>
      <c r="N440" s="95"/>
      <c r="O440" s="95"/>
      <c r="T440" s="240" t="s">
        <v>828</v>
      </c>
      <c r="U440" s="241" t="s">
        <v>828</v>
      </c>
      <c r="W440" s="242" t="s">
        <v>828</v>
      </c>
      <c r="X440" s="228">
        <v>0.101748139232437</v>
      </c>
      <c r="Y440" s="248">
        <v>119</v>
      </c>
      <c r="AA440" s="248">
        <v>119</v>
      </c>
      <c r="AC440" s="248">
        <f t="shared" si="29"/>
        <v>80</v>
      </c>
      <c r="AD440" s="249">
        <v>6.7428852022473576E-2</v>
      </c>
      <c r="AE440" s="228">
        <f t="shared" si="28"/>
        <v>0.1122328118842657</v>
      </c>
    </row>
    <row r="441" spans="4:31" x14ac:dyDescent="0.2">
      <c r="D441" s="75">
        <v>81</v>
      </c>
      <c r="E441" s="80">
        <v>5</v>
      </c>
      <c r="F441" s="80">
        <v>5</v>
      </c>
      <c r="H441" s="239" t="s">
        <v>828</v>
      </c>
      <c r="I441" s="239" t="s">
        <v>828</v>
      </c>
      <c r="J441" s="239" t="s">
        <v>828</v>
      </c>
      <c r="L441" s="239" t="s">
        <v>828</v>
      </c>
      <c r="M441" s="95"/>
      <c r="N441" s="95"/>
      <c r="O441" s="95"/>
      <c r="T441" s="240" t="s">
        <v>828</v>
      </c>
      <c r="U441" s="241" t="s">
        <v>828</v>
      </c>
      <c r="W441" s="242" t="s">
        <v>828</v>
      </c>
      <c r="X441" s="228">
        <v>7.5738810641686236E-2</v>
      </c>
      <c r="Y441" s="248">
        <v>91</v>
      </c>
      <c r="AA441" s="248">
        <v>91</v>
      </c>
      <c r="AC441" s="248">
        <f t="shared" si="29"/>
        <v>81</v>
      </c>
      <c r="AD441" s="249">
        <v>6.8451801524280695E-2</v>
      </c>
      <c r="AE441" s="228">
        <f t="shared" si="28"/>
        <v>0.1122328118842657</v>
      </c>
    </row>
    <row r="442" spans="4:31" x14ac:dyDescent="0.2">
      <c r="D442" s="75">
        <v>82</v>
      </c>
      <c r="E442" s="80">
        <v>5</v>
      </c>
      <c r="F442" s="80">
        <v>5</v>
      </c>
      <c r="H442" s="239" t="s">
        <v>828</v>
      </c>
      <c r="I442" s="239" t="s">
        <v>828</v>
      </c>
      <c r="J442" s="239" t="s">
        <v>828</v>
      </c>
      <c r="L442" s="239" t="s">
        <v>828</v>
      </c>
      <c r="M442" s="95"/>
      <c r="N442" s="95"/>
      <c r="O442" s="95"/>
      <c r="T442" s="240" t="s">
        <v>828</v>
      </c>
      <c r="U442" s="241" t="s">
        <v>828</v>
      </c>
      <c r="W442" s="242" t="s">
        <v>828</v>
      </c>
      <c r="X442" s="228">
        <v>0.13484758867323332</v>
      </c>
      <c r="Y442" s="248">
        <v>152</v>
      </c>
      <c r="AA442" s="248">
        <v>152</v>
      </c>
      <c r="AC442" s="248">
        <f t="shared" si="29"/>
        <v>82</v>
      </c>
      <c r="AD442" s="249">
        <v>6.8610257459872703E-2</v>
      </c>
      <c r="AE442" s="228">
        <f t="shared" si="28"/>
        <v>0.1122328118842657</v>
      </c>
    </row>
    <row r="443" spans="4:31" x14ac:dyDescent="0.2">
      <c r="D443" s="75">
        <v>83</v>
      </c>
      <c r="E443" s="80">
        <v>5</v>
      </c>
      <c r="F443" s="80">
        <v>5</v>
      </c>
      <c r="H443" s="239" t="s">
        <v>828</v>
      </c>
      <c r="I443" s="239" t="s">
        <v>828</v>
      </c>
      <c r="J443" s="239" t="s">
        <v>828</v>
      </c>
      <c r="L443" s="239" t="s">
        <v>828</v>
      </c>
      <c r="M443" s="95"/>
      <c r="N443" s="95"/>
      <c r="O443" s="95"/>
      <c r="T443" s="240" t="s">
        <v>828</v>
      </c>
      <c r="U443" s="241" t="s">
        <v>828</v>
      </c>
      <c r="W443" s="242" t="s">
        <v>828</v>
      </c>
      <c r="X443" s="228">
        <v>0.11227667249384594</v>
      </c>
      <c r="Y443" s="248">
        <v>131</v>
      </c>
      <c r="AA443" s="248">
        <v>131</v>
      </c>
      <c r="AC443" s="248">
        <f t="shared" si="29"/>
        <v>83</v>
      </c>
      <c r="AD443" s="249">
        <v>6.8986638201086192E-2</v>
      </c>
      <c r="AE443" s="228">
        <f t="shared" si="28"/>
        <v>0.1122328118842657</v>
      </c>
    </row>
    <row r="444" spans="4:31" x14ac:dyDescent="0.2">
      <c r="D444" s="75">
        <v>84</v>
      </c>
      <c r="E444" s="80">
        <v>5</v>
      </c>
      <c r="F444" s="80">
        <v>5</v>
      </c>
      <c r="H444" s="239" t="s">
        <v>828</v>
      </c>
      <c r="I444" s="239" t="s">
        <v>828</v>
      </c>
      <c r="J444" s="239" t="s">
        <v>828</v>
      </c>
      <c r="L444" s="239" t="s">
        <v>828</v>
      </c>
      <c r="M444" s="95"/>
      <c r="N444" s="95"/>
      <c r="O444" s="95"/>
      <c r="T444" s="240" t="s">
        <v>828</v>
      </c>
      <c r="U444" s="241" t="s">
        <v>828</v>
      </c>
      <c r="W444" s="242" t="s">
        <v>828</v>
      </c>
      <c r="X444" s="228">
        <v>-1.9588124441091728E-2</v>
      </c>
      <c r="Y444" s="248">
        <v>32</v>
      </c>
      <c r="AA444" s="248">
        <v>32</v>
      </c>
      <c r="AC444" s="248">
        <f t="shared" si="29"/>
        <v>84</v>
      </c>
      <c r="AD444" s="249">
        <v>6.927650758883637E-2</v>
      </c>
      <c r="AE444" s="228">
        <f t="shared" si="28"/>
        <v>0.1122328118842657</v>
      </c>
    </row>
    <row r="445" spans="4:31" x14ac:dyDescent="0.2">
      <c r="D445" s="75">
        <v>85</v>
      </c>
      <c r="E445" s="80">
        <v>5</v>
      </c>
      <c r="F445" s="80">
        <v>5</v>
      </c>
      <c r="H445" s="239" t="s">
        <v>828</v>
      </c>
      <c r="I445" s="239" t="s">
        <v>828</v>
      </c>
      <c r="J445" s="239" t="s">
        <v>828</v>
      </c>
      <c r="L445" s="239" t="s">
        <v>828</v>
      </c>
      <c r="M445" s="95"/>
      <c r="N445" s="95"/>
      <c r="O445" s="95"/>
      <c r="T445" s="240" t="s">
        <v>828</v>
      </c>
      <c r="U445" s="241" t="s">
        <v>828</v>
      </c>
      <c r="W445" s="242" t="s">
        <v>828</v>
      </c>
      <c r="X445" s="228">
        <v>8.244259901023189E-2</v>
      </c>
      <c r="Y445" s="248">
        <v>96</v>
      </c>
      <c r="AA445" s="248">
        <v>96</v>
      </c>
      <c r="AC445" s="248">
        <f t="shared" si="29"/>
        <v>85</v>
      </c>
      <c r="AD445" s="249">
        <v>7.0066542955208477E-2</v>
      </c>
      <c r="AE445" s="228">
        <f t="shared" si="28"/>
        <v>0.1122328118842657</v>
      </c>
    </row>
    <row r="446" spans="4:31" x14ac:dyDescent="0.2">
      <c r="D446" s="75">
        <v>86</v>
      </c>
      <c r="E446" s="80">
        <v>5</v>
      </c>
      <c r="F446" s="80">
        <v>5</v>
      </c>
      <c r="H446" s="239" t="s">
        <v>828</v>
      </c>
      <c r="I446" s="239" t="s">
        <v>828</v>
      </c>
      <c r="J446" s="239" t="s">
        <v>828</v>
      </c>
      <c r="L446" s="239" t="s">
        <v>828</v>
      </c>
      <c r="M446" s="95"/>
      <c r="N446" s="95"/>
      <c r="O446" s="95"/>
      <c r="T446" s="240" t="s">
        <v>828</v>
      </c>
      <c r="U446" s="241" t="s">
        <v>828</v>
      </c>
      <c r="W446" s="242" t="s">
        <v>828</v>
      </c>
      <c r="X446" s="228">
        <v>6.4707051752853448E-2</v>
      </c>
      <c r="Y446" s="248">
        <v>76</v>
      </c>
      <c r="AA446" s="248">
        <v>76</v>
      </c>
      <c r="AC446" s="248">
        <f t="shared" si="29"/>
        <v>86</v>
      </c>
      <c r="AD446" s="249">
        <v>7.1275155370214588E-2</v>
      </c>
      <c r="AE446" s="228">
        <f t="shared" si="28"/>
        <v>0.1122328118842657</v>
      </c>
    </row>
    <row r="447" spans="4:31" x14ac:dyDescent="0.2">
      <c r="D447" s="75">
        <v>87</v>
      </c>
      <c r="E447" s="80">
        <v>5</v>
      </c>
      <c r="F447" s="80">
        <v>5</v>
      </c>
      <c r="H447" s="239" t="s">
        <v>828</v>
      </c>
      <c r="I447" s="239" t="s">
        <v>828</v>
      </c>
      <c r="J447" s="239" t="s">
        <v>828</v>
      </c>
      <c r="L447" s="239" t="s">
        <v>828</v>
      </c>
      <c r="M447" s="95"/>
      <c r="N447" s="95"/>
      <c r="O447" s="95"/>
      <c r="T447" s="240" t="s">
        <v>828</v>
      </c>
      <c r="U447" s="241" t="s">
        <v>828</v>
      </c>
      <c r="W447" s="242" t="s">
        <v>828</v>
      </c>
      <c r="X447" s="228">
        <v>4.6829813039374259E-2</v>
      </c>
      <c r="Y447" s="248">
        <v>64</v>
      </c>
      <c r="AA447" s="248">
        <v>64</v>
      </c>
      <c r="AC447" s="248">
        <f t="shared" si="29"/>
        <v>87</v>
      </c>
      <c r="AD447" s="249">
        <v>7.3507299636621434E-2</v>
      </c>
      <c r="AE447" s="228">
        <f t="shared" si="28"/>
        <v>0.1122328118842657</v>
      </c>
    </row>
    <row r="448" spans="4:31" x14ac:dyDescent="0.2">
      <c r="D448" s="75">
        <v>88</v>
      </c>
      <c r="E448" s="80">
        <v>5</v>
      </c>
      <c r="F448" s="80">
        <v>5</v>
      </c>
      <c r="H448" s="239" t="s">
        <v>828</v>
      </c>
      <c r="I448" s="239" t="s">
        <v>828</v>
      </c>
      <c r="J448" s="239" t="s">
        <v>828</v>
      </c>
      <c r="L448" s="239" t="s">
        <v>828</v>
      </c>
      <c r="M448" s="95"/>
      <c r="N448" s="95"/>
      <c r="O448" s="95"/>
      <c r="T448" s="240" t="s">
        <v>828</v>
      </c>
      <c r="U448" s="241" t="s">
        <v>828</v>
      </c>
      <c r="W448" s="242" t="s">
        <v>828</v>
      </c>
      <c r="X448" s="228">
        <v>8.712545985853816E-2</v>
      </c>
      <c r="Y448" s="248">
        <v>105</v>
      </c>
      <c r="AA448" s="248">
        <v>105</v>
      </c>
      <c r="AC448" s="248">
        <f t="shared" si="29"/>
        <v>88</v>
      </c>
      <c r="AD448" s="249">
        <v>7.4706393262441384E-2</v>
      </c>
      <c r="AE448" s="228">
        <f t="shared" si="28"/>
        <v>0.1122328118842657</v>
      </c>
    </row>
    <row r="449" spans="4:31" x14ac:dyDescent="0.2">
      <c r="D449" s="75">
        <v>89</v>
      </c>
      <c r="E449" s="80">
        <v>5</v>
      </c>
      <c r="F449" s="80">
        <v>5</v>
      </c>
      <c r="H449" s="239" t="s">
        <v>828</v>
      </c>
      <c r="I449" s="239" t="s">
        <v>828</v>
      </c>
      <c r="J449" s="239" t="s">
        <v>828</v>
      </c>
      <c r="L449" s="239" t="s">
        <v>828</v>
      </c>
      <c r="M449" s="95"/>
      <c r="N449" s="95"/>
      <c r="O449" s="95"/>
      <c r="T449" s="240" t="s">
        <v>828</v>
      </c>
      <c r="U449" s="241" t="s">
        <v>828</v>
      </c>
      <c r="W449" s="242" t="s">
        <v>828</v>
      </c>
      <c r="X449" s="228">
        <v>3.0928842942981677E-2</v>
      </c>
      <c r="Y449" s="248">
        <v>57</v>
      </c>
      <c r="AA449" s="248">
        <v>57</v>
      </c>
      <c r="AC449" s="248">
        <f t="shared" si="29"/>
        <v>89</v>
      </c>
      <c r="AD449" s="249">
        <v>7.5342601046754679E-2</v>
      </c>
      <c r="AE449" s="228">
        <f t="shared" si="28"/>
        <v>0.1122328118842657</v>
      </c>
    </row>
    <row r="450" spans="4:31" x14ac:dyDescent="0.2">
      <c r="D450" s="75">
        <v>90</v>
      </c>
      <c r="E450" s="80">
        <v>5</v>
      </c>
      <c r="F450" s="80">
        <v>5</v>
      </c>
      <c r="H450" s="239" t="s">
        <v>828</v>
      </c>
      <c r="I450" s="239" t="s">
        <v>828</v>
      </c>
      <c r="J450" s="239" t="s">
        <v>828</v>
      </c>
      <c r="L450" s="239" t="s">
        <v>828</v>
      </c>
      <c r="M450" s="95"/>
      <c r="N450" s="95"/>
      <c r="O450" s="95"/>
      <c r="T450" s="240" t="s">
        <v>828</v>
      </c>
      <c r="U450" s="241" t="s">
        <v>828</v>
      </c>
      <c r="W450" s="242" t="s">
        <v>828</v>
      </c>
      <c r="X450" s="228">
        <v>9.9392775005353845E-2</v>
      </c>
      <c r="Y450" s="248">
        <v>117</v>
      </c>
      <c r="AA450" s="248">
        <v>117</v>
      </c>
      <c r="AC450" s="248">
        <f t="shared" si="29"/>
        <v>90</v>
      </c>
      <c r="AD450" s="249">
        <v>7.5386635378867542E-2</v>
      </c>
      <c r="AE450" s="228">
        <f t="shared" si="28"/>
        <v>0.1122328118842657</v>
      </c>
    </row>
    <row r="451" spans="4:31" x14ac:dyDescent="0.2">
      <c r="D451" s="75">
        <v>91</v>
      </c>
      <c r="E451" s="80">
        <v>5</v>
      </c>
      <c r="F451" s="80">
        <v>5</v>
      </c>
      <c r="H451" s="239" t="s">
        <v>828</v>
      </c>
      <c r="I451" s="239" t="s">
        <v>828</v>
      </c>
      <c r="J451" s="239" t="s">
        <v>828</v>
      </c>
      <c r="L451" s="239" t="s">
        <v>828</v>
      </c>
      <c r="M451" s="95"/>
      <c r="N451" s="95"/>
      <c r="O451" s="95"/>
      <c r="T451" s="240" t="s">
        <v>828</v>
      </c>
      <c r="U451" s="241" t="s">
        <v>828</v>
      </c>
      <c r="W451" s="242" t="s">
        <v>828</v>
      </c>
      <c r="X451" s="228">
        <v>-6.4703493743359194E-2</v>
      </c>
      <c r="Y451" s="248">
        <v>20</v>
      </c>
      <c r="AA451" s="248">
        <v>20</v>
      </c>
      <c r="AC451" s="248">
        <f t="shared" si="29"/>
        <v>91</v>
      </c>
      <c r="AD451" s="249">
        <v>7.5738810641686236E-2</v>
      </c>
      <c r="AE451" s="228">
        <f t="shared" si="28"/>
        <v>0.1122328118842657</v>
      </c>
    </row>
    <row r="452" spans="4:31" x14ac:dyDescent="0.2">
      <c r="D452" s="75">
        <v>92</v>
      </c>
      <c r="E452" s="80">
        <v>5</v>
      </c>
      <c r="F452" s="80">
        <v>5</v>
      </c>
      <c r="H452" s="239" t="s">
        <v>828</v>
      </c>
      <c r="I452" s="239" t="s">
        <v>828</v>
      </c>
      <c r="J452" s="239" t="s">
        <v>828</v>
      </c>
      <c r="L452" s="239" t="s">
        <v>828</v>
      </c>
      <c r="M452" s="95"/>
      <c r="N452" s="95"/>
      <c r="O452" s="95"/>
      <c r="T452" s="240" t="s">
        <v>828</v>
      </c>
      <c r="U452" s="241" t="s">
        <v>828</v>
      </c>
      <c r="W452" s="242" t="s">
        <v>828</v>
      </c>
      <c r="X452" s="228">
        <v>8.5035949115196671E-2</v>
      </c>
      <c r="Y452" s="248">
        <v>102</v>
      </c>
      <c r="AA452" s="248">
        <v>102</v>
      </c>
      <c r="AC452" s="248">
        <f t="shared" si="29"/>
        <v>92</v>
      </c>
      <c r="AD452" s="249">
        <v>7.623117773821031E-2</v>
      </c>
      <c r="AE452" s="228">
        <f t="shared" si="28"/>
        <v>0.1122328118842657</v>
      </c>
    </row>
    <row r="453" spans="4:31" x14ac:dyDescent="0.2">
      <c r="D453" s="75">
        <v>93</v>
      </c>
      <c r="E453" s="80">
        <v>5</v>
      </c>
      <c r="F453" s="80">
        <v>5</v>
      </c>
      <c r="H453" s="239" t="s">
        <v>828</v>
      </c>
      <c r="I453" s="239" t="s">
        <v>828</v>
      </c>
      <c r="J453" s="239" t="s">
        <v>828</v>
      </c>
      <c r="L453" s="239" t="s">
        <v>828</v>
      </c>
      <c r="M453" s="95"/>
      <c r="N453" s="95"/>
      <c r="O453" s="95"/>
      <c r="T453" s="240" t="s">
        <v>828</v>
      </c>
      <c r="U453" s="241" t="s">
        <v>828</v>
      </c>
      <c r="W453" s="242" t="s">
        <v>828</v>
      </c>
      <c r="X453" s="228">
        <v>8.5003729189253807E-2</v>
      </c>
      <c r="Y453" s="248">
        <v>101</v>
      </c>
      <c r="AA453" s="248">
        <v>101</v>
      </c>
      <c r="AC453" s="248">
        <f t="shared" si="29"/>
        <v>93</v>
      </c>
      <c r="AD453" s="249">
        <v>7.6768425602739165E-2</v>
      </c>
      <c r="AE453" s="228">
        <f t="shared" si="28"/>
        <v>0.1122328118842657</v>
      </c>
    </row>
    <row r="454" spans="4:31" x14ac:dyDescent="0.2">
      <c r="D454" s="75">
        <v>94</v>
      </c>
      <c r="E454" s="80">
        <v>5</v>
      </c>
      <c r="F454" s="80">
        <v>5</v>
      </c>
      <c r="H454" s="239" t="s">
        <v>828</v>
      </c>
      <c r="I454" s="239" t="s">
        <v>828</v>
      </c>
      <c r="J454" s="239" t="s">
        <v>828</v>
      </c>
      <c r="L454" s="239" t="s">
        <v>828</v>
      </c>
      <c r="M454" s="95"/>
      <c r="N454" s="95"/>
      <c r="O454" s="95"/>
      <c r="T454" s="240" t="s">
        <v>828</v>
      </c>
      <c r="U454" s="241" t="s">
        <v>828</v>
      </c>
      <c r="W454" s="242" t="s">
        <v>828</v>
      </c>
      <c r="X454" s="228">
        <v>0.1127101404871543</v>
      </c>
      <c r="Y454" s="248">
        <v>133</v>
      </c>
      <c r="AA454" s="248">
        <v>133</v>
      </c>
      <c r="AC454" s="248">
        <f t="shared" si="29"/>
        <v>94</v>
      </c>
      <c r="AD454" s="249">
        <v>8.1624906994801336E-2</v>
      </c>
      <c r="AE454" s="228">
        <f t="shared" si="28"/>
        <v>0.1122328118842657</v>
      </c>
    </row>
    <row r="455" spans="4:31" x14ac:dyDescent="0.2">
      <c r="D455" s="75">
        <v>95</v>
      </c>
      <c r="E455" s="80">
        <v>5</v>
      </c>
      <c r="F455" s="80">
        <v>5</v>
      </c>
      <c r="H455" s="239" t="s">
        <v>828</v>
      </c>
      <c r="I455" s="239" t="s">
        <v>828</v>
      </c>
      <c r="J455" s="239" t="s">
        <v>828</v>
      </c>
      <c r="L455" s="239" t="s">
        <v>828</v>
      </c>
      <c r="M455" s="95"/>
      <c r="N455" s="95"/>
      <c r="O455" s="95"/>
      <c r="T455" s="240" t="s">
        <v>828</v>
      </c>
      <c r="U455" s="241" t="s">
        <v>828</v>
      </c>
      <c r="W455" s="242" t="s">
        <v>828</v>
      </c>
      <c r="X455" s="228">
        <v>-1.4293890296946997E-2</v>
      </c>
      <c r="Y455" s="248">
        <v>36</v>
      </c>
      <c r="AA455" s="248">
        <v>36</v>
      </c>
      <c r="AC455" s="248">
        <f t="shared" si="29"/>
        <v>95</v>
      </c>
      <c r="AD455" s="249">
        <v>8.1796002826923495E-2</v>
      </c>
      <c r="AE455" s="228">
        <f t="shared" si="28"/>
        <v>0.1122328118842657</v>
      </c>
    </row>
    <row r="456" spans="4:31" x14ac:dyDescent="0.2">
      <c r="D456" s="75">
        <v>96</v>
      </c>
      <c r="E456" s="80">
        <v>5</v>
      </c>
      <c r="F456" s="80">
        <v>5</v>
      </c>
      <c r="H456" s="239" t="s">
        <v>828</v>
      </c>
      <c r="I456" s="239" t="s">
        <v>828</v>
      </c>
      <c r="J456" s="239" t="s">
        <v>828</v>
      </c>
      <c r="L456" s="239" t="s">
        <v>828</v>
      </c>
      <c r="M456" s="95"/>
      <c r="N456" s="95"/>
      <c r="O456" s="95"/>
      <c r="T456" s="240" t="s">
        <v>828</v>
      </c>
      <c r="U456" s="241" t="s">
        <v>828</v>
      </c>
      <c r="W456" s="242" t="s">
        <v>828</v>
      </c>
      <c r="X456" s="228">
        <v>6.6210633321691942E-2</v>
      </c>
      <c r="Y456" s="248">
        <v>77</v>
      </c>
      <c r="AA456" s="248">
        <v>77</v>
      </c>
      <c r="AC456" s="248">
        <f t="shared" si="29"/>
        <v>96</v>
      </c>
      <c r="AD456" s="249">
        <v>8.244259901023189E-2</v>
      </c>
      <c r="AE456" s="228">
        <f t="shared" si="28"/>
        <v>0.1122328118842657</v>
      </c>
    </row>
    <row r="457" spans="4:31" x14ac:dyDescent="0.2">
      <c r="D457" s="75">
        <v>97</v>
      </c>
      <c r="E457" s="80">
        <v>5</v>
      </c>
      <c r="F457" s="80">
        <v>5</v>
      </c>
      <c r="H457" s="239" t="s">
        <v>828</v>
      </c>
      <c r="I457" s="239" t="s">
        <v>828</v>
      </c>
      <c r="J457" s="239" t="s">
        <v>828</v>
      </c>
      <c r="L457" s="239" t="s">
        <v>828</v>
      </c>
      <c r="M457" s="95"/>
      <c r="N457" s="95"/>
      <c r="O457" s="95"/>
      <c r="T457" s="240" t="s">
        <v>828</v>
      </c>
      <c r="U457" s="241" t="s">
        <v>828</v>
      </c>
      <c r="W457" s="242" t="s">
        <v>828</v>
      </c>
      <c r="X457" s="228">
        <v>0.11240757009977075</v>
      </c>
      <c r="Y457" s="248">
        <v>132</v>
      </c>
      <c r="AA457" s="248">
        <v>132</v>
      </c>
      <c r="AC457" s="248">
        <f t="shared" si="29"/>
        <v>97</v>
      </c>
      <c r="AD457" s="249">
        <v>8.2883549019453981E-2</v>
      </c>
      <c r="AE457" s="228">
        <f t="shared" ref="AE457:AE488" si="30">$AE$358</f>
        <v>0.1122328118842657</v>
      </c>
    </row>
    <row r="458" spans="4:31" x14ac:dyDescent="0.2">
      <c r="D458" s="75">
        <v>98</v>
      </c>
      <c r="E458" s="80">
        <v>5</v>
      </c>
      <c r="F458" s="80">
        <v>5</v>
      </c>
      <c r="H458" s="239" t="s">
        <v>828</v>
      </c>
      <c r="I458" s="239" t="s">
        <v>828</v>
      </c>
      <c r="J458" s="239" t="s">
        <v>828</v>
      </c>
      <c r="L458" s="239" t="s">
        <v>828</v>
      </c>
      <c r="M458" s="95"/>
      <c r="N458" s="95"/>
      <c r="O458" s="95"/>
      <c r="T458" s="240" t="s">
        <v>828</v>
      </c>
      <c r="U458" s="241" t="s">
        <v>828</v>
      </c>
      <c r="W458" s="242" t="s">
        <v>828</v>
      </c>
      <c r="X458" s="228">
        <v>3.0353339394786252E-2</v>
      </c>
      <c r="Y458" s="248">
        <v>56</v>
      </c>
      <c r="AA458" s="248">
        <v>56</v>
      </c>
      <c r="AC458" s="248">
        <f t="shared" si="29"/>
        <v>98</v>
      </c>
      <c r="AD458" s="249">
        <v>8.3923388628387732E-2</v>
      </c>
      <c r="AE458" s="228">
        <f t="shared" si="30"/>
        <v>0.1122328118842657</v>
      </c>
    </row>
    <row r="459" spans="4:31" x14ac:dyDescent="0.2">
      <c r="D459" s="75">
        <v>99</v>
      </c>
      <c r="E459" s="80">
        <v>5</v>
      </c>
      <c r="F459" s="80">
        <v>5</v>
      </c>
      <c r="H459" s="239" t="s">
        <v>828</v>
      </c>
      <c r="I459" s="239" t="s">
        <v>828</v>
      </c>
      <c r="J459" s="239" t="s">
        <v>828</v>
      </c>
      <c r="L459" s="239" t="s">
        <v>828</v>
      </c>
      <c r="M459" s="95"/>
      <c r="N459" s="95"/>
      <c r="O459" s="95"/>
      <c r="T459" s="240" t="s">
        <v>828</v>
      </c>
      <c r="U459" s="241" t="s">
        <v>828</v>
      </c>
      <c r="W459" s="242" t="s">
        <v>828</v>
      </c>
      <c r="X459" s="228">
        <v>-5.737091430412971E-2</v>
      </c>
      <c r="Y459" s="248">
        <v>22</v>
      </c>
      <c r="AA459" s="248">
        <v>22</v>
      </c>
      <c r="AC459" s="248">
        <f t="shared" si="29"/>
        <v>99</v>
      </c>
      <c r="AD459" s="249">
        <v>8.4231128199944758E-2</v>
      </c>
      <c r="AE459" s="228">
        <f t="shared" si="30"/>
        <v>0.1122328118842657</v>
      </c>
    </row>
    <row r="460" spans="4:31" x14ac:dyDescent="0.2">
      <c r="D460" s="75">
        <v>100</v>
      </c>
      <c r="E460" s="80">
        <v>5</v>
      </c>
      <c r="F460" s="80">
        <v>5</v>
      </c>
      <c r="H460" s="239" t="s">
        <v>828</v>
      </c>
      <c r="I460" s="239" t="s">
        <v>828</v>
      </c>
      <c r="J460" s="239" t="s">
        <v>828</v>
      </c>
      <c r="L460" s="239" t="s">
        <v>828</v>
      </c>
      <c r="M460" s="95"/>
      <c r="N460" s="95"/>
      <c r="O460" s="95"/>
      <c r="T460" s="240" t="s">
        <v>828</v>
      </c>
      <c r="U460" s="241" t="s">
        <v>828</v>
      </c>
      <c r="W460" s="242" t="s">
        <v>828</v>
      </c>
      <c r="X460" s="228">
        <v>-5.910017598373557E-2</v>
      </c>
      <c r="Y460" s="248">
        <v>21</v>
      </c>
      <c r="AA460" s="248">
        <v>21</v>
      </c>
      <c r="AC460" s="248">
        <f t="shared" si="29"/>
        <v>100</v>
      </c>
      <c r="AD460" s="249">
        <v>8.4783821902782594E-2</v>
      </c>
      <c r="AE460" s="228">
        <f t="shared" si="30"/>
        <v>0.1122328118842657</v>
      </c>
    </row>
    <row r="461" spans="4:31" x14ac:dyDescent="0.2">
      <c r="D461" s="75">
        <v>101</v>
      </c>
      <c r="E461" s="80">
        <v>5</v>
      </c>
      <c r="F461" s="80">
        <v>5</v>
      </c>
      <c r="H461" s="239" t="s">
        <v>828</v>
      </c>
      <c r="I461" s="239" t="s">
        <v>828</v>
      </c>
      <c r="J461" s="239" t="s">
        <v>828</v>
      </c>
      <c r="L461" s="239" t="s">
        <v>828</v>
      </c>
      <c r="M461" s="95"/>
      <c r="N461" s="95"/>
      <c r="O461" s="95"/>
      <c r="T461" s="240" t="s">
        <v>828</v>
      </c>
      <c r="U461" s="241" t="s">
        <v>828</v>
      </c>
      <c r="W461" s="242" t="s">
        <v>828</v>
      </c>
      <c r="X461" s="228">
        <v>0.15980497049544307</v>
      </c>
      <c r="Y461" s="248">
        <v>155</v>
      </c>
      <c r="AA461" s="248">
        <v>155</v>
      </c>
      <c r="AC461" s="248">
        <f t="shared" si="29"/>
        <v>101</v>
      </c>
      <c r="AD461" s="249">
        <v>8.5003729189253807E-2</v>
      </c>
      <c r="AE461" s="228">
        <f t="shared" si="30"/>
        <v>0.1122328118842657</v>
      </c>
    </row>
    <row r="462" spans="4:31" x14ac:dyDescent="0.2">
      <c r="D462" s="75">
        <v>102</v>
      </c>
      <c r="E462" s="80">
        <v>5</v>
      </c>
      <c r="F462" s="80">
        <v>5</v>
      </c>
      <c r="H462" s="239" t="s">
        <v>828</v>
      </c>
      <c r="I462" s="239" t="s">
        <v>828</v>
      </c>
      <c r="J462" s="239" t="s">
        <v>828</v>
      </c>
      <c r="L462" s="239" t="s">
        <v>828</v>
      </c>
      <c r="M462" s="95"/>
      <c r="N462" s="95"/>
      <c r="O462" s="95"/>
      <c r="T462" s="240" t="s">
        <v>828</v>
      </c>
      <c r="U462" s="241" t="s">
        <v>828</v>
      </c>
      <c r="W462" s="242" t="s">
        <v>828</v>
      </c>
      <c r="X462" s="228">
        <v>-4.3481308230450114E-2</v>
      </c>
      <c r="Y462" s="248">
        <v>25</v>
      </c>
      <c r="AA462" s="248">
        <v>25</v>
      </c>
      <c r="AC462" s="248">
        <f t="shared" si="29"/>
        <v>102</v>
      </c>
      <c r="AD462" s="249">
        <v>8.5035949115196671E-2</v>
      </c>
      <c r="AE462" s="228">
        <f t="shared" si="30"/>
        <v>0.1122328118842657</v>
      </c>
    </row>
    <row r="463" spans="4:31" x14ac:dyDescent="0.2">
      <c r="D463" s="75">
        <v>103</v>
      </c>
      <c r="E463" s="80">
        <v>5</v>
      </c>
      <c r="F463" s="80">
        <v>5</v>
      </c>
      <c r="H463" s="239" t="s">
        <v>828</v>
      </c>
      <c r="I463" s="239" t="s">
        <v>828</v>
      </c>
      <c r="J463" s="239" t="s">
        <v>828</v>
      </c>
      <c r="L463" s="239" t="s">
        <v>828</v>
      </c>
      <c r="M463" s="95"/>
      <c r="N463" s="95"/>
      <c r="O463" s="95"/>
      <c r="T463" s="240" t="s">
        <v>828</v>
      </c>
      <c r="U463" s="241" t="s">
        <v>828</v>
      </c>
      <c r="W463" s="242" t="s">
        <v>828</v>
      </c>
      <c r="X463" s="228">
        <v>5.5419539851011418E-2</v>
      </c>
      <c r="Y463" s="248">
        <v>72</v>
      </c>
      <c r="AA463" s="248">
        <v>72</v>
      </c>
      <c r="AC463" s="248">
        <f t="shared" si="29"/>
        <v>103</v>
      </c>
      <c r="AD463" s="249">
        <v>8.5261127108484866E-2</v>
      </c>
      <c r="AE463" s="228">
        <f t="shared" si="30"/>
        <v>0.1122328118842657</v>
      </c>
    </row>
    <row r="464" spans="4:31" x14ac:dyDescent="0.2">
      <c r="D464" s="75">
        <v>104</v>
      </c>
      <c r="E464" s="80">
        <v>5</v>
      </c>
      <c r="F464" s="80">
        <v>5</v>
      </c>
      <c r="H464" s="239" t="s">
        <v>828</v>
      </c>
      <c r="I464" s="239" t="s">
        <v>828</v>
      </c>
      <c r="J464" s="239" t="s">
        <v>828</v>
      </c>
      <c r="L464" s="239" t="s">
        <v>828</v>
      </c>
      <c r="M464" s="95"/>
      <c r="N464" s="95"/>
      <c r="O464" s="95"/>
      <c r="T464" s="240" t="s">
        <v>828</v>
      </c>
      <c r="U464" s="241" t="s">
        <v>828</v>
      </c>
      <c r="W464" s="242" t="s">
        <v>828</v>
      </c>
      <c r="X464" s="228">
        <v>9.4956498915901466E-2</v>
      </c>
      <c r="Y464" s="248">
        <v>112</v>
      </c>
      <c r="AA464" s="248">
        <v>112</v>
      </c>
      <c r="AC464" s="248">
        <f t="shared" si="29"/>
        <v>104</v>
      </c>
      <c r="AD464" s="249">
        <v>8.592421797836472E-2</v>
      </c>
      <c r="AE464" s="228">
        <f t="shared" si="30"/>
        <v>0.1122328118842657</v>
      </c>
    </row>
    <row r="465" spans="4:31" x14ac:dyDescent="0.2">
      <c r="D465" s="75">
        <v>105</v>
      </c>
      <c r="E465" s="80">
        <v>5</v>
      </c>
      <c r="F465" s="80">
        <v>5</v>
      </c>
      <c r="H465" s="239" t="s">
        <v>828</v>
      </c>
      <c r="I465" s="239" t="s">
        <v>828</v>
      </c>
      <c r="J465" s="239" t="s">
        <v>828</v>
      </c>
      <c r="L465" s="239" t="s">
        <v>828</v>
      </c>
      <c r="M465" s="95"/>
      <c r="N465" s="95"/>
      <c r="O465" s="95"/>
      <c r="T465" s="240" t="s">
        <v>828</v>
      </c>
      <c r="U465" s="241" t="s">
        <v>828</v>
      </c>
      <c r="W465" s="242" t="s">
        <v>828</v>
      </c>
      <c r="X465" s="228">
        <v>7.5342601046754679E-2</v>
      </c>
      <c r="Y465" s="248">
        <v>89</v>
      </c>
      <c r="AA465" s="248">
        <v>89</v>
      </c>
      <c r="AC465" s="248">
        <f t="shared" si="29"/>
        <v>105</v>
      </c>
      <c r="AD465" s="249">
        <v>8.712545985853816E-2</v>
      </c>
      <c r="AE465" s="228">
        <f t="shared" si="30"/>
        <v>0.1122328118842657</v>
      </c>
    </row>
    <row r="466" spans="4:31" x14ac:dyDescent="0.2">
      <c r="D466" s="75">
        <v>106</v>
      </c>
      <c r="E466" s="80">
        <v>5</v>
      </c>
      <c r="F466" s="80">
        <v>5</v>
      </c>
      <c r="H466" s="239" t="s">
        <v>828</v>
      </c>
      <c r="I466" s="239" t="s">
        <v>828</v>
      </c>
      <c r="J466" s="239" t="s">
        <v>828</v>
      </c>
      <c r="L466" s="239" t="s">
        <v>828</v>
      </c>
      <c r="M466" s="95"/>
      <c r="N466" s="95"/>
      <c r="O466" s="95"/>
      <c r="T466" s="240" t="s">
        <v>828</v>
      </c>
      <c r="U466" s="241" t="s">
        <v>828</v>
      </c>
      <c r="W466" s="242" t="s">
        <v>828</v>
      </c>
      <c r="X466" s="228">
        <v>8.1796002826923495E-2</v>
      </c>
      <c r="Y466" s="248">
        <v>95</v>
      </c>
      <c r="AA466" s="248">
        <v>95</v>
      </c>
      <c r="AC466" s="248">
        <f t="shared" si="29"/>
        <v>106</v>
      </c>
      <c r="AD466" s="249">
        <v>8.8710050765899703E-2</v>
      </c>
      <c r="AE466" s="228">
        <f t="shared" si="30"/>
        <v>0.1122328118842657</v>
      </c>
    </row>
    <row r="467" spans="4:31" x14ac:dyDescent="0.2">
      <c r="D467" s="75">
        <v>107</v>
      </c>
      <c r="E467" s="80">
        <v>5</v>
      </c>
      <c r="F467" s="80">
        <v>5</v>
      </c>
      <c r="H467" s="239" t="s">
        <v>828</v>
      </c>
      <c r="I467" s="239" t="s">
        <v>828</v>
      </c>
      <c r="J467" s="239" t="s">
        <v>828</v>
      </c>
      <c r="L467" s="239" t="s">
        <v>828</v>
      </c>
      <c r="M467" s="95"/>
      <c r="N467" s="95"/>
      <c r="O467" s="95"/>
      <c r="T467" s="240" t="s">
        <v>828</v>
      </c>
      <c r="U467" s="241" t="s">
        <v>828</v>
      </c>
      <c r="W467" s="242" t="s">
        <v>828</v>
      </c>
      <c r="X467" s="228">
        <v>-9.599682247552567E-2</v>
      </c>
      <c r="Y467" s="248">
        <v>9</v>
      </c>
      <c r="AA467" s="248">
        <v>9</v>
      </c>
      <c r="AC467" s="248">
        <f t="shared" si="29"/>
        <v>107</v>
      </c>
      <c r="AD467" s="249">
        <v>9.1208492362797475E-2</v>
      </c>
      <c r="AE467" s="228">
        <f t="shared" si="30"/>
        <v>0.1122328118842657</v>
      </c>
    </row>
    <row r="468" spans="4:31" x14ac:dyDescent="0.2">
      <c r="D468" s="75">
        <v>108</v>
      </c>
      <c r="E468" s="80">
        <v>5</v>
      </c>
      <c r="F468" s="80">
        <v>5</v>
      </c>
      <c r="H468" s="239" t="s">
        <v>828</v>
      </c>
      <c r="I468" s="239" t="s">
        <v>828</v>
      </c>
      <c r="J468" s="239" t="s">
        <v>828</v>
      </c>
      <c r="L468" s="239" t="s">
        <v>828</v>
      </c>
      <c r="M468" s="95"/>
      <c r="N468" s="95"/>
      <c r="O468" s="95"/>
      <c r="T468" s="240" t="s">
        <v>828</v>
      </c>
      <c r="U468" s="241" t="s">
        <v>828</v>
      </c>
      <c r="W468" s="242" t="s">
        <v>828</v>
      </c>
      <c r="X468" s="228">
        <v>-9.7314815834521479E-2</v>
      </c>
      <c r="Y468" s="248">
        <v>8</v>
      </c>
      <c r="AA468" s="248">
        <v>8</v>
      </c>
      <c r="AC468" s="248">
        <f t="shared" si="29"/>
        <v>108</v>
      </c>
      <c r="AD468" s="249">
        <v>9.2702221733732382E-2</v>
      </c>
      <c r="AE468" s="228">
        <f t="shared" si="30"/>
        <v>0.1122328118842657</v>
      </c>
    </row>
    <row r="469" spans="4:31" x14ac:dyDescent="0.2">
      <c r="D469" s="75">
        <v>109</v>
      </c>
      <c r="E469" s="80">
        <v>5</v>
      </c>
      <c r="F469" s="80">
        <v>5</v>
      </c>
      <c r="H469" s="239" t="s">
        <v>828</v>
      </c>
      <c r="I469" s="239" t="s">
        <v>828</v>
      </c>
      <c r="J469" s="239" t="s">
        <v>828</v>
      </c>
      <c r="L469" s="239" t="s">
        <v>828</v>
      </c>
      <c r="M469" s="95"/>
      <c r="N469" s="95"/>
      <c r="O469" s="95"/>
      <c r="T469" s="240" t="s">
        <v>828</v>
      </c>
      <c r="U469" s="241" t="s">
        <v>828</v>
      </c>
      <c r="W469" s="242" t="s">
        <v>828</v>
      </c>
      <c r="X469" s="228">
        <v>-8.0728849595447461E-2</v>
      </c>
      <c r="Y469" s="248">
        <v>16</v>
      </c>
      <c r="AA469" s="248">
        <v>16</v>
      </c>
      <c r="AC469" s="248">
        <f t="shared" si="29"/>
        <v>109</v>
      </c>
      <c r="AD469" s="249">
        <v>9.3153963988403615E-2</v>
      </c>
      <c r="AE469" s="228">
        <f t="shared" si="30"/>
        <v>0.1122328118842657</v>
      </c>
    </row>
    <row r="470" spans="4:31" x14ac:dyDescent="0.2">
      <c r="D470" s="75">
        <v>110</v>
      </c>
      <c r="E470" s="80">
        <v>5</v>
      </c>
      <c r="F470" s="80">
        <v>5</v>
      </c>
      <c r="H470" s="239" t="s">
        <v>828</v>
      </c>
      <c r="I470" s="239" t="s">
        <v>828</v>
      </c>
      <c r="J470" s="239" t="s">
        <v>828</v>
      </c>
      <c r="L470" s="239" t="s">
        <v>828</v>
      </c>
      <c r="M470" s="95"/>
      <c r="N470" s="95"/>
      <c r="O470" s="95"/>
      <c r="T470" s="240" t="s">
        <v>828</v>
      </c>
      <c r="U470" s="241" t="s">
        <v>828</v>
      </c>
      <c r="W470" s="242" t="s">
        <v>828</v>
      </c>
      <c r="X470" s="228">
        <v>-3.5261373059112967E-3</v>
      </c>
      <c r="Y470" s="248">
        <v>40</v>
      </c>
      <c r="AA470" s="248">
        <v>40</v>
      </c>
      <c r="AC470" s="248">
        <f t="shared" si="29"/>
        <v>110</v>
      </c>
      <c r="AD470" s="249">
        <v>9.3685827333789246E-2</v>
      </c>
      <c r="AE470" s="228">
        <f t="shared" si="30"/>
        <v>0.1122328118842657</v>
      </c>
    </row>
    <row r="471" spans="4:31" x14ac:dyDescent="0.2">
      <c r="D471" s="75">
        <v>111</v>
      </c>
      <c r="E471" s="80">
        <v>5</v>
      </c>
      <c r="F471" s="80">
        <v>5</v>
      </c>
      <c r="H471" s="239" t="s">
        <v>828</v>
      </c>
      <c r="I471" s="239" t="s">
        <v>828</v>
      </c>
      <c r="J471" s="239" t="s">
        <v>828</v>
      </c>
      <c r="L471" s="239" t="s">
        <v>828</v>
      </c>
      <c r="M471" s="95"/>
      <c r="N471" s="95"/>
      <c r="O471" s="95"/>
      <c r="T471" s="240" t="s">
        <v>828</v>
      </c>
      <c r="U471" s="241" t="s">
        <v>828</v>
      </c>
      <c r="W471" s="242" t="s">
        <v>828</v>
      </c>
      <c r="X471" s="228">
        <v>3.7944408173042954E-2</v>
      </c>
      <c r="Y471" s="248">
        <v>59</v>
      </c>
      <c r="AA471" s="248">
        <v>59</v>
      </c>
      <c r="AC471" s="248">
        <f t="shared" si="29"/>
        <v>111</v>
      </c>
      <c r="AD471" s="249">
        <v>9.3860757188752364E-2</v>
      </c>
      <c r="AE471" s="228">
        <f t="shared" si="30"/>
        <v>0.1122328118842657</v>
      </c>
    </row>
    <row r="472" spans="4:31" x14ac:dyDescent="0.2">
      <c r="D472" s="75">
        <v>112</v>
      </c>
      <c r="E472" s="80">
        <v>5</v>
      </c>
      <c r="F472" s="80">
        <v>5</v>
      </c>
      <c r="H472" s="239" t="s">
        <v>828</v>
      </c>
      <c r="I472" s="239" t="s">
        <v>828</v>
      </c>
      <c r="J472" s="239" t="s">
        <v>828</v>
      </c>
      <c r="L472" s="239" t="s">
        <v>828</v>
      </c>
      <c r="M472" s="95"/>
      <c r="N472" s="95"/>
      <c r="O472" s="95"/>
      <c r="T472" s="240" t="s">
        <v>828</v>
      </c>
      <c r="U472" s="241" t="s">
        <v>828</v>
      </c>
      <c r="W472" s="242" t="s">
        <v>828</v>
      </c>
      <c r="X472" s="228">
        <v>9.1208492362797475E-2</v>
      </c>
      <c r="Y472" s="248">
        <v>107</v>
      </c>
      <c r="AA472" s="248">
        <v>107</v>
      </c>
      <c r="AC472" s="248">
        <f t="shared" si="29"/>
        <v>112</v>
      </c>
      <c r="AD472" s="249">
        <v>9.4956498915901466E-2</v>
      </c>
      <c r="AE472" s="228">
        <f t="shared" si="30"/>
        <v>0.1122328118842657</v>
      </c>
    </row>
    <row r="473" spans="4:31" x14ac:dyDescent="0.2">
      <c r="D473" s="75">
        <v>113</v>
      </c>
      <c r="E473" s="80">
        <v>5</v>
      </c>
      <c r="F473" s="80">
        <v>5</v>
      </c>
      <c r="H473" s="239" t="s">
        <v>828</v>
      </c>
      <c r="I473" s="239" t="s">
        <v>828</v>
      </c>
      <c r="J473" s="239" t="s">
        <v>828</v>
      </c>
      <c r="L473" s="239" t="s">
        <v>828</v>
      </c>
      <c r="M473" s="95"/>
      <c r="N473" s="95"/>
      <c r="O473" s="95"/>
      <c r="T473" s="240" t="s">
        <v>828</v>
      </c>
      <c r="U473" s="241" t="s">
        <v>828</v>
      </c>
      <c r="W473" s="242" t="s">
        <v>828</v>
      </c>
      <c r="X473" s="228">
        <v>1.2672089736356274E-2</v>
      </c>
      <c r="Y473" s="248">
        <v>47</v>
      </c>
      <c r="AA473" s="248">
        <v>47</v>
      </c>
      <c r="AC473" s="248">
        <f t="shared" si="29"/>
        <v>113</v>
      </c>
      <c r="AD473" s="249">
        <v>9.6692427453249116E-2</v>
      </c>
      <c r="AE473" s="228">
        <f t="shared" si="30"/>
        <v>0.1122328118842657</v>
      </c>
    </row>
    <row r="474" spans="4:31" x14ac:dyDescent="0.2">
      <c r="D474" s="75">
        <v>114</v>
      </c>
      <c r="E474" s="80">
        <v>5</v>
      </c>
      <c r="F474" s="80">
        <v>5</v>
      </c>
      <c r="H474" s="239" t="s">
        <v>828</v>
      </c>
      <c r="I474" s="239" t="s">
        <v>828</v>
      </c>
      <c r="J474" s="239" t="s">
        <v>828</v>
      </c>
      <c r="L474" s="239" t="s">
        <v>828</v>
      </c>
      <c r="M474" s="95"/>
      <c r="N474" s="95"/>
      <c r="O474" s="95"/>
      <c r="T474" s="240" t="s">
        <v>828</v>
      </c>
      <c r="U474" s="241" t="s">
        <v>828</v>
      </c>
      <c r="W474" s="242" t="s">
        <v>828</v>
      </c>
      <c r="X474" s="228">
        <v>0.13380751608806832</v>
      </c>
      <c r="Y474" s="248">
        <v>151</v>
      </c>
      <c r="AA474" s="248">
        <v>151</v>
      </c>
      <c r="AC474" s="248">
        <f t="shared" si="29"/>
        <v>114</v>
      </c>
      <c r="AD474" s="249">
        <v>9.7943332033236866E-2</v>
      </c>
      <c r="AE474" s="228">
        <f t="shared" si="30"/>
        <v>0.1122328118842657</v>
      </c>
    </row>
    <row r="475" spans="4:31" x14ac:dyDescent="0.2">
      <c r="D475" s="75">
        <v>115</v>
      </c>
      <c r="E475" s="80">
        <v>5</v>
      </c>
      <c r="F475" s="80">
        <v>5</v>
      </c>
      <c r="H475" s="239" t="s">
        <v>828</v>
      </c>
      <c r="I475" s="239" t="s">
        <v>828</v>
      </c>
      <c r="J475" s="239" t="s">
        <v>828</v>
      </c>
      <c r="L475" s="239" t="s">
        <v>828</v>
      </c>
      <c r="M475" s="95"/>
      <c r="N475" s="95"/>
      <c r="O475" s="95"/>
      <c r="T475" s="240" t="s">
        <v>828</v>
      </c>
      <c r="U475" s="241" t="s">
        <v>828</v>
      </c>
      <c r="W475" s="242" t="s">
        <v>828</v>
      </c>
      <c r="X475" s="228">
        <v>-4.7182008117809225E-2</v>
      </c>
      <c r="Y475" s="248">
        <v>24</v>
      </c>
      <c r="AA475" s="248">
        <v>24</v>
      </c>
      <c r="AC475" s="248">
        <f t="shared" si="29"/>
        <v>115</v>
      </c>
      <c r="AD475" s="249">
        <v>9.8040510267686953E-2</v>
      </c>
      <c r="AE475" s="228">
        <f t="shared" si="30"/>
        <v>0.1122328118842657</v>
      </c>
    </row>
    <row r="476" spans="4:31" x14ac:dyDescent="0.2">
      <c r="D476" s="75">
        <v>116</v>
      </c>
      <c r="E476" s="80">
        <v>5</v>
      </c>
      <c r="F476" s="80">
        <v>5</v>
      </c>
      <c r="H476" s="239" t="s">
        <v>828</v>
      </c>
      <c r="I476" s="239" t="s">
        <v>828</v>
      </c>
      <c r="J476" s="239" t="s">
        <v>828</v>
      </c>
      <c r="L476" s="239" t="s">
        <v>828</v>
      </c>
      <c r="M476" s="95"/>
      <c r="N476" s="95"/>
      <c r="O476" s="95"/>
      <c r="T476" s="240" t="s">
        <v>828</v>
      </c>
      <c r="U476" s="241" t="s">
        <v>828</v>
      </c>
      <c r="W476" s="242" t="s">
        <v>828</v>
      </c>
      <c r="X476" s="228">
        <v>-7.9820251067397582E-2</v>
      </c>
      <c r="Y476" s="248">
        <v>17</v>
      </c>
      <c r="AA476" s="248">
        <v>17</v>
      </c>
      <c r="AC476" s="248">
        <f t="shared" si="29"/>
        <v>116</v>
      </c>
      <c r="AD476" s="249">
        <v>9.9303411242097267E-2</v>
      </c>
      <c r="AE476" s="228">
        <f t="shared" si="30"/>
        <v>0.1122328118842657</v>
      </c>
    </row>
    <row r="477" spans="4:31" x14ac:dyDescent="0.2">
      <c r="D477" s="75">
        <v>117</v>
      </c>
      <c r="E477" s="80">
        <v>5</v>
      </c>
      <c r="F477" s="80">
        <v>5</v>
      </c>
      <c r="H477" s="239" t="s">
        <v>828</v>
      </c>
      <c r="I477" s="239" t="s">
        <v>828</v>
      </c>
      <c r="J477" s="239" t="s">
        <v>828</v>
      </c>
      <c r="L477" s="239" t="s">
        <v>828</v>
      </c>
      <c r="M477" s="95"/>
      <c r="N477" s="95"/>
      <c r="O477" s="95"/>
      <c r="T477" s="240" t="s">
        <v>828</v>
      </c>
      <c r="U477" s="241" t="s">
        <v>828</v>
      </c>
      <c r="W477" s="242" t="s">
        <v>828</v>
      </c>
      <c r="X477" s="228">
        <v>6.6378404046690029E-2</v>
      </c>
      <c r="Y477" s="248">
        <v>78</v>
      </c>
      <c r="AA477" s="248">
        <v>78</v>
      </c>
      <c r="AC477" s="248">
        <f t="shared" si="29"/>
        <v>117</v>
      </c>
      <c r="AD477" s="249">
        <v>9.9392775005353845E-2</v>
      </c>
      <c r="AE477" s="228">
        <f t="shared" si="30"/>
        <v>0.1122328118842657</v>
      </c>
    </row>
    <row r="478" spans="4:31" x14ac:dyDescent="0.2">
      <c r="D478" s="75">
        <v>118</v>
      </c>
      <c r="E478" s="80">
        <v>5</v>
      </c>
      <c r="F478" s="80">
        <v>5</v>
      </c>
      <c r="H478" s="239" t="s">
        <v>828</v>
      </c>
      <c r="I478" s="239" t="s">
        <v>828</v>
      </c>
      <c r="J478" s="239" t="s">
        <v>828</v>
      </c>
      <c r="L478" s="239" t="s">
        <v>828</v>
      </c>
      <c r="M478" s="95"/>
      <c r="N478" s="95"/>
      <c r="O478" s="95"/>
      <c r="T478" s="240" t="s">
        <v>828</v>
      </c>
      <c r="U478" s="241" t="s">
        <v>828</v>
      </c>
      <c r="W478" s="242" t="s">
        <v>828</v>
      </c>
      <c r="X478" s="228">
        <v>-9.0429460349449486E-2</v>
      </c>
      <c r="Y478" s="248">
        <v>12</v>
      </c>
      <c r="AA478" s="248">
        <v>12</v>
      </c>
      <c r="AC478" s="248">
        <f t="shared" si="29"/>
        <v>118</v>
      </c>
      <c r="AD478" s="249">
        <v>0.10160392837183095</v>
      </c>
      <c r="AE478" s="228">
        <f t="shared" si="30"/>
        <v>0.1122328118842657</v>
      </c>
    </row>
    <row r="479" spans="4:31" x14ac:dyDescent="0.2">
      <c r="D479" s="75">
        <v>119</v>
      </c>
      <c r="E479" s="80">
        <v>5</v>
      </c>
      <c r="F479" s="80">
        <v>5</v>
      </c>
      <c r="H479" s="239" t="s">
        <v>828</v>
      </c>
      <c r="I479" s="239" t="s">
        <v>828</v>
      </c>
      <c r="J479" s="239" t="s">
        <v>828</v>
      </c>
      <c r="L479" s="239" t="s">
        <v>828</v>
      </c>
      <c r="M479" s="95"/>
      <c r="N479" s="95"/>
      <c r="O479" s="95"/>
      <c r="T479" s="240" t="s">
        <v>828</v>
      </c>
      <c r="U479" s="241" t="s">
        <v>828</v>
      </c>
      <c r="W479" s="242" t="s">
        <v>828</v>
      </c>
      <c r="X479" s="228">
        <v>-5.2860010682834795E-2</v>
      </c>
      <c r="Y479" s="248">
        <v>23</v>
      </c>
      <c r="AA479" s="248">
        <v>23</v>
      </c>
      <c r="AC479" s="248">
        <f t="shared" si="29"/>
        <v>119</v>
      </c>
      <c r="AD479" s="249">
        <v>0.101748139232437</v>
      </c>
      <c r="AE479" s="228">
        <f t="shared" si="30"/>
        <v>0.1122328118842657</v>
      </c>
    </row>
    <row r="480" spans="4:31" x14ac:dyDescent="0.2">
      <c r="D480" s="75">
        <v>120</v>
      </c>
      <c r="E480" s="80">
        <v>5</v>
      </c>
      <c r="F480" s="80">
        <v>5</v>
      </c>
      <c r="H480" s="239" t="s">
        <v>828</v>
      </c>
      <c r="I480" s="239" t="s">
        <v>828</v>
      </c>
      <c r="J480" s="239" t="s">
        <v>828</v>
      </c>
      <c r="L480" s="239" t="s">
        <v>828</v>
      </c>
      <c r="M480" s="95"/>
      <c r="N480" s="95"/>
      <c r="O480" s="95"/>
      <c r="T480" s="240" t="s">
        <v>828</v>
      </c>
      <c r="U480" s="241" t="s">
        <v>828</v>
      </c>
      <c r="W480" s="242" t="s">
        <v>828</v>
      </c>
      <c r="X480" s="228">
        <v>-9.1221127035423052E-2</v>
      </c>
      <c r="Y480" s="248">
        <v>11</v>
      </c>
      <c r="AA480" s="248">
        <v>11</v>
      </c>
      <c r="AC480" s="248">
        <f t="shared" si="29"/>
        <v>120</v>
      </c>
      <c r="AD480" s="249">
        <v>0.10252666642691345</v>
      </c>
      <c r="AE480" s="228">
        <f t="shared" si="30"/>
        <v>0.1122328118842657</v>
      </c>
    </row>
    <row r="481" spans="4:31" x14ac:dyDescent="0.2">
      <c r="D481" s="75">
        <v>121</v>
      </c>
      <c r="E481" s="80">
        <v>5</v>
      </c>
      <c r="F481" s="80">
        <v>5</v>
      </c>
      <c r="H481" s="239" t="s">
        <v>828</v>
      </c>
      <c r="I481" s="239" t="s">
        <v>828</v>
      </c>
      <c r="J481" s="239" t="s">
        <v>828</v>
      </c>
      <c r="L481" s="239" t="s">
        <v>828</v>
      </c>
      <c r="M481" s="95"/>
      <c r="N481" s="95"/>
      <c r="O481" s="95"/>
      <c r="T481" s="240" t="s">
        <v>828</v>
      </c>
      <c r="U481" s="241" t="s">
        <v>828</v>
      </c>
      <c r="W481" s="242" t="s">
        <v>828</v>
      </c>
      <c r="X481" s="228">
        <v>7.623117773821031E-2</v>
      </c>
      <c r="Y481" s="248">
        <v>92</v>
      </c>
      <c r="AA481" s="248">
        <v>92</v>
      </c>
      <c r="AC481" s="248">
        <f t="shared" si="29"/>
        <v>121</v>
      </c>
      <c r="AD481" s="249">
        <v>0.10365495493348925</v>
      </c>
      <c r="AE481" s="228">
        <f t="shared" si="30"/>
        <v>0.1122328118842657</v>
      </c>
    </row>
    <row r="482" spans="4:31" x14ac:dyDescent="0.2">
      <c r="D482" s="75">
        <v>122</v>
      </c>
      <c r="E482" s="80">
        <v>5</v>
      </c>
      <c r="F482" s="80">
        <v>5</v>
      </c>
      <c r="H482" s="239" t="s">
        <v>828</v>
      </c>
      <c r="I482" s="239" t="s">
        <v>828</v>
      </c>
      <c r="J482" s="239" t="s">
        <v>828</v>
      </c>
      <c r="L482" s="239" t="s">
        <v>828</v>
      </c>
      <c r="M482" s="95"/>
      <c r="N482" s="95"/>
      <c r="O482" s="95"/>
      <c r="T482" s="240" t="s">
        <v>828</v>
      </c>
      <c r="U482" s="241" t="s">
        <v>828</v>
      </c>
      <c r="W482" s="242" t="s">
        <v>828</v>
      </c>
      <c r="X482" s="228">
        <v>4.9873319357820634E-2</v>
      </c>
      <c r="Y482" s="248">
        <v>67</v>
      </c>
      <c r="AA482" s="248">
        <v>67</v>
      </c>
      <c r="AC482" s="248">
        <f t="shared" si="29"/>
        <v>122</v>
      </c>
      <c r="AD482" s="249">
        <v>0.10650405345817276</v>
      </c>
      <c r="AE482" s="228">
        <f t="shared" si="30"/>
        <v>0.1122328118842657</v>
      </c>
    </row>
    <row r="483" spans="4:31" x14ac:dyDescent="0.2">
      <c r="D483" s="75">
        <v>123</v>
      </c>
      <c r="E483" s="80">
        <v>5</v>
      </c>
      <c r="F483" s="80">
        <v>5</v>
      </c>
      <c r="H483" s="239" t="s">
        <v>828</v>
      </c>
      <c r="I483" s="239" t="s">
        <v>828</v>
      </c>
      <c r="J483" s="239" t="s">
        <v>828</v>
      </c>
      <c r="L483" s="239" t="s">
        <v>828</v>
      </c>
      <c r="M483" s="95"/>
      <c r="N483" s="95"/>
      <c r="O483" s="95"/>
      <c r="T483" s="240" t="s">
        <v>828</v>
      </c>
      <c r="U483" s="241" t="s">
        <v>828</v>
      </c>
      <c r="W483" s="242" t="s">
        <v>828</v>
      </c>
      <c r="X483" s="228">
        <v>4.139275177290222E-2</v>
      </c>
      <c r="Y483" s="248">
        <v>61</v>
      </c>
      <c r="AA483" s="248">
        <v>61</v>
      </c>
      <c r="AC483" s="248">
        <f t="shared" si="29"/>
        <v>123</v>
      </c>
      <c r="AD483" s="249">
        <v>0.10769917834619777</v>
      </c>
      <c r="AE483" s="228">
        <f t="shared" si="30"/>
        <v>0.1122328118842657</v>
      </c>
    </row>
    <row r="484" spans="4:31" x14ac:dyDescent="0.2">
      <c r="D484" s="75">
        <v>124</v>
      </c>
      <c r="E484" s="80">
        <v>5</v>
      </c>
      <c r="F484" s="80">
        <v>5</v>
      </c>
      <c r="H484" s="239" t="s">
        <v>828</v>
      </c>
      <c r="I484" s="239" t="s">
        <v>828</v>
      </c>
      <c r="J484" s="239" t="s">
        <v>828</v>
      </c>
      <c r="L484" s="239" t="s">
        <v>828</v>
      </c>
      <c r="M484" s="95"/>
      <c r="N484" s="95"/>
      <c r="O484" s="95"/>
      <c r="T484" s="240" t="s">
        <v>828</v>
      </c>
      <c r="U484" s="241" t="s">
        <v>828</v>
      </c>
      <c r="W484" s="242" t="s">
        <v>828</v>
      </c>
      <c r="X484" s="228">
        <v>6.8610257459872703E-2</v>
      </c>
      <c r="Y484" s="248">
        <v>82</v>
      </c>
      <c r="AA484" s="248">
        <v>82</v>
      </c>
      <c r="AC484" s="248">
        <f t="shared" si="29"/>
        <v>124</v>
      </c>
      <c r="AD484" s="249">
        <v>0.10803074242464944</v>
      </c>
      <c r="AE484" s="228">
        <f t="shared" si="30"/>
        <v>0.1122328118842657</v>
      </c>
    </row>
    <row r="485" spans="4:31" x14ac:dyDescent="0.2">
      <c r="D485" s="75">
        <v>125</v>
      </c>
      <c r="E485" s="80">
        <v>5</v>
      </c>
      <c r="F485" s="80">
        <v>5</v>
      </c>
      <c r="H485" s="239" t="s">
        <v>828</v>
      </c>
      <c r="I485" s="239" t="s">
        <v>828</v>
      </c>
      <c r="J485" s="239" t="s">
        <v>828</v>
      </c>
      <c r="L485" s="239" t="s">
        <v>828</v>
      </c>
      <c r="M485" s="95"/>
      <c r="N485" s="95"/>
      <c r="O485" s="95"/>
      <c r="T485" s="240" t="s">
        <v>828</v>
      </c>
      <c r="U485" s="241" t="s">
        <v>828</v>
      </c>
      <c r="W485" s="242" t="s">
        <v>828</v>
      </c>
      <c r="X485" s="228">
        <v>9.7943332033236866E-2</v>
      </c>
      <c r="Y485" s="248">
        <v>114</v>
      </c>
      <c r="AA485" s="248">
        <v>114</v>
      </c>
      <c r="AC485" s="248">
        <f t="shared" si="29"/>
        <v>125</v>
      </c>
      <c r="AD485" s="249">
        <v>0.1088939210134931</v>
      </c>
      <c r="AE485" s="228">
        <f t="shared" si="30"/>
        <v>0.1122328118842657</v>
      </c>
    </row>
    <row r="486" spans="4:31" x14ac:dyDescent="0.2">
      <c r="D486" s="75">
        <v>126</v>
      </c>
      <c r="E486" s="80">
        <v>5</v>
      </c>
      <c r="F486" s="80">
        <v>5</v>
      </c>
      <c r="H486" s="239" t="s">
        <v>828</v>
      </c>
      <c r="I486" s="239" t="s">
        <v>828</v>
      </c>
      <c r="J486" s="239" t="s">
        <v>828</v>
      </c>
      <c r="L486" s="239" t="s">
        <v>828</v>
      </c>
      <c r="M486" s="95"/>
      <c r="N486" s="95"/>
      <c r="O486" s="95"/>
      <c r="T486" s="240" t="s">
        <v>828</v>
      </c>
      <c r="U486" s="241" t="s">
        <v>828</v>
      </c>
      <c r="W486" s="242" t="s">
        <v>828</v>
      </c>
      <c r="X486" s="228">
        <v>8.592421797836472E-2</v>
      </c>
      <c r="Y486" s="248">
        <v>104</v>
      </c>
      <c r="AA486" s="248">
        <v>104</v>
      </c>
      <c r="AC486" s="248">
        <f t="shared" si="29"/>
        <v>126</v>
      </c>
      <c r="AD486" s="249">
        <v>0.10895006239374753</v>
      </c>
      <c r="AE486" s="228">
        <f t="shared" si="30"/>
        <v>0.1122328118842657</v>
      </c>
    </row>
    <row r="487" spans="4:31" x14ac:dyDescent="0.2">
      <c r="D487" s="75">
        <v>127</v>
      </c>
      <c r="E487" s="80">
        <v>5</v>
      </c>
      <c r="F487" s="80">
        <v>5</v>
      </c>
      <c r="H487" s="239" t="s">
        <v>828</v>
      </c>
      <c r="I487" s="239" t="s">
        <v>828</v>
      </c>
      <c r="J487" s="239" t="s">
        <v>828</v>
      </c>
      <c r="L487" s="239" t="s">
        <v>828</v>
      </c>
      <c r="M487" s="95"/>
      <c r="N487" s="95"/>
      <c r="O487" s="95"/>
      <c r="T487" s="240" t="s">
        <v>828</v>
      </c>
      <c r="U487" s="241" t="s">
        <v>828</v>
      </c>
      <c r="W487" s="242" t="s">
        <v>828</v>
      </c>
      <c r="X487" s="228">
        <v>-1.8297334764632744E-2</v>
      </c>
      <c r="Y487" s="248">
        <v>33</v>
      </c>
      <c r="AA487" s="248">
        <v>33</v>
      </c>
      <c r="AC487" s="248">
        <f t="shared" si="29"/>
        <v>127</v>
      </c>
      <c r="AD487" s="249">
        <v>0.10908897734494449</v>
      </c>
      <c r="AE487" s="228">
        <f t="shared" si="30"/>
        <v>0.1122328118842657</v>
      </c>
    </row>
    <row r="488" spans="4:31" x14ac:dyDescent="0.2">
      <c r="D488" s="75">
        <v>128</v>
      </c>
      <c r="E488" s="80">
        <v>5</v>
      </c>
      <c r="F488" s="80">
        <v>5</v>
      </c>
      <c r="H488" s="239" t="s">
        <v>828</v>
      </c>
      <c r="I488" s="239" t="s">
        <v>828</v>
      </c>
      <c r="J488" s="239" t="s">
        <v>828</v>
      </c>
      <c r="L488" s="239" t="s">
        <v>828</v>
      </c>
      <c r="M488" s="95"/>
      <c r="N488" s="95"/>
      <c r="O488" s="95"/>
      <c r="T488" s="240" t="s">
        <v>828</v>
      </c>
      <c r="U488" s="241" t="s">
        <v>828</v>
      </c>
      <c r="W488" s="242" t="s">
        <v>828</v>
      </c>
      <c r="X488" s="228">
        <v>-0.11988485400468367</v>
      </c>
      <c r="Y488" s="248">
        <v>4</v>
      </c>
      <c r="AA488" s="248">
        <v>4</v>
      </c>
      <c r="AC488" s="248">
        <f t="shared" si="29"/>
        <v>128</v>
      </c>
      <c r="AD488" s="249">
        <v>0.10929880467909303</v>
      </c>
      <c r="AE488" s="228">
        <f t="shared" si="30"/>
        <v>0.1122328118842657</v>
      </c>
    </row>
    <row r="489" spans="4:31" x14ac:dyDescent="0.2">
      <c r="D489" s="75">
        <v>129</v>
      </c>
      <c r="E489" s="80">
        <v>5</v>
      </c>
      <c r="F489" s="80">
        <v>5</v>
      </c>
      <c r="H489" s="239" t="s">
        <v>828</v>
      </c>
      <c r="I489" s="239" t="s">
        <v>828</v>
      </c>
      <c r="J489" s="239" t="s">
        <v>828</v>
      </c>
      <c r="L489" s="239" t="s">
        <v>828</v>
      </c>
      <c r="M489" s="95"/>
      <c r="N489" s="95"/>
      <c r="O489" s="95"/>
      <c r="T489" s="240" t="s">
        <v>828</v>
      </c>
      <c r="U489" s="241" t="s">
        <v>828</v>
      </c>
      <c r="W489" s="242" t="s">
        <v>828</v>
      </c>
      <c r="X489" s="228">
        <v>9.3153963988403615E-2</v>
      </c>
      <c r="Y489" s="248">
        <v>109</v>
      </c>
      <c r="AA489" s="248">
        <v>109</v>
      </c>
      <c r="AC489" s="248">
        <f t="shared" si="29"/>
        <v>129</v>
      </c>
      <c r="AD489" s="249">
        <v>0.10965947674947887</v>
      </c>
      <c r="AE489" s="228">
        <f t="shared" ref="AE489:AE518" si="31">$AE$358</f>
        <v>0.1122328118842657</v>
      </c>
    </row>
    <row r="490" spans="4:31" x14ac:dyDescent="0.2">
      <c r="D490" s="75">
        <v>130</v>
      </c>
      <c r="E490" s="80">
        <v>5</v>
      </c>
      <c r="F490" s="80">
        <v>5</v>
      </c>
      <c r="H490" s="239" t="s">
        <v>828</v>
      </c>
      <c r="I490" s="239" t="s">
        <v>828</v>
      </c>
      <c r="J490" s="239" t="s">
        <v>828</v>
      </c>
      <c r="L490" s="239" t="s">
        <v>828</v>
      </c>
      <c r="M490" s="95"/>
      <c r="N490" s="95"/>
      <c r="O490" s="95"/>
      <c r="T490" s="240" t="s">
        <v>828</v>
      </c>
      <c r="U490" s="241" t="s">
        <v>828</v>
      </c>
      <c r="W490" s="242" t="s">
        <v>828</v>
      </c>
      <c r="X490" s="228">
        <v>0.11111988166139371</v>
      </c>
      <c r="Y490" s="248">
        <v>130</v>
      </c>
      <c r="AA490" s="248">
        <v>130</v>
      </c>
      <c r="AC490" s="248">
        <f t="shared" ref="AC490:AC518" si="32">N(AC489)+1</f>
        <v>130</v>
      </c>
      <c r="AD490" s="249">
        <v>0.11111988166139371</v>
      </c>
      <c r="AE490" s="228">
        <f t="shared" si="31"/>
        <v>0.1122328118842657</v>
      </c>
    </row>
    <row r="491" spans="4:31" x14ac:dyDescent="0.2">
      <c r="D491" s="75">
        <v>131</v>
      </c>
      <c r="E491" s="80">
        <v>5</v>
      </c>
      <c r="F491" s="80">
        <v>5</v>
      </c>
      <c r="H491" s="239" t="s">
        <v>828</v>
      </c>
      <c r="I491" s="239" t="s">
        <v>828</v>
      </c>
      <c r="J491" s="239" t="s">
        <v>828</v>
      </c>
      <c r="L491" s="239" t="s">
        <v>828</v>
      </c>
      <c r="M491" s="95"/>
      <c r="N491" s="95"/>
      <c r="O491" s="95"/>
      <c r="T491" s="240" t="s">
        <v>828</v>
      </c>
      <c r="U491" s="241" t="s">
        <v>828</v>
      </c>
      <c r="W491" s="242" t="s">
        <v>828</v>
      </c>
      <c r="X491" s="228">
        <v>4.6556096092726955E-3</v>
      </c>
      <c r="Y491" s="248">
        <v>43</v>
      </c>
      <c r="AA491" s="248">
        <v>43</v>
      </c>
      <c r="AC491" s="248">
        <f t="shared" si="32"/>
        <v>131</v>
      </c>
      <c r="AD491" s="249">
        <v>0.11227667249384594</v>
      </c>
      <c r="AE491" s="228">
        <f t="shared" si="31"/>
        <v>0.1122328118842657</v>
      </c>
    </row>
    <row r="492" spans="4:31" x14ac:dyDescent="0.2">
      <c r="D492" s="75">
        <v>132</v>
      </c>
      <c r="E492" s="80">
        <v>5</v>
      </c>
      <c r="F492" s="80">
        <v>5</v>
      </c>
      <c r="H492" s="239" t="s">
        <v>828</v>
      </c>
      <c r="I492" s="239" t="s">
        <v>828</v>
      </c>
      <c r="J492" s="239" t="s">
        <v>828</v>
      </c>
      <c r="L492" s="239" t="s">
        <v>828</v>
      </c>
      <c r="M492" s="95"/>
      <c r="N492" s="95"/>
      <c r="O492" s="95"/>
      <c r="T492" s="240" t="s">
        <v>828</v>
      </c>
      <c r="U492" s="241" t="s">
        <v>828</v>
      </c>
      <c r="W492" s="242" t="s">
        <v>828</v>
      </c>
      <c r="X492" s="228">
        <v>7.5386635378867542E-2</v>
      </c>
      <c r="Y492" s="248">
        <v>90</v>
      </c>
      <c r="AA492" s="248">
        <v>90</v>
      </c>
      <c r="AC492" s="248">
        <f t="shared" si="32"/>
        <v>132</v>
      </c>
      <c r="AD492" s="249">
        <v>0.11240757009977075</v>
      </c>
      <c r="AE492" s="228">
        <f t="shared" si="31"/>
        <v>0.1122328118842657</v>
      </c>
    </row>
    <row r="493" spans="4:31" x14ac:dyDescent="0.2">
      <c r="D493" s="75">
        <v>133</v>
      </c>
      <c r="E493" s="80">
        <v>5</v>
      </c>
      <c r="F493" s="80">
        <v>5</v>
      </c>
      <c r="H493" s="239" t="s">
        <v>828</v>
      </c>
      <c r="I493" s="239" t="s">
        <v>828</v>
      </c>
      <c r="J493" s="239" t="s">
        <v>828</v>
      </c>
      <c r="L493" s="239" t="s">
        <v>828</v>
      </c>
      <c r="M493" s="95"/>
      <c r="N493" s="95"/>
      <c r="O493" s="95"/>
      <c r="T493" s="240" t="s">
        <v>828</v>
      </c>
      <c r="U493" s="241" t="s">
        <v>828</v>
      </c>
      <c r="W493" s="242" t="s">
        <v>828</v>
      </c>
      <c r="X493" s="228">
        <v>3.7182774108928248E-3</v>
      </c>
      <c r="Y493" s="248">
        <v>42</v>
      </c>
      <c r="AA493" s="248">
        <v>42</v>
      </c>
      <c r="AC493" s="248">
        <f t="shared" si="32"/>
        <v>133</v>
      </c>
      <c r="AD493" s="249">
        <v>0.1127101404871543</v>
      </c>
      <c r="AE493" s="228">
        <f t="shared" si="31"/>
        <v>0.1122328118842657</v>
      </c>
    </row>
    <row r="494" spans="4:31" x14ac:dyDescent="0.2">
      <c r="D494" s="75">
        <v>134</v>
      </c>
      <c r="E494" s="80">
        <v>5</v>
      </c>
      <c r="F494" s="80">
        <v>5</v>
      </c>
      <c r="H494" s="239" t="s">
        <v>828</v>
      </c>
      <c r="I494" s="239" t="s">
        <v>828</v>
      </c>
      <c r="J494" s="239" t="s">
        <v>828</v>
      </c>
      <c r="L494" s="239" t="s">
        <v>828</v>
      </c>
      <c r="M494" s="95"/>
      <c r="N494" s="95"/>
      <c r="O494" s="95"/>
      <c r="T494" s="240" t="s">
        <v>828</v>
      </c>
      <c r="U494" s="241" t="s">
        <v>828</v>
      </c>
      <c r="W494" s="242" t="s">
        <v>828</v>
      </c>
      <c r="X494" s="228">
        <v>0.1181709841957909</v>
      </c>
      <c r="Y494" s="248">
        <v>140</v>
      </c>
      <c r="AA494" s="248">
        <v>140</v>
      </c>
      <c r="AC494" s="248">
        <f t="shared" si="32"/>
        <v>134</v>
      </c>
      <c r="AD494" s="249">
        <v>0.11281001162415792</v>
      </c>
      <c r="AE494" s="228">
        <f t="shared" si="31"/>
        <v>0.1122328118842657</v>
      </c>
    </row>
    <row r="495" spans="4:31" x14ac:dyDescent="0.2">
      <c r="D495" s="75">
        <v>135</v>
      </c>
      <c r="E495" s="80">
        <v>5</v>
      </c>
      <c r="F495" s="80">
        <v>5</v>
      </c>
      <c r="H495" s="239" t="s">
        <v>828</v>
      </c>
      <c r="I495" s="239" t="s">
        <v>828</v>
      </c>
      <c r="J495" s="239" t="s">
        <v>828</v>
      </c>
      <c r="L495" s="239" t="s">
        <v>828</v>
      </c>
      <c r="M495" s="95"/>
      <c r="N495" s="95"/>
      <c r="O495" s="95"/>
      <c r="T495" s="240" t="s">
        <v>828</v>
      </c>
      <c r="U495" s="241" t="s">
        <v>828</v>
      </c>
      <c r="W495" s="242" t="s">
        <v>828</v>
      </c>
      <c r="X495" s="228">
        <v>9.8040510267686953E-2</v>
      </c>
      <c r="Y495" s="248">
        <v>115</v>
      </c>
      <c r="AA495" s="248">
        <v>115</v>
      </c>
      <c r="AC495" s="248">
        <f t="shared" si="32"/>
        <v>135</v>
      </c>
      <c r="AD495" s="249">
        <v>0.11307996786579705</v>
      </c>
      <c r="AE495" s="228">
        <f t="shared" si="31"/>
        <v>0.1122328118842657</v>
      </c>
    </row>
    <row r="496" spans="4:31" x14ac:dyDescent="0.2">
      <c r="D496" s="75">
        <v>136</v>
      </c>
      <c r="E496" s="80">
        <v>5</v>
      </c>
      <c r="F496" s="80">
        <v>5</v>
      </c>
      <c r="H496" s="239" t="s">
        <v>828</v>
      </c>
      <c r="I496" s="239" t="s">
        <v>828</v>
      </c>
      <c r="J496" s="239" t="s">
        <v>828</v>
      </c>
      <c r="L496" s="239" t="s">
        <v>828</v>
      </c>
      <c r="M496" s="95"/>
      <c r="N496" s="95"/>
      <c r="O496" s="95"/>
      <c r="T496" s="240" t="s">
        <v>828</v>
      </c>
      <c r="U496" s="241" t="s">
        <v>828</v>
      </c>
      <c r="W496" s="242" t="s">
        <v>828</v>
      </c>
      <c r="X496" s="228">
        <v>0.10908897734494449</v>
      </c>
      <c r="Y496" s="248">
        <v>127</v>
      </c>
      <c r="AA496" s="248">
        <v>127</v>
      </c>
      <c r="AC496" s="248">
        <f t="shared" si="32"/>
        <v>136</v>
      </c>
      <c r="AD496" s="249">
        <v>0.11482027358407883</v>
      </c>
      <c r="AE496" s="228">
        <f t="shared" si="31"/>
        <v>0.1122328118842657</v>
      </c>
    </row>
    <row r="497" spans="4:31" x14ac:dyDescent="0.2">
      <c r="D497" s="75">
        <v>137</v>
      </c>
      <c r="E497" s="80">
        <v>5</v>
      </c>
      <c r="F497" s="80">
        <v>5</v>
      </c>
      <c r="H497" s="239" t="s">
        <v>828</v>
      </c>
      <c r="I497" s="239" t="s">
        <v>828</v>
      </c>
      <c r="J497" s="239" t="s">
        <v>828</v>
      </c>
      <c r="L497" s="239" t="s">
        <v>828</v>
      </c>
      <c r="M497" s="95"/>
      <c r="N497" s="95"/>
      <c r="O497" s="95"/>
      <c r="T497" s="240" t="s">
        <v>828</v>
      </c>
      <c r="U497" s="241" t="s">
        <v>828</v>
      </c>
      <c r="W497" s="242" t="s">
        <v>828</v>
      </c>
      <c r="X497" s="228">
        <v>-9.523648587007616E-2</v>
      </c>
      <c r="Y497" s="248">
        <v>10</v>
      </c>
      <c r="AA497" s="248">
        <v>10</v>
      </c>
      <c r="AC497" s="248">
        <f t="shared" si="32"/>
        <v>137</v>
      </c>
      <c r="AD497" s="249">
        <v>0.11507144929332284</v>
      </c>
      <c r="AE497" s="228">
        <f t="shared" si="31"/>
        <v>0.1122328118842657</v>
      </c>
    </row>
    <row r="498" spans="4:31" x14ac:dyDescent="0.2">
      <c r="D498" s="75">
        <v>138</v>
      </c>
      <c r="E498" s="80">
        <v>5</v>
      </c>
      <c r="F498" s="80">
        <v>5</v>
      </c>
      <c r="H498" s="239" t="s">
        <v>828</v>
      </c>
      <c r="I498" s="239" t="s">
        <v>828</v>
      </c>
      <c r="J498" s="239" t="s">
        <v>828</v>
      </c>
      <c r="L498" s="239" t="s">
        <v>828</v>
      </c>
      <c r="M498" s="95"/>
      <c r="N498" s="95"/>
      <c r="O498" s="95"/>
      <c r="T498" s="240" t="s">
        <v>828</v>
      </c>
      <c r="U498" s="241" t="s">
        <v>828</v>
      </c>
      <c r="W498" s="242" t="s">
        <v>828</v>
      </c>
      <c r="X498" s="228">
        <v>-9.9973753411121261E-2</v>
      </c>
      <c r="Y498" s="248">
        <v>5</v>
      </c>
      <c r="AA498" s="248">
        <v>5</v>
      </c>
      <c r="AC498" s="248">
        <f t="shared" si="32"/>
        <v>138</v>
      </c>
      <c r="AD498" s="249">
        <v>0.11619163408301864</v>
      </c>
      <c r="AE498" s="228">
        <f t="shared" si="31"/>
        <v>0.1122328118842657</v>
      </c>
    </row>
    <row r="499" spans="4:31" x14ac:dyDescent="0.2">
      <c r="D499" s="75">
        <v>139</v>
      </c>
      <c r="E499" s="80">
        <v>5</v>
      </c>
      <c r="F499" s="80">
        <v>5</v>
      </c>
      <c r="H499" s="239" t="s">
        <v>828</v>
      </c>
      <c r="I499" s="239" t="s">
        <v>828</v>
      </c>
      <c r="J499" s="239" t="s">
        <v>828</v>
      </c>
      <c r="L499" s="239" t="s">
        <v>828</v>
      </c>
      <c r="M499" s="95"/>
      <c r="N499" s="95"/>
      <c r="O499" s="95"/>
      <c r="T499" s="240" t="s">
        <v>828</v>
      </c>
      <c r="U499" s="241" t="s">
        <v>828</v>
      </c>
      <c r="W499" s="242" t="s">
        <v>828</v>
      </c>
      <c r="X499" s="228">
        <v>6.403449398502864E-2</v>
      </c>
      <c r="Y499" s="248">
        <v>75</v>
      </c>
      <c r="AA499" s="248">
        <v>75</v>
      </c>
      <c r="AC499" s="248">
        <f t="shared" si="32"/>
        <v>139</v>
      </c>
      <c r="AD499" s="249">
        <v>0.11705087037706825</v>
      </c>
      <c r="AE499" s="228">
        <f t="shared" si="31"/>
        <v>0.1122328118842657</v>
      </c>
    </row>
    <row r="500" spans="4:31" x14ac:dyDescent="0.2">
      <c r="D500" s="75">
        <v>140</v>
      </c>
      <c r="E500" s="80">
        <v>5</v>
      </c>
      <c r="F500" s="80">
        <v>5</v>
      </c>
      <c r="H500" s="239" t="s">
        <v>828</v>
      </c>
      <c r="I500" s="239" t="s">
        <v>828</v>
      </c>
      <c r="J500" s="239" t="s">
        <v>828</v>
      </c>
      <c r="L500" s="239" t="s">
        <v>828</v>
      </c>
      <c r="M500" s="95"/>
      <c r="N500" s="95"/>
      <c r="O500" s="95"/>
      <c r="T500" s="240" t="s">
        <v>828</v>
      </c>
      <c r="U500" s="241" t="s">
        <v>828</v>
      </c>
      <c r="W500" s="242" t="s">
        <v>828</v>
      </c>
      <c r="X500" s="228">
        <v>0.11507144929332284</v>
      </c>
      <c r="Y500" s="248">
        <v>137</v>
      </c>
      <c r="AA500" s="248">
        <v>137</v>
      </c>
      <c r="AC500" s="248">
        <f t="shared" si="32"/>
        <v>140</v>
      </c>
      <c r="AD500" s="249">
        <v>0.1181709841957909</v>
      </c>
      <c r="AE500" s="228">
        <f t="shared" si="31"/>
        <v>0.1122328118842657</v>
      </c>
    </row>
    <row r="501" spans="4:31" x14ac:dyDescent="0.2">
      <c r="D501" s="75">
        <v>141</v>
      </c>
      <c r="E501" s="80">
        <v>5</v>
      </c>
      <c r="F501" s="80">
        <v>5</v>
      </c>
      <c r="H501" s="239" t="s">
        <v>828</v>
      </c>
      <c r="I501" s="239" t="s">
        <v>828</v>
      </c>
      <c r="J501" s="239" t="s">
        <v>828</v>
      </c>
      <c r="L501" s="239" t="s">
        <v>828</v>
      </c>
      <c r="M501" s="95"/>
      <c r="N501" s="95"/>
      <c r="O501" s="95"/>
      <c r="T501" s="240" t="s">
        <v>828</v>
      </c>
      <c r="U501" s="241" t="s">
        <v>828</v>
      </c>
      <c r="W501" s="242" t="s">
        <v>828</v>
      </c>
      <c r="X501" s="228">
        <v>0.12662632495156428</v>
      </c>
      <c r="Y501" s="248">
        <v>145</v>
      </c>
      <c r="AA501" s="248">
        <v>145</v>
      </c>
      <c r="AC501" s="248">
        <f t="shared" si="32"/>
        <v>141</v>
      </c>
      <c r="AD501" s="249">
        <v>0.11923454957574921</v>
      </c>
      <c r="AE501" s="228">
        <f t="shared" si="31"/>
        <v>0.1122328118842657</v>
      </c>
    </row>
    <row r="502" spans="4:31" x14ac:dyDescent="0.2">
      <c r="D502" s="75">
        <v>142</v>
      </c>
      <c r="E502" s="80">
        <v>5</v>
      </c>
      <c r="F502" s="80">
        <v>5</v>
      </c>
      <c r="H502" s="239" t="s">
        <v>828</v>
      </c>
      <c r="I502" s="239" t="s">
        <v>828</v>
      </c>
      <c r="J502" s="239" t="s">
        <v>828</v>
      </c>
      <c r="L502" s="239" t="s">
        <v>828</v>
      </c>
      <c r="M502" s="95"/>
      <c r="N502" s="95"/>
      <c r="O502" s="95"/>
      <c r="T502" s="240" t="s">
        <v>828</v>
      </c>
      <c r="U502" s="241" t="s">
        <v>828</v>
      </c>
      <c r="W502" s="242" t="s">
        <v>828</v>
      </c>
      <c r="X502" s="228">
        <v>0.1088939210134931</v>
      </c>
      <c r="Y502" s="248">
        <v>125</v>
      </c>
      <c r="AA502" s="248">
        <v>125</v>
      </c>
      <c r="AC502" s="248">
        <f t="shared" si="32"/>
        <v>142</v>
      </c>
      <c r="AD502" s="249">
        <v>0.12047345405911075</v>
      </c>
      <c r="AE502" s="228">
        <f t="shared" si="31"/>
        <v>0.1122328118842657</v>
      </c>
    </row>
    <row r="503" spans="4:31" x14ac:dyDescent="0.2">
      <c r="D503" s="75">
        <v>143</v>
      </c>
      <c r="E503" s="80">
        <v>5</v>
      </c>
      <c r="F503" s="80">
        <v>5</v>
      </c>
      <c r="H503" s="239" t="s">
        <v>828</v>
      </c>
      <c r="I503" s="239" t="s">
        <v>828</v>
      </c>
      <c r="J503" s="239" t="s">
        <v>828</v>
      </c>
      <c r="L503" s="239" t="s">
        <v>828</v>
      </c>
      <c r="M503" s="95"/>
      <c r="N503" s="95"/>
      <c r="O503" s="95"/>
      <c r="T503" s="240" t="s">
        <v>828</v>
      </c>
      <c r="U503" s="241" t="s">
        <v>828</v>
      </c>
      <c r="W503" s="242" t="s">
        <v>828</v>
      </c>
      <c r="X503" s="228">
        <v>4.055226972606385E-2</v>
      </c>
      <c r="Y503" s="248">
        <v>60</v>
      </c>
      <c r="AA503" s="248">
        <v>60</v>
      </c>
      <c r="AC503" s="248">
        <f t="shared" si="32"/>
        <v>143</v>
      </c>
      <c r="AD503" s="249">
        <v>0.1246324642663227</v>
      </c>
      <c r="AE503" s="228">
        <f t="shared" si="31"/>
        <v>0.1122328118842657</v>
      </c>
    </row>
    <row r="504" spans="4:31" x14ac:dyDescent="0.2">
      <c r="D504" s="75">
        <v>144</v>
      </c>
      <c r="E504" s="80">
        <v>5</v>
      </c>
      <c r="F504" s="80">
        <v>5</v>
      </c>
      <c r="H504" s="239" t="s">
        <v>828</v>
      </c>
      <c r="I504" s="239" t="s">
        <v>828</v>
      </c>
      <c r="J504" s="239" t="s">
        <v>828</v>
      </c>
      <c r="L504" s="239" t="s">
        <v>828</v>
      </c>
      <c r="M504" s="95"/>
      <c r="N504" s="95"/>
      <c r="O504" s="95"/>
      <c r="T504" s="240" t="s">
        <v>828</v>
      </c>
      <c r="U504" s="241" t="s">
        <v>828</v>
      </c>
      <c r="W504" s="242" t="s">
        <v>828</v>
      </c>
      <c r="X504" s="228">
        <v>7.3507299636621434E-2</v>
      </c>
      <c r="Y504" s="248">
        <v>87</v>
      </c>
      <c r="AA504" s="248">
        <v>87</v>
      </c>
      <c r="AC504" s="248">
        <f t="shared" si="32"/>
        <v>144</v>
      </c>
      <c r="AD504" s="249">
        <v>0.12584014324019077</v>
      </c>
      <c r="AE504" s="228">
        <f t="shared" si="31"/>
        <v>0.1122328118842657</v>
      </c>
    </row>
    <row r="505" spans="4:31" x14ac:dyDescent="0.2">
      <c r="D505" s="75">
        <v>145</v>
      </c>
      <c r="E505" s="80">
        <v>5</v>
      </c>
      <c r="F505" s="80">
        <v>5</v>
      </c>
      <c r="H505" s="239" t="s">
        <v>828</v>
      </c>
      <c r="I505" s="239" t="s">
        <v>828</v>
      </c>
      <c r="J505" s="239" t="s">
        <v>828</v>
      </c>
      <c r="L505" s="239" t="s">
        <v>828</v>
      </c>
      <c r="M505" s="95"/>
      <c r="N505" s="95"/>
      <c r="O505" s="95"/>
      <c r="T505" s="240" t="s">
        <v>828</v>
      </c>
      <c r="U505" s="241" t="s">
        <v>828</v>
      </c>
      <c r="W505" s="242" t="s">
        <v>828</v>
      </c>
      <c r="X505" s="228">
        <v>6.7428852022473576E-2</v>
      </c>
      <c r="Y505" s="248">
        <v>80</v>
      </c>
      <c r="AA505" s="248">
        <v>80</v>
      </c>
      <c r="AC505" s="248">
        <f t="shared" si="32"/>
        <v>145</v>
      </c>
      <c r="AD505" s="249">
        <v>0.12662632495156428</v>
      </c>
      <c r="AE505" s="228">
        <f t="shared" si="31"/>
        <v>0.1122328118842657</v>
      </c>
    </row>
    <row r="506" spans="4:31" x14ac:dyDescent="0.2">
      <c r="D506" s="75">
        <v>146</v>
      </c>
      <c r="E506" s="80">
        <v>5</v>
      </c>
      <c r="F506" s="80">
        <v>5</v>
      </c>
      <c r="H506" s="239" t="s">
        <v>828</v>
      </c>
      <c r="I506" s="239" t="s">
        <v>828</v>
      </c>
      <c r="J506" s="239" t="s">
        <v>828</v>
      </c>
      <c r="L506" s="239" t="s">
        <v>828</v>
      </c>
      <c r="M506" s="95"/>
      <c r="N506" s="95"/>
      <c r="O506" s="95"/>
      <c r="T506" s="240" t="s">
        <v>828</v>
      </c>
      <c r="U506" s="241" t="s">
        <v>828</v>
      </c>
      <c r="W506" s="242" t="s">
        <v>828</v>
      </c>
      <c r="X506" s="228">
        <v>0.10929880467909303</v>
      </c>
      <c r="Y506" s="248">
        <v>128</v>
      </c>
      <c r="AA506" s="248">
        <v>128</v>
      </c>
      <c r="AC506" s="248">
        <f t="shared" si="32"/>
        <v>146</v>
      </c>
      <c r="AD506" s="249">
        <v>0.12720692233777495</v>
      </c>
      <c r="AE506" s="228">
        <f t="shared" si="31"/>
        <v>0.1122328118842657</v>
      </c>
    </row>
    <row r="507" spans="4:31" x14ac:dyDescent="0.2">
      <c r="D507" s="75">
        <v>147</v>
      </c>
      <c r="E507" s="80">
        <v>5</v>
      </c>
      <c r="F507" s="80">
        <v>5</v>
      </c>
      <c r="H507" s="239" t="s">
        <v>828</v>
      </c>
      <c r="I507" s="239" t="s">
        <v>828</v>
      </c>
      <c r="J507" s="239" t="s">
        <v>828</v>
      </c>
      <c r="L507" s="239" t="s">
        <v>828</v>
      </c>
      <c r="M507" s="95"/>
      <c r="N507" s="95"/>
      <c r="O507" s="95"/>
      <c r="T507" s="240" t="s">
        <v>828</v>
      </c>
      <c r="U507" s="241" t="s">
        <v>828</v>
      </c>
      <c r="W507" s="242" t="s">
        <v>828</v>
      </c>
      <c r="X507" s="228">
        <v>1.6972679195296988E-2</v>
      </c>
      <c r="Y507" s="248">
        <v>52</v>
      </c>
      <c r="AA507" s="248">
        <v>52</v>
      </c>
      <c r="AC507" s="248">
        <f t="shared" si="32"/>
        <v>147</v>
      </c>
      <c r="AD507" s="249">
        <v>0.1281133789718851</v>
      </c>
      <c r="AE507" s="228">
        <f t="shared" si="31"/>
        <v>0.1122328118842657</v>
      </c>
    </row>
    <row r="508" spans="4:31" x14ac:dyDescent="0.2">
      <c r="D508" s="75">
        <v>148</v>
      </c>
      <c r="E508" s="80">
        <v>5</v>
      </c>
      <c r="F508" s="80">
        <v>5</v>
      </c>
      <c r="H508" s="239" t="s">
        <v>828</v>
      </c>
      <c r="I508" s="239" t="s">
        <v>828</v>
      </c>
      <c r="J508" s="239" t="s">
        <v>828</v>
      </c>
      <c r="L508" s="239" t="s">
        <v>828</v>
      </c>
      <c r="M508" s="95"/>
      <c r="N508" s="95"/>
      <c r="O508" s="95"/>
      <c r="T508" s="240" t="s">
        <v>828</v>
      </c>
      <c r="U508" s="241" t="s">
        <v>828</v>
      </c>
      <c r="W508" s="242" t="s">
        <v>828</v>
      </c>
      <c r="X508" s="228">
        <v>6.0433506710704799E-2</v>
      </c>
      <c r="Y508" s="248">
        <v>74</v>
      </c>
      <c r="AA508" s="248">
        <v>74</v>
      </c>
      <c r="AC508" s="248">
        <f t="shared" si="32"/>
        <v>148</v>
      </c>
      <c r="AD508" s="249">
        <v>0.13057106278329692</v>
      </c>
      <c r="AE508" s="228">
        <f t="shared" si="31"/>
        <v>0.1122328118842657</v>
      </c>
    </row>
    <row r="509" spans="4:31" x14ac:dyDescent="0.2">
      <c r="D509" s="75">
        <v>149</v>
      </c>
      <c r="E509" s="80">
        <v>5</v>
      </c>
      <c r="F509" s="80">
        <v>5</v>
      </c>
      <c r="H509" s="239" t="s">
        <v>828</v>
      </c>
      <c r="I509" s="239" t="s">
        <v>828</v>
      </c>
      <c r="J509" s="239" t="s">
        <v>828</v>
      </c>
      <c r="L509" s="239" t="s">
        <v>828</v>
      </c>
      <c r="M509" s="95"/>
      <c r="N509" s="95"/>
      <c r="O509" s="95"/>
      <c r="T509" s="240" t="s">
        <v>828</v>
      </c>
      <c r="U509" s="241" t="s">
        <v>828</v>
      </c>
      <c r="W509" s="242" t="s">
        <v>828</v>
      </c>
      <c r="X509" s="228">
        <v>9.3860757188752364E-2</v>
      </c>
      <c r="Y509" s="248">
        <v>111</v>
      </c>
      <c r="AA509" s="248">
        <v>111</v>
      </c>
      <c r="AC509" s="248">
        <f t="shared" si="32"/>
        <v>149</v>
      </c>
      <c r="AD509" s="249">
        <v>0.1308635507115361</v>
      </c>
      <c r="AE509" s="228">
        <f t="shared" si="31"/>
        <v>0.1122328118842657</v>
      </c>
    </row>
    <row r="510" spans="4:31" x14ac:dyDescent="0.2">
      <c r="D510" s="75">
        <v>150</v>
      </c>
      <c r="E510" s="80">
        <v>5</v>
      </c>
      <c r="F510" s="80">
        <v>5</v>
      </c>
      <c r="H510" s="239" t="s">
        <v>828</v>
      </c>
      <c r="I510" s="239" t="s">
        <v>828</v>
      </c>
      <c r="J510" s="239" t="s">
        <v>828</v>
      </c>
      <c r="L510" s="239" t="s">
        <v>828</v>
      </c>
      <c r="M510" s="95"/>
      <c r="N510" s="95"/>
      <c r="O510" s="95"/>
      <c r="T510" s="240" t="s">
        <v>828</v>
      </c>
      <c r="U510" s="241" t="s">
        <v>828</v>
      </c>
      <c r="W510" s="242" t="s">
        <v>828</v>
      </c>
      <c r="X510" s="228">
        <v>-2.4551151356803249E-3</v>
      </c>
      <c r="Y510" s="248">
        <v>41</v>
      </c>
      <c r="AA510" s="248">
        <v>41</v>
      </c>
      <c r="AC510" s="248">
        <f t="shared" si="32"/>
        <v>150</v>
      </c>
      <c r="AD510" s="249">
        <v>0.13256727764503948</v>
      </c>
      <c r="AE510" s="228">
        <f t="shared" si="31"/>
        <v>0.1122328118842657</v>
      </c>
    </row>
    <row r="511" spans="4:31" x14ac:dyDescent="0.2">
      <c r="D511" s="75">
        <v>151</v>
      </c>
      <c r="E511" s="80">
        <v>5</v>
      </c>
      <c r="F511" s="80">
        <v>5</v>
      </c>
      <c r="H511" s="239" t="s">
        <v>828</v>
      </c>
      <c r="I511" s="239" t="s">
        <v>828</v>
      </c>
      <c r="J511" s="239" t="s">
        <v>828</v>
      </c>
      <c r="L511" s="239" t="s">
        <v>828</v>
      </c>
      <c r="M511" s="95"/>
      <c r="N511" s="95"/>
      <c r="O511" s="95"/>
      <c r="T511" s="240" t="s">
        <v>828</v>
      </c>
      <c r="U511" s="241" t="s">
        <v>828</v>
      </c>
      <c r="W511" s="242" t="s">
        <v>828</v>
      </c>
      <c r="X511" s="228">
        <v>-2.508792091687042E-2</v>
      </c>
      <c r="Y511" s="248">
        <v>31</v>
      </c>
      <c r="AA511" s="248">
        <v>31</v>
      </c>
      <c r="AC511" s="248">
        <f t="shared" si="32"/>
        <v>151</v>
      </c>
      <c r="AD511" s="249">
        <v>0.13380751608806832</v>
      </c>
      <c r="AE511" s="228">
        <f t="shared" si="31"/>
        <v>0.1122328118842657</v>
      </c>
    </row>
    <row r="512" spans="4:31" x14ac:dyDescent="0.2">
      <c r="D512" s="75">
        <v>152</v>
      </c>
      <c r="E512" s="80">
        <v>5</v>
      </c>
      <c r="F512" s="80">
        <v>5</v>
      </c>
      <c r="H512" s="239" t="s">
        <v>828</v>
      </c>
      <c r="I512" s="239" t="s">
        <v>828</v>
      </c>
      <c r="J512" s="239" t="s">
        <v>828</v>
      </c>
      <c r="L512" s="239" t="s">
        <v>828</v>
      </c>
      <c r="M512" s="95"/>
      <c r="N512" s="95"/>
      <c r="O512" s="95"/>
      <c r="T512" s="240" t="s">
        <v>828</v>
      </c>
      <c r="U512" s="241" t="s">
        <v>828</v>
      </c>
      <c r="W512" s="242" t="s">
        <v>828</v>
      </c>
      <c r="X512" s="228">
        <v>-1.3961299129028248E-2</v>
      </c>
      <c r="Y512" s="248">
        <v>37</v>
      </c>
      <c r="AA512" s="248">
        <v>37</v>
      </c>
      <c r="AC512" s="248">
        <f t="shared" si="32"/>
        <v>152</v>
      </c>
      <c r="AD512" s="249">
        <v>0.13484758867323332</v>
      </c>
      <c r="AE512" s="228">
        <f t="shared" si="31"/>
        <v>0.1122328118842657</v>
      </c>
    </row>
    <row r="513" spans="3:37" x14ac:dyDescent="0.2">
      <c r="D513" s="75">
        <v>153</v>
      </c>
      <c r="E513" s="80">
        <v>5</v>
      </c>
      <c r="F513" s="80">
        <v>5</v>
      </c>
      <c r="H513" s="239" t="s">
        <v>828</v>
      </c>
      <c r="I513" s="239" t="s">
        <v>828</v>
      </c>
      <c r="J513" s="239" t="s">
        <v>828</v>
      </c>
      <c r="L513" s="239" t="s">
        <v>828</v>
      </c>
      <c r="M513" s="95"/>
      <c r="N513" s="95"/>
      <c r="O513" s="95"/>
      <c r="T513" s="240" t="s">
        <v>828</v>
      </c>
      <c r="U513" s="241" t="s">
        <v>828</v>
      </c>
      <c r="W513" s="242" t="s">
        <v>828</v>
      </c>
      <c r="X513" s="228">
        <v>0.1308635507115361</v>
      </c>
      <c r="Y513" s="248">
        <v>149</v>
      </c>
      <c r="AA513" s="248">
        <v>149</v>
      </c>
      <c r="AC513" s="248">
        <f t="shared" si="32"/>
        <v>153</v>
      </c>
      <c r="AD513" s="249">
        <v>0.15127737410037229</v>
      </c>
      <c r="AE513" s="228">
        <f t="shared" si="31"/>
        <v>0.1122328118842657</v>
      </c>
    </row>
    <row r="514" spans="3:37" x14ac:dyDescent="0.2">
      <c r="D514" s="75">
        <v>154</v>
      </c>
      <c r="E514" s="80">
        <v>5</v>
      </c>
      <c r="F514" s="80">
        <v>5</v>
      </c>
      <c r="H514" s="239" t="s">
        <v>828</v>
      </c>
      <c r="I514" s="239" t="s">
        <v>828</v>
      </c>
      <c r="J514" s="239" t="s">
        <v>828</v>
      </c>
      <c r="L514" s="239" t="s">
        <v>828</v>
      </c>
      <c r="M514" s="95"/>
      <c r="N514" s="95"/>
      <c r="O514" s="95"/>
      <c r="T514" s="240" t="s">
        <v>828</v>
      </c>
      <c r="U514" s="241" t="s">
        <v>828</v>
      </c>
      <c r="W514" s="242" t="s">
        <v>828</v>
      </c>
      <c r="X514" s="228">
        <v>0.10895006239374753</v>
      </c>
      <c r="Y514" s="248">
        <v>126</v>
      </c>
      <c r="AA514" s="248">
        <v>126</v>
      </c>
      <c r="AC514" s="248">
        <f t="shared" si="32"/>
        <v>154</v>
      </c>
      <c r="AD514" s="249">
        <v>0.1535406388662888</v>
      </c>
      <c r="AE514" s="228">
        <f t="shared" si="31"/>
        <v>0.1122328118842657</v>
      </c>
    </row>
    <row r="515" spans="3:37" x14ac:dyDescent="0.2">
      <c r="D515" s="75">
        <v>155</v>
      </c>
      <c r="E515" s="80">
        <v>5</v>
      </c>
      <c r="F515" s="80">
        <v>5</v>
      </c>
      <c r="H515" s="239" t="s">
        <v>828</v>
      </c>
      <c r="I515" s="239" t="s">
        <v>828</v>
      </c>
      <c r="J515" s="239" t="s">
        <v>828</v>
      </c>
      <c r="L515" s="239" t="s">
        <v>828</v>
      </c>
      <c r="M515" s="95"/>
      <c r="N515" s="95"/>
      <c r="O515" s="95"/>
      <c r="T515" s="240" t="s">
        <v>828</v>
      </c>
      <c r="U515" s="241" t="s">
        <v>828</v>
      </c>
      <c r="W515" s="242" t="s">
        <v>828</v>
      </c>
      <c r="X515" s="228">
        <v>5.9246708554538584E-2</v>
      </c>
      <c r="Y515" s="248">
        <v>73</v>
      </c>
      <c r="AA515" s="248">
        <v>73</v>
      </c>
      <c r="AC515" s="248">
        <f t="shared" si="32"/>
        <v>155</v>
      </c>
      <c r="AD515" s="249">
        <v>0.15980497049544307</v>
      </c>
      <c r="AE515" s="228">
        <f t="shared" si="31"/>
        <v>0.1122328118842657</v>
      </c>
    </row>
    <row r="516" spans="3:37" x14ac:dyDescent="0.2">
      <c r="D516" s="75">
        <v>156</v>
      </c>
      <c r="E516" s="80">
        <v>5</v>
      </c>
      <c r="F516" s="80">
        <v>5</v>
      </c>
      <c r="H516" s="239" t="s">
        <v>828</v>
      </c>
      <c r="I516" s="239" t="s">
        <v>828</v>
      </c>
      <c r="J516" s="239" t="s">
        <v>828</v>
      </c>
      <c r="L516" s="239" t="s">
        <v>828</v>
      </c>
      <c r="M516" s="95"/>
      <c r="N516" s="95"/>
      <c r="O516" s="95"/>
      <c r="T516" s="240" t="s">
        <v>828</v>
      </c>
      <c r="U516" s="241" t="s">
        <v>828</v>
      </c>
      <c r="W516" s="242" t="s">
        <v>828</v>
      </c>
      <c r="X516" s="228">
        <v>-1.5614877459299006E-2</v>
      </c>
      <c r="Y516" s="248">
        <v>35</v>
      </c>
      <c r="AA516" s="248">
        <v>35</v>
      </c>
      <c r="AC516" s="248">
        <f t="shared" si="32"/>
        <v>156</v>
      </c>
      <c r="AD516" s="249">
        <v>0.16004255217806621</v>
      </c>
      <c r="AE516" s="228">
        <f t="shared" si="31"/>
        <v>0.1122328118842657</v>
      </c>
    </row>
    <row r="517" spans="3:37" x14ac:dyDescent="0.2">
      <c r="D517" s="75">
        <v>157</v>
      </c>
      <c r="E517" s="80">
        <v>5</v>
      </c>
      <c r="F517" s="80">
        <v>5</v>
      </c>
      <c r="H517" s="239" t="s">
        <v>828</v>
      </c>
      <c r="I517" s="239" t="s">
        <v>828</v>
      </c>
      <c r="J517" s="239" t="s">
        <v>828</v>
      </c>
      <c r="L517" s="239" t="s">
        <v>828</v>
      </c>
      <c r="M517" s="95"/>
      <c r="N517" s="95"/>
      <c r="O517" s="95"/>
      <c r="T517" s="240" t="s">
        <v>828</v>
      </c>
      <c r="U517" s="241" t="s">
        <v>828</v>
      </c>
      <c r="W517" s="242" t="s">
        <v>828</v>
      </c>
      <c r="X517" s="228">
        <v>1.9918722213049873E-2</v>
      </c>
      <c r="Y517" s="248">
        <v>54</v>
      </c>
      <c r="AA517" s="248">
        <v>54</v>
      </c>
      <c r="AC517" s="248">
        <f t="shared" si="32"/>
        <v>157</v>
      </c>
      <c r="AD517" s="249">
        <v>0.16934297905682114</v>
      </c>
      <c r="AE517" s="228">
        <f t="shared" si="31"/>
        <v>0.1122328118842657</v>
      </c>
    </row>
    <row r="518" spans="3:37" x14ac:dyDescent="0.2">
      <c r="D518" s="75">
        <v>158</v>
      </c>
      <c r="E518" s="80">
        <v>5</v>
      </c>
      <c r="F518" s="80">
        <v>5</v>
      </c>
      <c r="H518" s="239" t="s">
        <v>828</v>
      </c>
      <c r="I518" s="239" t="s">
        <v>828</v>
      </c>
      <c r="J518" s="239" t="s">
        <v>828</v>
      </c>
      <c r="L518" s="239" t="s">
        <v>828</v>
      </c>
      <c r="M518" s="95"/>
      <c r="N518" s="95"/>
      <c r="O518" s="95"/>
      <c r="T518" s="240" t="s">
        <v>828</v>
      </c>
      <c r="U518" s="241" t="s">
        <v>828</v>
      </c>
      <c r="W518" s="242" t="s">
        <v>828</v>
      </c>
      <c r="X518" s="228">
        <v>1.5554225705909634E-2</v>
      </c>
      <c r="Y518" s="248">
        <v>50</v>
      </c>
      <c r="AA518" s="248">
        <v>50</v>
      </c>
      <c r="AC518" s="248">
        <f t="shared" si="32"/>
        <v>158</v>
      </c>
      <c r="AD518" s="249">
        <v>0.17264104523526258</v>
      </c>
      <c r="AE518" s="228">
        <f t="shared" si="31"/>
        <v>0.1122328118842657</v>
      </c>
    </row>
    <row r="522" spans="3:37" s="8" customFormat="1" ht="15" x14ac:dyDescent="0.2">
      <c r="C522" s="8" t="s">
        <v>815</v>
      </c>
    </row>
    <row r="523" spans="3:37" ht="13.5" thickBot="1" x14ac:dyDescent="0.25"/>
    <row r="524" spans="3:37" ht="13.5" thickBot="1" x14ac:dyDescent="0.25">
      <c r="S524" s="226" t="s">
        <v>625</v>
      </c>
      <c r="T524" s="64">
        <f>Lookup!N$17</f>
        <v>366</v>
      </c>
      <c r="U524" s="64">
        <f>Lookup!O$17</f>
        <v>365</v>
      </c>
      <c r="AD524" s="226" t="s">
        <v>636</v>
      </c>
      <c r="AE524" s="234">
        <f>$AE$358</f>
        <v>0.1122328118842657</v>
      </c>
    </row>
    <row r="525" spans="3:37" x14ac:dyDescent="0.2">
      <c r="H525" s="303" t="s">
        <v>628</v>
      </c>
      <c r="I525" s="303"/>
      <c r="J525" s="303"/>
      <c r="L525" s="303" t="s">
        <v>626</v>
      </c>
      <c r="M525" s="303"/>
      <c r="N525" s="303"/>
      <c r="O525" s="303"/>
      <c r="W525" s="303" t="s">
        <v>635</v>
      </c>
      <c r="X525" s="303"/>
    </row>
    <row r="526" spans="3:37" ht="38.25" x14ac:dyDescent="0.2">
      <c r="D526" s="70" t="s">
        <v>634</v>
      </c>
      <c r="E526" s="54" t="s">
        <v>617</v>
      </c>
      <c r="F526" s="54" t="s">
        <v>618</v>
      </c>
      <c r="H526" s="61" t="s">
        <v>541</v>
      </c>
      <c r="I526" s="61" t="s">
        <v>276</v>
      </c>
      <c r="J526" s="61" t="s">
        <v>277</v>
      </c>
      <c r="L526" s="61" t="s">
        <v>275</v>
      </c>
      <c r="M526" s="61" t="s">
        <v>272</v>
      </c>
      <c r="N526" s="61" t="s">
        <v>273</v>
      </c>
      <c r="O526" s="61" t="s">
        <v>274</v>
      </c>
      <c r="T526" s="54" t="str">
        <f>Lookup!N$19</f>
        <v>FY24</v>
      </c>
      <c r="U526" s="54" t="str">
        <f>Lookup!O$19</f>
        <v>FY25</v>
      </c>
      <c r="W526" s="54" t="s">
        <v>199</v>
      </c>
      <c r="X526" s="54" t="s">
        <v>198</v>
      </c>
      <c r="Y526" s="61" t="s">
        <v>805</v>
      </c>
      <c r="AA526" s="61" t="s">
        <v>806</v>
      </c>
      <c r="AC526" s="61" t="s">
        <v>807</v>
      </c>
      <c r="AD526" s="61" t="s">
        <v>808</v>
      </c>
      <c r="AE526" s="61" t="str">
        <f>"Revenue Increase + CPI = "&amp;ROUND(AE524*100,1)&amp;"%"</f>
        <v>Revenue Increase + CPI = 11.2%</v>
      </c>
    </row>
    <row r="527" spans="3:37" x14ac:dyDescent="0.2">
      <c r="D527" s="75">
        <v>1</v>
      </c>
      <c r="E527" s="80">
        <v>6</v>
      </c>
      <c r="F527" s="80">
        <v>6</v>
      </c>
      <c r="H527" s="239" t="s">
        <v>828</v>
      </c>
      <c r="I527" s="239" t="s">
        <v>828</v>
      </c>
      <c r="J527" s="239" t="s">
        <v>828</v>
      </c>
      <c r="L527" s="239" t="s">
        <v>828</v>
      </c>
      <c r="M527" s="95"/>
      <c r="N527" s="95"/>
      <c r="O527" s="95"/>
      <c r="T527" s="240" t="s">
        <v>828</v>
      </c>
      <c r="U527" s="241" t="s">
        <v>828</v>
      </c>
      <c r="V527" s="175"/>
      <c r="W527" s="242" t="s">
        <v>828</v>
      </c>
      <c r="X527" s="228">
        <v>4.7496665046676767E-2</v>
      </c>
      <c r="Y527" s="248">
        <v>28</v>
      </c>
      <c r="AA527" s="248">
        <v>28</v>
      </c>
      <c r="AB527" s="175"/>
      <c r="AC527" s="248">
        <f>N(AC526)+1</f>
        <v>1</v>
      </c>
      <c r="AD527" s="249">
        <v>-0.34663381948202676</v>
      </c>
      <c r="AE527" s="228">
        <f t="shared" ref="AE527:AE575" si="33">$AE$524</f>
        <v>0.1122328118842657</v>
      </c>
      <c r="AG527" s="228"/>
      <c r="AH527" s="228"/>
      <c r="AI527" s="228"/>
      <c r="AJ527" s="228"/>
      <c r="AK527" s="228"/>
    </row>
    <row r="528" spans="3:37" x14ac:dyDescent="0.2">
      <c r="D528" s="75">
        <v>2</v>
      </c>
      <c r="E528" s="80">
        <v>6</v>
      </c>
      <c r="F528" s="80">
        <v>6</v>
      </c>
      <c r="H528" s="239" t="s">
        <v>828</v>
      </c>
      <c r="I528" s="239" t="s">
        <v>828</v>
      </c>
      <c r="J528" s="239" t="s">
        <v>828</v>
      </c>
      <c r="L528" s="239" t="s">
        <v>828</v>
      </c>
      <c r="M528" s="95"/>
      <c r="N528" s="95"/>
      <c r="O528" s="95"/>
      <c r="T528" s="240" t="s">
        <v>828</v>
      </c>
      <c r="U528" s="241" t="s">
        <v>828</v>
      </c>
      <c r="V528" s="175"/>
      <c r="W528" s="242" t="s">
        <v>828</v>
      </c>
      <c r="X528" s="228">
        <v>-0.237696562363753</v>
      </c>
      <c r="Y528" s="248">
        <v>2</v>
      </c>
      <c r="AA528" s="248">
        <v>2</v>
      </c>
      <c r="AB528" s="175"/>
      <c r="AC528" s="248">
        <f t="shared" ref="AC528:AC575" si="34">N(AC527)+1</f>
        <v>2</v>
      </c>
      <c r="AD528" s="249">
        <v>-0.237696562363753</v>
      </c>
      <c r="AE528" s="228">
        <f t="shared" si="33"/>
        <v>0.1122328118842657</v>
      </c>
      <c r="AG528" s="228"/>
      <c r="AH528" s="228"/>
      <c r="AI528" s="228"/>
      <c r="AJ528" s="228"/>
      <c r="AK528" s="228"/>
    </row>
    <row r="529" spans="4:37" x14ac:dyDescent="0.2">
      <c r="D529" s="75">
        <v>3</v>
      </c>
      <c r="E529" s="80">
        <v>6</v>
      </c>
      <c r="F529" s="80">
        <v>6</v>
      </c>
      <c r="H529" s="239" t="s">
        <v>828</v>
      </c>
      <c r="I529" s="239" t="s">
        <v>828</v>
      </c>
      <c r="J529" s="239" t="s">
        <v>828</v>
      </c>
      <c r="L529" s="239" t="s">
        <v>828</v>
      </c>
      <c r="M529" s="95"/>
      <c r="N529" s="95"/>
      <c r="O529" s="95"/>
      <c r="T529" s="240" t="s">
        <v>828</v>
      </c>
      <c r="U529" s="241" t="s">
        <v>828</v>
      </c>
      <c r="V529" s="175"/>
      <c r="W529" s="242" t="s">
        <v>828</v>
      </c>
      <c r="X529" s="228">
        <v>-4.3740542274417309E-2</v>
      </c>
      <c r="Y529" s="248">
        <v>11</v>
      </c>
      <c r="AA529" s="248">
        <v>11</v>
      </c>
      <c r="AB529" s="175"/>
      <c r="AC529" s="248">
        <f t="shared" si="34"/>
        <v>3</v>
      </c>
      <c r="AD529" s="249">
        <v>-0.10725260869206832</v>
      </c>
      <c r="AE529" s="228">
        <f t="shared" si="33"/>
        <v>0.1122328118842657</v>
      </c>
      <c r="AG529" s="228"/>
      <c r="AH529" s="228"/>
      <c r="AI529" s="228"/>
      <c r="AJ529" s="228"/>
      <c r="AK529" s="228"/>
    </row>
    <row r="530" spans="4:37" x14ac:dyDescent="0.2">
      <c r="D530" s="75">
        <v>4</v>
      </c>
      <c r="E530" s="80">
        <v>6</v>
      </c>
      <c r="F530" s="80">
        <v>6</v>
      </c>
      <c r="H530" s="239" t="s">
        <v>828</v>
      </c>
      <c r="I530" s="239" t="s">
        <v>828</v>
      </c>
      <c r="J530" s="239" t="s">
        <v>828</v>
      </c>
      <c r="L530" s="239" t="s">
        <v>828</v>
      </c>
      <c r="M530" s="95"/>
      <c r="N530" s="95"/>
      <c r="O530" s="95"/>
      <c r="T530" s="240" t="s">
        <v>828</v>
      </c>
      <c r="U530" s="241" t="s">
        <v>828</v>
      </c>
      <c r="V530" s="175"/>
      <c r="W530" s="242" t="s">
        <v>828</v>
      </c>
      <c r="X530" s="228">
        <v>-8.3863958100959105E-2</v>
      </c>
      <c r="Y530" s="248">
        <v>7</v>
      </c>
      <c r="AA530" s="248">
        <v>7</v>
      </c>
      <c r="AB530" s="175"/>
      <c r="AC530" s="248">
        <f t="shared" si="34"/>
        <v>4</v>
      </c>
      <c r="AD530" s="249">
        <v>-0.10592684432290711</v>
      </c>
      <c r="AE530" s="228">
        <f t="shared" si="33"/>
        <v>0.1122328118842657</v>
      </c>
      <c r="AG530" s="228"/>
      <c r="AH530" s="228"/>
      <c r="AI530" s="228"/>
      <c r="AJ530" s="228"/>
      <c r="AK530" s="228"/>
    </row>
    <row r="531" spans="4:37" x14ac:dyDescent="0.2">
      <c r="D531" s="75">
        <v>5</v>
      </c>
      <c r="E531" s="80">
        <v>6</v>
      </c>
      <c r="F531" s="80">
        <v>6</v>
      </c>
      <c r="H531" s="239" t="s">
        <v>828</v>
      </c>
      <c r="I531" s="239" t="s">
        <v>828</v>
      </c>
      <c r="J531" s="239" t="s">
        <v>828</v>
      </c>
      <c r="L531" s="239" t="s">
        <v>828</v>
      </c>
      <c r="M531" s="95"/>
      <c r="N531" s="95"/>
      <c r="O531" s="95"/>
      <c r="T531" s="240" t="s">
        <v>828</v>
      </c>
      <c r="U531" s="241" t="s">
        <v>828</v>
      </c>
      <c r="V531" s="175"/>
      <c r="W531" s="242" t="s">
        <v>828</v>
      </c>
      <c r="X531" s="228">
        <v>-0.10208620705854651</v>
      </c>
      <c r="Y531" s="248">
        <v>5</v>
      </c>
      <c r="AA531" s="248">
        <v>5</v>
      </c>
      <c r="AB531" s="175"/>
      <c r="AC531" s="248">
        <f t="shared" si="34"/>
        <v>5</v>
      </c>
      <c r="AD531" s="249">
        <v>-0.10208620705854651</v>
      </c>
      <c r="AE531" s="228">
        <f t="shared" si="33"/>
        <v>0.1122328118842657</v>
      </c>
      <c r="AG531" s="228"/>
      <c r="AH531" s="228"/>
      <c r="AI531" s="228"/>
      <c r="AJ531" s="228"/>
      <c r="AK531" s="228"/>
    </row>
    <row r="532" spans="4:37" x14ac:dyDescent="0.2">
      <c r="D532" s="75">
        <v>6</v>
      </c>
      <c r="E532" s="80">
        <v>6</v>
      </c>
      <c r="F532" s="80">
        <v>6</v>
      </c>
      <c r="H532" s="239" t="s">
        <v>828</v>
      </c>
      <c r="I532" s="239" t="s">
        <v>828</v>
      </c>
      <c r="J532" s="239" t="s">
        <v>828</v>
      </c>
      <c r="L532" s="239" t="s">
        <v>828</v>
      </c>
      <c r="M532" s="95"/>
      <c r="N532" s="95"/>
      <c r="O532" s="95"/>
      <c r="T532" s="240" t="s">
        <v>828</v>
      </c>
      <c r="U532" s="241" t="s">
        <v>828</v>
      </c>
      <c r="V532" s="175"/>
      <c r="W532" s="242" t="s">
        <v>828</v>
      </c>
      <c r="X532" s="228">
        <v>-9.7791784863753894E-2</v>
      </c>
      <c r="Y532" s="248">
        <v>6</v>
      </c>
      <c r="AA532" s="248">
        <v>6</v>
      </c>
      <c r="AB532" s="175"/>
      <c r="AC532" s="248">
        <f t="shared" si="34"/>
        <v>6</v>
      </c>
      <c r="AD532" s="249">
        <v>-9.7791784863753894E-2</v>
      </c>
      <c r="AE532" s="228">
        <f t="shared" si="33"/>
        <v>0.1122328118842657</v>
      </c>
      <c r="AG532" s="228"/>
      <c r="AH532" s="228"/>
      <c r="AI532" s="228"/>
      <c r="AJ532" s="228"/>
      <c r="AK532" s="228"/>
    </row>
    <row r="533" spans="4:37" x14ac:dyDescent="0.2">
      <c r="D533" s="75">
        <v>7</v>
      </c>
      <c r="E533" s="80">
        <v>6</v>
      </c>
      <c r="F533" s="80">
        <v>6</v>
      </c>
      <c r="H533" s="239" t="s">
        <v>828</v>
      </c>
      <c r="I533" s="239" t="s">
        <v>828</v>
      </c>
      <c r="J533" s="239" t="s">
        <v>828</v>
      </c>
      <c r="L533" s="239" t="s">
        <v>828</v>
      </c>
      <c r="M533" s="95"/>
      <c r="N533" s="95"/>
      <c r="O533" s="95"/>
      <c r="T533" s="240" t="s">
        <v>828</v>
      </c>
      <c r="U533" s="241" t="s">
        <v>828</v>
      </c>
      <c r="V533" s="175"/>
      <c r="W533" s="242" t="s">
        <v>828</v>
      </c>
      <c r="X533" s="228">
        <v>-6.1548024356816756E-2</v>
      </c>
      <c r="Y533" s="248">
        <v>9</v>
      </c>
      <c r="AA533" s="248">
        <v>9</v>
      </c>
      <c r="AB533" s="175"/>
      <c r="AC533" s="248">
        <f t="shared" si="34"/>
        <v>7</v>
      </c>
      <c r="AD533" s="249">
        <v>-8.3863958100959105E-2</v>
      </c>
      <c r="AE533" s="228">
        <f t="shared" si="33"/>
        <v>0.1122328118842657</v>
      </c>
      <c r="AG533" s="228"/>
      <c r="AH533" s="228"/>
      <c r="AI533" s="228"/>
      <c r="AJ533" s="228"/>
      <c r="AK533" s="228"/>
    </row>
    <row r="534" spans="4:37" x14ac:dyDescent="0.2">
      <c r="D534" s="75">
        <v>8</v>
      </c>
      <c r="E534" s="80">
        <v>6</v>
      </c>
      <c r="F534" s="80">
        <v>6</v>
      </c>
      <c r="H534" s="239" t="s">
        <v>828</v>
      </c>
      <c r="I534" s="239" t="s">
        <v>828</v>
      </c>
      <c r="J534" s="239" t="s">
        <v>828</v>
      </c>
      <c r="L534" s="239" t="s">
        <v>828</v>
      </c>
      <c r="M534" s="95"/>
      <c r="N534" s="95"/>
      <c r="O534" s="95"/>
      <c r="T534" s="240" t="s">
        <v>828</v>
      </c>
      <c r="U534" s="241" t="s">
        <v>828</v>
      </c>
      <c r="V534" s="175"/>
      <c r="W534" s="242" t="s">
        <v>828</v>
      </c>
      <c r="X534" s="228">
        <v>-6.6300078422906999E-2</v>
      </c>
      <c r="Y534" s="248">
        <v>8</v>
      </c>
      <c r="AA534" s="248">
        <v>8</v>
      </c>
      <c r="AB534" s="175"/>
      <c r="AC534" s="248">
        <f t="shared" si="34"/>
        <v>8</v>
      </c>
      <c r="AD534" s="249">
        <v>-6.6300078422906999E-2</v>
      </c>
      <c r="AE534" s="228">
        <f t="shared" si="33"/>
        <v>0.1122328118842657</v>
      </c>
      <c r="AG534" s="228"/>
      <c r="AH534" s="228"/>
      <c r="AI534" s="228"/>
      <c r="AJ534" s="228"/>
      <c r="AK534" s="228"/>
    </row>
    <row r="535" spans="4:37" x14ac:dyDescent="0.2">
      <c r="D535" s="75">
        <v>9</v>
      </c>
      <c r="E535" s="80">
        <v>6</v>
      </c>
      <c r="F535" s="80">
        <v>6</v>
      </c>
      <c r="H535" s="239" t="s">
        <v>828</v>
      </c>
      <c r="I535" s="239" t="s">
        <v>828</v>
      </c>
      <c r="J535" s="239" t="s">
        <v>828</v>
      </c>
      <c r="L535" s="239" t="s">
        <v>828</v>
      </c>
      <c r="M535" s="95"/>
      <c r="N535" s="95"/>
      <c r="O535" s="95"/>
      <c r="T535" s="240" t="s">
        <v>828</v>
      </c>
      <c r="U535" s="241" t="s">
        <v>828</v>
      </c>
      <c r="V535" s="175"/>
      <c r="W535" s="242" t="s">
        <v>828</v>
      </c>
      <c r="X535" s="228">
        <v>-0.10592684432290711</v>
      </c>
      <c r="Y535" s="248">
        <v>4</v>
      </c>
      <c r="AA535" s="248">
        <v>4</v>
      </c>
      <c r="AB535" s="175"/>
      <c r="AC535" s="248">
        <f t="shared" si="34"/>
        <v>9</v>
      </c>
      <c r="AD535" s="249">
        <v>-6.1548024356816756E-2</v>
      </c>
      <c r="AE535" s="228">
        <f t="shared" si="33"/>
        <v>0.1122328118842657</v>
      </c>
      <c r="AG535" s="228"/>
      <c r="AH535" s="228"/>
      <c r="AI535" s="228"/>
      <c r="AJ535" s="228"/>
      <c r="AK535" s="228"/>
    </row>
    <row r="536" spans="4:37" x14ac:dyDescent="0.2">
      <c r="D536" s="75">
        <v>10</v>
      </c>
      <c r="E536" s="80">
        <v>6</v>
      </c>
      <c r="F536" s="80">
        <v>6</v>
      </c>
      <c r="H536" s="239" t="s">
        <v>828</v>
      </c>
      <c r="I536" s="239" t="s">
        <v>828</v>
      </c>
      <c r="J536" s="239" t="s">
        <v>828</v>
      </c>
      <c r="L536" s="239" t="s">
        <v>828</v>
      </c>
      <c r="M536" s="95"/>
      <c r="N536" s="95"/>
      <c r="O536" s="95"/>
      <c r="T536" s="240" t="s">
        <v>828</v>
      </c>
      <c r="U536" s="241" t="s">
        <v>828</v>
      </c>
      <c r="V536" s="175"/>
      <c r="W536" s="242" t="s">
        <v>828</v>
      </c>
      <c r="X536" s="228">
        <v>9.699453551912568E-2</v>
      </c>
      <c r="Y536" s="248">
        <v>40</v>
      </c>
      <c r="AA536" s="248">
        <v>40</v>
      </c>
      <c r="AB536" s="175"/>
      <c r="AC536" s="248">
        <f t="shared" si="34"/>
        <v>10</v>
      </c>
      <c r="AD536" s="249">
        <v>-6.1413997178586859E-2</v>
      </c>
      <c r="AE536" s="228">
        <f t="shared" si="33"/>
        <v>0.1122328118842657</v>
      </c>
      <c r="AG536" s="228"/>
      <c r="AH536" s="228"/>
      <c r="AI536" s="228"/>
      <c r="AJ536" s="228"/>
      <c r="AK536" s="228"/>
    </row>
    <row r="537" spans="4:37" x14ac:dyDescent="0.2">
      <c r="D537" s="75">
        <v>11</v>
      </c>
      <c r="E537" s="80">
        <v>6</v>
      </c>
      <c r="F537" s="80">
        <v>6</v>
      </c>
      <c r="H537" s="239" t="s">
        <v>828</v>
      </c>
      <c r="I537" s="239" t="s">
        <v>828</v>
      </c>
      <c r="J537" s="239" t="s">
        <v>828</v>
      </c>
      <c r="L537" s="239" t="s">
        <v>828</v>
      </c>
      <c r="M537" s="95"/>
      <c r="N537" s="95"/>
      <c r="O537" s="95"/>
      <c r="T537" s="240" t="s">
        <v>828</v>
      </c>
      <c r="U537" s="241" t="s">
        <v>828</v>
      </c>
      <c r="V537" s="175"/>
      <c r="W537" s="242" t="s">
        <v>828</v>
      </c>
      <c r="X537" s="228">
        <v>9.9685683827416702E-2</v>
      </c>
      <c r="Y537" s="248">
        <v>47</v>
      </c>
      <c r="AA537" s="248">
        <v>47</v>
      </c>
      <c r="AB537" s="175"/>
      <c r="AC537" s="248">
        <f t="shared" si="34"/>
        <v>11</v>
      </c>
      <c r="AD537" s="249">
        <v>-4.3740542274417309E-2</v>
      </c>
      <c r="AE537" s="228">
        <f t="shared" si="33"/>
        <v>0.1122328118842657</v>
      </c>
      <c r="AG537" s="228"/>
      <c r="AH537" s="228"/>
      <c r="AI537" s="228"/>
      <c r="AJ537" s="228"/>
      <c r="AK537" s="228"/>
    </row>
    <row r="538" spans="4:37" x14ac:dyDescent="0.2">
      <c r="D538" s="75">
        <v>12</v>
      </c>
      <c r="E538" s="80">
        <v>6</v>
      </c>
      <c r="F538" s="80">
        <v>6</v>
      </c>
      <c r="H538" s="239" t="s">
        <v>828</v>
      </c>
      <c r="I538" s="239" t="s">
        <v>828</v>
      </c>
      <c r="J538" s="239" t="s">
        <v>828</v>
      </c>
      <c r="L538" s="239" t="s">
        <v>828</v>
      </c>
      <c r="M538" s="95"/>
      <c r="N538" s="95"/>
      <c r="O538" s="95"/>
      <c r="T538" s="240" t="s">
        <v>828</v>
      </c>
      <c r="U538" s="241" t="s">
        <v>828</v>
      </c>
      <c r="V538" s="175"/>
      <c r="W538" s="242" t="s">
        <v>828</v>
      </c>
      <c r="X538" s="228">
        <v>-6.1413997178586859E-2</v>
      </c>
      <c r="Y538" s="248">
        <v>10</v>
      </c>
      <c r="AA538" s="248">
        <v>10</v>
      </c>
      <c r="AB538" s="175"/>
      <c r="AC538" s="248">
        <f t="shared" si="34"/>
        <v>12</v>
      </c>
      <c r="AD538" s="249">
        <v>-4.0990419619962533E-2</v>
      </c>
      <c r="AE538" s="228">
        <f t="shared" si="33"/>
        <v>0.1122328118842657</v>
      </c>
      <c r="AG538" s="228"/>
      <c r="AH538" s="228"/>
      <c r="AI538" s="228"/>
      <c r="AJ538" s="228"/>
      <c r="AK538" s="228"/>
    </row>
    <row r="539" spans="4:37" x14ac:dyDescent="0.2">
      <c r="D539" s="75">
        <v>13</v>
      </c>
      <c r="E539" s="80">
        <v>6</v>
      </c>
      <c r="F539" s="80">
        <v>6</v>
      </c>
      <c r="H539" s="239" t="s">
        <v>828</v>
      </c>
      <c r="I539" s="239" t="s">
        <v>828</v>
      </c>
      <c r="J539" s="239" t="s">
        <v>828</v>
      </c>
      <c r="L539" s="239" t="s">
        <v>828</v>
      </c>
      <c r="M539" s="95"/>
      <c r="N539" s="95"/>
      <c r="O539" s="95"/>
      <c r="T539" s="240" t="s">
        <v>828</v>
      </c>
      <c r="U539" s="241" t="s">
        <v>828</v>
      </c>
      <c r="V539" s="175"/>
      <c r="W539" s="242" t="s">
        <v>828</v>
      </c>
      <c r="X539" s="228">
        <v>-4.0990419619962533E-2</v>
      </c>
      <c r="Y539" s="248">
        <v>12</v>
      </c>
      <c r="AA539" s="248">
        <v>12</v>
      </c>
      <c r="AB539" s="175"/>
      <c r="AC539" s="248">
        <f t="shared" si="34"/>
        <v>13</v>
      </c>
      <c r="AD539" s="249">
        <v>-3.0833465886462776E-2</v>
      </c>
      <c r="AE539" s="228">
        <f t="shared" si="33"/>
        <v>0.1122328118842657</v>
      </c>
      <c r="AG539" s="228"/>
      <c r="AH539" s="228"/>
      <c r="AI539" s="228"/>
      <c r="AJ539" s="228"/>
      <c r="AK539" s="228"/>
    </row>
    <row r="540" spans="4:37" x14ac:dyDescent="0.2">
      <c r="D540" s="75">
        <v>14</v>
      </c>
      <c r="E540" s="80">
        <v>6</v>
      </c>
      <c r="F540" s="80">
        <v>6</v>
      </c>
      <c r="H540" s="239" t="s">
        <v>828</v>
      </c>
      <c r="I540" s="239" t="s">
        <v>828</v>
      </c>
      <c r="J540" s="239" t="s">
        <v>828</v>
      </c>
      <c r="L540" s="239" t="s">
        <v>828</v>
      </c>
      <c r="M540" s="95"/>
      <c r="N540" s="95"/>
      <c r="O540" s="95"/>
      <c r="T540" s="240" t="s">
        <v>828</v>
      </c>
      <c r="U540" s="241" t="s">
        <v>828</v>
      </c>
      <c r="V540" s="175"/>
      <c r="W540" s="242" t="s">
        <v>828</v>
      </c>
      <c r="X540" s="228">
        <v>-0.10725260869206832</v>
      </c>
      <c r="Y540" s="248">
        <v>3</v>
      </c>
      <c r="AA540" s="248">
        <v>3</v>
      </c>
      <c r="AB540" s="175"/>
      <c r="AC540" s="248">
        <f t="shared" si="34"/>
        <v>14</v>
      </c>
      <c r="AD540" s="249">
        <v>-2.4809989692188741E-2</v>
      </c>
      <c r="AE540" s="228">
        <f t="shared" si="33"/>
        <v>0.1122328118842657</v>
      </c>
      <c r="AG540" s="228"/>
      <c r="AH540" s="228"/>
      <c r="AI540" s="228"/>
      <c r="AJ540" s="228"/>
      <c r="AK540" s="228"/>
    </row>
    <row r="541" spans="4:37" x14ac:dyDescent="0.2">
      <c r="D541" s="75">
        <v>15</v>
      </c>
      <c r="E541" s="80">
        <v>6</v>
      </c>
      <c r="F541" s="80">
        <v>6</v>
      </c>
      <c r="H541" s="239" t="s">
        <v>828</v>
      </c>
      <c r="I541" s="239" t="s">
        <v>828</v>
      </c>
      <c r="J541" s="239" t="s">
        <v>828</v>
      </c>
      <c r="L541" s="239" t="s">
        <v>828</v>
      </c>
      <c r="M541" s="95"/>
      <c r="N541" s="95"/>
      <c r="O541" s="95"/>
      <c r="T541" s="240" t="s">
        <v>828</v>
      </c>
      <c r="U541" s="241" t="s">
        <v>828</v>
      </c>
      <c r="V541" s="175"/>
      <c r="W541" s="242" t="s">
        <v>828</v>
      </c>
      <c r="X541" s="228">
        <v>9.699453551912568E-2</v>
      </c>
      <c r="Y541" s="248">
        <v>40</v>
      </c>
      <c r="AA541" s="248">
        <v>41</v>
      </c>
      <c r="AB541" s="175"/>
      <c r="AC541" s="248">
        <f t="shared" si="34"/>
        <v>15</v>
      </c>
      <c r="AD541" s="249">
        <v>-2.3851854318814075E-2</v>
      </c>
      <c r="AE541" s="228">
        <f t="shared" si="33"/>
        <v>0.1122328118842657</v>
      </c>
      <c r="AG541" s="228"/>
      <c r="AH541" s="228"/>
      <c r="AI541" s="228"/>
      <c r="AJ541" s="228"/>
      <c r="AK541" s="228"/>
    </row>
    <row r="542" spans="4:37" x14ac:dyDescent="0.2">
      <c r="D542" s="75">
        <v>16</v>
      </c>
      <c r="E542" s="80">
        <v>6</v>
      </c>
      <c r="F542" s="80">
        <v>6</v>
      </c>
      <c r="H542" s="239" t="s">
        <v>828</v>
      </c>
      <c r="I542" s="239" t="s">
        <v>828</v>
      </c>
      <c r="J542" s="239" t="s">
        <v>828</v>
      </c>
      <c r="L542" s="239" t="s">
        <v>828</v>
      </c>
      <c r="M542" s="95"/>
      <c r="N542" s="95"/>
      <c r="O542" s="95"/>
      <c r="T542" s="240" t="s">
        <v>828</v>
      </c>
      <c r="U542" s="241" t="s">
        <v>828</v>
      </c>
      <c r="V542" s="175"/>
      <c r="W542" s="242" t="s">
        <v>828</v>
      </c>
      <c r="X542" s="228">
        <v>-3.0833465886462776E-2</v>
      </c>
      <c r="Y542" s="248">
        <v>13</v>
      </c>
      <c r="AA542" s="248">
        <v>13</v>
      </c>
      <c r="AB542" s="175"/>
      <c r="AC542" s="248">
        <f t="shared" si="34"/>
        <v>16</v>
      </c>
      <c r="AD542" s="249">
        <v>-4.6924457886590451E-3</v>
      </c>
      <c r="AE542" s="228">
        <f t="shared" si="33"/>
        <v>0.1122328118842657</v>
      </c>
      <c r="AG542" s="228"/>
      <c r="AH542" s="228"/>
      <c r="AI542" s="228"/>
      <c r="AJ542" s="228"/>
      <c r="AK542" s="228"/>
    </row>
    <row r="543" spans="4:37" x14ac:dyDescent="0.2">
      <c r="D543" s="75">
        <v>17</v>
      </c>
      <c r="E543" s="80">
        <v>6</v>
      </c>
      <c r="F543" s="80">
        <v>6</v>
      </c>
      <c r="H543" s="239" t="s">
        <v>828</v>
      </c>
      <c r="I543" s="239" t="s">
        <v>828</v>
      </c>
      <c r="J543" s="239" t="s">
        <v>828</v>
      </c>
      <c r="L543" s="239" t="s">
        <v>828</v>
      </c>
      <c r="M543" s="95"/>
      <c r="N543" s="95"/>
      <c r="O543" s="95"/>
      <c r="T543" s="240" t="s">
        <v>828</v>
      </c>
      <c r="U543" s="241" t="s">
        <v>828</v>
      </c>
      <c r="V543" s="175"/>
      <c r="W543" s="242" t="s">
        <v>828</v>
      </c>
      <c r="X543" s="228">
        <v>-0.34663381948202676</v>
      </c>
      <c r="Y543" s="248">
        <v>1</v>
      </c>
      <c r="AA543" s="248">
        <v>1</v>
      </c>
      <c r="AB543" s="175"/>
      <c r="AC543" s="248">
        <f t="shared" si="34"/>
        <v>17</v>
      </c>
      <c r="AD543" s="249">
        <v>-2.2771310515587136E-4</v>
      </c>
      <c r="AE543" s="228">
        <f t="shared" si="33"/>
        <v>0.1122328118842657</v>
      </c>
      <c r="AG543" s="228"/>
      <c r="AH543" s="228"/>
      <c r="AI543" s="228"/>
      <c r="AJ543" s="228"/>
      <c r="AK543" s="228"/>
    </row>
    <row r="544" spans="4:37" x14ac:dyDescent="0.2">
      <c r="D544" s="75">
        <v>18</v>
      </c>
      <c r="E544" s="80">
        <v>6</v>
      </c>
      <c r="F544" s="80">
        <v>6</v>
      </c>
      <c r="H544" s="239" t="s">
        <v>828</v>
      </c>
      <c r="I544" s="239" t="s">
        <v>828</v>
      </c>
      <c r="J544" s="239" t="s">
        <v>828</v>
      </c>
      <c r="L544" s="239" t="s">
        <v>828</v>
      </c>
      <c r="M544" s="95"/>
      <c r="N544" s="95"/>
      <c r="O544" s="95"/>
      <c r="T544" s="240" t="s">
        <v>828</v>
      </c>
      <c r="U544" s="241" t="s">
        <v>828</v>
      </c>
      <c r="V544" s="175"/>
      <c r="W544" s="242" t="s">
        <v>828</v>
      </c>
      <c r="X544" s="228">
        <v>1.0172654707937505E-2</v>
      </c>
      <c r="Y544" s="248">
        <v>19</v>
      </c>
      <c r="AA544" s="248">
        <v>19</v>
      </c>
      <c r="AB544" s="175"/>
      <c r="AC544" s="248">
        <f t="shared" si="34"/>
        <v>18</v>
      </c>
      <c r="AD544" s="249">
        <v>4.581583804173187E-4</v>
      </c>
      <c r="AE544" s="228">
        <f t="shared" si="33"/>
        <v>0.1122328118842657</v>
      </c>
      <c r="AG544" s="228"/>
      <c r="AH544" s="228"/>
      <c r="AI544" s="228"/>
      <c r="AJ544" s="228"/>
      <c r="AK544" s="228"/>
    </row>
    <row r="545" spans="4:37" x14ac:dyDescent="0.2">
      <c r="D545" s="75">
        <v>19</v>
      </c>
      <c r="E545" s="80">
        <v>6</v>
      </c>
      <c r="F545" s="80">
        <v>6</v>
      </c>
      <c r="H545" s="239" t="s">
        <v>828</v>
      </c>
      <c r="I545" s="239" t="s">
        <v>828</v>
      </c>
      <c r="J545" s="239" t="s">
        <v>828</v>
      </c>
      <c r="L545" s="239" t="s">
        <v>828</v>
      </c>
      <c r="M545" s="95"/>
      <c r="N545" s="95"/>
      <c r="O545" s="95"/>
      <c r="T545" s="240" t="s">
        <v>828</v>
      </c>
      <c r="U545" s="241" t="s">
        <v>828</v>
      </c>
      <c r="V545" s="175"/>
      <c r="W545" s="242" t="s">
        <v>828</v>
      </c>
      <c r="X545" s="228">
        <v>-2.3851854318814075E-2</v>
      </c>
      <c r="Y545" s="248">
        <v>15</v>
      </c>
      <c r="AA545" s="248">
        <v>15</v>
      </c>
      <c r="AB545" s="175"/>
      <c r="AC545" s="248">
        <f t="shared" si="34"/>
        <v>19</v>
      </c>
      <c r="AD545" s="249">
        <v>1.0172654707937505E-2</v>
      </c>
      <c r="AE545" s="228">
        <f t="shared" si="33"/>
        <v>0.1122328118842657</v>
      </c>
      <c r="AG545" s="228"/>
      <c r="AH545" s="228"/>
      <c r="AI545" s="228"/>
      <c r="AJ545" s="228"/>
      <c r="AK545" s="228"/>
    </row>
    <row r="546" spans="4:37" x14ac:dyDescent="0.2">
      <c r="D546" s="75">
        <v>20</v>
      </c>
      <c r="E546" s="80">
        <v>6</v>
      </c>
      <c r="F546" s="80">
        <v>6</v>
      </c>
      <c r="H546" s="239" t="s">
        <v>828</v>
      </c>
      <c r="I546" s="239" t="s">
        <v>828</v>
      </c>
      <c r="J546" s="239" t="s">
        <v>828</v>
      </c>
      <c r="L546" s="239" t="s">
        <v>828</v>
      </c>
      <c r="M546" s="95"/>
      <c r="N546" s="95"/>
      <c r="O546" s="95"/>
      <c r="T546" s="240" t="s">
        <v>828</v>
      </c>
      <c r="U546" s="241" t="s">
        <v>828</v>
      </c>
      <c r="V546" s="175"/>
      <c r="W546" s="242" t="s">
        <v>828</v>
      </c>
      <c r="X546" s="228">
        <v>-2.4809989692188741E-2</v>
      </c>
      <c r="Y546" s="248">
        <v>14</v>
      </c>
      <c r="AA546" s="248">
        <v>14</v>
      </c>
      <c r="AB546" s="175"/>
      <c r="AC546" s="248">
        <f t="shared" si="34"/>
        <v>20</v>
      </c>
      <c r="AD546" s="249">
        <v>1.5114795180549421E-2</v>
      </c>
      <c r="AE546" s="228">
        <f t="shared" si="33"/>
        <v>0.1122328118842657</v>
      </c>
      <c r="AG546" s="228"/>
      <c r="AH546" s="228"/>
      <c r="AI546" s="228"/>
      <c r="AJ546" s="228"/>
      <c r="AK546" s="228"/>
    </row>
    <row r="547" spans="4:37" x14ac:dyDescent="0.2">
      <c r="D547" s="75">
        <v>21</v>
      </c>
      <c r="E547" s="80">
        <v>6</v>
      </c>
      <c r="F547" s="80">
        <v>6</v>
      </c>
      <c r="H547" s="239" t="s">
        <v>828</v>
      </c>
      <c r="I547" s="239" t="s">
        <v>828</v>
      </c>
      <c r="J547" s="239" t="s">
        <v>828</v>
      </c>
      <c r="L547" s="239" t="s">
        <v>828</v>
      </c>
      <c r="M547" s="95"/>
      <c r="N547" s="95"/>
      <c r="O547" s="95"/>
      <c r="T547" s="240" t="s">
        <v>828</v>
      </c>
      <c r="U547" s="241" t="s">
        <v>828</v>
      </c>
      <c r="V547" s="175"/>
      <c r="W547" s="242" t="s">
        <v>828</v>
      </c>
      <c r="X547" s="228">
        <v>1.5114795180549421E-2</v>
      </c>
      <c r="Y547" s="248">
        <v>20</v>
      </c>
      <c r="AA547" s="248">
        <v>20</v>
      </c>
      <c r="AB547" s="175"/>
      <c r="AC547" s="248">
        <f t="shared" si="34"/>
        <v>21</v>
      </c>
      <c r="AD547" s="249">
        <v>1.6072098843383623E-2</v>
      </c>
      <c r="AE547" s="228">
        <f t="shared" si="33"/>
        <v>0.1122328118842657</v>
      </c>
      <c r="AG547" s="228"/>
      <c r="AH547" s="228"/>
      <c r="AI547" s="228"/>
      <c r="AJ547" s="228"/>
      <c r="AK547" s="228"/>
    </row>
    <row r="548" spans="4:37" x14ac:dyDescent="0.2">
      <c r="D548" s="75">
        <v>22</v>
      </c>
      <c r="E548" s="80">
        <v>6</v>
      </c>
      <c r="F548" s="80">
        <v>6</v>
      </c>
      <c r="H548" s="239" t="s">
        <v>828</v>
      </c>
      <c r="I548" s="239" t="s">
        <v>828</v>
      </c>
      <c r="J548" s="239" t="s">
        <v>828</v>
      </c>
      <c r="L548" s="239" t="s">
        <v>828</v>
      </c>
      <c r="M548" s="95"/>
      <c r="N548" s="95"/>
      <c r="O548" s="95"/>
      <c r="T548" s="240" t="s">
        <v>828</v>
      </c>
      <c r="U548" s="241" t="s">
        <v>828</v>
      </c>
      <c r="V548" s="175"/>
      <c r="W548" s="242" t="s">
        <v>828</v>
      </c>
      <c r="X548" s="228">
        <v>4.581583804173187E-4</v>
      </c>
      <c r="Y548" s="248">
        <v>18</v>
      </c>
      <c r="AA548" s="248">
        <v>18</v>
      </c>
      <c r="AB548" s="175"/>
      <c r="AC548" s="248">
        <f t="shared" si="34"/>
        <v>22</v>
      </c>
      <c r="AD548" s="249">
        <v>1.6796581671116518E-2</v>
      </c>
      <c r="AE548" s="228">
        <f t="shared" si="33"/>
        <v>0.1122328118842657</v>
      </c>
      <c r="AG548" s="228"/>
      <c r="AH548" s="228"/>
      <c r="AI548" s="228"/>
      <c r="AJ548" s="228"/>
      <c r="AK548" s="228"/>
    </row>
    <row r="549" spans="4:37" x14ac:dyDescent="0.2">
      <c r="D549" s="75">
        <v>23</v>
      </c>
      <c r="E549" s="80">
        <v>6</v>
      </c>
      <c r="F549" s="80">
        <v>6</v>
      </c>
      <c r="H549" s="239" t="s">
        <v>828</v>
      </c>
      <c r="I549" s="239" t="s">
        <v>828</v>
      </c>
      <c r="J549" s="239" t="s">
        <v>828</v>
      </c>
      <c r="L549" s="239" t="s">
        <v>828</v>
      </c>
      <c r="M549" s="95"/>
      <c r="N549" s="95"/>
      <c r="O549" s="95"/>
      <c r="T549" s="240" t="s">
        <v>828</v>
      </c>
      <c r="U549" s="241" t="s">
        <v>828</v>
      </c>
      <c r="V549" s="175"/>
      <c r="W549" s="242" t="s">
        <v>828</v>
      </c>
      <c r="X549" s="228">
        <v>-4.6924457886590451E-3</v>
      </c>
      <c r="Y549" s="248">
        <v>16</v>
      </c>
      <c r="AA549" s="248">
        <v>16</v>
      </c>
      <c r="AB549" s="175"/>
      <c r="AC549" s="248">
        <f t="shared" si="34"/>
        <v>23</v>
      </c>
      <c r="AD549" s="249">
        <v>2.2353806615985152E-2</v>
      </c>
      <c r="AE549" s="228">
        <f t="shared" si="33"/>
        <v>0.1122328118842657</v>
      </c>
      <c r="AG549" s="228"/>
      <c r="AH549" s="228"/>
      <c r="AI549" s="228"/>
      <c r="AJ549" s="228"/>
      <c r="AK549" s="228"/>
    </row>
    <row r="550" spans="4:37" x14ac:dyDescent="0.2">
      <c r="D550" s="75">
        <v>24</v>
      </c>
      <c r="E550" s="80">
        <v>6</v>
      </c>
      <c r="F550" s="80">
        <v>6</v>
      </c>
      <c r="H550" s="239" t="s">
        <v>828</v>
      </c>
      <c r="I550" s="239" t="s">
        <v>828</v>
      </c>
      <c r="J550" s="239" t="s">
        <v>828</v>
      </c>
      <c r="L550" s="239" t="s">
        <v>828</v>
      </c>
      <c r="M550" s="95"/>
      <c r="N550" s="95"/>
      <c r="O550" s="95"/>
      <c r="T550" s="240" t="s">
        <v>828</v>
      </c>
      <c r="U550" s="241" t="s">
        <v>828</v>
      </c>
      <c r="V550" s="175"/>
      <c r="W550" s="242" t="s">
        <v>828</v>
      </c>
      <c r="X550" s="228">
        <v>5.7211241264578744E-2</v>
      </c>
      <c r="Y550" s="248">
        <v>32</v>
      </c>
      <c r="AA550" s="248">
        <v>32</v>
      </c>
      <c r="AB550" s="175"/>
      <c r="AC550" s="248">
        <f t="shared" si="34"/>
        <v>24</v>
      </c>
      <c r="AD550" s="249">
        <v>2.7439554698770047E-2</v>
      </c>
      <c r="AE550" s="228">
        <f t="shared" si="33"/>
        <v>0.1122328118842657</v>
      </c>
      <c r="AG550" s="228"/>
      <c r="AH550" s="228"/>
      <c r="AI550" s="228"/>
      <c r="AJ550" s="228"/>
      <c r="AK550" s="228"/>
    </row>
    <row r="551" spans="4:37" x14ac:dyDescent="0.2">
      <c r="D551" s="75">
        <v>25</v>
      </c>
      <c r="E551" s="80">
        <v>6</v>
      </c>
      <c r="F551" s="80">
        <v>6</v>
      </c>
      <c r="H551" s="239" t="s">
        <v>828</v>
      </c>
      <c r="I551" s="239" t="s">
        <v>828</v>
      </c>
      <c r="J551" s="239" t="s">
        <v>828</v>
      </c>
      <c r="L551" s="239" t="s">
        <v>828</v>
      </c>
      <c r="M551" s="95"/>
      <c r="N551" s="95"/>
      <c r="O551" s="95"/>
      <c r="T551" s="240" t="s">
        <v>828</v>
      </c>
      <c r="U551" s="241" t="s">
        <v>828</v>
      </c>
      <c r="V551" s="175"/>
      <c r="W551" s="242" t="s">
        <v>828</v>
      </c>
      <c r="X551" s="228">
        <v>1.6072098843383623E-2</v>
      </c>
      <c r="Y551" s="248">
        <v>21</v>
      </c>
      <c r="AA551" s="248">
        <v>21</v>
      </c>
      <c r="AB551" s="175"/>
      <c r="AC551" s="248">
        <f t="shared" si="34"/>
        <v>25</v>
      </c>
      <c r="AD551" s="249">
        <v>2.9550585449906051E-2</v>
      </c>
      <c r="AE551" s="228">
        <f t="shared" si="33"/>
        <v>0.1122328118842657</v>
      </c>
      <c r="AG551" s="228"/>
      <c r="AH551" s="228"/>
      <c r="AI551" s="228"/>
      <c r="AJ551" s="228"/>
      <c r="AK551" s="228"/>
    </row>
    <row r="552" spans="4:37" x14ac:dyDescent="0.2">
      <c r="D552" s="75">
        <v>26</v>
      </c>
      <c r="E552" s="80">
        <v>6</v>
      </c>
      <c r="F552" s="80">
        <v>6</v>
      </c>
      <c r="H552" s="239" t="s">
        <v>828</v>
      </c>
      <c r="I552" s="239" t="s">
        <v>828</v>
      </c>
      <c r="J552" s="239" t="s">
        <v>828</v>
      </c>
      <c r="L552" s="239" t="s">
        <v>828</v>
      </c>
      <c r="M552" s="95"/>
      <c r="N552" s="95"/>
      <c r="O552" s="95"/>
      <c r="T552" s="240" t="s">
        <v>828</v>
      </c>
      <c r="U552" s="241" t="s">
        <v>828</v>
      </c>
      <c r="V552" s="175"/>
      <c r="W552" s="242" t="s">
        <v>828</v>
      </c>
      <c r="X552" s="228">
        <v>-2.2771310515587136E-4</v>
      </c>
      <c r="Y552" s="248">
        <v>17</v>
      </c>
      <c r="AA552" s="248">
        <v>17</v>
      </c>
      <c r="AB552" s="175"/>
      <c r="AC552" s="248">
        <f t="shared" si="34"/>
        <v>26</v>
      </c>
      <c r="AD552" s="249">
        <v>3.8262752215596725E-2</v>
      </c>
      <c r="AE552" s="228">
        <f t="shared" si="33"/>
        <v>0.1122328118842657</v>
      </c>
      <c r="AG552" s="228"/>
      <c r="AH552" s="228"/>
      <c r="AI552" s="228"/>
      <c r="AJ552" s="228"/>
      <c r="AK552" s="228"/>
    </row>
    <row r="553" spans="4:37" x14ac:dyDescent="0.2">
      <c r="D553" s="75">
        <v>27</v>
      </c>
      <c r="E553" s="80">
        <v>6</v>
      </c>
      <c r="F553" s="80">
        <v>6</v>
      </c>
      <c r="H553" s="239" t="s">
        <v>828</v>
      </c>
      <c r="I553" s="239" t="s">
        <v>828</v>
      </c>
      <c r="J553" s="239" t="s">
        <v>828</v>
      </c>
      <c r="L553" s="239" t="s">
        <v>828</v>
      </c>
      <c r="M553" s="95"/>
      <c r="N553" s="95"/>
      <c r="O553" s="95"/>
      <c r="T553" s="240" t="s">
        <v>828</v>
      </c>
      <c r="U553" s="241" t="s">
        <v>828</v>
      </c>
      <c r="V553" s="175"/>
      <c r="W553" s="242" t="s">
        <v>828</v>
      </c>
      <c r="X553" s="228">
        <v>5.3606148965675962E-2</v>
      </c>
      <c r="Y553" s="248">
        <v>30</v>
      </c>
      <c r="AA553" s="248">
        <v>30</v>
      </c>
      <c r="AB553" s="175"/>
      <c r="AC553" s="248">
        <f t="shared" si="34"/>
        <v>27</v>
      </c>
      <c r="AD553" s="249">
        <v>4.0453320053697048E-2</v>
      </c>
      <c r="AE553" s="228">
        <f t="shared" si="33"/>
        <v>0.1122328118842657</v>
      </c>
      <c r="AG553" s="228"/>
      <c r="AH553" s="228"/>
      <c r="AI553" s="228"/>
      <c r="AJ553" s="228"/>
      <c r="AK553" s="228"/>
    </row>
    <row r="554" spans="4:37" x14ac:dyDescent="0.2">
      <c r="D554" s="75">
        <v>28</v>
      </c>
      <c r="E554" s="80">
        <v>6</v>
      </c>
      <c r="F554" s="80">
        <v>6</v>
      </c>
      <c r="H554" s="239" t="s">
        <v>828</v>
      </c>
      <c r="I554" s="239" t="s">
        <v>828</v>
      </c>
      <c r="J554" s="239" t="s">
        <v>828</v>
      </c>
      <c r="L554" s="239" t="s">
        <v>828</v>
      </c>
      <c r="M554" s="95"/>
      <c r="N554" s="95"/>
      <c r="O554" s="95"/>
      <c r="T554" s="240" t="s">
        <v>828</v>
      </c>
      <c r="U554" s="241" t="s">
        <v>828</v>
      </c>
      <c r="V554" s="175"/>
      <c r="W554" s="242" t="s">
        <v>828</v>
      </c>
      <c r="X554" s="228">
        <v>2.2353806615985152E-2</v>
      </c>
      <c r="Y554" s="248">
        <v>23</v>
      </c>
      <c r="AA554" s="248">
        <v>23</v>
      </c>
      <c r="AB554" s="175"/>
      <c r="AC554" s="248">
        <f t="shared" si="34"/>
        <v>28</v>
      </c>
      <c r="AD554" s="249">
        <v>4.7496665046676767E-2</v>
      </c>
      <c r="AE554" s="228">
        <f t="shared" si="33"/>
        <v>0.1122328118842657</v>
      </c>
      <c r="AG554" s="228"/>
      <c r="AH554" s="228"/>
      <c r="AI554" s="228"/>
      <c r="AJ554" s="228"/>
      <c r="AK554" s="228"/>
    </row>
    <row r="555" spans="4:37" x14ac:dyDescent="0.2">
      <c r="D555" s="75">
        <v>29</v>
      </c>
      <c r="E555" s="80">
        <v>6</v>
      </c>
      <c r="F555" s="80">
        <v>6</v>
      </c>
      <c r="H555" s="239" t="s">
        <v>828</v>
      </c>
      <c r="I555" s="239" t="s">
        <v>828</v>
      </c>
      <c r="J555" s="239" t="s">
        <v>828</v>
      </c>
      <c r="L555" s="239" t="s">
        <v>828</v>
      </c>
      <c r="M555" s="95"/>
      <c r="N555" s="95"/>
      <c r="O555" s="95"/>
      <c r="T555" s="240" t="s">
        <v>828</v>
      </c>
      <c r="U555" s="241" t="s">
        <v>828</v>
      </c>
      <c r="V555" s="175"/>
      <c r="W555" s="242" t="s">
        <v>828</v>
      </c>
      <c r="X555" s="228">
        <v>2.7439554698770047E-2</v>
      </c>
      <c r="Y555" s="248">
        <v>24</v>
      </c>
      <c r="AA555" s="248">
        <v>24</v>
      </c>
      <c r="AB555" s="175"/>
      <c r="AC555" s="248">
        <f t="shared" si="34"/>
        <v>29</v>
      </c>
      <c r="AD555" s="249">
        <v>4.9616512614626407E-2</v>
      </c>
      <c r="AE555" s="228">
        <f t="shared" si="33"/>
        <v>0.1122328118842657</v>
      </c>
      <c r="AG555" s="228"/>
      <c r="AH555" s="228"/>
      <c r="AI555" s="228"/>
      <c r="AJ555" s="228"/>
      <c r="AK555" s="228"/>
    </row>
    <row r="556" spans="4:37" x14ac:dyDescent="0.2">
      <c r="D556" s="75">
        <v>30</v>
      </c>
      <c r="E556" s="80">
        <v>6</v>
      </c>
      <c r="F556" s="80">
        <v>6</v>
      </c>
      <c r="H556" s="239" t="s">
        <v>828</v>
      </c>
      <c r="I556" s="239" t="s">
        <v>828</v>
      </c>
      <c r="J556" s="239" t="s">
        <v>828</v>
      </c>
      <c r="L556" s="239" t="s">
        <v>828</v>
      </c>
      <c r="M556" s="95"/>
      <c r="N556" s="95"/>
      <c r="O556" s="95"/>
      <c r="T556" s="240" t="s">
        <v>828</v>
      </c>
      <c r="U556" s="241" t="s">
        <v>828</v>
      </c>
      <c r="V556" s="175"/>
      <c r="W556" s="242" t="s">
        <v>828</v>
      </c>
      <c r="X556" s="228">
        <v>1.6796581671116518E-2</v>
      </c>
      <c r="Y556" s="248">
        <v>22</v>
      </c>
      <c r="AA556" s="248">
        <v>22</v>
      </c>
      <c r="AB556" s="175"/>
      <c r="AC556" s="248">
        <f t="shared" si="34"/>
        <v>30</v>
      </c>
      <c r="AD556" s="249">
        <v>5.3606148965675962E-2</v>
      </c>
      <c r="AE556" s="228">
        <f t="shared" si="33"/>
        <v>0.1122328118842657</v>
      </c>
      <c r="AG556" s="228"/>
      <c r="AH556" s="228"/>
      <c r="AI556" s="228"/>
      <c r="AJ556" s="228"/>
      <c r="AK556" s="228"/>
    </row>
    <row r="557" spans="4:37" x14ac:dyDescent="0.2">
      <c r="D557" s="75">
        <v>31</v>
      </c>
      <c r="E557" s="80">
        <v>6</v>
      </c>
      <c r="F557" s="80">
        <v>6</v>
      </c>
      <c r="H557" s="239" t="s">
        <v>828</v>
      </c>
      <c r="I557" s="239" t="s">
        <v>828</v>
      </c>
      <c r="J557" s="239" t="s">
        <v>828</v>
      </c>
      <c r="L557" s="239" t="s">
        <v>828</v>
      </c>
      <c r="M557" s="95"/>
      <c r="N557" s="95"/>
      <c r="O557" s="95"/>
      <c r="T557" s="240" t="s">
        <v>828</v>
      </c>
      <c r="U557" s="241" t="s">
        <v>828</v>
      </c>
      <c r="V557" s="175"/>
      <c r="W557" s="242" t="s">
        <v>828</v>
      </c>
      <c r="X557" s="228">
        <v>4.0453320053697048E-2</v>
      </c>
      <c r="Y557" s="248">
        <v>27</v>
      </c>
      <c r="AA557" s="248">
        <v>27</v>
      </c>
      <c r="AB557" s="175"/>
      <c r="AC557" s="248">
        <f t="shared" si="34"/>
        <v>31</v>
      </c>
      <c r="AD557" s="249">
        <v>5.7054492785158471E-2</v>
      </c>
      <c r="AE557" s="228">
        <f t="shared" si="33"/>
        <v>0.1122328118842657</v>
      </c>
      <c r="AG557" s="228"/>
      <c r="AH557" s="228"/>
      <c r="AI557" s="228"/>
      <c r="AJ557" s="228"/>
      <c r="AK557" s="228"/>
    </row>
    <row r="558" spans="4:37" x14ac:dyDescent="0.2">
      <c r="D558" s="75">
        <v>32</v>
      </c>
      <c r="E558" s="80">
        <v>6</v>
      </c>
      <c r="F558" s="80">
        <v>6</v>
      </c>
      <c r="H558" s="239" t="s">
        <v>828</v>
      </c>
      <c r="I558" s="239" t="s">
        <v>828</v>
      </c>
      <c r="J558" s="239" t="s">
        <v>828</v>
      </c>
      <c r="L558" s="239" t="s">
        <v>828</v>
      </c>
      <c r="M558" s="95"/>
      <c r="N558" s="95"/>
      <c r="O558" s="95"/>
      <c r="T558" s="240" t="s">
        <v>828</v>
      </c>
      <c r="U558" s="241" t="s">
        <v>828</v>
      </c>
      <c r="V558" s="175"/>
      <c r="W558" s="242" t="s">
        <v>828</v>
      </c>
      <c r="X558" s="228">
        <v>4.9616512614626407E-2</v>
      </c>
      <c r="Y558" s="248">
        <v>29</v>
      </c>
      <c r="AA558" s="248">
        <v>29</v>
      </c>
      <c r="AB558" s="175"/>
      <c r="AC558" s="248">
        <f t="shared" si="34"/>
        <v>32</v>
      </c>
      <c r="AD558" s="249">
        <v>5.7211241264578744E-2</v>
      </c>
      <c r="AE558" s="228">
        <f t="shared" si="33"/>
        <v>0.1122328118842657</v>
      </c>
      <c r="AG558" s="228"/>
      <c r="AH558" s="228"/>
      <c r="AI558" s="228"/>
      <c r="AJ558" s="228"/>
      <c r="AK558" s="228"/>
    </row>
    <row r="559" spans="4:37" x14ac:dyDescent="0.2">
      <c r="D559" s="75">
        <v>33</v>
      </c>
      <c r="E559" s="80">
        <v>6</v>
      </c>
      <c r="F559" s="80">
        <v>6</v>
      </c>
      <c r="H559" s="239" t="s">
        <v>828</v>
      </c>
      <c r="I559" s="239" t="s">
        <v>828</v>
      </c>
      <c r="J559" s="239" t="s">
        <v>828</v>
      </c>
      <c r="L559" s="239" t="s">
        <v>828</v>
      </c>
      <c r="M559" s="95"/>
      <c r="N559" s="95"/>
      <c r="O559" s="95"/>
      <c r="T559" s="240" t="s">
        <v>828</v>
      </c>
      <c r="U559" s="241" t="s">
        <v>828</v>
      </c>
      <c r="V559" s="175"/>
      <c r="W559" s="242" t="s">
        <v>828</v>
      </c>
      <c r="X559" s="228">
        <v>6.3433643084674113E-2</v>
      </c>
      <c r="Y559" s="248">
        <v>33</v>
      </c>
      <c r="AA559" s="248">
        <v>33</v>
      </c>
      <c r="AB559" s="175"/>
      <c r="AC559" s="248">
        <f t="shared" si="34"/>
        <v>33</v>
      </c>
      <c r="AD559" s="249">
        <v>6.3433643084674113E-2</v>
      </c>
      <c r="AE559" s="228">
        <f t="shared" si="33"/>
        <v>0.1122328118842657</v>
      </c>
      <c r="AG559" s="228"/>
      <c r="AH559" s="228"/>
      <c r="AI559" s="228"/>
      <c r="AJ559" s="228"/>
      <c r="AK559" s="228"/>
    </row>
    <row r="560" spans="4:37" x14ac:dyDescent="0.2">
      <c r="D560" s="75">
        <v>34</v>
      </c>
      <c r="E560" s="80">
        <v>6</v>
      </c>
      <c r="F560" s="80">
        <v>6</v>
      </c>
      <c r="H560" s="239" t="s">
        <v>828</v>
      </c>
      <c r="I560" s="239" t="s">
        <v>828</v>
      </c>
      <c r="J560" s="239" t="s">
        <v>828</v>
      </c>
      <c r="L560" s="239" t="s">
        <v>828</v>
      </c>
      <c r="M560" s="95"/>
      <c r="N560" s="95"/>
      <c r="O560" s="95"/>
      <c r="T560" s="240" t="s">
        <v>828</v>
      </c>
      <c r="U560" s="241" t="s">
        <v>828</v>
      </c>
      <c r="V560" s="175"/>
      <c r="W560" s="242" t="s">
        <v>828</v>
      </c>
      <c r="X560" s="228">
        <v>3.8262752215596725E-2</v>
      </c>
      <c r="Y560" s="248">
        <v>26</v>
      </c>
      <c r="AA560" s="248">
        <v>26</v>
      </c>
      <c r="AB560" s="175"/>
      <c r="AC560" s="248">
        <f t="shared" si="34"/>
        <v>34</v>
      </c>
      <c r="AD560" s="249">
        <v>6.4373718092624641E-2</v>
      </c>
      <c r="AE560" s="228">
        <f t="shared" si="33"/>
        <v>0.1122328118842657</v>
      </c>
      <c r="AG560" s="228"/>
      <c r="AH560" s="228"/>
      <c r="AI560" s="228"/>
      <c r="AJ560" s="228"/>
      <c r="AK560" s="228"/>
    </row>
    <row r="561" spans="4:37" x14ac:dyDescent="0.2">
      <c r="D561" s="75">
        <v>35</v>
      </c>
      <c r="E561" s="80">
        <v>6</v>
      </c>
      <c r="F561" s="80">
        <v>6</v>
      </c>
      <c r="H561" s="239" t="s">
        <v>828</v>
      </c>
      <c r="I561" s="239" t="s">
        <v>828</v>
      </c>
      <c r="J561" s="239" t="s">
        <v>828</v>
      </c>
      <c r="L561" s="239" t="s">
        <v>828</v>
      </c>
      <c r="M561" s="95"/>
      <c r="N561" s="95"/>
      <c r="O561" s="95"/>
      <c r="T561" s="240" t="s">
        <v>828</v>
      </c>
      <c r="U561" s="241" t="s">
        <v>828</v>
      </c>
      <c r="V561" s="175"/>
      <c r="W561" s="242" t="s">
        <v>828</v>
      </c>
      <c r="X561" s="228">
        <v>5.7054492785158471E-2</v>
      </c>
      <c r="Y561" s="248">
        <v>31</v>
      </c>
      <c r="AA561" s="248">
        <v>31</v>
      </c>
      <c r="AB561" s="175"/>
      <c r="AC561" s="248">
        <f t="shared" si="34"/>
        <v>35</v>
      </c>
      <c r="AD561" s="249">
        <v>7.0537764446639076E-2</v>
      </c>
      <c r="AE561" s="228">
        <f t="shared" si="33"/>
        <v>0.1122328118842657</v>
      </c>
      <c r="AG561" s="228"/>
      <c r="AH561" s="228"/>
      <c r="AI561" s="228"/>
      <c r="AJ561" s="228"/>
      <c r="AK561" s="228"/>
    </row>
    <row r="562" spans="4:37" x14ac:dyDescent="0.2">
      <c r="D562" s="75">
        <v>36</v>
      </c>
      <c r="E562" s="80">
        <v>6</v>
      </c>
      <c r="F562" s="80">
        <v>6</v>
      </c>
      <c r="H562" s="239" t="s">
        <v>828</v>
      </c>
      <c r="I562" s="239" t="s">
        <v>828</v>
      </c>
      <c r="J562" s="239" t="s">
        <v>828</v>
      </c>
      <c r="L562" s="239" t="s">
        <v>828</v>
      </c>
      <c r="M562" s="95"/>
      <c r="N562" s="95"/>
      <c r="O562" s="95"/>
      <c r="T562" s="240" t="s">
        <v>828</v>
      </c>
      <c r="U562" s="241" t="s">
        <v>828</v>
      </c>
      <c r="V562" s="175"/>
      <c r="W562" s="242" t="s">
        <v>828</v>
      </c>
      <c r="X562" s="228">
        <v>9.699453551912568E-2</v>
      </c>
      <c r="Y562" s="248">
        <v>40</v>
      </c>
      <c r="AA562" s="248">
        <v>42</v>
      </c>
      <c r="AB562" s="175"/>
      <c r="AC562" s="248">
        <f t="shared" si="34"/>
        <v>36</v>
      </c>
      <c r="AD562" s="249">
        <v>7.2811069991305988E-2</v>
      </c>
      <c r="AE562" s="228">
        <f t="shared" si="33"/>
        <v>0.1122328118842657</v>
      </c>
      <c r="AG562" s="228"/>
      <c r="AH562" s="228"/>
      <c r="AI562" s="228"/>
      <c r="AJ562" s="228"/>
      <c r="AK562" s="228"/>
    </row>
    <row r="563" spans="4:37" x14ac:dyDescent="0.2">
      <c r="D563" s="75">
        <v>37</v>
      </c>
      <c r="E563" s="80">
        <v>6</v>
      </c>
      <c r="F563" s="80">
        <v>6</v>
      </c>
      <c r="H563" s="239" t="s">
        <v>828</v>
      </c>
      <c r="I563" s="239" t="s">
        <v>828</v>
      </c>
      <c r="J563" s="239" t="s">
        <v>828</v>
      </c>
      <c r="L563" s="239" t="s">
        <v>828</v>
      </c>
      <c r="M563" s="95"/>
      <c r="N563" s="95"/>
      <c r="O563" s="95"/>
      <c r="T563" s="240" t="s">
        <v>828</v>
      </c>
      <c r="U563" s="241" t="s">
        <v>828</v>
      </c>
      <c r="V563" s="175"/>
      <c r="W563" s="242" t="s">
        <v>828</v>
      </c>
      <c r="X563" s="228">
        <v>2.9550585449906051E-2</v>
      </c>
      <c r="Y563" s="248">
        <v>25</v>
      </c>
      <c r="AA563" s="248">
        <v>25</v>
      </c>
      <c r="AB563" s="175"/>
      <c r="AC563" s="248">
        <f t="shared" si="34"/>
        <v>37</v>
      </c>
      <c r="AD563" s="249">
        <v>7.6962769076460311E-2</v>
      </c>
      <c r="AE563" s="228">
        <f t="shared" si="33"/>
        <v>0.1122328118842657</v>
      </c>
      <c r="AG563" s="228"/>
      <c r="AH563" s="228"/>
      <c r="AI563" s="228"/>
      <c r="AJ563" s="228"/>
      <c r="AK563" s="228"/>
    </row>
    <row r="564" spans="4:37" x14ac:dyDescent="0.2">
      <c r="D564" s="75">
        <v>38</v>
      </c>
      <c r="E564" s="80">
        <v>6</v>
      </c>
      <c r="F564" s="80">
        <v>6</v>
      </c>
      <c r="H564" s="239" t="s">
        <v>828</v>
      </c>
      <c r="I564" s="239" t="s">
        <v>828</v>
      </c>
      <c r="J564" s="239" t="s">
        <v>828</v>
      </c>
      <c r="L564" s="239" t="s">
        <v>828</v>
      </c>
      <c r="M564" s="95"/>
      <c r="N564" s="95"/>
      <c r="O564" s="95"/>
      <c r="T564" s="240" t="s">
        <v>828</v>
      </c>
      <c r="U564" s="241" t="s">
        <v>828</v>
      </c>
      <c r="V564" s="175"/>
      <c r="W564" s="242" t="s">
        <v>828</v>
      </c>
      <c r="X564" s="228">
        <v>6.4373718092624641E-2</v>
      </c>
      <c r="Y564" s="248">
        <v>34</v>
      </c>
      <c r="AA564" s="248">
        <v>34</v>
      </c>
      <c r="AB564" s="175"/>
      <c r="AC564" s="248">
        <f t="shared" si="34"/>
        <v>38</v>
      </c>
      <c r="AD564" s="249">
        <v>8.1839013842212538E-2</v>
      </c>
      <c r="AE564" s="228">
        <f t="shared" si="33"/>
        <v>0.1122328118842657</v>
      </c>
      <c r="AG564" s="228"/>
      <c r="AH564" s="228"/>
      <c r="AI564" s="228"/>
      <c r="AJ564" s="228"/>
      <c r="AK564" s="228"/>
    </row>
    <row r="565" spans="4:37" x14ac:dyDescent="0.2">
      <c r="D565" s="75">
        <v>39</v>
      </c>
      <c r="E565" s="80">
        <v>6</v>
      </c>
      <c r="F565" s="80">
        <v>6</v>
      </c>
      <c r="H565" s="239" t="s">
        <v>828</v>
      </c>
      <c r="I565" s="239" t="s">
        <v>828</v>
      </c>
      <c r="J565" s="239" t="s">
        <v>828</v>
      </c>
      <c r="L565" s="239" t="s">
        <v>828</v>
      </c>
      <c r="M565" s="95"/>
      <c r="N565" s="95"/>
      <c r="O565" s="95"/>
      <c r="T565" s="240" t="s">
        <v>828</v>
      </c>
      <c r="U565" s="241" t="s">
        <v>828</v>
      </c>
      <c r="V565" s="175"/>
      <c r="W565" s="242" t="s">
        <v>828</v>
      </c>
      <c r="X565" s="228">
        <v>7.0537764446639076E-2</v>
      </c>
      <c r="Y565" s="248">
        <v>35</v>
      </c>
      <c r="AA565" s="248">
        <v>35</v>
      </c>
      <c r="AB565" s="175"/>
      <c r="AC565" s="248">
        <f t="shared" si="34"/>
        <v>39</v>
      </c>
      <c r="AD565" s="249">
        <v>9.084853050277425E-2</v>
      </c>
      <c r="AE565" s="228">
        <f t="shared" si="33"/>
        <v>0.1122328118842657</v>
      </c>
      <c r="AG565" s="228"/>
      <c r="AH565" s="228"/>
      <c r="AI565" s="228"/>
      <c r="AJ565" s="228"/>
      <c r="AK565" s="228"/>
    </row>
    <row r="566" spans="4:37" x14ac:dyDescent="0.2">
      <c r="D566" s="75">
        <v>40</v>
      </c>
      <c r="E566" s="80">
        <v>6</v>
      </c>
      <c r="F566" s="80">
        <v>6</v>
      </c>
      <c r="H566" s="239" t="s">
        <v>828</v>
      </c>
      <c r="I566" s="239" t="s">
        <v>828</v>
      </c>
      <c r="J566" s="239" t="s">
        <v>828</v>
      </c>
      <c r="L566" s="239" t="s">
        <v>828</v>
      </c>
      <c r="M566" s="95"/>
      <c r="N566" s="95"/>
      <c r="O566" s="95"/>
      <c r="T566" s="240" t="s">
        <v>828</v>
      </c>
      <c r="U566" s="241" t="s">
        <v>828</v>
      </c>
      <c r="V566" s="175"/>
      <c r="W566" s="242" t="s">
        <v>828</v>
      </c>
      <c r="X566" s="228">
        <v>7.2811069991305988E-2</v>
      </c>
      <c r="Y566" s="248">
        <v>36</v>
      </c>
      <c r="AA566" s="248">
        <v>36</v>
      </c>
      <c r="AB566" s="175"/>
      <c r="AC566" s="248">
        <f t="shared" si="34"/>
        <v>40</v>
      </c>
      <c r="AD566" s="249">
        <v>9.699453551912568E-2</v>
      </c>
      <c r="AE566" s="228">
        <f t="shared" si="33"/>
        <v>0.1122328118842657</v>
      </c>
      <c r="AG566" s="228"/>
      <c r="AH566" s="228"/>
      <c r="AI566" s="228"/>
      <c r="AJ566" s="228"/>
      <c r="AK566" s="228"/>
    </row>
    <row r="567" spans="4:37" x14ac:dyDescent="0.2">
      <c r="D567" s="75">
        <v>41</v>
      </c>
      <c r="E567" s="80">
        <v>6</v>
      </c>
      <c r="F567" s="80">
        <v>6</v>
      </c>
      <c r="H567" s="239" t="s">
        <v>828</v>
      </c>
      <c r="I567" s="239" t="s">
        <v>828</v>
      </c>
      <c r="J567" s="239" t="s">
        <v>828</v>
      </c>
      <c r="L567" s="239" t="s">
        <v>828</v>
      </c>
      <c r="M567" s="95"/>
      <c r="N567" s="95"/>
      <c r="O567" s="95"/>
      <c r="T567" s="240" t="s">
        <v>828</v>
      </c>
      <c r="U567" s="241" t="s">
        <v>828</v>
      </c>
      <c r="V567" s="175"/>
      <c r="W567" s="242" t="s">
        <v>828</v>
      </c>
      <c r="X567" s="228">
        <v>7.6962769076460311E-2</v>
      </c>
      <c r="Y567" s="248">
        <v>37</v>
      </c>
      <c r="AA567" s="248">
        <v>37</v>
      </c>
      <c r="AB567" s="175"/>
      <c r="AC567" s="248">
        <f t="shared" si="34"/>
        <v>41</v>
      </c>
      <c r="AD567" s="249">
        <v>9.699453551912568E-2</v>
      </c>
      <c r="AE567" s="228">
        <f t="shared" si="33"/>
        <v>0.1122328118842657</v>
      </c>
      <c r="AG567" s="228"/>
      <c r="AH567" s="228"/>
      <c r="AI567" s="228"/>
      <c r="AJ567" s="228"/>
      <c r="AK567" s="228"/>
    </row>
    <row r="568" spans="4:37" x14ac:dyDescent="0.2">
      <c r="D568" s="75">
        <v>42</v>
      </c>
      <c r="E568" s="80">
        <v>6</v>
      </c>
      <c r="F568" s="80">
        <v>6</v>
      </c>
      <c r="H568" s="239" t="s">
        <v>828</v>
      </c>
      <c r="I568" s="239" t="s">
        <v>828</v>
      </c>
      <c r="J568" s="239" t="s">
        <v>828</v>
      </c>
      <c r="L568" s="239" t="s">
        <v>828</v>
      </c>
      <c r="M568" s="95"/>
      <c r="N568" s="95"/>
      <c r="O568" s="95"/>
      <c r="T568" s="240" t="s">
        <v>828</v>
      </c>
      <c r="U568" s="241" t="s">
        <v>828</v>
      </c>
      <c r="V568" s="175"/>
      <c r="W568" s="242" t="s">
        <v>828</v>
      </c>
      <c r="X568" s="228">
        <v>8.1839013842212538E-2</v>
      </c>
      <c r="Y568" s="248">
        <v>38</v>
      </c>
      <c r="AA568" s="248">
        <v>38</v>
      </c>
      <c r="AB568" s="175"/>
      <c r="AC568" s="248">
        <f t="shared" si="34"/>
        <v>42</v>
      </c>
      <c r="AD568" s="249">
        <v>9.699453551912568E-2</v>
      </c>
      <c r="AE568" s="228">
        <f t="shared" si="33"/>
        <v>0.1122328118842657</v>
      </c>
      <c r="AG568" s="228"/>
      <c r="AH568" s="228"/>
      <c r="AI568" s="228"/>
      <c r="AJ568" s="228"/>
      <c r="AK568" s="228"/>
    </row>
    <row r="569" spans="4:37" x14ac:dyDescent="0.2">
      <c r="D569" s="75">
        <v>43</v>
      </c>
      <c r="E569" s="80">
        <v>6</v>
      </c>
      <c r="F569" s="80">
        <v>6</v>
      </c>
      <c r="H569" s="239" t="s">
        <v>828</v>
      </c>
      <c r="I569" s="239" t="s">
        <v>828</v>
      </c>
      <c r="J569" s="239" t="s">
        <v>828</v>
      </c>
      <c r="L569" s="239" t="s">
        <v>828</v>
      </c>
      <c r="M569" s="95"/>
      <c r="N569" s="95"/>
      <c r="O569" s="95"/>
      <c r="T569" s="240" t="s">
        <v>828</v>
      </c>
      <c r="U569" s="241" t="s">
        <v>828</v>
      </c>
      <c r="V569" s="175"/>
      <c r="W569" s="242" t="s">
        <v>828</v>
      </c>
      <c r="X569" s="228">
        <v>9.084853050277425E-2</v>
      </c>
      <c r="Y569" s="248">
        <v>39</v>
      </c>
      <c r="AA569" s="248">
        <v>39</v>
      </c>
      <c r="AB569" s="175"/>
      <c r="AC569" s="248">
        <f t="shared" si="34"/>
        <v>43</v>
      </c>
      <c r="AD569" s="249">
        <v>9.699453551912568E-2</v>
      </c>
      <c r="AE569" s="228">
        <f t="shared" si="33"/>
        <v>0.1122328118842657</v>
      </c>
      <c r="AG569" s="228"/>
      <c r="AH569" s="228"/>
      <c r="AI569" s="228"/>
      <c r="AJ569" s="228"/>
      <c r="AK569" s="228"/>
    </row>
    <row r="570" spans="4:37" x14ac:dyDescent="0.2">
      <c r="D570" s="75">
        <v>44</v>
      </c>
      <c r="E570" s="80">
        <v>6</v>
      </c>
      <c r="F570" s="80">
        <v>6</v>
      </c>
      <c r="H570" s="239" t="s">
        <v>828</v>
      </c>
      <c r="I570" s="239" t="s">
        <v>828</v>
      </c>
      <c r="J570" s="239" t="s">
        <v>828</v>
      </c>
      <c r="L570" s="239" t="s">
        <v>828</v>
      </c>
      <c r="M570" s="95"/>
      <c r="N570" s="95"/>
      <c r="O570" s="95"/>
      <c r="T570" s="240" t="s">
        <v>828</v>
      </c>
      <c r="U570" s="241" t="s">
        <v>828</v>
      </c>
      <c r="V570" s="175"/>
      <c r="W570" s="242" t="s">
        <v>828</v>
      </c>
      <c r="X570" s="228">
        <v>9.699453551912568E-2</v>
      </c>
      <c r="Y570" s="248">
        <v>40</v>
      </c>
      <c r="AA570" s="248">
        <v>43</v>
      </c>
      <c r="AB570" s="175"/>
      <c r="AC570" s="248">
        <f t="shared" si="34"/>
        <v>44</v>
      </c>
      <c r="AD570" s="249">
        <v>9.699453551912568E-2</v>
      </c>
      <c r="AE570" s="228">
        <f t="shared" si="33"/>
        <v>0.1122328118842657</v>
      </c>
      <c r="AG570" s="228"/>
      <c r="AH570" s="228"/>
      <c r="AI570" s="228"/>
      <c r="AJ570" s="228"/>
      <c r="AK570" s="228"/>
    </row>
    <row r="571" spans="4:37" x14ac:dyDescent="0.2">
      <c r="D571" s="75">
        <v>45</v>
      </c>
      <c r="E571" s="80">
        <v>6</v>
      </c>
      <c r="F571" s="80">
        <v>6</v>
      </c>
      <c r="H571" s="239" t="s">
        <v>828</v>
      </c>
      <c r="I571" s="239" t="s">
        <v>828</v>
      </c>
      <c r="J571" s="239" t="s">
        <v>828</v>
      </c>
      <c r="L571" s="239" t="s">
        <v>828</v>
      </c>
      <c r="M571" s="95"/>
      <c r="N571" s="95"/>
      <c r="O571" s="95"/>
      <c r="T571" s="240" t="s">
        <v>828</v>
      </c>
      <c r="U571" s="241" t="s">
        <v>828</v>
      </c>
      <c r="V571" s="175"/>
      <c r="W571" s="242" t="s">
        <v>828</v>
      </c>
      <c r="X571" s="228">
        <v>9.699453551912568E-2</v>
      </c>
      <c r="Y571" s="248">
        <v>40</v>
      </c>
      <c r="AA571" s="248">
        <v>44</v>
      </c>
      <c r="AB571" s="175"/>
      <c r="AC571" s="248">
        <f t="shared" si="34"/>
        <v>45</v>
      </c>
      <c r="AD571" s="249">
        <v>9.699453551912568E-2</v>
      </c>
      <c r="AE571" s="228">
        <f t="shared" si="33"/>
        <v>0.1122328118842657</v>
      </c>
      <c r="AG571" s="228"/>
      <c r="AH571" s="228"/>
      <c r="AI571" s="228"/>
      <c r="AJ571" s="228"/>
      <c r="AK571" s="228"/>
    </row>
    <row r="572" spans="4:37" x14ac:dyDescent="0.2">
      <c r="D572" s="75">
        <v>46</v>
      </c>
      <c r="E572" s="80">
        <v>6</v>
      </c>
      <c r="F572" s="80">
        <v>6</v>
      </c>
      <c r="H572" s="239" t="s">
        <v>828</v>
      </c>
      <c r="I572" s="239" t="s">
        <v>828</v>
      </c>
      <c r="J572" s="239" t="s">
        <v>828</v>
      </c>
      <c r="L572" s="239" t="s">
        <v>828</v>
      </c>
      <c r="M572" s="95"/>
      <c r="N572" s="95"/>
      <c r="O572" s="95"/>
      <c r="T572" s="240" t="s">
        <v>828</v>
      </c>
      <c r="U572" s="241" t="s">
        <v>828</v>
      </c>
      <c r="V572" s="175"/>
      <c r="W572" s="242" t="s">
        <v>828</v>
      </c>
      <c r="X572" s="228">
        <v>9.699453551912568E-2</v>
      </c>
      <c r="Y572" s="248">
        <v>40</v>
      </c>
      <c r="AA572" s="248">
        <v>45</v>
      </c>
      <c r="AB572" s="175"/>
      <c r="AC572" s="248">
        <f t="shared" si="34"/>
        <v>46</v>
      </c>
      <c r="AD572" s="249">
        <v>9.699453551912568E-2</v>
      </c>
      <c r="AE572" s="228">
        <f t="shared" si="33"/>
        <v>0.1122328118842657</v>
      </c>
      <c r="AG572" s="228"/>
      <c r="AH572" s="228"/>
      <c r="AI572" s="228"/>
      <c r="AJ572" s="228"/>
      <c r="AK572" s="228"/>
    </row>
    <row r="573" spans="4:37" x14ac:dyDescent="0.2">
      <c r="D573" s="75">
        <v>47</v>
      </c>
      <c r="E573" s="80">
        <v>6</v>
      </c>
      <c r="F573" s="80">
        <v>6</v>
      </c>
      <c r="H573" s="239" t="s">
        <v>828</v>
      </c>
      <c r="I573" s="239" t="s">
        <v>828</v>
      </c>
      <c r="J573" s="239" t="s">
        <v>828</v>
      </c>
      <c r="L573" s="239" t="s">
        <v>828</v>
      </c>
      <c r="M573" s="95"/>
      <c r="N573" s="95"/>
      <c r="O573" s="95"/>
      <c r="T573" s="240" t="s">
        <v>828</v>
      </c>
      <c r="U573" s="241" t="s">
        <v>828</v>
      </c>
      <c r="V573" s="175"/>
      <c r="W573" s="242" t="s">
        <v>828</v>
      </c>
      <c r="X573" s="228">
        <v>9.699453551912568E-2</v>
      </c>
      <c r="Y573" s="248">
        <v>40</v>
      </c>
      <c r="AA573" s="248">
        <v>46</v>
      </c>
      <c r="AB573" s="175"/>
      <c r="AC573" s="248">
        <f t="shared" si="34"/>
        <v>47</v>
      </c>
      <c r="AD573" s="249">
        <v>9.9685683827416702E-2</v>
      </c>
      <c r="AE573" s="228">
        <f t="shared" si="33"/>
        <v>0.1122328118842657</v>
      </c>
      <c r="AG573" s="228"/>
      <c r="AH573" s="228"/>
      <c r="AI573" s="228"/>
      <c r="AJ573" s="228"/>
      <c r="AK573" s="228"/>
    </row>
    <row r="574" spans="4:37" x14ac:dyDescent="0.2">
      <c r="D574" s="75">
        <v>48</v>
      </c>
      <c r="E574" s="80">
        <v>6</v>
      </c>
      <c r="F574" s="80">
        <v>6</v>
      </c>
      <c r="H574" s="239" t="s">
        <v>828</v>
      </c>
      <c r="I574" s="239" t="s">
        <v>828</v>
      </c>
      <c r="J574" s="239" t="s">
        <v>828</v>
      </c>
      <c r="L574" s="239" t="s">
        <v>828</v>
      </c>
      <c r="M574" s="95"/>
      <c r="N574" s="95"/>
      <c r="O574" s="95"/>
      <c r="T574" s="240" t="s">
        <v>828</v>
      </c>
      <c r="U574" s="241" t="s">
        <v>828</v>
      </c>
      <c r="V574" s="175"/>
      <c r="W574" s="242" t="s">
        <v>828</v>
      </c>
      <c r="X574" s="228">
        <v>0.14542142895091439</v>
      </c>
      <c r="Y574" s="248">
        <v>49</v>
      </c>
      <c r="AA574" s="248">
        <v>49</v>
      </c>
      <c r="AB574" s="175"/>
      <c r="AC574" s="248">
        <f t="shared" si="34"/>
        <v>48</v>
      </c>
      <c r="AD574" s="249">
        <v>0.13803504854629253</v>
      </c>
      <c r="AE574" s="228">
        <f t="shared" si="33"/>
        <v>0.1122328118842657</v>
      </c>
      <c r="AG574" s="228"/>
      <c r="AH574" s="228"/>
      <c r="AI574" s="228"/>
      <c r="AJ574" s="228"/>
      <c r="AK574" s="228"/>
    </row>
    <row r="575" spans="4:37" x14ac:dyDescent="0.2">
      <c r="D575" s="75">
        <v>49</v>
      </c>
      <c r="E575" s="80">
        <v>6</v>
      </c>
      <c r="F575" s="80">
        <v>6</v>
      </c>
      <c r="H575" s="239" t="s">
        <v>828</v>
      </c>
      <c r="I575" s="239" t="s">
        <v>828</v>
      </c>
      <c r="J575" s="239" t="s">
        <v>828</v>
      </c>
      <c r="L575" s="239" t="s">
        <v>828</v>
      </c>
      <c r="M575" s="95"/>
      <c r="N575" s="95"/>
      <c r="O575" s="95"/>
      <c r="T575" s="240" t="s">
        <v>828</v>
      </c>
      <c r="U575" s="241" t="s">
        <v>828</v>
      </c>
      <c r="V575" s="175"/>
      <c r="W575" s="242" t="s">
        <v>828</v>
      </c>
      <c r="X575" s="228">
        <v>0.13803504854629253</v>
      </c>
      <c r="Y575" s="248">
        <v>48</v>
      </c>
      <c r="AA575" s="248">
        <v>48</v>
      </c>
      <c r="AB575" s="175"/>
      <c r="AC575" s="248">
        <f t="shared" si="34"/>
        <v>49</v>
      </c>
      <c r="AD575" s="249">
        <v>0.14542142895091439</v>
      </c>
      <c r="AE575" s="228">
        <f t="shared" si="33"/>
        <v>0.1122328118842657</v>
      </c>
      <c r="AG575" s="228"/>
      <c r="AH575" s="228"/>
      <c r="AI575" s="228"/>
      <c r="AJ575" s="228"/>
      <c r="AK575" s="228"/>
    </row>
    <row r="578" spans="3:37" s="8" customFormat="1" ht="15" x14ac:dyDescent="0.2">
      <c r="C578" s="8" t="s">
        <v>816</v>
      </c>
    </row>
    <row r="579" spans="3:37" ht="13.5" thickBot="1" x14ac:dyDescent="0.25"/>
    <row r="580" spans="3:37" ht="13.5" thickBot="1" x14ac:dyDescent="0.25">
      <c r="S580" s="226" t="s">
        <v>625</v>
      </c>
      <c r="T580" s="64">
        <f>Lookup!N$17</f>
        <v>366</v>
      </c>
      <c r="U580" s="64">
        <f>Lookup!O$17</f>
        <v>365</v>
      </c>
      <c r="AD580" s="226" t="s">
        <v>636</v>
      </c>
      <c r="AE580" s="234">
        <f>$AE$358</f>
        <v>0.1122328118842657</v>
      </c>
    </row>
    <row r="581" spans="3:37" x14ac:dyDescent="0.2">
      <c r="H581" s="303" t="s">
        <v>628</v>
      </c>
      <c r="I581" s="303"/>
      <c r="J581" s="303"/>
      <c r="L581" s="303" t="s">
        <v>626</v>
      </c>
      <c r="M581" s="303"/>
      <c r="N581" s="303"/>
      <c r="O581" s="303"/>
      <c r="W581" s="303" t="s">
        <v>635</v>
      </c>
      <c r="X581" s="303"/>
    </row>
    <row r="582" spans="3:37" ht="38.25" x14ac:dyDescent="0.2">
      <c r="D582" s="70" t="s">
        <v>634</v>
      </c>
      <c r="E582" s="54" t="s">
        <v>617</v>
      </c>
      <c r="F582" s="54" t="s">
        <v>618</v>
      </c>
      <c r="H582" s="61" t="s">
        <v>541</v>
      </c>
      <c r="I582" s="61" t="s">
        <v>276</v>
      </c>
      <c r="J582" s="61" t="s">
        <v>277</v>
      </c>
      <c r="L582" s="61" t="s">
        <v>275</v>
      </c>
      <c r="M582" s="61" t="s">
        <v>272</v>
      </c>
      <c r="N582" s="61" t="s">
        <v>273</v>
      </c>
      <c r="O582" s="61" t="s">
        <v>274</v>
      </c>
      <c r="T582" s="54" t="str">
        <f>Lookup!N$19</f>
        <v>FY24</v>
      </c>
      <c r="U582" s="54" t="str">
        <f>Lookup!O$19</f>
        <v>FY25</v>
      </c>
      <c r="W582" s="54" t="s">
        <v>199</v>
      </c>
      <c r="X582" s="54" t="s">
        <v>198</v>
      </c>
      <c r="Y582" s="61" t="s">
        <v>805</v>
      </c>
      <c r="AA582" s="61" t="s">
        <v>806</v>
      </c>
      <c r="AC582" s="61" t="s">
        <v>807</v>
      </c>
      <c r="AD582" s="61" t="s">
        <v>808</v>
      </c>
      <c r="AE582" s="61" t="str">
        <f>"Revenue Increase + CPI = "&amp;ROUND(AE580*100,1)&amp;"%"</f>
        <v>Revenue Increase + CPI = 11.2%</v>
      </c>
    </row>
    <row r="583" spans="3:37" x14ac:dyDescent="0.2">
      <c r="D583" s="75">
        <f>D527</f>
        <v>1</v>
      </c>
      <c r="E583" s="80">
        <f t="shared" ref="E583:F583" si="35">E527</f>
        <v>6</v>
      </c>
      <c r="F583" s="80">
        <f t="shared" si="35"/>
        <v>6</v>
      </c>
      <c r="H583" s="239" t="s">
        <v>828</v>
      </c>
      <c r="I583" s="239" t="s">
        <v>828</v>
      </c>
      <c r="J583" s="239" t="s">
        <v>828</v>
      </c>
      <c r="L583" s="239" t="s">
        <v>828</v>
      </c>
      <c r="M583" s="95"/>
      <c r="N583" s="95"/>
      <c r="O583" s="95"/>
      <c r="T583" s="240" t="s">
        <v>828</v>
      </c>
      <c r="U583" s="241" t="s">
        <v>828</v>
      </c>
      <c r="V583" s="175"/>
      <c r="W583" s="242" t="s">
        <v>828</v>
      </c>
      <c r="X583" s="228">
        <v>4.7496665046676767E-2</v>
      </c>
      <c r="Y583" s="248">
        <v>32</v>
      </c>
      <c r="AA583" s="248">
        <v>32</v>
      </c>
      <c r="AB583" s="175"/>
      <c r="AC583" s="248">
        <f>N(AC582)+1</f>
        <v>1</v>
      </c>
      <c r="AD583" s="249">
        <v>-0.34663381948202676</v>
      </c>
      <c r="AE583" s="228">
        <f t="shared" ref="AE583:AE644" si="36">$AE$524</f>
        <v>0.1122328118842657</v>
      </c>
      <c r="AG583" s="228"/>
      <c r="AH583" s="228"/>
      <c r="AI583" s="228"/>
      <c r="AJ583" s="228"/>
      <c r="AK583" s="228"/>
    </row>
    <row r="584" spans="3:37" x14ac:dyDescent="0.2">
      <c r="D584" s="75">
        <f t="shared" ref="D584:F631" si="37">D528</f>
        <v>2</v>
      </c>
      <c r="E584" s="80">
        <f t="shared" si="37"/>
        <v>6</v>
      </c>
      <c r="F584" s="80">
        <f t="shared" si="37"/>
        <v>6</v>
      </c>
      <c r="H584" s="239" t="s">
        <v>828</v>
      </c>
      <c r="I584" s="239" t="s">
        <v>828</v>
      </c>
      <c r="J584" s="239" t="s">
        <v>828</v>
      </c>
      <c r="L584" s="239" t="s">
        <v>828</v>
      </c>
      <c r="M584" s="95"/>
      <c r="N584" s="95"/>
      <c r="O584" s="95"/>
      <c r="T584" s="240" t="s">
        <v>828</v>
      </c>
      <c r="U584" s="241" t="s">
        <v>828</v>
      </c>
      <c r="V584" s="175"/>
      <c r="W584" s="242" t="s">
        <v>828</v>
      </c>
      <c r="X584" s="228">
        <v>-0.237696562363753</v>
      </c>
      <c r="Y584" s="248">
        <v>2</v>
      </c>
      <c r="AA584" s="248">
        <v>2</v>
      </c>
      <c r="AB584" s="175"/>
      <c r="AC584" s="248">
        <f t="shared" ref="AC584:AC631" si="38">N(AC583)+1</f>
        <v>2</v>
      </c>
      <c r="AD584" s="249">
        <v>-0.237696562363753</v>
      </c>
      <c r="AE584" s="228">
        <f t="shared" si="36"/>
        <v>0.1122328118842657</v>
      </c>
      <c r="AG584" s="228"/>
      <c r="AH584" s="228"/>
      <c r="AI584" s="228"/>
      <c r="AJ584" s="228"/>
      <c r="AK584" s="228"/>
    </row>
    <row r="585" spans="3:37" x14ac:dyDescent="0.2">
      <c r="D585" s="75">
        <f t="shared" si="37"/>
        <v>3</v>
      </c>
      <c r="E585" s="80">
        <f t="shared" si="37"/>
        <v>6</v>
      </c>
      <c r="F585" s="80">
        <f t="shared" si="37"/>
        <v>6</v>
      </c>
      <c r="H585" s="239" t="s">
        <v>828</v>
      </c>
      <c r="I585" s="239" t="s">
        <v>828</v>
      </c>
      <c r="J585" s="239" t="s">
        <v>828</v>
      </c>
      <c r="L585" s="239" t="s">
        <v>828</v>
      </c>
      <c r="M585" s="95"/>
      <c r="N585" s="95"/>
      <c r="O585" s="95"/>
      <c r="T585" s="240" t="s">
        <v>828</v>
      </c>
      <c r="U585" s="241" t="s">
        <v>828</v>
      </c>
      <c r="V585" s="175"/>
      <c r="W585" s="242" t="s">
        <v>828</v>
      </c>
      <c r="X585" s="228">
        <v>-4.3740542274417309E-2</v>
      </c>
      <c r="Y585" s="248">
        <v>11</v>
      </c>
      <c r="AA585" s="248">
        <v>11</v>
      </c>
      <c r="AB585" s="175"/>
      <c r="AC585" s="248">
        <f t="shared" si="38"/>
        <v>3</v>
      </c>
      <c r="AD585" s="249">
        <v>-0.10725260869206832</v>
      </c>
      <c r="AE585" s="228">
        <f t="shared" si="36"/>
        <v>0.1122328118842657</v>
      </c>
      <c r="AG585" s="228"/>
      <c r="AH585" s="228"/>
      <c r="AI585" s="228"/>
      <c r="AJ585" s="228"/>
      <c r="AK585" s="228"/>
    </row>
    <row r="586" spans="3:37" x14ac:dyDescent="0.2">
      <c r="D586" s="75">
        <f t="shared" si="37"/>
        <v>4</v>
      </c>
      <c r="E586" s="80">
        <f t="shared" si="37"/>
        <v>6</v>
      </c>
      <c r="F586" s="80">
        <f t="shared" si="37"/>
        <v>6</v>
      </c>
      <c r="H586" s="239" t="s">
        <v>828</v>
      </c>
      <c r="I586" s="239" t="s">
        <v>828</v>
      </c>
      <c r="J586" s="239" t="s">
        <v>828</v>
      </c>
      <c r="L586" s="239" t="s">
        <v>828</v>
      </c>
      <c r="M586" s="95"/>
      <c r="N586" s="95"/>
      <c r="O586" s="95"/>
      <c r="T586" s="240" t="s">
        <v>828</v>
      </c>
      <c r="U586" s="241" t="s">
        <v>828</v>
      </c>
      <c r="V586" s="175"/>
      <c r="W586" s="242" t="s">
        <v>828</v>
      </c>
      <c r="X586" s="228">
        <v>-8.3863958100959105E-2</v>
      </c>
      <c r="Y586" s="248">
        <v>7</v>
      </c>
      <c r="AA586" s="248">
        <v>7</v>
      </c>
      <c r="AB586" s="175"/>
      <c r="AC586" s="248">
        <f t="shared" si="38"/>
        <v>4</v>
      </c>
      <c r="AD586" s="249">
        <v>-0.10592684432290711</v>
      </c>
      <c r="AE586" s="228">
        <f t="shared" si="36"/>
        <v>0.1122328118842657</v>
      </c>
      <c r="AG586" s="228"/>
      <c r="AH586" s="228"/>
      <c r="AI586" s="228"/>
      <c r="AJ586" s="228"/>
      <c r="AK586" s="228"/>
    </row>
    <row r="587" spans="3:37" x14ac:dyDescent="0.2">
      <c r="D587" s="75">
        <f t="shared" si="37"/>
        <v>5</v>
      </c>
      <c r="E587" s="80">
        <f t="shared" si="37"/>
        <v>6</v>
      </c>
      <c r="F587" s="80">
        <f t="shared" si="37"/>
        <v>6</v>
      </c>
      <c r="H587" s="239" t="s">
        <v>828</v>
      </c>
      <c r="I587" s="239" t="s">
        <v>828</v>
      </c>
      <c r="J587" s="239" t="s">
        <v>828</v>
      </c>
      <c r="L587" s="239" t="s">
        <v>828</v>
      </c>
      <c r="M587" s="95"/>
      <c r="N587" s="95"/>
      <c r="O587" s="95"/>
      <c r="T587" s="240" t="s">
        <v>828</v>
      </c>
      <c r="U587" s="241" t="s">
        <v>828</v>
      </c>
      <c r="V587" s="175"/>
      <c r="W587" s="242" t="s">
        <v>828</v>
      </c>
      <c r="X587" s="228">
        <v>-0.10208620705854651</v>
      </c>
      <c r="Y587" s="248">
        <v>5</v>
      </c>
      <c r="AA587" s="248">
        <v>5</v>
      </c>
      <c r="AB587" s="175"/>
      <c r="AC587" s="248">
        <f t="shared" si="38"/>
        <v>5</v>
      </c>
      <c r="AD587" s="249">
        <v>-0.10208620705854651</v>
      </c>
      <c r="AE587" s="228">
        <f t="shared" si="36"/>
        <v>0.1122328118842657</v>
      </c>
      <c r="AG587" s="228"/>
      <c r="AH587" s="228"/>
      <c r="AI587" s="228"/>
      <c r="AJ587" s="228"/>
      <c r="AK587" s="228"/>
    </row>
    <row r="588" spans="3:37" x14ac:dyDescent="0.2">
      <c r="D588" s="75">
        <f t="shared" si="37"/>
        <v>6</v>
      </c>
      <c r="E588" s="80">
        <f t="shared" si="37"/>
        <v>6</v>
      </c>
      <c r="F588" s="80">
        <f t="shared" si="37"/>
        <v>6</v>
      </c>
      <c r="H588" s="239" t="s">
        <v>828</v>
      </c>
      <c r="I588" s="239" t="s">
        <v>828</v>
      </c>
      <c r="J588" s="239" t="s">
        <v>828</v>
      </c>
      <c r="L588" s="239" t="s">
        <v>828</v>
      </c>
      <c r="M588" s="95"/>
      <c r="N588" s="95"/>
      <c r="O588" s="95"/>
      <c r="T588" s="240" t="s">
        <v>828</v>
      </c>
      <c r="U588" s="241" t="s">
        <v>828</v>
      </c>
      <c r="V588" s="175"/>
      <c r="W588" s="242" t="s">
        <v>828</v>
      </c>
      <c r="X588" s="228">
        <v>-9.7791784863753894E-2</v>
      </c>
      <c r="Y588" s="248">
        <v>6</v>
      </c>
      <c r="AA588" s="248">
        <v>6</v>
      </c>
      <c r="AB588" s="175"/>
      <c r="AC588" s="248">
        <f t="shared" si="38"/>
        <v>6</v>
      </c>
      <c r="AD588" s="249">
        <v>-9.7791784863753894E-2</v>
      </c>
      <c r="AE588" s="228">
        <f t="shared" si="36"/>
        <v>0.1122328118842657</v>
      </c>
      <c r="AG588" s="228"/>
      <c r="AH588" s="228"/>
      <c r="AI588" s="228"/>
      <c r="AJ588" s="228"/>
      <c r="AK588" s="228"/>
    </row>
    <row r="589" spans="3:37" x14ac:dyDescent="0.2">
      <c r="D589" s="75">
        <f t="shared" si="37"/>
        <v>7</v>
      </c>
      <c r="E589" s="80">
        <f t="shared" si="37"/>
        <v>6</v>
      </c>
      <c r="F589" s="80">
        <f t="shared" si="37"/>
        <v>6</v>
      </c>
      <c r="H589" s="239" t="s">
        <v>828</v>
      </c>
      <c r="I589" s="239" t="s">
        <v>828</v>
      </c>
      <c r="J589" s="239" t="s">
        <v>828</v>
      </c>
      <c r="L589" s="239" t="s">
        <v>828</v>
      </c>
      <c r="M589" s="95"/>
      <c r="N589" s="95"/>
      <c r="O589" s="95"/>
      <c r="T589" s="240" t="s">
        <v>828</v>
      </c>
      <c r="U589" s="241" t="s">
        <v>828</v>
      </c>
      <c r="V589" s="175"/>
      <c r="W589" s="242" t="s">
        <v>828</v>
      </c>
      <c r="X589" s="228">
        <v>-6.1548024356816756E-2</v>
      </c>
      <c r="Y589" s="248">
        <v>9</v>
      </c>
      <c r="AA589" s="248">
        <v>9</v>
      </c>
      <c r="AB589" s="175"/>
      <c r="AC589" s="248">
        <f t="shared" si="38"/>
        <v>7</v>
      </c>
      <c r="AD589" s="249">
        <v>-8.3863958100959105E-2</v>
      </c>
      <c r="AE589" s="228">
        <f t="shared" si="36"/>
        <v>0.1122328118842657</v>
      </c>
      <c r="AG589" s="228"/>
      <c r="AH589" s="228"/>
      <c r="AI589" s="228"/>
      <c r="AJ589" s="228"/>
      <c r="AK589" s="228"/>
    </row>
    <row r="590" spans="3:37" x14ac:dyDescent="0.2">
      <c r="D590" s="75">
        <f t="shared" si="37"/>
        <v>8</v>
      </c>
      <c r="E590" s="80">
        <f t="shared" si="37"/>
        <v>6</v>
      </c>
      <c r="F590" s="80">
        <f t="shared" si="37"/>
        <v>6</v>
      </c>
      <c r="H590" s="239" t="s">
        <v>828</v>
      </c>
      <c r="I590" s="239" t="s">
        <v>828</v>
      </c>
      <c r="J590" s="239" t="s">
        <v>828</v>
      </c>
      <c r="L590" s="239" t="s">
        <v>828</v>
      </c>
      <c r="M590" s="95"/>
      <c r="N590" s="95"/>
      <c r="O590" s="95"/>
      <c r="T590" s="240" t="s">
        <v>828</v>
      </c>
      <c r="U590" s="241" t="s">
        <v>828</v>
      </c>
      <c r="V590" s="175"/>
      <c r="W590" s="242" t="s">
        <v>828</v>
      </c>
      <c r="X590" s="228">
        <v>-6.6300078422906999E-2</v>
      </c>
      <c r="Y590" s="248">
        <v>8</v>
      </c>
      <c r="AA590" s="248">
        <v>8</v>
      </c>
      <c r="AB590" s="175"/>
      <c r="AC590" s="248">
        <f t="shared" si="38"/>
        <v>8</v>
      </c>
      <c r="AD590" s="249">
        <v>-6.6300078422906999E-2</v>
      </c>
      <c r="AE590" s="228">
        <f t="shared" si="36"/>
        <v>0.1122328118842657</v>
      </c>
      <c r="AG590" s="228"/>
      <c r="AH590" s="228"/>
      <c r="AI590" s="228"/>
      <c r="AJ590" s="228"/>
      <c r="AK590" s="228"/>
    </row>
    <row r="591" spans="3:37" x14ac:dyDescent="0.2">
      <c r="D591" s="75">
        <f t="shared" si="37"/>
        <v>9</v>
      </c>
      <c r="E591" s="80">
        <f t="shared" si="37"/>
        <v>6</v>
      </c>
      <c r="F591" s="80">
        <f t="shared" si="37"/>
        <v>6</v>
      </c>
      <c r="H591" s="239" t="s">
        <v>828</v>
      </c>
      <c r="I591" s="239" t="s">
        <v>828</v>
      </c>
      <c r="J591" s="239" t="s">
        <v>828</v>
      </c>
      <c r="L591" s="239" t="s">
        <v>828</v>
      </c>
      <c r="M591" s="95"/>
      <c r="N591" s="95"/>
      <c r="O591" s="95"/>
      <c r="T591" s="240" t="s">
        <v>828</v>
      </c>
      <c r="U591" s="241" t="s">
        <v>828</v>
      </c>
      <c r="V591" s="175"/>
      <c r="W591" s="242" t="s">
        <v>828</v>
      </c>
      <c r="X591" s="228">
        <v>-0.10592684432290711</v>
      </c>
      <c r="Y591" s="248">
        <v>4</v>
      </c>
      <c r="AA591" s="248">
        <v>4</v>
      </c>
      <c r="AB591" s="175"/>
      <c r="AC591" s="248">
        <f t="shared" si="38"/>
        <v>9</v>
      </c>
      <c r="AD591" s="249">
        <v>-6.1548024356816756E-2</v>
      </c>
      <c r="AE591" s="228">
        <f t="shared" si="36"/>
        <v>0.1122328118842657</v>
      </c>
      <c r="AG591" s="228"/>
      <c r="AH591" s="228"/>
      <c r="AI591" s="228"/>
      <c r="AJ591" s="228"/>
      <c r="AK591" s="228"/>
    </row>
    <row r="592" spans="3:37" x14ac:dyDescent="0.2">
      <c r="D592" s="75">
        <f t="shared" si="37"/>
        <v>10</v>
      </c>
      <c r="E592" s="80">
        <f t="shared" si="37"/>
        <v>6</v>
      </c>
      <c r="F592" s="80">
        <f t="shared" si="37"/>
        <v>6</v>
      </c>
      <c r="H592" s="239" t="s">
        <v>828</v>
      </c>
      <c r="I592" s="239" t="s">
        <v>828</v>
      </c>
      <c r="J592" s="239" t="s">
        <v>828</v>
      </c>
      <c r="L592" s="239" t="s">
        <v>828</v>
      </c>
      <c r="M592" s="95"/>
      <c r="N592" s="95"/>
      <c r="O592" s="95"/>
      <c r="T592" s="240" t="s">
        <v>828</v>
      </c>
      <c r="U592" s="241" t="s">
        <v>828</v>
      </c>
      <c r="V592" s="175"/>
      <c r="W592" s="242" t="s">
        <v>828</v>
      </c>
      <c r="X592" s="228">
        <v>9.699453551912568E-2</v>
      </c>
      <c r="Y592" s="248">
        <v>48</v>
      </c>
      <c r="AA592" s="248">
        <v>48</v>
      </c>
      <c r="AB592" s="175"/>
      <c r="AC592" s="248">
        <f t="shared" si="38"/>
        <v>10</v>
      </c>
      <c r="AD592" s="249">
        <v>-6.1413997178586859E-2</v>
      </c>
      <c r="AE592" s="228">
        <f t="shared" si="36"/>
        <v>0.1122328118842657</v>
      </c>
      <c r="AG592" s="228"/>
      <c r="AH592" s="228"/>
      <c r="AI592" s="228"/>
      <c r="AJ592" s="228"/>
      <c r="AK592" s="228"/>
    </row>
    <row r="593" spans="4:37" x14ac:dyDescent="0.2">
      <c r="D593" s="75">
        <f t="shared" si="37"/>
        <v>11</v>
      </c>
      <c r="E593" s="80">
        <f t="shared" si="37"/>
        <v>6</v>
      </c>
      <c r="F593" s="80">
        <f t="shared" si="37"/>
        <v>6</v>
      </c>
      <c r="H593" s="239" t="s">
        <v>828</v>
      </c>
      <c r="I593" s="239" t="s">
        <v>828</v>
      </c>
      <c r="J593" s="239" t="s">
        <v>828</v>
      </c>
      <c r="L593" s="239" t="s">
        <v>828</v>
      </c>
      <c r="M593" s="95"/>
      <c r="N593" s="95"/>
      <c r="O593" s="95"/>
      <c r="T593" s="240" t="s">
        <v>828</v>
      </c>
      <c r="U593" s="241" t="s">
        <v>828</v>
      </c>
      <c r="V593" s="175"/>
      <c r="W593" s="242" t="s">
        <v>828</v>
      </c>
      <c r="X593" s="228">
        <v>9.9685683827416702E-2</v>
      </c>
      <c r="Y593" s="248">
        <v>55</v>
      </c>
      <c r="AA593" s="248">
        <v>55</v>
      </c>
      <c r="AB593" s="175"/>
      <c r="AC593" s="248">
        <f t="shared" si="38"/>
        <v>11</v>
      </c>
      <c r="AD593" s="249">
        <v>-4.3740542274417309E-2</v>
      </c>
      <c r="AE593" s="228">
        <f t="shared" si="36"/>
        <v>0.1122328118842657</v>
      </c>
      <c r="AG593" s="228"/>
      <c r="AH593" s="228"/>
      <c r="AI593" s="228"/>
      <c r="AJ593" s="228"/>
      <c r="AK593" s="228"/>
    </row>
    <row r="594" spans="4:37" x14ac:dyDescent="0.2">
      <c r="D594" s="75">
        <f t="shared" si="37"/>
        <v>12</v>
      </c>
      <c r="E594" s="80">
        <f t="shared" si="37"/>
        <v>6</v>
      </c>
      <c r="F594" s="80">
        <f t="shared" si="37"/>
        <v>6</v>
      </c>
      <c r="H594" s="239" t="s">
        <v>828</v>
      </c>
      <c r="I594" s="239" t="s">
        <v>828</v>
      </c>
      <c r="J594" s="239" t="s">
        <v>828</v>
      </c>
      <c r="L594" s="239" t="s">
        <v>828</v>
      </c>
      <c r="M594" s="95"/>
      <c r="N594" s="95"/>
      <c r="O594" s="95"/>
      <c r="T594" s="240" t="s">
        <v>828</v>
      </c>
      <c r="U594" s="241" t="s">
        <v>828</v>
      </c>
      <c r="V594" s="175"/>
      <c r="W594" s="242" t="s">
        <v>828</v>
      </c>
      <c r="X594" s="228">
        <v>-6.1413997178586859E-2</v>
      </c>
      <c r="Y594" s="248">
        <v>10</v>
      </c>
      <c r="AA594" s="248">
        <v>10</v>
      </c>
      <c r="AB594" s="175"/>
      <c r="AC594" s="248">
        <f t="shared" si="38"/>
        <v>12</v>
      </c>
      <c r="AD594" s="249">
        <v>-4.0990419619962533E-2</v>
      </c>
      <c r="AE594" s="228">
        <f t="shared" si="36"/>
        <v>0.1122328118842657</v>
      </c>
      <c r="AG594" s="228"/>
      <c r="AH594" s="228"/>
      <c r="AI594" s="228"/>
      <c r="AJ594" s="228"/>
      <c r="AK594" s="228"/>
    </row>
    <row r="595" spans="4:37" x14ac:dyDescent="0.2">
      <c r="D595" s="75">
        <f t="shared" si="37"/>
        <v>13</v>
      </c>
      <c r="E595" s="80">
        <f t="shared" si="37"/>
        <v>6</v>
      </c>
      <c r="F595" s="80">
        <f t="shared" si="37"/>
        <v>6</v>
      </c>
      <c r="H595" s="239" t="s">
        <v>828</v>
      </c>
      <c r="I595" s="239" t="s">
        <v>828</v>
      </c>
      <c r="J595" s="239" t="s">
        <v>828</v>
      </c>
      <c r="L595" s="239" t="s">
        <v>828</v>
      </c>
      <c r="M595" s="95"/>
      <c r="N595" s="95"/>
      <c r="O595" s="95"/>
      <c r="T595" s="240" t="s">
        <v>828</v>
      </c>
      <c r="U595" s="241" t="s">
        <v>828</v>
      </c>
      <c r="V595" s="175"/>
      <c r="W595" s="242" t="s">
        <v>828</v>
      </c>
      <c r="X595" s="228">
        <v>-4.0990419619962533E-2</v>
      </c>
      <c r="Y595" s="248">
        <v>12</v>
      </c>
      <c r="AA595" s="248">
        <v>12</v>
      </c>
      <c r="AB595" s="175"/>
      <c r="AC595" s="248">
        <f t="shared" si="38"/>
        <v>13</v>
      </c>
      <c r="AD595" s="249">
        <v>-3.0833465886462776E-2</v>
      </c>
      <c r="AE595" s="228">
        <f t="shared" si="36"/>
        <v>0.1122328118842657</v>
      </c>
      <c r="AG595" s="228"/>
      <c r="AH595" s="228"/>
      <c r="AI595" s="228"/>
      <c r="AJ595" s="228"/>
      <c r="AK595" s="228"/>
    </row>
    <row r="596" spans="4:37" x14ac:dyDescent="0.2">
      <c r="D596" s="75">
        <f t="shared" si="37"/>
        <v>14</v>
      </c>
      <c r="E596" s="80">
        <f t="shared" si="37"/>
        <v>6</v>
      </c>
      <c r="F596" s="80">
        <f t="shared" si="37"/>
        <v>6</v>
      </c>
      <c r="H596" s="239" t="s">
        <v>828</v>
      </c>
      <c r="I596" s="239" t="s">
        <v>828</v>
      </c>
      <c r="J596" s="239" t="s">
        <v>828</v>
      </c>
      <c r="L596" s="239" t="s">
        <v>828</v>
      </c>
      <c r="M596" s="95"/>
      <c r="N596" s="95"/>
      <c r="O596" s="95"/>
      <c r="T596" s="240" t="s">
        <v>828</v>
      </c>
      <c r="U596" s="241" t="s">
        <v>828</v>
      </c>
      <c r="V596" s="175"/>
      <c r="W596" s="242" t="s">
        <v>828</v>
      </c>
      <c r="X596" s="228">
        <v>-0.10725260869206832</v>
      </c>
      <c r="Y596" s="248">
        <v>3</v>
      </c>
      <c r="AA596" s="248">
        <v>3</v>
      </c>
      <c r="AB596" s="175"/>
      <c r="AC596" s="248">
        <f t="shared" si="38"/>
        <v>14</v>
      </c>
      <c r="AD596" s="249">
        <v>-2.9510301250199062E-2</v>
      </c>
      <c r="AE596" s="228">
        <f t="shared" si="36"/>
        <v>0.1122328118842657</v>
      </c>
      <c r="AG596" s="228"/>
      <c r="AH596" s="228"/>
      <c r="AI596" s="228"/>
      <c r="AJ596" s="228"/>
      <c r="AK596" s="228"/>
    </row>
    <row r="597" spans="4:37" x14ac:dyDescent="0.2">
      <c r="D597" s="75">
        <f t="shared" si="37"/>
        <v>15</v>
      </c>
      <c r="E597" s="80">
        <f t="shared" si="37"/>
        <v>6</v>
      </c>
      <c r="F597" s="80">
        <f t="shared" si="37"/>
        <v>6</v>
      </c>
      <c r="H597" s="239" t="s">
        <v>828</v>
      </c>
      <c r="I597" s="239" t="s">
        <v>828</v>
      </c>
      <c r="J597" s="239" t="s">
        <v>828</v>
      </c>
      <c r="L597" s="239" t="s">
        <v>828</v>
      </c>
      <c r="M597" s="95"/>
      <c r="N597" s="95"/>
      <c r="O597" s="95"/>
      <c r="T597" s="240" t="s">
        <v>828</v>
      </c>
      <c r="U597" s="241" t="s">
        <v>828</v>
      </c>
      <c r="V597" s="175"/>
      <c r="W597" s="242" t="s">
        <v>828</v>
      </c>
      <c r="X597" s="228">
        <v>9.699453551912568E-2</v>
      </c>
      <c r="Y597" s="248">
        <v>48</v>
      </c>
      <c r="AA597" s="248">
        <v>49</v>
      </c>
      <c r="AB597" s="175"/>
      <c r="AC597" s="248">
        <f t="shared" si="38"/>
        <v>15</v>
      </c>
      <c r="AD597" s="249">
        <v>-2.4809989692188741E-2</v>
      </c>
      <c r="AE597" s="228">
        <f t="shared" si="36"/>
        <v>0.1122328118842657</v>
      </c>
      <c r="AG597" s="228"/>
      <c r="AH597" s="228"/>
      <c r="AI597" s="228"/>
      <c r="AJ597" s="228"/>
      <c r="AK597" s="228"/>
    </row>
    <row r="598" spans="4:37" x14ac:dyDescent="0.2">
      <c r="D598" s="75">
        <f t="shared" si="37"/>
        <v>16</v>
      </c>
      <c r="E598" s="80">
        <f t="shared" si="37"/>
        <v>6</v>
      </c>
      <c r="F598" s="80">
        <f t="shared" si="37"/>
        <v>6</v>
      </c>
      <c r="H598" s="239" t="s">
        <v>828</v>
      </c>
      <c r="I598" s="239" t="s">
        <v>828</v>
      </c>
      <c r="J598" s="239" t="s">
        <v>828</v>
      </c>
      <c r="L598" s="239" t="s">
        <v>828</v>
      </c>
      <c r="M598" s="95"/>
      <c r="N598" s="95"/>
      <c r="O598" s="95"/>
      <c r="T598" s="240" t="s">
        <v>828</v>
      </c>
      <c r="U598" s="241" t="s">
        <v>828</v>
      </c>
      <c r="V598" s="175"/>
      <c r="W598" s="242" t="s">
        <v>828</v>
      </c>
      <c r="X598" s="228">
        <v>-3.0833465886462776E-2</v>
      </c>
      <c r="Y598" s="248">
        <v>13</v>
      </c>
      <c r="AA598" s="248">
        <v>13</v>
      </c>
      <c r="AB598" s="175"/>
      <c r="AC598" s="248">
        <f t="shared" si="38"/>
        <v>16</v>
      </c>
      <c r="AD598" s="249">
        <v>-2.3851854318814075E-2</v>
      </c>
      <c r="AE598" s="228">
        <f t="shared" si="36"/>
        <v>0.1122328118842657</v>
      </c>
      <c r="AG598" s="228"/>
      <c r="AH598" s="228"/>
      <c r="AI598" s="228"/>
      <c r="AJ598" s="228"/>
      <c r="AK598" s="228"/>
    </row>
    <row r="599" spans="4:37" x14ac:dyDescent="0.2">
      <c r="D599" s="75">
        <f t="shared" si="37"/>
        <v>17</v>
      </c>
      <c r="E599" s="80">
        <f t="shared" si="37"/>
        <v>6</v>
      </c>
      <c r="F599" s="80">
        <f t="shared" si="37"/>
        <v>6</v>
      </c>
      <c r="H599" s="239" t="s">
        <v>828</v>
      </c>
      <c r="I599" s="239" t="s">
        <v>828</v>
      </c>
      <c r="J599" s="239" t="s">
        <v>828</v>
      </c>
      <c r="L599" s="239" t="s">
        <v>828</v>
      </c>
      <c r="M599" s="95"/>
      <c r="N599" s="95"/>
      <c r="O599" s="95"/>
      <c r="T599" s="240" t="s">
        <v>828</v>
      </c>
      <c r="U599" s="241" t="s">
        <v>828</v>
      </c>
      <c r="V599" s="175"/>
      <c r="W599" s="242" t="s">
        <v>828</v>
      </c>
      <c r="X599" s="228">
        <v>-0.34663381948202676</v>
      </c>
      <c r="Y599" s="248">
        <v>1</v>
      </c>
      <c r="AA599" s="248">
        <v>1</v>
      </c>
      <c r="AB599" s="175"/>
      <c r="AC599" s="248">
        <f t="shared" si="38"/>
        <v>17</v>
      </c>
      <c r="AD599" s="249">
        <v>-2.0630286596776799E-2</v>
      </c>
      <c r="AE599" s="228">
        <f t="shared" si="36"/>
        <v>0.1122328118842657</v>
      </c>
      <c r="AG599" s="228"/>
      <c r="AH599" s="228"/>
      <c r="AI599" s="228"/>
      <c r="AJ599" s="228"/>
      <c r="AK599" s="228"/>
    </row>
    <row r="600" spans="4:37" x14ac:dyDescent="0.2">
      <c r="D600" s="75">
        <f t="shared" si="37"/>
        <v>18</v>
      </c>
      <c r="E600" s="80">
        <f t="shared" si="37"/>
        <v>6</v>
      </c>
      <c r="F600" s="80">
        <f t="shared" si="37"/>
        <v>6</v>
      </c>
      <c r="H600" s="239" t="s">
        <v>828</v>
      </c>
      <c r="I600" s="239" t="s">
        <v>828</v>
      </c>
      <c r="J600" s="239" t="s">
        <v>828</v>
      </c>
      <c r="L600" s="239" t="s">
        <v>828</v>
      </c>
      <c r="M600" s="95"/>
      <c r="N600" s="95"/>
      <c r="O600" s="95"/>
      <c r="T600" s="240" t="s">
        <v>828</v>
      </c>
      <c r="U600" s="241" t="s">
        <v>828</v>
      </c>
      <c r="V600" s="175"/>
      <c r="W600" s="242" t="s">
        <v>828</v>
      </c>
      <c r="X600" s="228">
        <v>1.0172654707937505E-2</v>
      </c>
      <c r="Y600" s="248">
        <v>21</v>
      </c>
      <c r="AA600" s="248">
        <v>21</v>
      </c>
      <c r="AB600" s="175"/>
      <c r="AC600" s="248">
        <f t="shared" si="38"/>
        <v>18</v>
      </c>
      <c r="AD600" s="249">
        <v>-4.6924457886590451E-3</v>
      </c>
      <c r="AE600" s="228">
        <f t="shared" si="36"/>
        <v>0.1122328118842657</v>
      </c>
      <c r="AG600" s="228"/>
      <c r="AH600" s="228"/>
      <c r="AI600" s="228"/>
      <c r="AJ600" s="228"/>
      <c r="AK600" s="228"/>
    </row>
    <row r="601" spans="4:37" x14ac:dyDescent="0.2">
      <c r="D601" s="75">
        <f t="shared" si="37"/>
        <v>19</v>
      </c>
      <c r="E601" s="80">
        <f t="shared" si="37"/>
        <v>6</v>
      </c>
      <c r="F601" s="80">
        <f t="shared" si="37"/>
        <v>6</v>
      </c>
      <c r="H601" s="239" t="s">
        <v>828</v>
      </c>
      <c r="I601" s="239" t="s">
        <v>828</v>
      </c>
      <c r="J601" s="239" t="s">
        <v>828</v>
      </c>
      <c r="L601" s="239" t="s">
        <v>828</v>
      </c>
      <c r="M601" s="95"/>
      <c r="N601" s="95"/>
      <c r="O601" s="95"/>
      <c r="T601" s="240" t="s">
        <v>828</v>
      </c>
      <c r="U601" s="241" t="s">
        <v>828</v>
      </c>
      <c r="V601" s="175"/>
      <c r="W601" s="242" t="s">
        <v>828</v>
      </c>
      <c r="X601" s="228">
        <v>-2.3851854318814075E-2</v>
      </c>
      <c r="Y601" s="248">
        <v>16</v>
      </c>
      <c r="AA601" s="248">
        <v>16</v>
      </c>
      <c r="AB601" s="175"/>
      <c r="AC601" s="248">
        <f t="shared" si="38"/>
        <v>19</v>
      </c>
      <c r="AD601" s="249">
        <v>-2.2771310515587136E-4</v>
      </c>
      <c r="AE601" s="228">
        <f t="shared" si="36"/>
        <v>0.1122328118842657</v>
      </c>
      <c r="AG601" s="228"/>
      <c r="AH601" s="228"/>
      <c r="AI601" s="228"/>
      <c r="AJ601" s="228"/>
      <c r="AK601" s="228"/>
    </row>
    <row r="602" spans="4:37" x14ac:dyDescent="0.2">
      <c r="D602" s="75">
        <f t="shared" si="37"/>
        <v>20</v>
      </c>
      <c r="E602" s="80">
        <f t="shared" si="37"/>
        <v>6</v>
      </c>
      <c r="F602" s="80">
        <f t="shared" si="37"/>
        <v>6</v>
      </c>
      <c r="H602" s="239" t="s">
        <v>828</v>
      </c>
      <c r="I602" s="239" t="s">
        <v>828</v>
      </c>
      <c r="J602" s="239" t="s">
        <v>828</v>
      </c>
      <c r="L602" s="239" t="s">
        <v>828</v>
      </c>
      <c r="M602" s="95"/>
      <c r="N602" s="95"/>
      <c r="O602" s="95"/>
      <c r="T602" s="240" t="s">
        <v>828</v>
      </c>
      <c r="U602" s="241" t="s">
        <v>828</v>
      </c>
      <c r="V602" s="175"/>
      <c r="W602" s="242" t="s">
        <v>828</v>
      </c>
      <c r="X602" s="228">
        <v>-2.4809989692188741E-2</v>
      </c>
      <c r="Y602" s="248">
        <v>15</v>
      </c>
      <c r="AA602" s="248">
        <v>15</v>
      </c>
      <c r="AB602" s="175"/>
      <c r="AC602" s="248">
        <f t="shared" si="38"/>
        <v>20</v>
      </c>
      <c r="AD602" s="249">
        <v>4.581583804173187E-4</v>
      </c>
      <c r="AE602" s="228">
        <f t="shared" si="36"/>
        <v>0.1122328118842657</v>
      </c>
      <c r="AG602" s="228"/>
      <c r="AH602" s="228"/>
      <c r="AI602" s="228"/>
      <c r="AJ602" s="228"/>
      <c r="AK602" s="228"/>
    </row>
    <row r="603" spans="4:37" x14ac:dyDescent="0.2">
      <c r="D603" s="75">
        <f t="shared" si="37"/>
        <v>21</v>
      </c>
      <c r="E603" s="80">
        <f t="shared" si="37"/>
        <v>6</v>
      </c>
      <c r="F603" s="80">
        <f t="shared" si="37"/>
        <v>6</v>
      </c>
      <c r="H603" s="239" t="s">
        <v>828</v>
      </c>
      <c r="I603" s="239" t="s">
        <v>828</v>
      </c>
      <c r="J603" s="239" t="s">
        <v>828</v>
      </c>
      <c r="L603" s="239" t="s">
        <v>828</v>
      </c>
      <c r="M603" s="95"/>
      <c r="N603" s="95"/>
      <c r="O603" s="95"/>
      <c r="T603" s="240" t="s">
        <v>828</v>
      </c>
      <c r="U603" s="241" t="s">
        <v>828</v>
      </c>
      <c r="V603" s="175"/>
      <c r="W603" s="242" t="s">
        <v>828</v>
      </c>
      <c r="X603" s="228">
        <v>1.5114795180549421E-2</v>
      </c>
      <c r="Y603" s="248">
        <v>23</v>
      </c>
      <c r="AA603" s="248">
        <v>23</v>
      </c>
      <c r="AB603" s="175"/>
      <c r="AC603" s="248">
        <f t="shared" si="38"/>
        <v>21</v>
      </c>
      <c r="AD603" s="249">
        <v>1.0172654707937505E-2</v>
      </c>
      <c r="AE603" s="228">
        <f t="shared" si="36"/>
        <v>0.1122328118842657</v>
      </c>
      <c r="AG603" s="228"/>
      <c r="AH603" s="228"/>
      <c r="AI603" s="228"/>
      <c r="AJ603" s="228"/>
      <c r="AK603" s="228"/>
    </row>
    <row r="604" spans="4:37" x14ac:dyDescent="0.2">
      <c r="D604" s="75">
        <f t="shared" si="37"/>
        <v>22</v>
      </c>
      <c r="E604" s="80">
        <f t="shared" si="37"/>
        <v>6</v>
      </c>
      <c r="F604" s="80">
        <f t="shared" si="37"/>
        <v>6</v>
      </c>
      <c r="H604" s="239" t="s">
        <v>828</v>
      </c>
      <c r="I604" s="239" t="s">
        <v>828</v>
      </c>
      <c r="J604" s="239" t="s">
        <v>828</v>
      </c>
      <c r="L604" s="239" t="s">
        <v>828</v>
      </c>
      <c r="M604" s="95"/>
      <c r="N604" s="95"/>
      <c r="O604" s="95"/>
      <c r="T604" s="240" t="s">
        <v>828</v>
      </c>
      <c r="U604" s="241" t="s">
        <v>828</v>
      </c>
      <c r="V604" s="175"/>
      <c r="W604" s="242" t="s">
        <v>828</v>
      </c>
      <c r="X604" s="228">
        <v>4.581583804173187E-4</v>
      </c>
      <c r="Y604" s="248">
        <v>20</v>
      </c>
      <c r="AA604" s="248">
        <v>20</v>
      </c>
      <c r="AB604" s="175"/>
      <c r="AC604" s="248">
        <f t="shared" si="38"/>
        <v>22</v>
      </c>
      <c r="AD604" s="249">
        <v>1.0424175144729732E-2</v>
      </c>
      <c r="AE604" s="228">
        <f t="shared" si="36"/>
        <v>0.1122328118842657</v>
      </c>
      <c r="AG604" s="228"/>
      <c r="AH604" s="228"/>
      <c r="AI604" s="228"/>
      <c r="AJ604" s="228"/>
      <c r="AK604" s="228"/>
    </row>
    <row r="605" spans="4:37" x14ac:dyDescent="0.2">
      <c r="D605" s="75">
        <f t="shared" si="37"/>
        <v>23</v>
      </c>
      <c r="E605" s="80">
        <f t="shared" si="37"/>
        <v>6</v>
      </c>
      <c r="F605" s="80">
        <f t="shared" si="37"/>
        <v>6</v>
      </c>
      <c r="H605" s="239" t="s">
        <v>828</v>
      </c>
      <c r="I605" s="239" t="s">
        <v>828</v>
      </c>
      <c r="J605" s="239" t="s">
        <v>828</v>
      </c>
      <c r="L605" s="239" t="s">
        <v>828</v>
      </c>
      <c r="M605" s="95"/>
      <c r="N605" s="95"/>
      <c r="O605" s="95"/>
      <c r="T605" s="240" t="s">
        <v>828</v>
      </c>
      <c r="U605" s="241" t="s">
        <v>828</v>
      </c>
      <c r="V605" s="175"/>
      <c r="W605" s="242" t="s">
        <v>828</v>
      </c>
      <c r="X605" s="228">
        <v>-4.6924457886590451E-3</v>
      </c>
      <c r="Y605" s="248">
        <v>18</v>
      </c>
      <c r="AA605" s="248">
        <v>18</v>
      </c>
      <c r="AB605" s="175"/>
      <c r="AC605" s="248">
        <f t="shared" si="38"/>
        <v>23</v>
      </c>
      <c r="AD605" s="249">
        <v>1.5114795180549421E-2</v>
      </c>
      <c r="AE605" s="228">
        <f t="shared" si="36"/>
        <v>0.1122328118842657</v>
      </c>
      <c r="AG605" s="228"/>
      <c r="AH605" s="228"/>
      <c r="AI605" s="228"/>
      <c r="AJ605" s="228"/>
      <c r="AK605" s="228"/>
    </row>
    <row r="606" spans="4:37" x14ac:dyDescent="0.2">
      <c r="D606" s="75">
        <f t="shared" si="37"/>
        <v>24</v>
      </c>
      <c r="E606" s="80">
        <f t="shared" si="37"/>
        <v>6</v>
      </c>
      <c r="F606" s="80">
        <f t="shared" si="37"/>
        <v>6</v>
      </c>
      <c r="H606" s="239" t="s">
        <v>828</v>
      </c>
      <c r="I606" s="239" t="s">
        <v>828</v>
      </c>
      <c r="J606" s="239" t="s">
        <v>828</v>
      </c>
      <c r="L606" s="239" t="s">
        <v>828</v>
      </c>
      <c r="M606" s="95"/>
      <c r="N606" s="95"/>
      <c r="O606" s="95"/>
      <c r="T606" s="240" t="s">
        <v>828</v>
      </c>
      <c r="U606" s="241" t="s">
        <v>828</v>
      </c>
      <c r="V606" s="175"/>
      <c r="W606" s="242" t="s">
        <v>828</v>
      </c>
      <c r="X606" s="228">
        <v>5.7211241264578744E-2</v>
      </c>
      <c r="Y606" s="248">
        <v>38</v>
      </c>
      <c r="AA606" s="248">
        <v>38</v>
      </c>
      <c r="AB606" s="175"/>
      <c r="AC606" s="248">
        <f t="shared" si="38"/>
        <v>24</v>
      </c>
      <c r="AD606" s="249">
        <v>1.6072098843383623E-2</v>
      </c>
      <c r="AE606" s="228">
        <f t="shared" si="36"/>
        <v>0.1122328118842657</v>
      </c>
      <c r="AG606" s="228"/>
      <c r="AH606" s="228"/>
      <c r="AI606" s="228"/>
      <c r="AJ606" s="228"/>
      <c r="AK606" s="228"/>
    </row>
    <row r="607" spans="4:37" x14ac:dyDescent="0.2">
      <c r="D607" s="75">
        <f t="shared" si="37"/>
        <v>25</v>
      </c>
      <c r="E607" s="80">
        <f t="shared" si="37"/>
        <v>6</v>
      </c>
      <c r="F607" s="80">
        <f t="shared" si="37"/>
        <v>6</v>
      </c>
      <c r="H607" s="239" t="s">
        <v>828</v>
      </c>
      <c r="I607" s="239" t="s">
        <v>828</v>
      </c>
      <c r="J607" s="239" t="s">
        <v>828</v>
      </c>
      <c r="L607" s="239" t="s">
        <v>828</v>
      </c>
      <c r="M607" s="95"/>
      <c r="N607" s="95"/>
      <c r="O607" s="95"/>
      <c r="T607" s="240" t="s">
        <v>828</v>
      </c>
      <c r="U607" s="241" t="s">
        <v>828</v>
      </c>
      <c r="V607" s="175"/>
      <c r="W607" s="242" t="s">
        <v>828</v>
      </c>
      <c r="X607" s="228">
        <v>1.6072098843383623E-2</v>
      </c>
      <c r="Y607" s="248">
        <v>24</v>
      </c>
      <c r="AA607" s="248">
        <v>24</v>
      </c>
      <c r="AB607" s="175"/>
      <c r="AC607" s="248">
        <f t="shared" si="38"/>
        <v>25</v>
      </c>
      <c r="AD607" s="249">
        <v>1.6796581671116518E-2</v>
      </c>
      <c r="AE607" s="228">
        <f t="shared" si="36"/>
        <v>0.1122328118842657</v>
      </c>
      <c r="AG607" s="228"/>
      <c r="AH607" s="228"/>
      <c r="AI607" s="228"/>
      <c r="AJ607" s="228"/>
      <c r="AK607" s="228"/>
    </row>
    <row r="608" spans="4:37" x14ac:dyDescent="0.2">
      <c r="D608" s="75">
        <f t="shared" si="37"/>
        <v>26</v>
      </c>
      <c r="E608" s="80">
        <f t="shared" si="37"/>
        <v>6</v>
      </c>
      <c r="F608" s="80">
        <f t="shared" si="37"/>
        <v>6</v>
      </c>
      <c r="H608" s="239" t="s">
        <v>828</v>
      </c>
      <c r="I608" s="239" t="s">
        <v>828</v>
      </c>
      <c r="J608" s="239" t="s">
        <v>828</v>
      </c>
      <c r="L608" s="239" t="s">
        <v>828</v>
      </c>
      <c r="M608" s="95"/>
      <c r="N608" s="95"/>
      <c r="O608" s="95"/>
      <c r="T608" s="240" t="s">
        <v>828</v>
      </c>
      <c r="U608" s="241" t="s">
        <v>828</v>
      </c>
      <c r="V608" s="175"/>
      <c r="W608" s="242" t="s">
        <v>828</v>
      </c>
      <c r="X608" s="228">
        <v>-2.2771310515587136E-4</v>
      </c>
      <c r="Y608" s="248">
        <v>19</v>
      </c>
      <c r="AA608" s="248">
        <v>19</v>
      </c>
      <c r="AB608" s="175"/>
      <c r="AC608" s="248">
        <f t="shared" si="38"/>
        <v>26</v>
      </c>
      <c r="AD608" s="249">
        <v>2.2353806615985152E-2</v>
      </c>
      <c r="AE608" s="228">
        <f t="shared" si="36"/>
        <v>0.1122328118842657</v>
      </c>
      <c r="AG608" s="228"/>
      <c r="AH608" s="228"/>
      <c r="AI608" s="228"/>
      <c r="AJ608" s="228"/>
      <c r="AK608" s="228"/>
    </row>
    <row r="609" spans="4:37" x14ac:dyDescent="0.2">
      <c r="D609" s="75">
        <f t="shared" si="37"/>
        <v>27</v>
      </c>
      <c r="E609" s="80">
        <f t="shared" si="37"/>
        <v>6</v>
      </c>
      <c r="F609" s="80">
        <f t="shared" si="37"/>
        <v>6</v>
      </c>
      <c r="H609" s="239" t="s">
        <v>828</v>
      </c>
      <c r="I609" s="239" t="s">
        <v>828</v>
      </c>
      <c r="J609" s="239" t="s">
        <v>828</v>
      </c>
      <c r="L609" s="239" t="s">
        <v>828</v>
      </c>
      <c r="M609" s="95"/>
      <c r="N609" s="95"/>
      <c r="O609" s="95"/>
      <c r="T609" s="240" t="s">
        <v>828</v>
      </c>
      <c r="U609" s="241" t="s">
        <v>828</v>
      </c>
      <c r="V609" s="175"/>
      <c r="W609" s="242" t="s">
        <v>828</v>
      </c>
      <c r="X609" s="228">
        <v>5.3606148965675962E-2</v>
      </c>
      <c r="Y609" s="248">
        <v>34</v>
      </c>
      <c r="AA609" s="248">
        <v>34</v>
      </c>
      <c r="AB609" s="175"/>
      <c r="AC609" s="248">
        <f t="shared" si="38"/>
        <v>27</v>
      </c>
      <c r="AD609" s="249">
        <v>2.7439554698770047E-2</v>
      </c>
      <c r="AE609" s="228">
        <f t="shared" si="36"/>
        <v>0.1122328118842657</v>
      </c>
      <c r="AG609" s="228"/>
      <c r="AH609" s="228"/>
      <c r="AI609" s="228"/>
      <c r="AJ609" s="228"/>
      <c r="AK609" s="228"/>
    </row>
    <row r="610" spans="4:37" x14ac:dyDescent="0.2">
      <c r="D610" s="75">
        <f t="shared" si="37"/>
        <v>28</v>
      </c>
      <c r="E610" s="80">
        <f t="shared" si="37"/>
        <v>6</v>
      </c>
      <c r="F610" s="80">
        <f t="shared" si="37"/>
        <v>6</v>
      </c>
      <c r="H610" s="239" t="s">
        <v>828</v>
      </c>
      <c r="I610" s="239" t="s">
        <v>828</v>
      </c>
      <c r="J610" s="239" t="s">
        <v>828</v>
      </c>
      <c r="L610" s="239" t="s">
        <v>828</v>
      </c>
      <c r="M610" s="95"/>
      <c r="N610" s="95"/>
      <c r="O610" s="95"/>
      <c r="T610" s="240" t="s">
        <v>828</v>
      </c>
      <c r="U610" s="241" t="s">
        <v>828</v>
      </c>
      <c r="V610" s="175"/>
      <c r="W610" s="242" t="s">
        <v>828</v>
      </c>
      <c r="X610" s="228">
        <v>2.2353806615985152E-2</v>
      </c>
      <c r="Y610" s="248">
        <v>26</v>
      </c>
      <c r="AA610" s="248">
        <v>26</v>
      </c>
      <c r="AB610" s="175"/>
      <c r="AC610" s="248">
        <f t="shared" si="38"/>
        <v>28</v>
      </c>
      <c r="AD610" s="249">
        <v>2.9550585449906051E-2</v>
      </c>
      <c r="AE610" s="228">
        <f t="shared" si="36"/>
        <v>0.1122328118842657</v>
      </c>
      <c r="AG610" s="228"/>
      <c r="AH610" s="228"/>
      <c r="AI610" s="228"/>
      <c r="AJ610" s="228"/>
      <c r="AK610" s="228"/>
    </row>
    <row r="611" spans="4:37" x14ac:dyDescent="0.2">
      <c r="D611" s="75">
        <f t="shared" si="37"/>
        <v>29</v>
      </c>
      <c r="E611" s="80">
        <f t="shared" si="37"/>
        <v>6</v>
      </c>
      <c r="F611" s="80">
        <f t="shared" si="37"/>
        <v>6</v>
      </c>
      <c r="H611" s="239" t="s">
        <v>828</v>
      </c>
      <c r="I611" s="239" t="s">
        <v>828</v>
      </c>
      <c r="J611" s="239" t="s">
        <v>828</v>
      </c>
      <c r="L611" s="239" t="s">
        <v>828</v>
      </c>
      <c r="M611" s="95"/>
      <c r="N611" s="95"/>
      <c r="O611" s="95"/>
      <c r="T611" s="240" t="s">
        <v>828</v>
      </c>
      <c r="U611" s="241" t="s">
        <v>828</v>
      </c>
      <c r="V611" s="175"/>
      <c r="W611" s="242" t="s">
        <v>828</v>
      </c>
      <c r="X611" s="228">
        <v>2.7439554698770047E-2</v>
      </c>
      <c r="Y611" s="248">
        <v>27</v>
      </c>
      <c r="AA611" s="248">
        <v>27</v>
      </c>
      <c r="AB611" s="175"/>
      <c r="AC611" s="248">
        <f t="shared" si="38"/>
        <v>29</v>
      </c>
      <c r="AD611" s="249">
        <v>3.8262752215596725E-2</v>
      </c>
      <c r="AE611" s="228">
        <f t="shared" si="36"/>
        <v>0.1122328118842657</v>
      </c>
      <c r="AG611" s="228"/>
      <c r="AH611" s="228"/>
      <c r="AI611" s="228"/>
      <c r="AJ611" s="228"/>
      <c r="AK611" s="228"/>
    </row>
    <row r="612" spans="4:37" x14ac:dyDescent="0.2">
      <c r="D612" s="75">
        <f t="shared" si="37"/>
        <v>30</v>
      </c>
      <c r="E612" s="80">
        <f t="shared" si="37"/>
        <v>6</v>
      </c>
      <c r="F612" s="80">
        <f t="shared" si="37"/>
        <v>6</v>
      </c>
      <c r="H612" s="239" t="s">
        <v>828</v>
      </c>
      <c r="I612" s="239" t="s">
        <v>828</v>
      </c>
      <c r="J612" s="239" t="s">
        <v>828</v>
      </c>
      <c r="L612" s="239" t="s">
        <v>828</v>
      </c>
      <c r="M612" s="95"/>
      <c r="N612" s="95"/>
      <c r="O612" s="95"/>
      <c r="T612" s="240" t="s">
        <v>828</v>
      </c>
      <c r="U612" s="241" t="s">
        <v>828</v>
      </c>
      <c r="V612" s="175"/>
      <c r="W612" s="242" t="s">
        <v>828</v>
      </c>
      <c r="X612" s="228">
        <v>1.6796581671116518E-2</v>
      </c>
      <c r="Y612" s="248">
        <v>25</v>
      </c>
      <c r="AA612" s="248">
        <v>25</v>
      </c>
      <c r="AB612" s="175"/>
      <c r="AC612" s="248">
        <f t="shared" si="38"/>
        <v>30</v>
      </c>
      <c r="AD612" s="249">
        <v>3.9028382495852242E-2</v>
      </c>
      <c r="AE612" s="228">
        <f t="shared" si="36"/>
        <v>0.1122328118842657</v>
      </c>
      <c r="AG612" s="228"/>
      <c r="AH612" s="228"/>
      <c r="AI612" s="228"/>
      <c r="AJ612" s="228"/>
      <c r="AK612" s="228"/>
    </row>
    <row r="613" spans="4:37" x14ac:dyDescent="0.2">
      <c r="D613" s="75">
        <f t="shared" si="37"/>
        <v>31</v>
      </c>
      <c r="E613" s="80">
        <f t="shared" si="37"/>
        <v>6</v>
      </c>
      <c r="F613" s="80">
        <f t="shared" si="37"/>
        <v>6</v>
      </c>
      <c r="H613" s="239" t="s">
        <v>828</v>
      </c>
      <c r="I613" s="239" t="s">
        <v>828</v>
      </c>
      <c r="J613" s="239" t="s">
        <v>828</v>
      </c>
      <c r="L613" s="239" t="s">
        <v>828</v>
      </c>
      <c r="M613" s="95"/>
      <c r="N613" s="95"/>
      <c r="O613" s="95"/>
      <c r="T613" s="240" t="s">
        <v>828</v>
      </c>
      <c r="U613" s="241" t="s">
        <v>828</v>
      </c>
      <c r="V613" s="175"/>
      <c r="W613" s="242" t="s">
        <v>828</v>
      </c>
      <c r="X613" s="228">
        <v>4.0453320053697048E-2</v>
      </c>
      <c r="Y613" s="248">
        <v>31</v>
      </c>
      <c r="AA613" s="248">
        <v>31</v>
      </c>
      <c r="AB613" s="175"/>
      <c r="AC613" s="248">
        <f t="shared" si="38"/>
        <v>31</v>
      </c>
      <c r="AD613" s="249">
        <v>4.0453320053697048E-2</v>
      </c>
      <c r="AE613" s="228">
        <f t="shared" si="36"/>
        <v>0.1122328118842657</v>
      </c>
      <c r="AG613" s="228"/>
      <c r="AH613" s="228"/>
      <c r="AI613" s="228"/>
      <c r="AJ613" s="228"/>
      <c r="AK613" s="228"/>
    </row>
    <row r="614" spans="4:37" x14ac:dyDescent="0.2">
      <c r="D614" s="75">
        <f t="shared" si="37"/>
        <v>32</v>
      </c>
      <c r="E614" s="80">
        <f t="shared" si="37"/>
        <v>6</v>
      </c>
      <c r="F614" s="80">
        <f t="shared" si="37"/>
        <v>6</v>
      </c>
      <c r="H614" s="239" t="s">
        <v>828</v>
      </c>
      <c r="I614" s="239" t="s">
        <v>828</v>
      </c>
      <c r="J614" s="239" t="s">
        <v>828</v>
      </c>
      <c r="L614" s="239" t="s">
        <v>828</v>
      </c>
      <c r="M614" s="95"/>
      <c r="N614" s="95"/>
      <c r="O614" s="95"/>
      <c r="T614" s="240" t="s">
        <v>828</v>
      </c>
      <c r="U614" s="241" t="s">
        <v>828</v>
      </c>
      <c r="V614" s="175"/>
      <c r="W614" s="242" t="s">
        <v>828</v>
      </c>
      <c r="X614" s="228">
        <v>4.9616512614626407E-2</v>
      </c>
      <c r="Y614" s="248">
        <v>33</v>
      </c>
      <c r="AA614" s="248">
        <v>33</v>
      </c>
      <c r="AB614" s="175"/>
      <c r="AC614" s="248">
        <f t="shared" si="38"/>
        <v>32</v>
      </c>
      <c r="AD614" s="249">
        <v>4.7496665046676767E-2</v>
      </c>
      <c r="AE614" s="228">
        <f t="shared" si="36"/>
        <v>0.1122328118842657</v>
      </c>
      <c r="AG614" s="228"/>
      <c r="AH614" s="228"/>
      <c r="AI614" s="228"/>
      <c r="AJ614" s="228"/>
      <c r="AK614" s="228"/>
    </row>
    <row r="615" spans="4:37" x14ac:dyDescent="0.2">
      <c r="D615" s="75">
        <f t="shared" si="37"/>
        <v>33</v>
      </c>
      <c r="E615" s="80">
        <f t="shared" si="37"/>
        <v>6</v>
      </c>
      <c r="F615" s="80">
        <f t="shared" si="37"/>
        <v>6</v>
      </c>
      <c r="H615" s="239" t="s">
        <v>828</v>
      </c>
      <c r="I615" s="239" t="s">
        <v>828</v>
      </c>
      <c r="J615" s="239" t="s">
        <v>828</v>
      </c>
      <c r="L615" s="239" t="s">
        <v>828</v>
      </c>
      <c r="M615" s="95"/>
      <c r="N615" s="95"/>
      <c r="O615" s="95"/>
      <c r="T615" s="240" t="s">
        <v>828</v>
      </c>
      <c r="U615" s="241" t="s">
        <v>828</v>
      </c>
      <c r="V615" s="175"/>
      <c r="W615" s="242" t="s">
        <v>828</v>
      </c>
      <c r="X615" s="228">
        <v>6.3433643084674113E-2</v>
      </c>
      <c r="Y615" s="248">
        <v>39</v>
      </c>
      <c r="AA615" s="248">
        <v>39</v>
      </c>
      <c r="AB615" s="175"/>
      <c r="AC615" s="248">
        <f t="shared" si="38"/>
        <v>33</v>
      </c>
      <c r="AD615" s="249">
        <v>4.9616512614626407E-2</v>
      </c>
      <c r="AE615" s="228">
        <f t="shared" si="36"/>
        <v>0.1122328118842657</v>
      </c>
      <c r="AG615" s="228"/>
      <c r="AH615" s="228"/>
      <c r="AI615" s="228"/>
      <c r="AJ615" s="228"/>
      <c r="AK615" s="228"/>
    </row>
    <row r="616" spans="4:37" x14ac:dyDescent="0.2">
      <c r="D616" s="75">
        <f t="shared" si="37"/>
        <v>34</v>
      </c>
      <c r="E616" s="80">
        <f t="shared" si="37"/>
        <v>6</v>
      </c>
      <c r="F616" s="80">
        <f t="shared" si="37"/>
        <v>6</v>
      </c>
      <c r="H616" s="239" t="s">
        <v>828</v>
      </c>
      <c r="I616" s="239" t="s">
        <v>828</v>
      </c>
      <c r="J616" s="239" t="s">
        <v>828</v>
      </c>
      <c r="L616" s="239" t="s">
        <v>828</v>
      </c>
      <c r="M616" s="95"/>
      <c r="N616" s="95"/>
      <c r="O616" s="95"/>
      <c r="T616" s="240" t="s">
        <v>828</v>
      </c>
      <c r="U616" s="241" t="s">
        <v>828</v>
      </c>
      <c r="V616" s="175"/>
      <c r="W616" s="242" t="s">
        <v>828</v>
      </c>
      <c r="X616" s="228">
        <v>3.8262752215596725E-2</v>
      </c>
      <c r="Y616" s="248">
        <v>29</v>
      </c>
      <c r="AA616" s="248">
        <v>29</v>
      </c>
      <c r="AB616" s="175"/>
      <c r="AC616" s="248">
        <f t="shared" si="38"/>
        <v>34</v>
      </c>
      <c r="AD616" s="249">
        <v>5.3606148965675962E-2</v>
      </c>
      <c r="AE616" s="228">
        <f t="shared" si="36"/>
        <v>0.1122328118842657</v>
      </c>
      <c r="AG616" s="228"/>
      <c r="AH616" s="228"/>
      <c r="AI616" s="228"/>
      <c r="AJ616" s="228"/>
      <c r="AK616" s="228"/>
    </row>
    <row r="617" spans="4:37" x14ac:dyDescent="0.2">
      <c r="D617" s="75">
        <f t="shared" si="37"/>
        <v>35</v>
      </c>
      <c r="E617" s="80">
        <f t="shared" si="37"/>
        <v>6</v>
      </c>
      <c r="F617" s="80">
        <f t="shared" si="37"/>
        <v>6</v>
      </c>
      <c r="H617" s="239" t="s">
        <v>828</v>
      </c>
      <c r="I617" s="239" t="s">
        <v>828</v>
      </c>
      <c r="J617" s="239" t="s">
        <v>828</v>
      </c>
      <c r="L617" s="239" t="s">
        <v>828</v>
      </c>
      <c r="M617" s="95"/>
      <c r="N617" s="95"/>
      <c r="O617" s="95"/>
      <c r="T617" s="240" t="s">
        <v>828</v>
      </c>
      <c r="U617" s="241" t="s">
        <v>828</v>
      </c>
      <c r="V617" s="175"/>
      <c r="W617" s="242" t="s">
        <v>828</v>
      </c>
      <c r="X617" s="228">
        <v>5.7054492785158471E-2</v>
      </c>
      <c r="Y617" s="248">
        <v>37</v>
      </c>
      <c r="AA617" s="248">
        <v>37</v>
      </c>
      <c r="AB617" s="175"/>
      <c r="AC617" s="248">
        <f t="shared" si="38"/>
        <v>35</v>
      </c>
      <c r="AD617" s="249">
        <v>5.5796093136179774E-2</v>
      </c>
      <c r="AE617" s="228">
        <f t="shared" si="36"/>
        <v>0.1122328118842657</v>
      </c>
      <c r="AG617" s="228"/>
      <c r="AH617" s="228"/>
      <c r="AI617" s="228"/>
      <c r="AJ617" s="228"/>
      <c r="AK617" s="228"/>
    </row>
    <row r="618" spans="4:37" x14ac:dyDescent="0.2">
      <c r="D618" s="75">
        <f t="shared" si="37"/>
        <v>36</v>
      </c>
      <c r="E618" s="80">
        <f t="shared" si="37"/>
        <v>6</v>
      </c>
      <c r="F618" s="80">
        <f t="shared" si="37"/>
        <v>6</v>
      </c>
      <c r="H618" s="239" t="s">
        <v>828</v>
      </c>
      <c r="I618" s="239" t="s">
        <v>828</v>
      </c>
      <c r="J618" s="239" t="s">
        <v>828</v>
      </c>
      <c r="L618" s="239" t="s">
        <v>828</v>
      </c>
      <c r="M618" s="95"/>
      <c r="N618" s="95"/>
      <c r="O618" s="95"/>
      <c r="T618" s="240" t="s">
        <v>828</v>
      </c>
      <c r="U618" s="241" t="s">
        <v>828</v>
      </c>
      <c r="V618" s="175"/>
      <c r="W618" s="242" t="s">
        <v>828</v>
      </c>
      <c r="X618" s="228">
        <v>9.699453551912568E-2</v>
      </c>
      <c r="Y618" s="248">
        <v>48</v>
      </c>
      <c r="AA618" s="248">
        <v>50</v>
      </c>
      <c r="AB618" s="175"/>
      <c r="AC618" s="248">
        <f t="shared" si="38"/>
        <v>36</v>
      </c>
      <c r="AD618" s="249">
        <v>5.617796891895923E-2</v>
      </c>
      <c r="AE618" s="228">
        <f t="shared" si="36"/>
        <v>0.1122328118842657</v>
      </c>
      <c r="AG618" s="228"/>
      <c r="AH618" s="228"/>
      <c r="AI618" s="228"/>
      <c r="AJ618" s="228"/>
      <c r="AK618" s="228"/>
    </row>
    <row r="619" spans="4:37" x14ac:dyDescent="0.2">
      <c r="D619" s="75">
        <f t="shared" si="37"/>
        <v>37</v>
      </c>
      <c r="E619" s="80">
        <f t="shared" si="37"/>
        <v>6</v>
      </c>
      <c r="F619" s="80">
        <f t="shared" si="37"/>
        <v>6</v>
      </c>
      <c r="H619" s="239" t="s">
        <v>828</v>
      </c>
      <c r="I619" s="239" t="s">
        <v>828</v>
      </c>
      <c r="J619" s="239" t="s">
        <v>828</v>
      </c>
      <c r="L619" s="239" t="s">
        <v>828</v>
      </c>
      <c r="M619" s="95"/>
      <c r="N619" s="95"/>
      <c r="O619" s="95"/>
      <c r="T619" s="240" t="s">
        <v>828</v>
      </c>
      <c r="U619" s="241" t="s">
        <v>828</v>
      </c>
      <c r="V619" s="175"/>
      <c r="W619" s="242" t="s">
        <v>828</v>
      </c>
      <c r="X619" s="228">
        <v>2.9550585449906051E-2</v>
      </c>
      <c r="Y619" s="248">
        <v>28</v>
      </c>
      <c r="AA619" s="248">
        <v>28</v>
      </c>
      <c r="AB619" s="175"/>
      <c r="AC619" s="248">
        <f t="shared" si="38"/>
        <v>37</v>
      </c>
      <c r="AD619" s="249">
        <v>5.7054492785158471E-2</v>
      </c>
      <c r="AE619" s="228">
        <f t="shared" si="36"/>
        <v>0.1122328118842657</v>
      </c>
      <c r="AG619" s="228"/>
      <c r="AH619" s="228"/>
      <c r="AI619" s="228"/>
      <c r="AJ619" s="228"/>
      <c r="AK619" s="228"/>
    </row>
    <row r="620" spans="4:37" x14ac:dyDescent="0.2">
      <c r="D620" s="75">
        <f t="shared" si="37"/>
        <v>38</v>
      </c>
      <c r="E620" s="80">
        <f t="shared" si="37"/>
        <v>6</v>
      </c>
      <c r="F620" s="80">
        <f t="shared" si="37"/>
        <v>6</v>
      </c>
      <c r="H620" s="239" t="s">
        <v>828</v>
      </c>
      <c r="I620" s="239" t="s">
        <v>828</v>
      </c>
      <c r="J620" s="239" t="s">
        <v>828</v>
      </c>
      <c r="L620" s="239" t="s">
        <v>828</v>
      </c>
      <c r="M620" s="95"/>
      <c r="N620" s="95"/>
      <c r="O620" s="95"/>
      <c r="T620" s="240" t="s">
        <v>828</v>
      </c>
      <c r="U620" s="241" t="s">
        <v>828</v>
      </c>
      <c r="V620" s="175"/>
      <c r="W620" s="242" t="s">
        <v>828</v>
      </c>
      <c r="X620" s="228">
        <v>6.4373718092624641E-2</v>
      </c>
      <c r="Y620" s="248">
        <v>40</v>
      </c>
      <c r="AA620" s="248">
        <v>40</v>
      </c>
      <c r="AB620" s="175"/>
      <c r="AC620" s="248">
        <f t="shared" si="38"/>
        <v>38</v>
      </c>
      <c r="AD620" s="249">
        <v>5.7211241264578744E-2</v>
      </c>
      <c r="AE620" s="228">
        <f t="shared" si="36"/>
        <v>0.1122328118842657</v>
      </c>
      <c r="AG620" s="228"/>
      <c r="AH620" s="228"/>
      <c r="AI620" s="228"/>
      <c r="AJ620" s="228"/>
      <c r="AK620" s="228"/>
    </row>
    <row r="621" spans="4:37" x14ac:dyDescent="0.2">
      <c r="D621" s="75">
        <f t="shared" si="37"/>
        <v>39</v>
      </c>
      <c r="E621" s="80">
        <f t="shared" si="37"/>
        <v>6</v>
      </c>
      <c r="F621" s="80">
        <f t="shared" si="37"/>
        <v>6</v>
      </c>
      <c r="H621" s="239" t="s">
        <v>828</v>
      </c>
      <c r="I621" s="239" t="s">
        <v>828</v>
      </c>
      <c r="J621" s="239" t="s">
        <v>828</v>
      </c>
      <c r="L621" s="239" t="s">
        <v>828</v>
      </c>
      <c r="M621" s="95"/>
      <c r="N621" s="95"/>
      <c r="O621" s="95"/>
      <c r="T621" s="240" t="s">
        <v>828</v>
      </c>
      <c r="U621" s="241" t="s">
        <v>828</v>
      </c>
      <c r="V621" s="175"/>
      <c r="W621" s="242" t="s">
        <v>828</v>
      </c>
      <c r="X621" s="228">
        <v>7.0537764446639076E-2</v>
      </c>
      <c r="Y621" s="248">
        <v>41</v>
      </c>
      <c r="AA621" s="248">
        <v>41</v>
      </c>
      <c r="AB621" s="175"/>
      <c r="AC621" s="248">
        <f t="shared" si="38"/>
        <v>39</v>
      </c>
      <c r="AD621" s="249">
        <v>6.3433643084674113E-2</v>
      </c>
      <c r="AE621" s="228">
        <f t="shared" si="36"/>
        <v>0.1122328118842657</v>
      </c>
      <c r="AG621" s="228"/>
      <c r="AH621" s="228"/>
      <c r="AI621" s="228"/>
      <c r="AJ621" s="228"/>
      <c r="AK621" s="228"/>
    </row>
    <row r="622" spans="4:37" x14ac:dyDescent="0.2">
      <c r="D622" s="75">
        <f t="shared" si="37"/>
        <v>40</v>
      </c>
      <c r="E622" s="80">
        <f t="shared" si="37"/>
        <v>6</v>
      </c>
      <c r="F622" s="80">
        <f t="shared" si="37"/>
        <v>6</v>
      </c>
      <c r="H622" s="239" t="s">
        <v>828</v>
      </c>
      <c r="I622" s="239" t="s">
        <v>828</v>
      </c>
      <c r="J622" s="239" t="s">
        <v>828</v>
      </c>
      <c r="L622" s="239" t="s">
        <v>828</v>
      </c>
      <c r="M622" s="95"/>
      <c r="N622" s="95"/>
      <c r="O622" s="95"/>
      <c r="T622" s="240" t="s">
        <v>828</v>
      </c>
      <c r="U622" s="241" t="s">
        <v>828</v>
      </c>
      <c r="V622" s="175"/>
      <c r="W622" s="242" t="s">
        <v>828</v>
      </c>
      <c r="X622" s="228">
        <v>7.2811069991305988E-2</v>
      </c>
      <c r="Y622" s="248">
        <v>42</v>
      </c>
      <c r="AA622" s="248">
        <v>42</v>
      </c>
      <c r="AB622" s="175"/>
      <c r="AC622" s="248">
        <f t="shared" si="38"/>
        <v>40</v>
      </c>
      <c r="AD622" s="249">
        <v>6.4373718092624641E-2</v>
      </c>
      <c r="AE622" s="228">
        <f t="shared" si="36"/>
        <v>0.1122328118842657</v>
      </c>
      <c r="AG622" s="228"/>
      <c r="AH622" s="228"/>
      <c r="AI622" s="228"/>
      <c r="AJ622" s="228"/>
      <c r="AK622" s="228"/>
    </row>
    <row r="623" spans="4:37" x14ac:dyDescent="0.2">
      <c r="D623" s="75">
        <f t="shared" si="37"/>
        <v>41</v>
      </c>
      <c r="E623" s="80">
        <f t="shared" si="37"/>
        <v>6</v>
      </c>
      <c r="F623" s="80">
        <f t="shared" si="37"/>
        <v>6</v>
      </c>
      <c r="H623" s="239" t="s">
        <v>828</v>
      </c>
      <c r="I623" s="239" t="s">
        <v>828</v>
      </c>
      <c r="J623" s="239" t="s">
        <v>828</v>
      </c>
      <c r="L623" s="239" t="s">
        <v>828</v>
      </c>
      <c r="M623" s="95"/>
      <c r="N623" s="95"/>
      <c r="O623" s="95"/>
      <c r="T623" s="240" t="s">
        <v>828</v>
      </c>
      <c r="U623" s="241" t="s">
        <v>828</v>
      </c>
      <c r="V623" s="175"/>
      <c r="W623" s="242" t="s">
        <v>828</v>
      </c>
      <c r="X623" s="228">
        <v>7.6962769076460311E-2</v>
      </c>
      <c r="Y623" s="248">
        <v>43</v>
      </c>
      <c r="AA623" s="248">
        <v>43</v>
      </c>
      <c r="AB623" s="175"/>
      <c r="AC623" s="248">
        <f t="shared" si="38"/>
        <v>41</v>
      </c>
      <c r="AD623" s="249">
        <v>7.0537764446639076E-2</v>
      </c>
      <c r="AE623" s="228">
        <f t="shared" si="36"/>
        <v>0.1122328118842657</v>
      </c>
      <c r="AG623" s="228"/>
      <c r="AH623" s="228"/>
      <c r="AI623" s="228"/>
      <c r="AJ623" s="228"/>
      <c r="AK623" s="228"/>
    </row>
    <row r="624" spans="4:37" x14ac:dyDescent="0.2">
      <c r="D624" s="75">
        <f t="shared" si="37"/>
        <v>42</v>
      </c>
      <c r="E624" s="80">
        <f t="shared" si="37"/>
        <v>6</v>
      </c>
      <c r="F624" s="80">
        <f t="shared" si="37"/>
        <v>6</v>
      </c>
      <c r="H624" s="239" t="s">
        <v>828</v>
      </c>
      <c r="I624" s="239" t="s">
        <v>828</v>
      </c>
      <c r="J624" s="239" t="s">
        <v>828</v>
      </c>
      <c r="L624" s="239" t="s">
        <v>828</v>
      </c>
      <c r="M624" s="95"/>
      <c r="N624" s="95"/>
      <c r="O624" s="95"/>
      <c r="T624" s="240" t="s">
        <v>828</v>
      </c>
      <c r="U624" s="241" t="s">
        <v>828</v>
      </c>
      <c r="V624" s="175"/>
      <c r="W624" s="242" t="s">
        <v>828</v>
      </c>
      <c r="X624" s="228">
        <v>8.1839013842212538E-2</v>
      </c>
      <c r="Y624" s="248">
        <v>45</v>
      </c>
      <c r="AA624" s="248">
        <v>45</v>
      </c>
      <c r="AB624" s="175"/>
      <c r="AC624" s="248">
        <f t="shared" si="38"/>
        <v>42</v>
      </c>
      <c r="AD624" s="249">
        <v>7.2811069991305988E-2</v>
      </c>
      <c r="AE624" s="228">
        <f t="shared" si="36"/>
        <v>0.1122328118842657</v>
      </c>
      <c r="AG624" s="228"/>
      <c r="AH624" s="228"/>
      <c r="AI624" s="228"/>
      <c r="AJ624" s="228"/>
      <c r="AK624" s="228"/>
    </row>
    <row r="625" spans="4:37" x14ac:dyDescent="0.2">
      <c r="D625" s="75">
        <f t="shared" si="37"/>
        <v>43</v>
      </c>
      <c r="E625" s="80">
        <f t="shared" si="37"/>
        <v>6</v>
      </c>
      <c r="F625" s="80">
        <f t="shared" si="37"/>
        <v>6</v>
      </c>
      <c r="H625" s="239" t="s">
        <v>828</v>
      </c>
      <c r="I625" s="239" t="s">
        <v>828</v>
      </c>
      <c r="J625" s="239" t="s">
        <v>828</v>
      </c>
      <c r="L625" s="239" t="s">
        <v>828</v>
      </c>
      <c r="M625" s="95"/>
      <c r="N625" s="95"/>
      <c r="O625" s="95"/>
      <c r="T625" s="240" t="s">
        <v>828</v>
      </c>
      <c r="U625" s="241" t="s">
        <v>828</v>
      </c>
      <c r="V625" s="175"/>
      <c r="W625" s="242" t="s">
        <v>828</v>
      </c>
      <c r="X625" s="228">
        <v>9.084853050277425E-2</v>
      </c>
      <c r="Y625" s="248">
        <v>47</v>
      </c>
      <c r="AA625" s="248">
        <v>47</v>
      </c>
      <c r="AB625" s="175"/>
      <c r="AC625" s="248">
        <f t="shared" si="38"/>
        <v>43</v>
      </c>
      <c r="AD625" s="249">
        <v>7.6962769076460311E-2</v>
      </c>
      <c r="AE625" s="228">
        <f t="shared" si="36"/>
        <v>0.1122328118842657</v>
      </c>
      <c r="AG625" s="228"/>
      <c r="AH625" s="228"/>
      <c r="AI625" s="228"/>
      <c r="AJ625" s="228"/>
      <c r="AK625" s="228"/>
    </row>
    <row r="626" spans="4:37" x14ac:dyDescent="0.2">
      <c r="D626" s="75">
        <f t="shared" si="37"/>
        <v>44</v>
      </c>
      <c r="E626" s="80">
        <f t="shared" si="37"/>
        <v>6</v>
      </c>
      <c r="F626" s="80">
        <f t="shared" si="37"/>
        <v>6</v>
      </c>
      <c r="H626" s="239" t="s">
        <v>828</v>
      </c>
      <c r="I626" s="239" t="s">
        <v>828</v>
      </c>
      <c r="J626" s="239" t="s">
        <v>828</v>
      </c>
      <c r="L626" s="239" t="s">
        <v>828</v>
      </c>
      <c r="M626" s="95"/>
      <c r="N626" s="95"/>
      <c r="O626" s="95"/>
      <c r="T626" s="240" t="s">
        <v>828</v>
      </c>
      <c r="U626" s="241" t="s">
        <v>828</v>
      </c>
      <c r="V626" s="175"/>
      <c r="W626" s="242" t="s">
        <v>828</v>
      </c>
      <c r="X626" s="228">
        <v>9.699453551912568E-2</v>
      </c>
      <c r="Y626" s="248">
        <v>48</v>
      </c>
      <c r="AA626" s="248">
        <v>51</v>
      </c>
      <c r="AB626" s="175"/>
      <c r="AC626" s="248">
        <f t="shared" si="38"/>
        <v>44</v>
      </c>
      <c r="AD626" s="249">
        <v>7.839786980061296E-2</v>
      </c>
      <c r="AE626" s="228">
        <f t="shared" si="36"/>
        <v>0.1122328118842657</v>
      </c>
      <c r="AG626" s="228"/>
      <c r="AH626" s="228"/>
      <c r="AI626" s="228"/>
      <c r="AJ626" s="228"/>
      <c r="AK626" s="228"/>
    </row>
    <row r="627" spans="4:37" x14ac:dyDescent="0.2">
      <c r="D627" s="75">
        <f t="shared" si="37"/>
        <v>45</v>
      </c>
      <c r="E627" s="80">
        <f t="shared" si="37"/>
        <v>6</v>
      </c>
      <c r="F627" s="80">
        <f t="shared" si="37"/>
        <v>6</v>
      </c>
      <c r="H627" s="239" t="s">
        <v>828</v>
      </c>
      <c r="I627" s="239" t="s">
        <v>828</v>
      </c>
      <c r="J627" s="239" t="s">
        <v>828</v>
      </c>
      <c r="L627" s="239" t="s">
        <v>828</v>
      </c>
      <c r="M627" s="95"/>
      <c r="N627" s="95"/>
      <c r="O627" s="95"/>
      <c r="T627" s="240" t="s">
        <v>828</v>
      </c>
      <c r="U627" s="241" t="s">
        <v>828</v>
      </c>
      <c r="V627" s="175"/>
      <c r="W627" s="242" t="s">
        <v>828</v>
      </c>
      <c r="X627" s="228">
        <v>9.699453551912568E-2</v>
      </c>
      <c r="Y627" s="248">
        <v>48</v>
      </c>
      <c r="AA627" s="248">
        <v>52</v>
      </c>
      <c r="AB627" s="175"/>
      <c r="AC627" s="248">
        <f t="shared" si="38"/>
        <v>45</v>
      </c>
      <c r="AD627" s="249">
        <v>8.1839013842212538E-2</v>
      </c>
      <c r="AE627" s="228">
        <f t="shared" si="36"/>
        <v>0.1122328118842657</v>
      </c>
      <c r="AG627" s="228"/>
      <c r="AH627" s="228"/>
      <c r="AI627" s="228"/>
      <c r="AJ627" s="228"/>
      <c r="AK627" s="228"/>
    </row>
    <row r="628" spans="4:37" x14ac:dyDescent="0.2">
      <c r="D628" s="75">
        <f t="shared" si="37"/>
        <v>46</v>
      </c>
      <c r="E628" s="80">
        <f t="shared" si="37"/>
        <v>6</v>
      </c>
      <c r="F628" s="80">
        <f t="shared" si="37"/>
        <v>6</v>
      </c>
      <c r="H628" s="239" t="s">
        <v>828</v>
      </c>
      <c r="I628" s="239" t="s">
        <v>828</v>
      </c>
      <c r="J628" s="239" t="s">
        <v>828</v>
      </c>
      <c r="L628" s="239" t="s">
        <v>828</v>
      </c>
      <c r="M628" s="95"/>
      <c r="N628" s="95"/>
      <c r="O628" s="95"/>
      <c r="T628" s="240" t="s">
        <v>828</v>
      </c>
      <c r="U628" s="241" t="s">
        <v>828</v>
      </c>
      <c r="V628" s="175"/>
      <c r="W628" s="242" t="s">
        <v>828</v>
      </c>
      <c r="X628" s="228">
        <v>9.699453551912568E-2</v>
      </c>
      <c r="Y628" s="248">
        <v>48</v>
      </c>
      <c r="AA628" s="248">
        <v>53</v>
      </c>
      <c r="AB628" s="175"/>
      <c r="AC628" s="248">
        <f t="shared" si="38"/>
        <v>46</v>
      </c>
      <c r="AD628" s="249">
        <v>8.8646322551245854E-2</v>
      </c>
      <c r="AE628" s="228">
        <f t="shared" si="36"/>
        <v>0.1122328118842657</v>
      </c>
      <c r="AG628" s="228"/>
      <c r="AH628" s="228"/>
      <c r="AI628" s="228"/>
      <c r="AJ628" s="228"/>
      <c r="AK628" s="228"/>
    </row>
    <row r="629" spans="4:37" x14ac:dyDescent="0.2">
      <c r="D629" s="75">
        <f t="shared" si="37"/>
        <v>47</v>
      </c>
      <c r="E629" s="80">
        <f t="shared" si="37"/>
        <v>6</v>
      </c>
      <c r="F629" s="80">
        <f t="shared" si="37"/>
        <v>6</v>
      </c>
      <c r="H629" s="239" t="s">
        <v>828</v>
      </c>
      <c r="I629" s="239" t="s">
        <v>828</v>
      </c>
      <c r="J629" s="239" t="s">
        <v>828</v>
      </c>
      <c r="L629" s="239" t="s">
        <v>828</v>
      </c>
      <c r="M629" s="95"/>
      <c r="N629" s="95"/>
      <c r="O629" s="95"/>
      <c r="T629" s="240" t="s">
        <v>828</v>
      </c>
      <c r="U629" s="241" t="s">
        <v>828</v>
      </c>
      <c r="V629" s="175"/>
      <c r="W629" s="242" t="s">
        <v>828</v>
      </c>
      <c r="X629" s="228">
        <v>9.699453551912568E-2</v>
      </c>
      <c r="Y629" s="248">
        <v>48</v>
      </c>
      <c r="AA629" s="248">
        <v>54</v>
      </c>
      <c r="AB629" s="175"/>
      <c r="AC629" s="248">
        <f t="shared" si="38"/>
        <v>47</v>
      </c>
      <c r="AD629" s="249">
        <v>9.084853050277425E-2</v>
      </c>
      <c r="AE629" s="228">
        <f t="shared" si="36"/>
        <v>0.1122328118842657</v>
      </c>
      <c r="AG629" s="228"/>
      <c r="AH629" s="228"/>
      <c r="AI629" s="228"/>
      <c r="AJ629" s="228"/>
      <c r="AK629" s="228"/>
    </row>
    <row r="630" spans="4:37" x14ac:dyDescent="0.2">
      <c r="D630" s="75">
        <f t="shared" si="37"/>
        <v>48</v>
      </c>
      <c r="E630" s="80">
        <f t="shared" si="37"/>
        <v>6</v>
      </c>
      <c r="F630" s="80">
        <f t="shared" si="37"/>
        <v>6</v>
      </c>
      <c r="H630" s="239" t="s">
        <v>828</v>
      </c>
      <c r="I630" s="239" t="s">
        <v>828</v>
      </c>
      <c r="J630" s="239" t="s">
        <v>828</v>
      </c>
      <c r="L630" s="239" t="s">
        <v>828</v>
      </c>
      <c r="M630" s="95"/>
      <c r="N630" s="95"/>
      <c r="O630" s="95"/>
      <c r="T630" s="240" t="s">
        <v>828</v>
      </c>
      <c r="U630" s="241" t="s">
        <v>828</v>
      </c>
      <c r="V630" s="175"/>
      <c r="W630" s="242" t="s">
        <v>828</v>
      </c>
      <c r="X630" s="228">
        <v>0.14542142895091439</v>
      </c>
      <c r="Y630" s="248">
        <v>62</v>
      </c>
      <c r="AA630" s="248">
        <v>62</v>
      </c>
      <c r="AB630" s="175"/>
      <c r="AC630" s="248">
        <f t="shared" si="38"/>
        <v>48</v>
      </c>
      <c r="AD630" s="249">
        <v>9.699453551912568E-2</v>
      </c>
      <c r="AE630" s="228">
        <f t="shared" si="36"/>
        <v>0.1122328118842657</v>
      </c>
      <c r="AG630" s="228"/>
      <c r="AH630" s="228"/>
      <c r="AI630" s="228"/>
      <c r="AJ630" s="228"/>
      <c r="AK630" s="228"/>
    </row>
    <row r="631" spans="4:37" x14ac:dyDescent="0.2">
      <c r="D631" s="75">
        <f t="shared" si="37"/>
        <v>49</v>
      </c>
      <c r="E631" s="80">
        <f t="shared" si="37"/>
        <v>6</v>
      </c>
      <c r="F631" s="80">
        <f t="shared" si="37"/>
        <v>6</v>
      </c>
      <c r="H631" s="252" t="s">
        <v>828</v>
      </c>
      <c r="I631" s="252" t="s">
        <v>828</v>
      </c>
      <c r="J631" s="252" t="s">
        <v>828</v>
      </c>
      <c r="L631" s="252" t="s">
        <v>828</v>
      </c>
      <c r="M631" s="95"/>
      <c r="N631" s="95"/>
      <c r="O631" s="95"/>
      <c r="T631" s="240" t="s">
        <v>828</v>
      </c>
      <c r="U631" s="241" t="s">
        <v>828</v>
      </c>
      <c r="V631" s="175"/>
      <c r="W631" s="242" t="s">
        <v>828</v>
      </c>
      <c r="X631" s="228">
        <v>0.13803504854629253</v>
      </c>
      <c r="Y631" s="248">
        <v>61</v>
      </c>
      <c r="AA631" s="248">
        <v>61</v>
      </c>
      <c r="AB631" s="175"/>
      <c r="AC631" s="248">
        <f t="shared" si="38"/>
        <v>49</v>
      </c>
      <c r="AD631" s="249">
        <v>9.699453551912568E-2</v>
      </c>
      <c r="AE631" s="228">
        <f t="shared" si="36"/>
        <v>0.1122328118842657</v>
      </c>
      <c r="AG631" s="228"/>
      <c r="AH631" s="228"/>
      <c r="AI631" s="228"/>
      <c r="AJ631" s="228"/>
      <c r="AK631" s="228"/>
    </row>
    <row r="632" spans="4:37" x14ac:dyDescent="0.2">
      <c r="D632" s="250">
        <f>D652</f>
        <v>1</v>
      </c>
      <c r="E632" s="251">
        <f t="shared" ref="E632:F632" si="39">E652</f>
        <v>7</v>
      </c>
      <c r="F632" s="251">
        <f t="shared" si="39"/>
        <v>6</v>
      </c>
      <c r="H632" s="253" t="s">
        <v>828</v>
      </c>
      <c r="I632" s="253" t="s">
        <v>828</v>
      </c>
      <c r="J632" s="253" t="s">
        <v>828</v>
      </c>
      <c r="L632" s="253" t="s">
        <v>828</v>
      </c>
      <c r="M632" s="95"/>
      <c r="N632" s="95"/>
      <c r="O632" s="95"/>
      <c r="T632" s="240" t="s">
        <v>828</v>
      </c>
      <c r="U632" s="241" t="s">
        <v>828</v>
      </c>
      <c r="V632" s="175"/>
      <c r="W632" s="242" t="s">
        <v>828</v>
      </c>
      <c r="X632" s="228">
        <v>-2.0630286596776799E-2</v>
      </c>
      <c r="Y632" s="248">
        <v>17</v>
      </c>
      <c r="AA632" s="248">
        <v>17</v>
      </c>
      <c r="AB632" s="175"/>
      <c r="AC632" s="248">
        <f>N(AC631)+1</f>
        <v>50</v>
      </c>
      <c r="AD632" s="249">
        <v>9.699453551912568E-2</v>
      </c>
      <c r="AE632" s="228">
        <f t="shared" si="36"/>
        <v>0.1122328118842657</v>
      </c>
      <c r="AG632" s="228"/>
      <c r="AH632" s="228"/>
      <c r="AI632" s="228"/>
      <c r="AJ632" s="228"/>
      <c r="AK632" s="228"/>
    </row>
    <row r="633" spans="4:37" x14ac:dyDescent="0.2">
      <c r="D633" s="75">
        <f t="shared" ref="D633:F633" si="40">D653</f>
        <v>2</v>
      </c>
      <c r="E633" s="80">
        <f t="shared" si="40"/>
        <v>7</v>
      </c>
      <c r="F633" s="80">
        <f t="shared" si="40"/>
        <v>6</v>
      </c>
      <c r="H633" s="239" t="s">
        <v>828</v>
      </c>
      <c r="I633" s="239" t="s">
        <v>828</v>
      </c>
      <c r="J633" s="239" t="s">
        <v>828</v>
      </c>
      <c r="L633" s="239" t="s">
        <v>828</v>
      </c>
      <c r="M633" s="95"/>
      <c r="N633" s="95"/>
      <c r="O633" s="95"/>
      <c r="T633" s="240" t="s">
        <v>828</v>
      </c>
      <c r="U633" s="241" t="s">
        <v>828</v>
      </c>
      <c r="V633" s="175"/>
      <c r="W633" s="242" t="s">
        <v>828</v>
      </c>
      <c r="X633" s="228">
        <v>0.12114752549235358</v>
      </c>
      <c r="Y633" s="248">
        <v>60</v>
      </c>
      <c r="AA633" s="248">
        <v>60</v>
      </c>
      <c r="AB633" s="175"/>
      <c r="AC633" s="248">
        <f t="shared" ref="AC633:AC644" si="41">N(AC632)+1</f>
        <v>51</v>
      </c>
      <c r="AD633" s="249">
        <v>9.699453551912568E-2</v>
      </c>
      <c r="AE633" s="228">
        <f t="shared" si="36"/>
        <v>0.1122328118842657</v>
      </c>
      <c r="AG633" s="228"/>
      <c r="AH633" s="228"/>
      <c r="AI633" s="228"/>
      <c r="AJ633" s="228"/>
      <c r="AK633" s="228"/>
    </row>
    <row r="634" spans="4:37" x14ac:dyDescent="0.2">
      <c r="D634" s="75">
        <f t="shared" ref="D634:F634" si="42">D654</f>
        <v>3</v>
      </c>
      <c r="E634" s="80">
        <f t="shared" si="42"/>
        <v>7</v>
      </c>
      <c r="F634" s="80">
        <f t="shared" si="42"/>
        <v>6</v>
      </c>
      <c r="H634" s="239" t="s">
        <v>828</v>
      </c>
      <c r="I634" s="239" t="s">
        <v>828</v>
      </c>
      <c r="J634" s="239" t="s">
        <v>828</v>
      </c>
      <c r="L634" s="239" t="s">
        <v>828</v>
      </c>
      <c r="M634" s="95"/>
      <c r="N634" s="95"/>
      <c r="O634" s="95"/>
      <c r="T634" s="240" t="s">
        <v>828</v>
      </c>
      <c r="U634" s="241" t="s">
        <v>828</v>
      </c>
      <c r="V634" s="175"/>
      <c r="W634" s="242" t="s">
        <v>828</v>
      </c>
      <c r="X634" s="228">
        <v>7.839786980061296E-2</v>
      </c>
      <c r="Y634" s="248">
        <v>44</v>
      </c>
      <c r="AA634" s="248">
        <v>44</v>
      </c>
      <c r="AB634" s="175"/>
      <c r="AC634" s="248">
        <f t="shared" si="41"/>
        <v>52</v>
      </c>
      <c r="AD634" s="249">
        <v>9.699453551912568E-2</v>
      </c>
      <c r="AE634" s="228">
        <f t="shared" si="36"/>
        <v>0.1122328118842657</v>
      </c>
      <c r="AG634" s="228"/>
      <c r="AH634" s="228"/>
      <c r="AI634" s="228"/>
      <c r="AJ634" s="228"/>
      <c r="AK634" s="228"/>
    </row>
    <row r="635" spans="4:37" x14ac:dyDescent="0.2">
      <c r="D635" s="75">
        <f t="shared" ref="D635:F635" si="43">D655</f>
        <v>4</v>
      </c>
      <c r="E635" s="80">
        <f t="shared" si="43"/>
        <v>7</v>
      </c>
      <c r="F635" s="80">
        <f t="shared" si="43"/>
        <v>6</v>
      </c>
      <c r="H635" s="239" t="s">
        <v>828</v>
      </c>
      <c r="I635" s="239" t="s">
        <v>828</v>
      </c>
      <c r="J635" s="239" t="s">
        <v>828</v>
      </c>
      <c r="L635" s="239" t="s">
        <v>828</v>
      </c>
      <c r="M635" s="95"/>
      <c r="N635" s="95"/>
      <c r="O635" s="95"/>
      <c r="T635" s="240" t="s">
        <v>828</v>
      </c>
      <c r="U635" s="241" t="s">
        <v>828</v>
      </c>
      <c r="V635" s="175"/>
      <c r="W635" s="242" t="s">
        <v>828</v>
      </c>
      <c r="X635" s="228">
        <v>0.10993923618414154</v>
      </c>
      <c r="Y635" s="248">
        <v>58</v>
      </c>
      <c r="AA635" s="248">
        <v>58</v>
      </c>
      <c r="AB635" s="175"/>
      <c r="AC635" s="248">
        <f t="shared" si="41"/>
        <v>53</v>
      </c>
      <c r="AD635" s="249">
        <v>9.699453551912568E-2</v>
      </c>
      <c r="AE635" s="228">
        <f t="shared" si="36"/>
        <v>0.1122328118842657</v>
      </c>
      <c r="AG635" s="228"/>
      <c r="AH635" s="228"/>
      <c r="AI635" s="228"/>
      <c r="AJ635" s="228"/>
      <c r="AK635" s="228"/>
    </row>
    <row r="636" spans="4:37" x14ac:dyDescent="0.2">
      <c r="D636" s="75">
        <f t="shared" ref="D636:F636" si="44">D656</f>
        <v>5</v>
      </c>
      <c r="E636" s="80">
        <f t="shared" si="44"/>
        <v>7</v>
      </c>
      <c r="F636" s="80">
        <f t="shared" si="44"/>
        <v>6</v>
      </c>
      <c r="H636" s="239" t="s">
        <v>828</v>
      </c>
      <c r="I636" s="239" t="s">
        <v>828</v>
      </c>
      <c r="J636" s="239" t="s">
        <v>828</v>
      </c>
      <c r="L636" s="239" t="s">
        <v>828</v>
      </c>
      <c r="M636" s="95"/>
      <c r="N636" s="95"/>
      <c r="O636" s="95"/>
      <c r="T636" s="240" t="s">
        <v>828</v>
      </c>
      <c r="U636" s="241" t="s">
        <v>828</v>
      </c>
      <c r="V636" s="175"/>
      <c r="W636" s="242" t="s">
        <v>828</v>
      </c>
      <c r="X636" s="228">
        <v>1.0424175144729732E-2</v>
      </c>
      <c r="Y636" s="248">
        <v>22</v>
      </c>
      <c r="AA636" s="248">
        <v>22</v>
      </c>
      <c r="AB636" s="175"/>
      <c r="AC636" s="248">
        <f t="shared" si="41"/>
        <v>54</v>
      </c>
      <c r="AD636" s="249">
        <v>9.699453551912568E-2</v>
      </c>
      <c r="AE636" s="228">
        <f t="shared" si="36"/>
        <v>0.1122328118842657</v>
      </c>
      <c r="AG636" s="228"/>
      <c r="AH636" s="228"/>
      <c r="AI636" s="228"/>
      <c r="AJ636" s="228"/>
      <c r="AK636" s="228"/>
    </row>
    <row r="637" spans="4:37" x14ac:dyDescent="0.2">
      <c r="D637" s="75">
        <f t="shared" ref="D637:F637" si="45">D657</f>
        <v>6</v>
      </c>
      <c r="E637" s="80">
        <f t="shared" si="45"/>
        <v>7</v>
      </c>
      <c r="F637" s="80">
        <f t="shared" si="45"/>
        <v>6</v>
      </c>
      <c r="H637" s="239" t="s">
        <v>828</v>
      </c>
      <c r="I637" s="239" t="s">
        <v>828</v>
      </c>
      <c r="J637" s="239" t="s">
        <v>828</v>
      </c>
      <c r="L637" s="239" t="s">
        <v>828</v>
      </c>
      <c r="M637" s="95"/>
      <c r="N637" s="95"/>
      <c r="O637" s="95"/>
      <c r="T637" s="240" t="s">
        <v>828</v>
      </c>
      <c r="U637" s="241" t="s">
        <v>828</v>
      </c>
      <c r="V637" s="175"/>
      <c r="W637" s="242" t="s">
        <v>828</v>
      </c>
      <c r="X637" s="228">
        <v>5.5796093136179774E-2</v>
      </c>
      <c r="Y637" s="248">
        <v>35</v>
      </c>
      <c r="AA637" s="248">
        <v>35</v>
      </c>
      <c r="AB637" s="175"/>
      <c r="AC637" s="248">
        <f t="shared" si="41"/>
        <v>55</v>
      </c>
      <c r="AD637" s="249">
        <v>9.9685683827416702E-2</v>
      </c>
      <c r="AE637" s="228">
        <f t="shared" si="36"/>
        <v>0.1122328118842657</v>
      </c>
      <c r="AG637" s="228"/>
      <c r="AH637" s="228"/>
      <c r="AI637" s="228"/>
      <c r="AJ637" s="228"/>
      <c r="AK637" s="228"/>
    </row>
    <row r="638" spans="4:37" x14ac:dyDescent="0.2">
      <c r="D638" s="75">
        <f t="shared" ref="D638:F638" si="46">D658</f>
        <v>7</v>
      </c>
      <c r="E638" s="80">
        <f t="shared" si="46"/>
        <v>7</v>
      </c>
      <c r="F638" s="80">
        <f t="shared" si="46"/>
        <v>6</v>
      </c>
      <c r="H638" s="239" t="s">
        <v>828</v>
      </c>
      <c r="I638" s="239" t="s">
        <v>828</v>
      </c>
      <c r="J638" s="239" t="s">
        <v>828</v>
      </c>
      <c r="L638" s="239" t="s">
        <v>828</v>
      </c>
      <c r="M638" s="95"/>
      <c r="N638" s="95"/>
      <c r="O638" s="95"/>
      <c r="T638" s="240" t="s">
        <v>828</v>
      </c>
      <c r="U638" s="241" t="s">
        <v>828</v>
      </c>
      <c r="V638" s="175"/>
      <c r="W638" s="242" t="s">
        <v>828</v>
      </c>
      <c r="X638" s="228">
        <v>5.617796891895923E-2</v>
      </c>
      <c r="Y638" s="248">
        <v>36</v>
      </c>
      <c r="AA638" s="248">
        <v>36</v>
      </c>
      <c r="AB638" s="175"/>
      <c r="AC638" s="248">
        <f t="shared" si="41"/>
        <v>56</v>
      </c>
      <c r="AD638" s="249">
        <v>0.10626246612573952</v>
      </c>
      <c r="AE638" s="228">
        <f t="shared" si="36"/>
        <v>0.1122328118842657</v>
      </c>
      <c r="AG638" s="228"/>
      <c r="AH638" s="228"/>
      <c r="AI638" s="228"/>
      <c r="AJ638" s="228"/>
      <c r="AK638" s="228"/>
    </row>
    <row r="639" spans="4:37" x14ac:dyDescent="0.2">
      <c r="D639" s="75">
        <f t="shared" ref="D639:F639" si="47">D659</f>
        <v>8</v>
      </c>
      <c r="E639" s="80">
        <f t="shared" si="47"/>
        <v>7</v>
      </c>
      <c r="F639" s="80">
        <f t="shared" si="47"/>
        <v>6</v>
      </c>
      <c r="H639" s="239" t="s">
        <v>828</v>
      </c>
      <c r="I639" s="239" t="s">
        <v>828</v>
      </c>
      <c r="J639" s="239" t="s">
        <v>828</v>
      </c>
      <c r="L639" s="239" t="s">
        <v>828</v>
      </c>
      <c r="M639" s="95"/>
      <c r="N639" s="95"/>
      <c r="O639" s="95"/>
      <c r="T639" s="240" t="s">
        <v>828</v>
      </c>
      <c r="U639" s="241" t="s">
        <v>828</v>
      </c>
      <c r="V639" s="175"/>
      <c r="W639" s="242" t="s">
        <v>828</v>
      </c>
      <c r="X639" s="228">
        <v>3.9028382495852242E-2</v>
      </c>
      <c r="Y639" s="248">
        <v>30</v>
      </c>
      <c r="AA639" s="248">
        <v>30</v>
      </c>
      <c r="AB639" s="175"/>
      <c r="AC639" s="248">
        <f t="shared" si="41"/>
        <v>57</v>
      </c>
      <c r="AD639" s="249">
        <v>0.10697611724306327</v>
      </c>
      <c r="AE639" s="228">
        <f t="shared" si="36"/>
        <v>0.1122328118842657</v>
      </c>
      <c r="AG639" s="228"/>
      <c r="AH639" s="228"/>
      <c r="AI639" s="228"/>
      <c r="AJ639" s="228"/>
      <c r="AK639" s="228"/>
    </row>
    <row r="640" spans="4:37" x14ac:dyDescent="0.2">
      <c r="D640" s="75">
        <f t="shared" ref="D640:F640" si="48">D660</f>
        <v>9</v>
      </c>
      <c r="E640" s="80">
        <f t="shared" si="48"/>
        <v>7</v>
      </c>
      <c r="F640" s="80">
        <f t="shared" si="48"/>
        <v>6</v>
      </c>
      <c r="H640" s="239" t="s">
        <v>828</v>
      </c>
      <c r="I640" s="239" t="s">
        <v>828</v>
      </c>
      <c r="J640" s="239" t="s">
        <v>828</v>
      </c>
      <c r="L640" s="239" t="s">
        <v>828</v>
      </c>
      <c r="M640" s="95"/>
      <c r="N640" s="95"/>
      <c r="O640" s="95"/>
      <c r="T640" s="240" t="s">
        <v>828</v>
      </c>
      <c r="U640" s="241" t="s">
        <v>828</v>
      </c>
      <c r="V640" s="175"/>
      <c r="W640" s="242" t="s">
        <v>828</v>
      </c>
      <c r="X640" s="228">
        <v>-2.9510301250199062E-2</v>
      </c>
      <c r="Y640" s="248">
        <v>14</v>
      </c>
      <c r="AA640" s="248">
        <v>14</v>
      </c>
      <c r="AB640" s="175"/>
      <c r="AC640" s="248">
        <f t="shared" si="41"/>
        <v>58</v>
      </c>
      <c r="AD640" s="249">
        <v>0.10993923618414154</v>
      </c>
      <c r="AE640" s="228">
        <f t="shared" si="36"/>
        <v>0.1122328118842657</v>
      </c>
      <c r="AG640" s="228"/>
      <c r="AH640" s="228"/>
      <c r="AI640" s="228"/>
      <c r="AJ640" s="228"/>
      <c r="AK640" s="228"/>
    </row>
    <row r="641" spans="3:37" x14ac:dyDescent="0.2">
      <c r="D641" s="75">
        <f t="shared" ref="D641:F641" si="49">D661</f>
        <v>10</v>
      </c>
      <c r="E641" s="80">
        <f t="shared" si="49"/>
        <v>7</v>
      </c>
      <c r="F641" s="80">
        <f t="shared" si="49"/>
        <v>6</v>
      </c>
      <c r="H641" s="239" t="s">
        <v>828</v>
      </c>
      <c r="I641" s="239" t="s">
        <v>828</v>
      </c>
      <c r="J641" s="239" t="s">
        <v>828</v>
      </c>
      <c r="L641" s="239" t="s">
        <v>828</v>
      </c>
      <c r="M641" s="95"/>
      <c r="N641" s="95"/>
      <c r="O641" s="95"/>
      <c r="T641" s="240" t="s">
        <v>828</v>
      </c>
      <c r="U641" s="241" t="s">
        <v>828</v>
      </c>
      <c r="V641" s="175"/>
      <c r="W641" s="242" t="s">
        <v>828</v>
      </c>
      <c r="X641" s="228">
        <v>8.8646322551245854E-2</v>
      </c>
      <c r="Y641" s="248">
        <v>46</v>
      </c>
      <c r="AA641" s="248">
        <v>46</v>
      </c>
      <c r="AB641" s="175"/>
      <c r="AC641" s="248">
        <f t="shared" si="41"/>
        <v>59</v>
      </c>
      <c r="AD641" s="249">
        <v>0.12025757771267176</v>
      </c>
      <c r="AE641" s="228">
        <f t="shared" si="36"/>
        <v>0.1122328118842657</v>
      </c>
      <c r="AG641" s="228"/>
      <c r="AH641" s="228"/>
      <c r="AI641" s="228"/>
      <c r="AJ641" s="228"/>
      <c r="AK641" s="228"/>
    </row>
    <row r="642" spans="3:37" x14ac:dyDescent="0.2">
      <c r="D642" s="75">
        <f t="shared" ref="D642:F642" si="50">D662</f>
        <v>11</v>
      </c>
      <c r="E642" s="80">
        <f t="shared" si="50"/>
        <v>7</v>
      </c>
      <c r="F642" s="80">
        <f t="shared" si="50"/>
        <v>6</v>
      </c>
      <c r="H642" s="239" t="s">
        <v>828</v>
      </c>
      <c r="I642" s="239" t="s">
        <v>828</v>
      </c>
      <c r="J642" s="239" t="s">
        <v>828</v>
      </c>
      <c r="L642" s="239" t="s">
        <v>828</v>
      </c>
      <c r="M642" s="95"/>
      <c r="N642" s="95"/>
      <c r="O642" s="95"/>
      <c r="T642" s="240" t="s">
        <v>828</v>
      </c>
      <c r="U642" s="241" t="s">
        <v>828</v>
      </c>
      <c r="V642" s="175"/>
      <c r="W642" s="242" t="s">
        <v>828</v>
      </c>
      <c r="X642" s="228">
        <v>0.12025757771267176</v>
      </c>
      <c r="Y642" s="248">
        <v>59</v>
      </c>
      <c r="AA642" s="248">
        <v>59</v>
      </c>
      <c r="AB642" s="175"/>
      <c r="AC642" s="248">
        <f t="shared" si="41"/>
        <v>60</v>
      </c>
      <c r="AD642" s="249">
        <v>0.12114752549235358</v>
      </c>
      <c r="AE642" s="228">
        <f t="shared" si="36"/>
        <v>0.1122328118842657</v>
      </c>
      <c r="AG642" s="228"/>
      <c r="AH642" s="228"/>
      <c r="AI642" s="228"/>
      <c r="AJ642" s="228"/>
      <c r="AK642" s="228"/>
    </row>
    <row r="643" spans="3:37" x14ac:dyDescent="0.2">
      <c r="D643" s="75">
        <f t="shared" ref="D643:F643" si="51">D663</f>
        <v>12</v>
      </c>
      <c r="E643" s="80">
        <f t="shared" si="51"/>
        <v>7</v>
      </c>
      <c r="F643" s="80">
        <f t="shared" si="51"/>
        <v>6</v>
      </c>
      <c r="H643" s="239" t="s">
        <v>828</v>
      </c>
      <c r="I643" s="239" t="s">
        <v>828</v>
      </c>
      <c r="J643" s="239" t="s">
        <v>828</v>
      </c>
      <c r="L643" s="239" t="s">
        <v>828</v>
      </c>
      <c r="M643" s="95"/>
      <c r="N643" s="95"/>
      <c r="O643" s="95"/>
      <c r="T643" s="240" t="s">
        <v>828</v>
      </c>
      <c r="U643" s="241" t="s">
        <v>828</v>
      </c>
      <c r="V643" s="175"/>
      <c r="W643" s="242" t="s">
        <v>828</v>
      </c>
      <c r="X643" s="228">
        <v>0.10626246612573952</v>
      </c>
      <c r="Y643" s="248">
        <v>56</v>
      </c>
      <c r="AA643" s="248">
        <v>56</v>
      </c>
      <c r="AB643" s="175"/>
      <c r="AC643" s="248">
        <f t="shared" si="41"/>
        <v>61</v>
      </c>
      <c r="AD643" s="249">
        <v>0.13803504854629253</v>
      </c>
      <c r="AE643" s="228">
        <f t="shared" si="36"/>
        <v>0.1122328118842657</v>
      </c>
      <c r="AG643" s="228"/>
      <c r="AH643" s="228"/>
      <c r="AI643" s="228"/>
      <c r="AJ643" s="228"/>
      <c r="AK643" s="228"/>
    </row>
    <row r="644" spans="3:37" x14ac:dyDescent="0.2">
      <c r="D644" s="75">
        <f t="shared" ref="D644:F644" si="52">D664</f>
        <v>13</v>
      </c>
      <c r="E644" s="80">
        <f t="shared" si="52"/>
        <v>7</v>
      </c>
      <c r="F644" s="80">
        <f t="shared" si="52"/>
        <v>6</v>
      </c>
      <c r="H644" s="239" t="s">
        <v>828</v>
      </c>
      <c r="I644" s="239" t="s">
        <v>828</v>
      </c>
      <c r="J644" s="239" t="s">
        <v>828</v>
      </c>
      <c r="L644" s="239" t="s">
        <v>828</v>
      </c>
      <c r="M644" s="95"/>
      <c r="N644" s="95"/>
      <c r="O644" s="95"/>
      <c r="T644" s="240" t="s">
        <v>828</v>
      </c>
      <c r="U644" s="241" t="s">
        <v>828</v>
      </c>
      <c r="V644" s="175"/>
      <c r="W644" s="242" t="s">
        <v>828</v>
      </c>
      <c r="X644" s="228">
        <v>0.10697611724306327</v>
      </c>
      <c r="Y644" s="248">
        <v>57</v>
      </c>
      <c r="AA644" s="248">
        <v>57</v>
      </c>
      <c r="AB644" s="175"/>
      <c r="AC644" s="248">
        <f t="shared" si="41"/>
        <v>62</v>
      </c>
      <c r="AD644" s="249">
        <v>0.14542142895091439</v>
      </c>
      <c r="AE644" s="228">
        <f t="shared" si="36"/>
        <v>0.1122328118842657</v>
      </c>
      <c r="AG644" s="228"/>
      <c r="AH644" s="228"/>
      <c r="AI644" s="228"/>
      <c r="AJ644" s="228"/>
      <c r="AK644" s="228"/>
    </row>
    <row r="647" spans="3:37" s="8" customFormat="1" ht="15" x14ac:dyDescent="0.2">
      <c r="C647" s="8" t="s">
        <v>824</v>
      </c>
    </row>
    <row r="648" spans="3:37" ht="13.5" thickBot="1" x14ac:dyDescent="0.25"/>
    <row r="649" spans="3:37" ht="13.5" thickBot="1" x14ac:dyDescent="0.25">
      <c r="S649" s="226" t="s">
        <v>625</v>
      </c>
      <c r="T649" s="64">
        <f>Lookup!N$17</f>
        <v>366</v>
      </c>
      <c r="U649" s="64">
        <f>Lookup!O$17</f>
        <v>365</v>
      </c>
      <c r="AD649" s="226" t="s">
        <v>636</v>
      </c>
      <c r="AE649" s="234">
        <f>$AE$358</f>
        <v>0.1122328118842657</v>
      </c>
    </row>
    <row r="650" spans="3:37" x14ac:dyDescent="0.2">
      <c r="H650" s="303" t="s">
        <v>628</v>
      </c>
      <c r="I650" s="303"/>
      <c r="J650" s="303"/>
      <c r="L650" s="303" t="s">
        <v>626</v>
      </c>
      <c r="M650" s="303"/>
      <c r="N650" s="303"/>
      <c r="O650" s="303"/>
      <c r="W650" s="303" t="s">
        <v>635</v>
      </c>
      <c r="X650" s="303"/>
    </row>
    <row r="651" spans="3:37" ht="38.25" x14ac:dyDescent="0.2">
      <c r="D651" s="70" t="s">
        <v>634</v>
      </c>
      <c r="E651" s="54" t="s">
        <v>617</v>
      </c>
      <c r="F651" s="54" t="s">
        <v>618</v>
      </c>
      <c r="H651" s="61" t="s">
        <v>541</v>
      </c>
      <c r="I651" s="61" t="s">
        <v>276</v>
      </c>
      <c r="J651" s="61" t="s">
        <v>277</v>
      </c>
      <c r="L651" s="61" t="s">
        <v>275</v>
      </c>
      <c r="M651" s="61" t="s">
        <v>272</v>
      </c>
      <c r="N651" s="61" t="s">
        <v>273</v>
      </c>
      <c r="O651" s="61" t="s">
        <v>274</v>
      </c>
      <c r="T651" s="54" t="str">
        <f>Lookup!N$19</f>
        <v>FY24</v>
      </c>
      <c r="U651" s="54" t="str">
        <f>Lookup!O$19</f>
        <v>FY25</v>
      </c>
      <c r="W651" s="54" t="s">
        <v>199</v>
      </c>
      <c r="X651" s="54" t="s">
        <v>198</v>
      </c>
      <c r="Y651" s="61" t="s">
        <v>805</v>
      </c>
      <c r="AA651" s="61" t="s">
        <v>806</v>
      </c>
      <c r="AC651" s="61" t="s">
        <v>807</v>
      </c>
      <c r="AD651" s="61" t="s">
        <v>808</v>
      </c>
      <c r="AE651" s="61" t="str">
        <f>"Revenue Increase + CPI = "&amp;ROUND(AE649*100,1)&amp;"%"</f>
        <v>Revenue Increase + CPI = 11.2%</v>
      </c>
    </row>
    <row r="652" spans="3:37" x14ac:dyDescent="0.2">
      <c r="D652" s="75">
        <v>1</v>
      </c>
      <c r="E652" s="80">
        <v>7</v>
      </c>
      <c r="F652" s="80">
        <v>6</v>
      </c>
      <c r="H652" s="239" t="s">
        <v>828</v>
      </c>
      <c r="I652" s="239" t="s">
        <v>828</v>
      </c>
      <c r="J652" s="239" t="s">
        <v>828</v>
      </c>
      <c r="L652" s="239" t="s">
        <v>828</v>
      </c>
      <c r="M652" s="95"/>
      <c r="N652" s="95"/>
      <c r="O652" s="95"/>
      <c r="T652" s="240" t="s">
        <v>828</v>
      </c>
      <c r="U652" s="241" t="s">
        <v>828</v>
      </c>
      <c r="V652" s="175"/>
      <c r="W652" s="242" t="s">
        <v>828</v>
      </c>
      <c r="X652" s="228">
        <v>-2.0630286596776799E-2</v>
      </c>
      <c r="Y652" s="248">
        <v>2</v>
      </c>
      <c r="AA652" s="248">
        <v>2</v>
      </c>
      <c r="AB652" s="175"/>
      <c r="AC652" s="248">
        <f>N(AC651)+1</f>
        <v>1</v>
      </c>
      <c r="AD652" s="249">
        <v>-2.9510301250199062E-2</v>
      </c>
      <c r="AE652" s="228">
        <f t="shared" ref="AE652:AE664" si="53">$AE$524</f>
        <v>0.1122328118842657</v>
      </c>
      <c r="AG652" s="228"/>
      <c r="AH652" s="228"/>
      <c r="AI652" s="228"/>
      <c r="AJ652" s="228"/>
      <c r="AK652" s="228"/>
    </row>
    <row r="653" spans="3:37" x14ac:dyDescent="0.2">
      <c r="D653" s="75">
        <v>2</v>
      </c>
      <c r="E653" s="80">
        <v>7</v>
      </c>
      <c r="F653" s="80">
        <v>6</v>
      </c>
      <c r="H653" s="239" t="s">
        <v>828</v>
      </c>
      <c r="I653" s="239" t="s">
        <v>828</v>
      </c>
      <c r="J653" s="239" t="s">
        <v>828</v>
      </c>
      <c r="L653" s="239" t="s">
        <v>828</v>
      </c>
      <c r="M653" s="95"/>
      <c r="N653" s="95"/>
      <c r="O653" s="95"/>
      <c r="T653" s="240" t="s">
        <v>828</v>
      </c>
      <c r="U653" s="241" t="s">
        <v>828</v>
      </c>
      <c r="V653" s="175"/>
      <c r="W653" s="242" t="s">
        <v>828</v>
      </c>
      <c r="X653" s="228">
        <v>0.12114752549235358</v>
      </c>
      <c r="Y653" s="248">
        <v>13</v>
      </c>
      <c r="AA653" s="248">
        <v>13</v>
      </c>
      <c r="AB653" s="175"/>
      <c r="AC653" s="248">
        <f t="shared" ref="AC653:AC664" si="54">N(AC652)+1</f>
        <v>2</v>
      </c>
      <c r="AD653" s="249">
        <v>-2.0630286596776799E-2</v>
      </c>
      <c r="AE653" s="228">
        <f t="shared" si="53"/>
        <v>0.1122328118842657</v>
      </c>
      <c r="AG653" s="228"/>
      <c r="AH653" s="228"/>
      <c r="AI653" s="228"/>
      <c r="AJ653" s="228"/>
      <c r="AK653" s="228"/>
    </row>
    <row r="654" spans="3:37" x14ac:dyDescent="0.2">
      <c r="D654" s="75">
        <v>3</v>
      </c>
      <c r="E654" s="80">
        <v>7</v>
      </c>
      <c r="F654" s="80">
        <v>6</v>
      </c>
      <c r="H654" s="239" t="s">
        <v>828</v>
      </c>
      <c r="I654" s="239" t="s">
        <v>828</v>
      </c>
      <c r="J654" s="239" t="s">
        <v>828</v>
      </c>
      <c r="L654" s="239" t="s">
        <v>828</v>
      </c>
      <c r="M654" s="95"/>
      <c r="N654" s="95"/>
      <c r="O654" s="95"/>
      <c r="T654" s="240" t="s">
        <v>828</v>
      </c>
      <c r="U654" s="241" t="s">
        <v>828</v>
      </c>
      <c r="V654" s="175"/>
      <c r="W654" s="242" t="s">
        <v>828</v>
      </c>
      <c r="X654" s="228">
        <v>7.839786980061296E-2</v>
      </c>
      <c r="Y654" s="248">
        <v>7</v>
      </c>
      <c r="AA654" s="248">
        <v>7</v>
      </c>
      <c r="AB654" s="175"/>
      <c r="AC654" s="248">
        <f t="shared" si="54"/>
        <v>3</v>
      </c>
      <c r="AD654" s="249">
        <v>1.0424175144729732E-2</v>
      </c>
      <c r="AE654" s="228">
        <f t="shared" si="53"/>
        <v>0.1122328118842657</v>
      </c>
      <c r="AG654" s="228"/>
      <c r="AH654" s="228"/>
      <c r="AI654" s="228"/>
      <c r="AJ654" s="228"/>
      <c r="AK654" s="228"/>
    </row>
    <row r="655" spans="3:37" x14ac:dyDescent="0.2">
      <c r="D655" s="75">
        <v>4</v>
      </c>
      <c r="E655" s="80">
        <v>7</v>
      </c>
      <c r="F655" s="80">
        <v>6</v>
      </c>
      <c r="H655" s="239" t="s">
        <v>828</v>
      </c>
      <c r="I655" s="239" t="s">
        <v>828</v>
      </c>
      <c r="J655" s="239" t="s">
        <v>828</v>
      </c>
      <c r="L655" s="239" t="s">
        <v>828</v>
      </c>
      <c r="M655" s="95"/>
      <c r="N655" s="95"/>
      <c r="O655" s="95"/>
      <c r="T655" s="240" t="s">
        <v>828</v>
      </c>
      <c r="U655" s="241" t="s">
        <v>828</v>
      </c>
      <c r="V655" s="175"/>
      <c r="W655" s="242" t="s">
        <v>828</v>
      </c>
      <c r="X655" s="228">
        <v>0.10993923618414154</v>
      </c>
      <c r="Y655" s="248">
        <v>11</v>
      </c>
      <c r="AA655" s="248">
        <v>11</v>
      </c>
      <c r="AB655" s="175"/>
      <c r="AC655" s="248">
        <f t="shared" si="54"/>
        <v>4</v>
      </c>
      <c r="AD655" s="249">
        <v>3.9028382495852242E-2</v>
      </c>
      <c r="AE655" s="228">
        <f t="shared" si="53"/>
        <v>0.1122328118842657</v>
      </c>
      <c r="AG655" s="228"/>
      <c r="AH655" s="228"/>
      <c r="AI655" s="228"/>
      <c r="AJ655" s="228"/>
      <c r="AK655" s="228"/>
    </row>
    <row r="656" spans="3:37" x14ac:dyDescent="0.2">
      <c r="D656" s="75">
        <v>5</v>
      </c>
      <c r="E656" s="80">
        <v>7</v>
      </c>
      <c r="F656" s="80">
        <v>6</v>
      </c>
      <c r="H656" s="239" t="s">
        <v>828</v>
      </c>
      <c r="I656" s="239" t="s">
        <v>828</v>
      </c>
      <c r="J656" s="239" t="s">
        <v>828</v>
      </c>
      <c r="L656" s="239" t="s">
        <v>828</v>
      </c>
      <c r="M656" s="95"/>
      <c r="N656" s="95"/>
      <c r="O656" s="95"/>
      <c r="T656" s="240" t="s">
        <v>828</v>
      </c>
      <c r="U656" s="241" t="s">
        <v>828</v>
      </c>
      <c r="V656" s="175"/>
      <c r="W656" s="242" t="s">
        <v>828</v>
      </c>
      <c r="X656" s="228">
        <v>1.0424175144729732E-2</v>
      </c>
      <c r="Y656" s="248">
        <v>3</v>
      </c>
      <c r="AA656" s="248">
        <v>3</v>
      </c>
      <c r="AB656" s="175"/>
      <c r="AC656" s="248">
        <f t="shared" si="54"/>
        <v>5</v>
      </c>
      <c r="AD656" s="249">
        <v>5.5796093136179774E-2</v>
      </c>
      <c r="AE656" s="228">
        <f t="shared" si="53"/>
        <v>0.1122328118842657</v>
      </c>
      <c r="AG656" s="228"/>
      <c r="AH656" s="228"/>
      <c r="AI656" s="228"/>
      <c r="AJ656" s="228"/>
      <c r="AK656" s="228"/>
    </row>
    <row r="657" spans="2:37" x14ac:dyDescent="0.2">
      <c r="D657" s="75">
        <v>6</v>
      </c>
      <c r="E657" s="80">
        <v>7</v>
      </c>
      <c r="F657" s="80">
        <v>6</v>
      </c>
      <c r="H657" s="239" t="s">
        <v>828</v>
      </c>
      <c r="I657" s="239" t="s">
        <v>828</v>
      </c>
      <c r="J657" s="239" t="s">
        <v>828</v>
      </c>
      <c r="L657" s="239" t="s">
        <v>828</v>
      </c>
      <c r="M657" s="95"/>
      <c r="N657" s="95"/>
      <c r="O657" s="95"/>
      <c r="T657" s="240" t="s">
        <v>828</v>
      </c>
      <c r="U657" s="241" t="s">
        <v>828</v>
      </c>
      <c r="V657" s="175"/>
      <c r="W657" s="242" t="s">
        <v>828</v>
      </c>
      <c r="X657" s="228">
        <v>5.5796093136179774E-2</v>
      </c>
      <c r="Y657" s="248">
        <v>5</v>
      </c>
      <c r="AA657" s="248">
        <v>5</v>
      </c>
      <c r="AB657" s="175"/>
      <c r="AC657" s="248">
        <f t="shared" si="54"/>
        <v>6</v>
      </c>
      <c r="AD657" s="249">
        <v>5.617796891895923E-2</v>
      </c>
      <c r="AE657" s="228">
        <f t="shared" si="53"/>
        <v>0.1122328118842657</v>
      </c>
      <c r="AG657" s="228"/>
      <c r="AH657" s="228"/>
      <c r="AI657" s="228"/>
      <c r="AJ657" s="228"/>
      <c r="AK657" s="228"/>
    </row>
    <row r="658" spans="2:37" x14ac:dyDescent="0.2">
      <c r="D658" s="75">
        <v>7</v>
      </c>
      <c r="E658" s="80">
        <v>7</v>
      </c>
      <c r="F658" s="80">
        <v>6</v>
      </c>
      <c r="H658" s="239" t="s">
        <v>828</v>
      </c>
      <c r="I658" s="239" t="s">
        <v>828</v>
      </c>
      <c r="J658" s="239" t="s">
        <v>828</v>
      </c>
      <c r="L658" s="239" t="s">
        <v>828</v>
      </c>
      <c r="M658" s="95"/>
      <c r="N658" s="95"/>
      <c r="O658" s="95"/>
      <c r="T658" s="240" t="s">
        <v>828</v>
      </c>
      <c r="U658" s="241" t="s">
        <v>828</v>
      </c>
      <c r="V658" s="175"/>
      <c r="W658" s="242" t="s">
        <v>828</v>
      </c>
      <c r="X658" s="228">
        <v>5.617796891895923E-2</v>
      </c>
      <c r="Y658" s="248">
        <v>6</v>
      </c>
      <c r="AA658" s="248">
        <v>6</v>
      </c>
      <c r="AB658" s="175"/>
      <c r="AC658" s="248">
        <f t="shared" si="54"/>
        <v>7</v>
      </c>
      <c r="AD658" s="249">
        <v>7.839786980061296E-2</v>
      </c>
      <c r="AE658" s="228">
        <f t="shared" si="53"/>
        <v>0.1122328118842657</v>
      </c>
      <c r="AG658" s="228"/>
      <c r="AH658" s="228"/>
      <c r="AI658" s="228"/>
      <c r="AJ658" s="228"/>
      <c r="AK658" s="228"/>
    </row>
    <row r="659" spans="2:37" x14ac:dyDescent="0.2">
      <c r="D659" s="75">
        <v>8</v>
      </c>
      <c r="E659" s="80">
        <v>7</v>
      </c>
      <c r="F659" s="80">
        <v>6</v>
      </c>
      <c r="H659" s="239" t="s">
        <v>828</v>
      </c>
      <c r="I659" s="239" t="s">
        <v>828</v>
      </c>
      <c r="J659" s="239" t="s">
        <v>828</v>
      </c>
      <c r="L659" s="239" t="s">
        <v>828</v>
      </c>
      <c r="M659" s="95"/>
      <c r="N659" s="95"/>
      <c r="O659" s="95"/>
      <c r="T659" s="240" t="s">
        <v>828</v>
      </c>
      <c r="U659" s="241" t="s">
        <v>828</v>
      </c>
      <c r="V659" s="175"/>
      <c r="W659" s="242" t="s">
        <v>828</v>
      </c>
      <c r="X659" s="228">
        <v>3.9028382495852242E-2</v>
      </c>
      <c r="Y659" s="248">
        <v>4</v>
      </c>
      <c r="AA659" s="248">
        <v>4</v>
      </c>
      <c r="AB659" s="175"/>
      <c r="AC659" s="248">
        <f t="shared" si="54"/>
        <v>8</v>
      </c>
      <c r="AD659" s="249">
        <v>8.8646322551245854E-2</v>
      </c>
      <c r="AE659" s="228">
        <f t="shared" si="53"/>
        <v>0.1122328118842657</v>
      </c>
      <c r="AG659" s="228"/>
      <c r="AH659" s="228"/>
      <c r="AI659" s="228"/>
      <c r="AJ659" s="228"/>
      <c r="AK659" s="228"/>
    </row>
    <row r="660" spans="2:37" x14ac:dyDescent="0.2">
      <c r="D660" s="75">
        <v>9</v>
      </c>
      <c r="E660" s="80">
        <v>7</v>
      </c>
      <c r="F660" s="80">
        <v>6</v>
      </c>
      <c r="H660" s="239" t="s">
        <v>828</v>
      </c>
      <c r="I660" s="239" t="s">
        <v>828</v>
      </c>
      <c r="J660" s="239" t="s">
        <v>828</v>
      </c>
      <c r="L660" s="239" t="s">
        <v>828</v>
      </c>
      <c r="M660" s="95"/>
      <c r="N660" s="95"/>
      <c r="O660" s="95"/>
      <c r="T660" s="240" t="s">
        <v>828</v>
      </c>
      <c r="U660" s="241" t="s">
        <v>828</v>
      </c>
      <c r="V660" s="175"/>
      <c r="W660" s="242" t="s">
        <v>828</v>
      </c>
      <c r="X660" s="228">
        <v>-2.9510301250199062E-2</v>
      </c>
      <c r="Y660" s="248">
        <v>1</v>
      </c>
      <c r="AA660" s="248">
        <v>1</v>
      </c>
      <c r="AB660" s="175"/>
      <c r="AC660" s="248">
        <f t="shared" si="54"/>
        <v>9</v>
      </c>
      <c r="AD660" s="249">
        <v>0.10626246612573952</v>
      </c>
      <c r="AE660" s="228">
        <f t="shared" si="53"/>
        <v>0.1122328118842657</v>
      </c>
      <c r="AG660" s="228"/>
      <c r="AH660" s="228"/>
      <c r="AI660" s="228"/>
      <c r="AJ660" s="228"/>
      <c r="AK660" s="228"/>
    </row>
    <row r="661" spans="2:37" x14ac:dyDescent="0.2">
      <c r="D661" s="75">
        <v>10</v>
      </c>
      <c r="E661" s="80">
        <v>7</v>
      </c>
      <c r="F661" s="80">
        <v>6</v>
      </c>
      <c r="H661" s="239" t="s">
        <v>828</v>
      </c>
      <c r="I661" s="239" t="s">
        <v>828</v>
      </c>
      <c r="J661" s="239" t="s">
        <v>828</v>
      </c>
      <c r="L661" s="239" t="s">
        <v>828</v>
      </c>
      <c r="M661" s="95"/>
      <c r="N661" s="95"/>
      <c r="O661" s="95"/>
      <c r="T661" s="240" t="s">
        <v>828</v>
      </c>
      <c r="U661" s="241" t="s">
        <v>828</v>
      </c>
      <c r="V661" s="175"/>
      <c r="W661" s="242" t="s">
        <v>828</v>
      </c>
      <c r="X661" s="228">
        <v>8.8646322551245854E-2</v>
      </c>
      <c r="Y661" s="248">
        <v>8</v>
      </c>
      <c r="AA661" s="248">
        <v>8</v>
      </c>
      <c r="AB661" s="175"/>
      <c r="AC661" s="248">
        <f t="shared" si="54"/>
        <v>10</v>
      </c>
      <c r="AD661" s="249">
        <v>0.10697611724306327</v>
      </c>
      <c r="AE661" s="228">
        <f t="shared" si="53"/>
        <v>0.1122328118842657</v>
      </c>
      <c r="AG661" s="228"/>
      <c r="AH661" s="228"/>
      <c r="AI661" s="228"/>
      <c r="AJ661" s="228"/>
      <c r="AK661" s="228"/>
    </row>
    <row r="662" spans="2:37" x14ac:dyDescent="0.2">
      <c r="D662" s="75">
        <v>11</v>
      </c>
      <c r="E662" s="80">
        <v>7</v>
      </c>
      <c r="F662" s="80">
        <v>6</v>
      </c>
      <c r="H662" s="239" t="s">
        <v>828</v>
      </c>
      <c r="I662" s="239" t="s">
        <v>828</v>
      </c>
      <c r="J662" s="239" t="s">
        <v>828</v>
      </c>
      <c r="L662" s="239" t="s">
        <v>828</v>
      </c>
      <c r="M662" s="95"/>
      <c r="N662" s="95"/>
      <c r="O662" s="95"/>
      <c r="T662" s="240" t="s">
        <v>828</v>
      </c>
      <c r="U662" s="241" t="s">
        <v>828</v>
      </c>
      <c r="V662" s="175"/>
      <c r="W662" s="242" t="s">
        <v>828</v>
      </c>
      <c r="X662" s="228">
        <v>0.12025757771267176</v>
      </c>
      <c r="Y662" s="248">
        <v>12</v>
      </c>
      <c r="AA662" s="248">
        <v>12</v>
      </c>
      <c r="AB662" s="175"/>
      <c r="AC662" s="248">
        <f t="shared" si="54"/>
        <v>11</v>
      </c>
      <c r="AD662" s="249">
        <v>0.10993923618414154</v>
      </c>
      <c r="AE662" s="228">
        <f t="shared" si="53"/>
        <v>0.1122328118842657</v>
      </c>
      <c r="AG662" s="228"/>
      <c r="AH662" s="228"/>
      <c r="AI662" s="228"/>
      <c r="AJ662" s="228"/>
      <c r="AK662" s="228"/>
    </row>
    <row r="663" spans="2:37" x14ac:dyDescent="0.2">
      <c r="D663" s="75">
        <v>12</v>
      </c>
      <c r="E663" s="80">
        <v>7</v>
      </c>
      <c r="F663" s="80">
        <v>6</v>
      </c>
      <c r="H663" s="239" t="s">
        <v>828</v>
      </c>
      <c r="I663" s="239" t="s">
        <v>828</v>
      </c>
      <c r="J663" s="239" t="s">
        <v>828</v>
      </c>
      <c r="L663" s="239" t="s">
        <v>828</v>
      </c>
      <c r="M663" s="95"/>
      <c r="N663" s="95"/>
      <c r="O663" s="95"/>
      <c r="T663" s="240" t="s">
        <v>828</v>
      </c>
      <c r="U663" s="241" t="s">
        <v>828</v>
      </c>
      <c r="V663" s="175"/>
      <c r="W663" s="242" t="s">
        <v>828</v>
      </c>
      <c r="X663" s="228">
        <v>0.10626246612573952</v>
      </c>
      <c r="Y663" s="248">
        <v>9</v>
      </c>
      <c r="AA663" s="248">
        <v>9</v>
      </c>
      <c r="AB663" s="175"/>
      <c r="AC663" s="248">
        <f t="shared" si="54"/>
        <v>12</v>
      </c>
      <c r="AD663" s="249">
        <v>0.12025757771267176</v>
      </c>
      <c r="AE663" s="228">
        <f t="shared" si="53"/>
        <v>0.1122328118842657</v>
      </c>
      <c r="AG663" s="228"/>
      <c r="AH663" s="228"/>
      <c r="AI663" s="228"/>
      <c r="AJ663" s="228"/>
      <c r="AK663" s="228"/>
    </row>
    <row r="664" spans="2:37" x14ac:dyDescent="0.2">
      <c r="D664" s="75">
        <v>13</v>
      </c>
      <c r="E664" s="80">
        <v>7</v>
      </c>
      <c r="F664" s="80">
        <v>6</v>
      </c>
      <c r="H664" s="239" t="s">
        <v>828</v>
      </c>
      <c r="I664" s="239" t="s">
        <v>828</v>
      </c>
      <c r="J664" s="239" t="s">
        <v>828</v>
      </c>
      <c r="L664" s="239" t="s">
        <v>828</v>
      </c>
      <c r="M664" s="95"/>
      <c r="N664" s="95"/>
      <c r="O664" s="95"/>
      <c r="T664" s="240" t="s">
        <v>828</v>
      </c>
      <c r="U664" s="241" t="s">
        <v>828</v>
      </c>
      <c r="V664" s="175"/>
      <c r="W664" s="242" t="s">
        <v>828</v>
      </c>
      <c r="X664" s="228">
        <v>0.10697611724306327</v>
      </c>
      <c r="Y664" s="248">
        <v>10</v>
      </c>
      <c r="AA664" s="248">
        <v>10</v>
      </c>
      <c r="AB664" s="175"/>
      <c r="AC664" s="248">
        <f t="shared" si="54"/>
        <v>13</v>
      </c>
      <c r="AD664" s="249">
        <v>0.12114752549235358</v>
      </c>
      <c r="AE664" s="228">
        <f t="shared" si="53"/>
        <v>0.1122328118842657</v>
      </c>
      <c r="AG664" s="228"/>
      <c r="AH664" s="228"/>
      <c r="AI664" s="228"/>
      <c r="AJ664" s="228"/>
      <c r="AK664" s="228"/>
    </row>
    <row r="666" spans="2:37" x14ac:dyDescent="0.2">
      <c r="B666" s="132" t="s">
        <v>192</v>
      </c>
    </row>
    <row r="667" spans="2:37" s="8" customFormat="1" ht="15" x14ac:dyDescent="0.2">
      <c r="C667" s="8" t="s">
        <v>825</v>
      </c>
    </row>
    <row r="668" spans="2:37" ht="13.5" thickBot="1" x14ac:dyDescent="0.25"/>
    <row r="669" spans="2:37" ht="13.5" thickBot="1" x14ac:dyDescent="0.25">
      <c r="S669" s="226" t="s">
        <v>625</v>
      </c>
      <c r="T669" s="64">
        <f>Lookup!N$17</f>
        <v>366</v>
      </c>
      <c r="U669" s="64">
        <f>Lookup!O$17</f>
        <v>365</v>
      </c>
      <c r="AD669" s="226" t="s">
        <v>636</v>
      </c>
      <c r="AE669" s="234">
        <f>$AE$358</f>
        <v>0.1122328118842657</v>
      </c>
    </row>
    <row r="670" spans="2:37" x14ac:dyDescent="0.2">
      <c r="H670" s="303" t="s">
        <v>628</v>
      </c>
      <c r="I670" s="303"/>
      <c r="J670" s="303"/>
      <c r="L670" s="303" t="s">
        <v>626</v>
      </c>
      <c r="M670" s="303"/>
      <c r="N670" s="303"/>
      <c r="O670" s="303"/>
      <c r="W670" s="303" t="s">
        <v>635</v>
      </c>
      <c r="X670" s="303"/>
    </row>
    <row r="671" spans="2:37" ht="38.25" x14ac:dyDescent="0.2">
      <c r="D671" s="70" t="s">
        <v>634</v>
      </c>
      <c r="E671" s="54" t="s">
        <v>617</v>
      </c>
      <c r="F671" s="54" t="s">
        <v>618</v>
      </c>
      <c r="H671" s="61" t="s">
        <v>541</v>
      </c>
      <c r="I671" s="61" t="s">
        <v>276</v>
      </c>
      <c r="J671" s="61" t="s">
        <v>277</v>
      </c>
      <c r="L671" s="61" t="s">
        <v>275</v>
      </c>
      <c r="M671" s="61" t="s">
        <v>272</v>
      </c>
      <c r="N671" s="61" t="s">
        <v>273</v>
      </c>
      <c r="O671" s="61" t="s">
        <v>274</v>
      </c>
      <c r="T671" s="54" t="str">
        <f>Lookup!N$19</f>
        <v>FY24</v>
      </c>
      <c r="U671" s="54" t="str">
        <f>Lookup!O$19</f>
        <v>FY25</v>
      </c>
      <c r="W671" s="54" t="s">
        <v>199</v>
      </c>
      <c r="X671" s="54" t="s">
        <v>198</v>
      </c>
      <c r="Y671" s="61" t="s">
        <v>805</v>
      </c>
      <c r="AA671" s="61" t="s">
        <v>806</v>
      </c>
      <c r="AC671" s="61" t="s">
        <v>807</v>
      </c>
      <c r="AD671" s="61" t="s">
        <v>808</v>
      </c>
      <c r="AE671" s="61" t="str">
        <f>"Revenue Increase + CPI = "&amp;ROUND(AE669*100,1)&amp;"%"</f>
        <v>Revenue Increase + CPI = 11.2%</v>
      </c>
      <c r="AH671" s="226" t="s">
        <v>814</v>
      </c>
      <c r="AI671" s="249">
        <f>AVERAGE(AD672:AD891)</f>
        <v>3.8864354652349602E-2</v>
      </c>
    </row>
    <row r="672" spans="2:37" x14ac:dyDescent="0.2">
      <c r="D672" s="75">
        <f t="shared" ref="D672:F691" si="55">D361</f>
        <v>1</v>
      </c>
      <c r="E672" s="80">
        <f t="shared" si="55"/>
        <v>5</v>
      </c>
      <c r="F672" s="80">
        <f t="shared" si="55"/>
        <v>5</v>
      </c>
      <c r="H672" s="239" t="s">
        <v>828</v>
      </c>
      <c r="I672" s="239" t="s">
        <v>828</v>
      </c>
      <c r="J672" s="239" t="s">
        <v>828</v>
      </c>
      <c r="L672" s="239" t="s">
        <v>828</v>
      </c>
      <c r="M672" s="95"/>
      <c r="N672" s="95"/>
      <c r="O672" s="95"/>
      <c r="T672" s="240" t="s">
        <v>828</v>
      </c>
      <c r="U672" s="241" t="s">
        <v>828</v>
      </c>
      <c r="V672" s="175"/>
      <c r="W672" s="242" t="s">
        <v>828</v>
      </c>
      <c r="X672" s="228">
        <v>7.6768425602739165E-2</v>
      </c>
      <c r="Y672" s="248">
        <v>135</v>
      </c>
      <c r="AA672" s="248">
        <v>135</v>
      </c>
      <c r="AB672" s="175"/>
      <c r="AC672" s="248">
        <f>N(AC671)+1</f>
        <v>1</v>
      </c>
      <c r="AD672" s="249">
        <v>-0.34663381948202676</v>
      </c>
      <c r="AE672" s="228">
        <f t="shared" ref="AE672:AE735" si="56">$AE$669</f>
        <v>0.1122328118842657</v>
      </c>
      <c r="AG672" s="228"/>
      <c r="AH672" s="228"/>
      <c r="AI672" s="228"/>
      <c r="AJ672" s="228"/>
      <c r="AK672" s="228"/>
    </row>
    <row r="673" spans="4:37" x14ac:dyDescent="0.2">
      <c r="D673" s="75">
        <f t="shared" si="55"/>
        <v>2</v>
      </c>
      <c r="E673" s="80">
        <f t="shared" si="55"/>
        <v>5</v>
      </c>
      <c r="F673" s="80">
        <f t="shared" si="55"/>
        <v>5</v>
      </c>
      <c r="H673" s="239" t="s">
        <v>828</v>
      </c>
      <c r="I673" s="239" t="s">
        <v>828</v>
      </c>
      <c r="J673" s="239" t="s">
        <v>828</v>
      </c>
      <c r="L673" s="239" t="s">
        <v>828</v>
      </c>
      <c r="M673" s="95"/>
      <c r="N673" s="95"/>
      <c r="O673" s="95"/>
      <c r="T673" s="240" t="s">
        <v>828</v>
      </c>
      <c r="U673" s="241" t="s">
        <v>828</v>
      </c>
      <c r="V673" s="175"/>
      <c r="W673" s="242" t="s">
        <v>828</v>
      </c>
      <c r="X673" s="228">
        <v>0.15127737410037229</v>
      </c>
      <c r="Y673" s="248">
        <v>215</v>
      </c>
      <c r="AA673" s="248">
        <v>215</v>
      </c>
      <c r="AB673" s="175"/>
      <c r="AC673" s="248">
        <f t="shared" ref="AC673:AC736" si="57">N(AC672)+1</f>
        <v>2</v>
      </c>
      <c r="AD673" s="249">
        <v>-0.237696562363753</v>
      </c>
      <c r="AE673" s="228">
        <f t="shared" si="56"/>
        <v>0.1122328118842657</v>
      </c>
      <c r="AG673" s="228"/>
      <c r="AH673" s="228"/>
      <c r="AI673" s="228"/>
      <c r="AJ673" s="228"/>
      <c r="AK673" s="228"/>
    </row>
    <row r="674" spans="4:37" x14ac:dyDescent="0.2">
      <c r="D674" s="75">
        <f t="shared" si="55"/>
        <v>3</v>
      </c>
      <c r="E674" s="80">
        <f t="shared" si="55"/>
        <v>5</v>
      </c>
      <c r="F674" s="80">
        <f t="shared" si="55"/>
        <v>5</v>
      </c>
      <c r="H674" s="239" t="s">
        <v>828</v>
      </c>
      <c r="I674" s="239" t="s">
        <v>828</v>
      </c>
      <c r="J674" s="239" t="s">
        <v>828</v>
      </c>
      <c r="L674" s="239" t="s">
        <v>828</v>
      </c>
      <c r="M674" s="95"/>
      <c r="N674" s="95"/>
      <c r="O674" s="95"/>
      <c r="T674" s="240" t="s">
        <v>828</v>
      </c>
      <c r="U674" s="241" t="s">
        <v>828</v>
      </c>
      <c r="V674" s="175"/>
      <c r="W674" s="242" t="s">
        <v>828</v>
      </c>
      <c r="X674" s="228">
        <v>0.12047345405911075</v>
      </c>
      <c r="Y674" s="248">
        <v>201</v>
      </c>
      <c r="AA674" s="248">
        <v>201</v>
      </c>
      <c r="AB674" s="175"/>
      <c r="AC674" s="248">
        <f t="shared" si="57"/>
        <v>3</v>
      </c>
      <c r="AD674" s="249">
        <v>-0.18882725711447981</v>
      </c>
      <c r="AE674" s="228">
        <f t="shared" si="56"/>
        <v>0.1122328118842657</v>
      </c>
      <c r="AG674" s="228"/>
      <c r="AH674" s="228"/>
      <c r="AI674" s="228"/>
      <c r="AJ674" s="228"/>
      <c r="AK674" s="228"/>
    </row>
    <row r="675" spans="4:37" x14ac:dyDescent="0.2">
      <c r="D675" s="75">
        <f t="shared" si="55"/>
        <v>4</v>
      </c>
      <c r="E675" s="80">
        <f t="shared" si="55"/>
        <v>5</v>
      </c>
      <c r="F675" s="80">
        <f t="shared" si="55"/>
        <v>5</v>
      </c>
      <c r="H675" s="239" t="s">
        <v>828</v>
      </c>
      <c r="I675" s="239" t="s">
        <v>828</v>
      </c>
      <c r="J675" s="239" t="s">
        <v>828</v>
      </c>
      <c r="L675" s="239" t="s">
        <v>828</v>
      </c>
      <c r="M675" s="95"/>
      <c r="N675" s="95"/>
      <c r="O675" s="95"/>
      <c r="T675" s="240" t="s">
        <v>828</v>
      </c>
      <c r="U675" s="241" t="s">
        <v>828</v>
      </c>
      <c r="V675" s="175"/>
      <c r="W675" s="242" t="s">
        <v>828</v>
      </c>
      <c r="X675" s="228">
        <v>9.2702221733732382E-2</v>
      </c>
      <c r="Y675" s="248">
        <v>155</v>
      </c>
      <c r="AA675" s="248">
        <v>155</v>
      </c>
      <c r="AB675" s="175"/>
      <c r="AC675" s="248">
        <f t="shared" si="57"/>
        <v>4</v>
      </c>
      <c r="AD675" s="249">
        <v>-0.13900349252692187</v>
      </c>
      <c r="AE675" s="228">
        <f t="shared" si="56"/>
        <v>0.1122328118842657</v>
      </c>
      <c r="AG675" s="228"/>
      <c r="AH675" s="228"/>
      <c r="AI675" s="228"/>
      <c r="AJ675" s="228"/>
      <c r="AK675" s="228"/>
    </row>
    <row r="676" spans="4:37" x14ac:dyDescent="0.2">
      <c r="D676" s="75">
        <f t="shared" si="55"/>
        <v>5</v>
      </c>
      <c r="E676" s="80">
        <f t="shared" si="55"/>
        <v>5</v>
      </c>
      <c r="F676" s="80">
        <f t="shared" si="55"/>
        <v>5</v>
      </c>
      <c r="H676" s="239" t="s">
        <v>828</v>
      </c>
      <c r="I676" s="239" t="s">
        <v>828</v>
      </c>
      <c r="J676" s="239" t="s">
        <v>828</v>
      </c>
      <c r="L676" s="239" t="s">
        <v>828</v>
      </c>
      <c r="M676" s="95"/>
      <c r="N676" s="95"/>
      <c r="O676" s="95"/>
      <c r="T676" s="240" t="s">
        <v>828</v>
      </c>
      <c r="U676" s="241" t="s">
        <v>828</v>
      </c>
      <c r="V676" s="175"/>
      <c r="W676" s="242" t="s">
        <v>828</v>
      </c>
      <c r="X676" s="228">
        <v>5.2303056572180297E-2</v>
      </c>
      <c r="Y676" s="248">
        <v>101</v>
      </c>
      <c r="AA676" s="248">
        <v>101</v>
      </c>
      <c r="AB676" s="175"/>
      <c r="AC676" s="248">
        <f t="shared" si="57"/>
        <v>5</v>
      </c>
      <c r="AD676" s="249">
        <v>-0.13076096242074176</v>
      </c>
      <c r="AE676" s="228">
        <f t="shared" si="56"/>
        <v>0.1122328118842657</v>
      </c>
      <c r="AG676" s="228"/>
      <c r="AH676" s="228"/>
      <c r="AI676" s="228"/>
      <c r="AJ676" s="228"/>
      <c r="AK676" s="228"/>
    </row>
    <row r="677" spans="4:37" x14ac:dyDescent="0.2">
      <c r="D677" s="75">
        <f t="shared" si="55"/>
        <v>6</v>
      </c>
      <c r="E677" s="80">
        <f t="shared" si="55"/>
        <v>5</v>
      </c>
      <c r="F677" s="80">
        <f t="shared" si="55"/>
        <v>5</v>
      </c>
      <c r="H677" s="239" t="s">
        <v>828</v>
      </c>
      <c r="I677" s="239" t="s">
        <v>828</v>
      </c>
      <c r="J677" s="239" t="s">
        <v>828</v>
      </c>
      <c r="L677" s="239" t="s">
        <v>828</v>
      </c>
      <c r="M677" s="95"/>
      <c r="N677" s="95"/>
      <c r="O677" s="95"/>
      <c r="T677" s="240" t="s">
        <v>828</v>
      </c>
      <c r="U677" s="241" t="s">
        <v>828</v>
      </c>
      <c r="V677" s="175"/>
      <c r="W677" s="242" t="s">
        <v>828</v>
      </c>
      <c r="X677" s="228">
        <v>6.927650758883637E-2</v>
      </c>
      <c r="Y677" s="248">
        <v>124</v>
      </c>
      <c r="AA677" s="248">
        <v>124</v>
      </c>
      <c r="AB677" s="175"/>
      <c r="AC677" s="248">
        <f t="shared" si="57"/>
        <v>6</v>
      </c>
      <c r="AD677" s="249">
        <v>-0.11988485400468367</v>
      </c>
      <c r="AE677" s="228">
        <f t="shared" si="56"/>
        <v>0.1122328118842657</v>
      </c>
      <c r="AG677" s="228"/>
      <c r="AH677" s="228"/>
      <c r="AI677" s="228"/>
      <c r="AJ677" s="228"/>
      <c r="AK677" s="228"/>
    </row>
    <row r="678" spans="4:37" x14ac:dyDescent="0.2">
      <c r="D678" s="75">
        <f t="shared" si="55"/>
        <v>7</v>
      </c>
      <c r="E678" s="80">
        <f t="shared" si="55"/>
        <v>5</v>
      </c>
      <c r="F678" s="80">
        <f t="shared" si="55"/>
        <v>5</v>
      </c>
      <c r="H678" s="239" t="s">
        <v>828</v>
      </c>
      <c r="I678" s="239" t="s">
        <v>828</v>
      </c>
      <c r="J678" s="239" t="s">
        <v>828</v>
      </c>
      <c r="L678" s="239" t="s">
        <v>828</v>
      </c>
      <c r="M678" s="95"/>
      <c r="N678" s="95"/>
      <c r="O678" s="95"/>
      <c r="T678" s="240" t="s">
        <v>828</v>
      </c>
      <c r="U678" s="241" t="s">
        <v>828</v>
      </c>
      <c r="V678" s="175"/>
      <c r="W678" s="242" t="s">
        <v>828</v>
      </c>
      <c r="X678" s="228">
        <v>8.4231128199944758E-2</v>
      </c>
      <c r="Y678" s="248">
        <v>144</v>
      </c>
      <c r="AA678" s="248">
        <v>144</v>
      </c>
      <c r="AB678" s="175"/>
      <c r="AC678" s="248">
        <f t="shared" si="57"/>
        <v>7</v>
      </c>
      <c r="AD678" s="249">
        <v>-0.10725260869206832</v>
      </c>
      <c r="AE678" s="228">
        <f t="shared" si="56"/>
        <v>0.1122328118842657</v>
      </c>
      <c r="AG678" s="228"/>
      <c r="AH678" s="228"/>
      <c r="AI678" s="228"/>
      <c r="AJ678" s="228"/>
      <c r="AK678" s="228"/>
    </row>
    <row r="679" spans="4:37" x14ac:dyDescent="0.2">
      <c r="D679" s="75">
        <f t="shared" si="55"/>
        <v>8</v>
      </c>
      <c r="E679" s="80">
        <f t="shared" si="55"/>
        <v>5</v>
      </c>
      <c r="F679" s="80">
        <f t="shared" si="55"/>
        <v>5</v>
      </c>
      <c r="H679" s="239" t="s">
        <v>828</v>
      </c>
      <c r="I679" s="239" t="s">
        <v>828</v>
      </c>
      <c r="J679" s="239" t="s">
        <v>828</v>
      </c>
      <c r="L679" s="239" t="s">
        <v>828</v>
      </c>
      <c r="M679" s="95"/>
      <c r="N679" s="95"/>
      <c r="O679" s="95"/>
      <c r="T679" s="240" t="s">
        <v>828</v>
      </c>
      <c r="U679" s="241" t="s">
        <v>828</v>
      </c>
      <c r="V679" s="175"/>
      <c r="W679" s="242" t="s">
        <v>828</v>
      </c>
      <c r="X679" s="228">
        <v>0.10252666642691345</v>
      </c>
      <c r="Y679" s="248">
        <v>175</v>
      </c>
      <c r="AA679" s="248">
        <v>175</v>
      </c>
      <c r="AB679" s="175"/>
      <c r="AC679" s="248">
        <f t="shared" si="57"/>
        <v>8</v>
      </c>
      <c r="AD679" s="249">
        <v>-0.10592684432290711</v>
      </c>
      <c r="AE679" s="228">
        <f t="shared" si="56"/>
        <v>0.1122328118842657</v>
      </c>
      <c r="AG679" s="228"/>
      <c r="AH679" s="228"/>
      <c r="AI679" s="228"/>
      <c r="AJ679" s="228"/>
      <c r="AK679" s="228"/>
    </row>
    <row r="680" spans="4:37" x14ac:dyDescent="0.2">
      <c r="D680" s="75">
        <f t="shared" si="55"/>
        <v>9</v>
      </c>
      <c r="E680" s="80">
        <f t="shared" si="55"/>
        <v>5</v>
      </c>
      <c r="F680" s="80">
        <f t="shared" si="55"/>
        <v>5</v>
      </c>
      <c r="H680" s="239" t="s">
        <v>828</v>
      </c>
      <c r="I680" s="239" t="s">
        <v>828</v>
      </c>
      <c r="J680" s="239" t="s">
        <v>828</v>
      </c>
      <c r="L680" s="239" t="s">
        <v>828</v>
      </c>
      <c r="M680" s="95"/>
      <c r="N680" s="95"/>
      <c r="O680" s="95"/>
      <c r="T680" s="240" t="s">
        <v>828</v>
      </c>
      <c r="U680" s="241" t="s">
        <v>828</v>
      </c>
      <c r="V680" s="175"/>
      <c r="W680" s="242" t="s">
        <v>828</v>
      </c>
      <c r="X680" s="228">
        <v>4.2988118104570462E-2</v>
      </c>
      <c r="Y680" s="248">
        <v>93</v>
      </c>
      <c r="AA680" s="248">
        <v>93</v>
      </c>
      <c r="AB680" s="175"/>
      <c r="AC680" s="248">
        <f t="shared" si="57"/>
        <v>9</v>
      </c>
      <c r="AD680" s="249">
        <v>-0.10208620705854651</v>
      </c>
      <c r="AE680" s="228">
        <f t="shared" si="56"/>
        <v>0.1122328118842657</v>
      </c>
      <c r="AG680" s="228"/>
      <c r="AH680" s="228"/>
      <c r="AI680" s="228"/>
      <c r="AJ680" s="228"/>
      <c r="AK680" s="228"/>
    </row>
    <row r="681" spans="4:37" x14ac:dyDescent="0.2">
      <c r="D681" s="75">
        <f t="shared" si="55"/>
        <v>10</v>
      </c>
      <c r="E681" s="80">
        <f t="shared" si="55"/>
        <v>5</v>
      </c>
      <c r="F681" s="80">
        <f t="shared" si="55"/>
        <v>5</v>
      </c>
      <c r="H681" s="239" t="s">
        <v>828</v>
      </c>
      <c r="I681" s="239" t="s">
        <v>828</v>
      </c>
      <c r="J681" s="239" t="s">
        <v>828</v>
      </c>
      <c r="L681" s="239" t="s">
        <v>828</v>
      </c>
      <c r="M681" s="95"/>
      <c r="N681" s="95"/>
      <c r="O681" s="95"/>
      <c r="T681" s="240" t="s">
        <v>828</v>
      </c>
      <c r="U681" s="241" t="s">
        <v>828</v>
      </c>
      <c r="V681" s="175"/>
      <c r="W681" s="242" t="s">
        <v>828</v>
      </c>
      <c r="X681" s="228">
        <v>8.5261127108484866E-2</v>
      </c>
      <c r="Y681" s="248">
        <v>148</v>
      </c>
      <c r="AA681" s="248">
        <v>148</v>
      </c>
      <c r="AB681" s="175"/>
      <c r="AC681" s="248">
        <f t="shared" si="57"/>
        <v>10</v>
      </c>
      <c r="AD681" s="249">
        <v>-9.9973753411121261E-2</v>
      </c>
      <c r="AE681" s="228">
        <f t="shared" si="56"/>
        <v>0.1122328118842657</v>
      </c>
      <c r="AG681" s="228"/>
      <c r="AH681" s="228"/>
      <c r="AI681" s="228"/>
      <c r="AJ681" s="228"/>
      <c r="AK681" s="228"/>
    </row>
    <row r="682" spans="4:37" x14ac:dyDescent="0.2">
      <c r="D682" s="75">
        <f t="shared" si="55"/>
        <v>11</v>
      </c>
      <c r="E682" s="80">
        <f t="shared" si="55"/>
        <v>5</v>
      </c>
      <c r="F682" s="80">
        <f t="shared" si="55"/>
        <v>5</v>
      </c>
      <c r="H682" s="239" t="s">
        <v>828</v>
      </c>
      <c r="I682" s="239" t="s">
        <v>828</v>
      </c>
      <c r="J682" s="239" t="s">
        <v>828</v>
      </c>
      <c r="L682" s="239" t="s">
        <v>828</v>
      </c>
      <c r="M682" s="95"/>
      <c r="N682" s="95"/>
      <c r="O682" s="95"/>
      <c r="T682" s="240" t="s">
        <v>828</v>
      </c>
      <c r="U682" s="241" t="s">
        <v>828</v>
      </c>
      <c r="V682" s="175"/>
      <c r="W682" s="242" t="s">
        <v>828</v>
      </c>
      <c r="X682" s="228">
        <v>8.2883549019453981E-2</v>
      </c>
      <c r="Y682" s="248">
        <v>142</v>
      </c>
      <c r="AA682" s="248">
        <v>142</v>
      </c>
      <c r="AB682" s="175"/>
      <c r="AC682" s="248">
        <f t="shared" si="57"/>
        <v>11</v>
      </c>
      <c r="AD682" s="249">
        <v>-9.9294126702905702E-2</v>
      </c>
      <c r="AE682" s="228">
        <f t="shared" si="56"/>
        <v>0.1122328118842657</v>
      </c>
      <c r="AG682" s="228"/>
      <c r="AH682" s="228"/>
      <c r="AI682" s="228"/>
      <c r="AJ682" s="228"/>
      <c r="AK682" s="228"/>
    </row>
    <row r="683" spans="4:37" x14ac:dyDescent="0.2">
      <c r="D683" s="75">
        <f t="shared" si="55"/>
        <v>12</v>
      </c>
      <c r="E683" s="80">
        <f t="shared" si="55"/>
        <v>5</v>
      </c>
      <c r="F683" s="80">
        <f t="shared" si="55"/>
        <v>5</v>
      </c>
      <c r="H683" s="239" t="s">
        <v>828</v>
      </c>
      <c r="I683" s="239" t="s">
        <v>828</v>
      </c>
      <c r="J683" s="239" t="s">
        <v>828</v>
      </c>
      <c r="L683" s="239" t="s">
        <v>828</v>
      </c>
      <c r="M683" s="95"/>
      <c r="N683" s="95"/>
      <c r="O683" s="95"/>
      <c r="T683" s="240" t="s">
        <v>828</v>
      </c>
      <c r="U683" s="241" t="s">
        <v>828</v>
      </c>
      <c r="V683" s="175"/>
      <c r="W683" s="242" t="s">
        <v>828</v>
      </c>
      <c r="X683" s="228">
        <v>7.4706393262441384E-2</v>
      </c>
      <c r="Y683" s="248">
        <v>130</v>
      </c>
      <c r="AA683" s="248">
        <v>130</v>
      </c>
      <c r="AB683" s="175"/>
      <c r="AC683" s="248">
        <f t="shared" si="57"/>
        <v>12</v>
      </c>
      <c r="AD683" s="249">
        <v>-9.7791784863753894E-2</v>
      </c>
      <c r="AE683" s="228">
        <f t="shared" si="56"/>
        <v>0.1122328118842657</v>
      </c>
      <c r="AG683" s="228"/>
      <c r="AH683" s="228"/>
      <c r="AI683" s="228"/>
      <c r="AJ683" s="228"/>
      <c r="AK683" s="228"/>
    </row>
    <row r="684" spans="4:37" x14ac:dyDescent="0.2">
      <c r="D684" s="75">
        <f t="shared" si="55"/>
        <v>13</v>
      </c>
      <c r="E684" s="80">
        <f t="shared" si="55"/>
        <v>5</v>
      </c>
      <c r="F684" s="80">
        <f t="shared" si="55"/>
        <v>5</v>
      </c>
      <c r="H684" s="239" t="s">
        <v>828</v>
      </c>
      <c r="I684" s="239" t="s">
        <v>828</v>
      </c>
      <c r="J684" s="239" t="s">
        <v>828</v>
      </c>
      <c r="L684" s="239" t="s">
        <v>828</v>
      </c>
      <c r="M684" s="95"/>
      <c r="N684" s="95"/>
      <c r="O684" s="95"/>
      <c r="T684" s="240" t="s">
        <v>828</v>
      </c>
      <c r="U684" s="241" t="s">
        <v>828</v>
      </c>
      <c r="V684" s="175"/>
      <c r="W684" s="242" t="s">
        <v>828</v>
      </c>
      <c r="X684" s="228">
        <v>4.833119516923913E-2</v>
      </c>
      <c r="Y684" s="248">
        <v>98</v>
      </c>
      <c r="AA684" s="248">
        <v>98</v>
      </c>
      <c r="AB684" s="175"/>
      <c r="AC684" s="248">
        <f t="shared" si="57"/>
        <v>13</v>
      </c>
      <c r="AD684" s="249">
        <v>-9.7330860683964071E-2</v>
      </c>
      <c r="AE684" s="228">
        <f t="shared" si="56"/>
        <v>0.1122328118842657</v>
      </c>
      <c r="AG684" s="228"/>
      <c r="AH684" s="228"/>
      <c r="AI684" s="228"/>
      <c r="AJ684" s="228"/>
      <c r="AK684" s="228"/>
    </row>
    <row r="685" spans="4:37" x14ac:dyDescent="0.2">
      <c r="D685" s="75">
        <f t="shared" si="55"/>
        <v>14</v>
      </c>
      <c r="E685" s="80">
        <f t="shared" si="55"/>
        <v>5</v>
      </c>
      <c r="F685" s="80">
        <f t="shared" si="55"/>
        <v>5</v>
      </c>
      <c r="H685" s="239" t="s">
        <v>828</v>
      </c>
      <c r="I685" s="239" t="s">
        <v>828</v>
      </c>
      <c r="J685" s="239" t="s">
        <v>828</v>
      </c>
      <c r="L685" s="239" t="s">
        <v>828</v>
      </c>
      <c r="M685" s="95"/>
      <c r="N685" s="95"/>
      <c r="O685" s="95"/>
      <c r="T685" s="240" t="s">
        <v>828</v>
      </c>
      <c r="U685" s="241" t="s">
        <v>828</v>
      </c>
      <c r="V685" s="175"/>
      <c r="W685" s="242" t="s">
        <v>828</v>
      </c>
      <c r="X685" s="228">
        <v>0.10650405345817276</v>
      </c>
      <c r="Y685" s="248">
        <v>178</v>
      </c>
      <c r="AA685" s="248">
        <v>178</v>
      </c>
      <c r="AB685" s="175"/>
      <c r="AC685" s="248">
        <f t="shared" si="57"/>
        <v>14</v>
      </c>
      <c r="AD685" s="249">
        <v>-9.7314815834521479E-2</v>
      </c>
      <c r="AE685" s="228">
        <f t="shared" si="56"/>
        <v>0.1122328118842657</v>
      </c>
      <c r="AG685" s="228"/>
      <c r="AH685" s="228"/>
      <c r="AI685" s="228"/>
      <c r="AJ685" s="228"/>
      <c r="AK685" s="228"/>
    </row>
    <row r="686" spans="4:37" x14ac:dyDescent="0.2">
      <c r="D686" s="75">
        <f t="shared" si="55"/>
        <v>15</v>
      </c>
      <c r="E686" s="80">
        <f t="shared" si="55"/>
        <v>5</v>
      </c>
      <c r="F686" s="80">
        <f t="shared" si="55"/>
        <v>5</v>
      </c>
      <c r="H686" s="239" t="s">
        <v>828</v>
      </c>
      <c r="I686" s="239" t="s">
        <v>828</v>
      </c>
      <c r="J686" s="239" t="s">
        <v>828</v>
      </c>
      <c r="L686" s="239" t="s">
        <v>828</v>
      </c>
      <c r="M686" s="95"/>
      <c r="N686" s="95"/>
      <c r="O686" s="95"/>
      <c r="T686" s="240" t="s">
        <v>828</v>
      </c>
      <c r="U686" s="241" t="s">
        <v>828</v>
      </c>
      <c r="V686" s="175"/>
      <c r="W686" s="242" t="s">
        <v>828</v>
      </c>
      <c r="X686" s="228">
        <v>0.11923454957574921</v>
      </c>
      <c r="Y686" s="248">
        <v>199</v>
      </c>
      <c r="AA686" s="248">
        <v>199</v>
      </c>
      <c r="AB686" s="175"/>
      <c r="AC686" s="248">
        <f t="shared" si="57"/>
        <v>15</v>
      </c>
      <c r="AD686" s="249">
        <v>-9.599682247552567E-2</v>
      </c>
      <c r="AE686" s="228">
        <f t="shared" si="56"/>
        <v>0.1122328118842657</v>
      </c>
      <c r="AG686" s="228"/>
      <c r="AH686" s="228"/>
      <c r="AI686" s="228"/>
      <c r="AJ686" s="228"/>
      <c r="AK686" s="228"/>
    </row>
    <row r="687" spans="4:37" x14ac:dyDescent="0.2">
      <c r="D687" s="75">
        <f t="shared" si="55"/>
        <v>16</v>
      </c>
      <c r="E687" s="80">
        <f t="shared" si="55"/>
        <v>5</v>
      </c>
      <c r="F687" s="80">
        <f t="shared" si="55"/>
        <v>5</v>
      </c>
      <c r="H687" s="239" t="s">
        <v>828</v>
      </c>
      <c r="I687" s="239" t="s">
        <v>828</v>
      </c>
      <c r="J687" s="239" t="s">
        <v>828</v>
      </c>
      <c r="L687" s="239" t="s">
        <v>828</v>
      </c>
      <c r="M687" s="95"/>
      <c r="N687" s="95"/>
      <c r="O687" s="95"/>
      <c r="T687" s="240" t="s">
        <v>828</v>
      </c>
      <c r="U687" s="241" t="s">
        <v>828</v>
      </c>
      <c r="V687" s="175"/>
      <c r="W687" s="242" t="s">
        <v>828</v>
      </c>
      <c r="X687" s="228">
        <v>3.1754171183599258E-2</v>
      </c>
      <c r="Y687" s="248">
        <v>86</v>
      </c>
      <c r="AA687" s="248">
        <v>86</v>
      </c>
      <c r="AB687" s="175"/>
      <c r="AC687" s="248">
        <f t="shared" si="57"/>
        <v>16</v>
      </c>
      <c r="AD687" s="249">
        <v>-9.523648587007616E-2</v>
      </c>
      <c r="AE687" s="228">
        <f t="shared" si="56"/>
        <v>0.1122328118842657</v>
      </c>
      <c r="AG687" s="228"/>
      <c r="AH687" s="228"/>
      <c r="AI687" s="228"/>
      <c r="AJ687" s="228"/>
      <c r="AK687" s="228"/>
    </row>
    <row r="688" spans="4:37" x14ac:dyDescent="0.2">
      <c r="D688" s="75">
        <f t="shared" si="55"/>
        <v>17</v>
      </c>
      <c r="E688" s="80">
        <f t="shared" si="55"/>
        <v>5</v>
      </c>
      <c r="F688" s="80">
        <f t="shared" si="55"/>
        <v>5</v>
      </c>
      <c r="H688" s="239" t="s">
        <v>828</v>
      </c>
      <c r="I688" s="239" t="s">
        <v>828</v>
      </c>
      <c r="J688" s="239" t="s">
        <v>828</v>
      </c>
      <c r="L688" s="239" t="s">
        <v>828</v>
      </c>
      <c r="M688" s="95"/>
      <c r="N688" s="95"/>
      <c r="O688" s="95"/>
      <c r="T688" s="240" t="s">
        <v>828</v>
      </c>
      <c r="U688" s="241" t="s">
        <v>828</v>
      </c>
      <c r="V688" s="175"/>
      <c r="W688" s="242" t="s">
        <v>828</v>
      </c>
      <c r="X688" s="228">
        <v>8.3923388628387732E-2</v>
      </c>
      <c r="Y688" s="248">
        <v>143</v>
      </c>
      <c r="AA688" s="248">
        <v>143</v>
      </c>
      <c r="AB688" s="175"/>
      <c r="AC688" s="248">
        <f t="shared" si="57"/>
        <v>17</v>
      </c>
      <c r="AD688" s="249">
        <v>-9.1221127035423052E-2</v>
      </c>
      <c r="AE688" s="228">
        <f t="shared" si="56"/>
        <v>0.1122328118842657</v>
      </c>
      <c r="AG688" s="228"/>
      <c r="AH688" s="228"/>
      <c r="AI688" s="228"/>
      <c r="AJ688" s="228"/>
      <c r="AK688" s="228"/>
    </row>
    <row r="689" spans="4:37" x14ac:dyDescent="0.2">
      <c r="D689" s="75">
        <f t="shared" si="55"/>
        <v>18</v>
      </c>
      <c r="E689" s="80">
        <f t="shared" si="55"/>
        <v>5</v>
      </c>
      <c r="F689" s="80">
        <f t="shared" si="55"/>
        <v>5</v>
      </c>
      <c r="H689" s="239" t="s">
        <v>828</v>
      </c>
      <c r="I689" s="239" t="s">
        <v>828</v>
      </c>
      <c r="J689" s="239" t="s">
        <v>828</v>
      </c>
      <c r="L689" s="239" t="s">
        <v>828</v>
      </c>
      <c r="M689" s="95"/>
      <c r="N689" s="95"/>
      <c r="O689" s="95"/>
      <c r="T689" s="240" t="s">
        <v>828</v>
      </c>
      <c r="U689" s="241" t="s">
        <v>828</v>
      </c>
      <c r="V689" s="175"/>
      <c r="W689" s="242" t="s">
        <v>828</v>
      </c>
      <c r="X689" s="228">
        <v>0.11482027358407883</v>
      </c>
      <c r="Y689" s="248">
        <v>194</v>
      </c>
      <c r="AA689" s="248">
        <v>194</v>
      </c>
      <c r="AB689" s="175"/>
      <c r="AC689" s="248">
        <f t="shared" si="57"/>
        <v>18</v>
      </c>
      <c r="AD689" s="249">
        <v>-9.0429460349449486E-2</v>
      </c>
      <c r="AE689" s="228">
        <f t="shared" si="56"/>
        <v>0.1122328118842657</v>
      </c>
      <c r="AG689" s="228"/>
      <c r="AH689" s="228"/>
      <c r="AI689" s="228"/>
      <c r="AJ689" s="228"/>
      <c r="AK689" s="228"/>
    </row>
    <row r="690" spans="4:37" x14ac:dyDescent="0.2">
      <c r="D690" s="75">
        <f t="shared" si="55"/>
        <v>19</v>
      </c>
      <c r="E690" s="80">
        <f t="shared" si="55"/>
        <v>5</v>
      </c>
      <c r="F690" s="80">
        <f t="shared" si="55"/>
        <v>5</v>
      </c>
      <c r="H690" s="239" t="s">
        <v>828</v>
      </c>
      <c r="I690" s="239" t="s">
        <v>828</v>
      </c>
      <c r="J690" s="239" t="s">
        <v>828</v>
      </c>
      <c r="L690" s="239" t="s">
        <v>828</v>
      </c>
      <c r="M690" s="95"/>
      <c r="N690" s="95"/>
      <c r="O690" s="95"/>
      <c r="T690" s="240" t="s">
        <v>828</v>
      </c>
      <c r="U690" s="241" t="s">
        <v>828</v>
      </c>
      <c r="V690" s="175"/>
      <c r="W690" s="242" t="s">
        <v>828</v>
      </c>
      <c r="X690" s="228">
        <v>-2.6770453482209546E-2</v>
      </c>
      <c r="Y690" s="248">
        <v>43</v>
      </c>
      <c r="AA690" s="248">
        <v>43</v>
      </c>
      <c r="AB690" s="175"/>
      <c r="AC690" s="248">
        <f t="shared" si="57"/>
        <v>19</v>
      </c>
      <c r="AD690" s="249">
        <v>-9.0381262511824323E-2</v>
      </c>
      <c r="AE690" s="228">
        <f t="shared" si="56"/>
        <v>0.1122328118842657</v>
      </c>
      <c r="AG690" s="228"/>
      <c r="AH690" s="228"/>
      <c r="AI690" s="228"/>
      <c r="AJ690" s="228"/>
      <c r="AK690" s="228"/>
    </row>
    <row r="691" spans="4:37" x14ac:dyDescent="0.2">
      <c r="D691" s="75">
        <f t="shared" si="55"/>
        <v>20</v>
      </c>
      <c r="E691" s="80">
        <f t="shared" si="55"/>
        <v>5</v>
      </c>
      <c r="F691" s="80">
        <f t="shared" si="55"/>
        <v>5</v>
      </c>
      <c r="H691" s="239" t="s">
        <v>828</v>
      </c>
      <c r="I691" s="239" t="s">
        <v>828</v>
      </c>
      <c r="J691" s="239" t="s">
        <v>828</v>
      </c>
      <c r="L691" s="239" t="s">
        <v>828</v>
      </c>
      <c r="M691" s="95"/>
      <c r="N691" s="95"/>
      <c r="O691" s="95"/>
      <c r="T691" s="240" t="s">
        <v>828</v>
      </c>
      <c r="U691" s="241" t="s">
        <v>828</v>
      </c>
      <c r="V691" s="175"/>
      <c r="W691" s="242" t="s">
        <v>828</v>
      </c>
      <c r="X691" s="228">
        <v>7.0066542955208477E-2</v>
      </c>
      <c r="Y691" s="248">
        <v>125</v>
      </c>
      <c r="AA691" s="248">
        <v>125</v>
      </c>
      <c r="AB691" s="175"/>
      <c r="AC691" s="248">
        <f t="shared" si="57"/>
        <v>20</v>
      </c>
      <c r="AD691" s="249">
        <v>-9.036011230135825E-2</v>
      </c>
      <c r="AE691" s="228">
        <f t="shared" si="56"/>
        <v>0.1122328118842657</v>
      </c>
      <c r="AG691" s="228"/>
      <c r="AH691" s="228"/>
      <c r="AI691" s="228"/>
      <c r="AJ691" s="228"/>
      <c r="AK691" s="228"/>
    </row>
    <row r="692" spans="4:37" x14ac:dyDescent="0.2">
      <c r="D692" s="75">
        <f t="shared" ref="D692:F711" si="58">D381</f>
        <v>21</v>
      </c>
      <c r="E692" s="80">
        <f t="shared" si="58"/>
        <v>5</v>
      </c>
      <c r="F692" s="80">
        <f t="shared" si="58"/>
        <v>5</v>
      </c>
      <c r="H692" s="239" t="s">
        <v>828</v>
      </c>
      <c r="I692" s="239" t="s">
        <v>828</v>
      </c>
      <c r="J692" s="239" t="s">
        <v>828</v>
      </c>
      <c r="L692" s="239" t="s">
        <v>828</v>
      </c>
      <c r="M692" s="95"/>
      <c r="N692" s="95"/>
      <c r="O692" s="95"/>
      <c r="T692" s="240" t="s">
        <v>828</v>
      </c>
      <c r="U692" s="241" t="s">
        <v>828</v>
      </c>
      <c r="V692" s="175"/>
      <c r="W692" s="242" t="s">
        <v>828</v>
      </c>
      <c r="X692" s="228">
        <v>0.1246324642663227</v>
      </c>
      <c r="Y692" s="248">
        <v>203</v>
      </c>
      <c r="AA692" s="248">
        <v>203</v>
      </c>
      <c r="AB692" s="175"/>
      <c r="AC692" s="248">
        <f t="shared" si="57"/>
        <v>21</v>
      </c>
      <c r="AD692" s="249">
        <v>-8.5810727067428025E-2</v>
      </c>
      <c r="AE692" s="228">
        <f t="shared" si="56"/>
        <v>0.1122328118842657</v>
      </c>
      <c r="AG692" s="228"/>
      <c r="AH692" s="228"/>
      <c r="AI692" s="228"/>
      <c r="AJ692" s="228"/>
      <c r="AK692" s="228"/>
    </row>
    <row r="693" spans="4:37" x14ac:dyDescent="0.2">
      <c r="D693" s="75">
        <f t="shared" si="58"/>
        <v>22</v>
      </c>
      <c r="E693" s="80">
        <f t="shared" si="58"/>
        <v>5</v>
      </c>
      <c r="F693" s="80">
        <f t="shared" si="58"/>
        <v>5</v>
      </c>
      <c r="H693" s="239" t="s">
        <v>828</v>
      </c>
      <c r="I693" s="239" t="s">
        <v>828</v>
      </c>
      <c r="J693" s="239" t="s">
        <v>828</v>
      </c>
      <c r="L693" s="239" t="s">
        <v>828</v>
      </c>
      <c r="M693" s="95"/>
      <c r="N693" s="95"/>
      <c r="O693" s="95"/>
      <c r="T693" s="240" t="s">
        <v>828</v>
      </c>
      <c r="U693" s="241" t="s">
        <v>828</v>
      </c>
      <c r="V693" s="175"/>
      <c r="W693" s="242" t="s">
        <v>828</v>
      </c>
      <c r="X693" s="228">
        <v>0.17264104523526258</v>
      </c>
      <c r="Y693" s="248">
        <v>220</v>
      </c>
      <c r="AA693" s="248">
        <v>220</v>
      </c>
      <c r="AB693" s="175"/>
      <c r="AC693" s="248">
        <f t="shared" si="57"/>
        <v>22</v>
      </c>
      <c r="AD693" s="249">
        <v>-8.3863958100959105E-2</v>
      </c>
      <c r="AE693" s="228">
        <f t="shared" si="56"/>
        <v>0.1122328118842657</v>
      </c>
      <c r="AG693" s="228"/>
      <c r="AH693" s="228"/>
      <c r="AI693" s="228"/>
      <c r="AJ693" s="228"/>
      <c r="AK693" s="228"/>
    </row>
    <row r="694" spans="4:37" x14ac:dyDescent="0.2">
      <c r="D694" s="75">
        <f t="shared" si="58"/>
        <v>23</v>
      </c>
      <c r="E694" s="80">
        <f t="shared" si="58"/>
        <v>5</v>
      </c>
      <c r="F694" s="80">
        <f t="shared" si="58"/>
        <v>5</v>
      </c>
      <c r="H694" s="239" t="s">
        <v>828</v>
      </c>
      <c r="I694" s="239" t="s">
        <v>828</v>
      </c>
      <c r="J694" s="239" t="s">
        <v>828</v>
      </c>
      <c r="L694" s="239" t="s">
        <v>828</v>
      </c>
      <c r="M694" s="95"/>
      <c r="N694" s="95"/>
      <c r="O694" s="95"/>
      <c r="T694" s="240" t="s">
        <v>828</v>
      </c>
      <c r="U694" s="241" t="s">
        <v>828</v>
      </c>
      <c r="V694" s="175"/>
      <c r="W694" s="242" t="s">
        <v>828</v>
      </c>
      <c r="X694" s="228">
        <v>9.3685827333789246E-2</v>
      </c>
      <c r="Y694" s="248">
        <v>157</v>
      </c>
      <c r="AA694" s="248">
        <v>157</v>
      </c>
      <c r="AB694" s="175"/>
      <c r="AC694" s="248">
        <f t="shared" si="57"/>
        <v>23</v>
      </c>
      <c r="AD694" s="249">
        <v>-8.0728849595447461E-2</v>
      </c>
      <c r="AE694" s="228">
        <f t="shared" si="56"/>
        <v>0.1122328118842657</v>
      </c>
      <c r="AG694" s="228"/>
      <c r="AH694" s="228"/>
      <c r="AI694" s="228"/>
      <c r="AJ694" s="228"/>
      <c r="AK694" s="228"/>
    </row>
    <row r="695" spans="4:37" x14ac:dyDescent="0.2">
      <c r="D695" s="75">
        <f t="shared" si="58"/>
        <v>24</v>
      </c>
      <c r="E695" s="80">
        <f t="shared" si="58"/>
        <v>5</v>
      </c>
      <c r="F695" s="80">
        <f t="shared" si="58"/>
        <v>5</v>
      </c>
      <c r="H695" s="239" t="s">
        <v>828</v>
      </c>
      <c r="I695" s="239" t="s">
        <v>828</v>
      </c>
      <c r="J695" s="239" t="s">
        <v>828</v>
      </c>
      <c r="L695" s="239" t="s">
        <v>828</v>
      </c>
      <c r="M695" s="95"/>
      <c r="N695" s="95"/>
      <c r="O695" s="95"/>
      <c r="T695" s="240" t="s">
        <v>828</v>
      </c>
      <c r="U695" s="241" t="s">
        <v>828</v>
      </c>
      <c r="V695" s="175"/>
      <c r="W695" s="242" t="s">
        <v>828</v>
      </c>
      <c r="X695" s="228">
        <v>1.8975950972787394E-2</v>
      </c>
      <c r="Y695" s="248">
        <v>78</v>
      </c>
      <c r="AA695" s="248">
        <v>78</v>
      </c>
      <c r="AB695" s="175"/>
      <c r="AC695" s="248">
        <f t="shared" si="57"/>
        <v>24</v>
      </c>
      <c r="AD695" s="249">
        <v>-7.9820251067397582E-2</v>
      </c>
      <c r="AE695" s="228">
        <f t="shared" si="56"/>
        <v>0.1122328118842657</v>
      </c>
      <c r="AG695" s="228"/>
      <c r="AH695" s="228"/>
      <c r="AI695" s="228"/>
      <c r="AJ695" s="228"/>
      <c r="AK695" s="228"/>
    </row>
    <row r="696" spans="4:37" x14ac:dyDescent="0.2">
      <c r="D696" s="75">
        <f t="shared" si="58"/>
        <v>25</v>
      </c>
      <c r="E696" s="80">
        <f t="shared" si="58"/>
        <v>5</v>
      </c>
      <c r="F696" s="80">
        <f t="shared" si="58"/>
        <v>5</v>
      </c>
      <c r="H696" s="239" t="s">
        <v>828</v>
      </c>
      <c r="I696" s="239" t="s">
        <v>828</v>
      </c>
      <c r="J696" s="239" t="s">
        <v>828</v>
      </c>
      <c r="L696" s="239" t="s">
        <v>828</v>
      </c>
      <c r="M696" s="95"/>
      <c r="N696" s="95"/>
      <c r="O696" s="95"/>
      <c r="T696" s="240" t="s">
        <v>828</v>
      </c>
      <c r="U696" s="241" t="s">
        <v>828</v>
      </c>
      <c r="V696" s="175"/>
      <c r="W696" s="242" t="s">
        <v>828</v>
      </c>
      <c r="X696" s="228">
        <v>1.0670728813247436E-2</v>
      </c>
      <c r="Y696" s="248">
        <v>67</v>
      </c>
      <c r="AA696" s="248">
        <v>67</v>
      </c>
      <c r="AB696" s="175"/>
      <c r="AC696" s="248">
        <f t="shared" si="57"/>
        <v>25</v>
      </c>
      <c r="AD696" s="249">
        <v>-6.6300078422906999E-2</v>
      </c>
      <c r="AE696" s="228">
        <f t="shared" si="56"/>
        <v>0.1122328118842657</v>
      </c>
      <c r="AG696" s="228"/>
      <c r="AH696" s="228"/>
      <c r="AI696" s="228"/>
      <c r="AJ696" s="228"/>
      <c r="AK696" s="228"/>
    </row>
    <row r="697" spans="4:37" x14ac:dyDescent="0.2">
      <c r="D697" s="75">
        <f t="shared" si="58"/>
        <v>26</v>
      </c>
      <c r="E697" s="80">
        <f t="shared" si="58"/>
        <v>5</v>
      </c>
      <c r="F697" s="80">
        <f t="shared" si="58"/>
        <v>5</v>
      </c>
      <c r="H697" s="239" t="s">
        <v>828</v>
      </c>
      <c r="I697" s="239" t="s">
        <v>828</v>
      </c>
      <c r="J697" s="239" t="s">
        <v>828</v>
      </c>
      <c r="L697" s="239" t="s">
        <v>828</v>
      </c>
      <c r="M697" s="95"/>
      <c r="N697" s="95"/>
      <c r="O697" s="95"/>
      <c r="T697" s="240" t="s">
        <v>828</v>
      </c>
      <c r="U697" s="241" t="s">
        <v>828</v>
      </c>
      <c r="V697" s="175"/>
      <c r="W697" s="242" t="s">
        <v>828</v>
      </c>
      <c r="X697" s="228">
        <v>0.11619163408301864</v>
      </c>
      <c r="Y697" s="248">
        <v>196</v>
      </c>
      <c r="AA697" s="248">
        <v>196</v>
      </c>
      <c r="AB697" s="175"/>
      <c r="AC697" s="248">
        <f t="shared" si="57"/>
        <v>26</v>
      </c>
      <c r="AD697" s="249">
        <v>-6.4899076699458061E-2</v>
      </c>
      <c r="AE697" s="228">
        <f t="shared" si="56"/>
        <v>0.1122328118842657</v>
      </c>
      <c r="AG697" s="228"/>
      <c r="AH697" s="228"/>
      <c r="AI697" s="228"/>
      <c r="AJ697" s="228"/>
      <c r="AK697" s="228"/>
    </row>
    <row r="698" spans="4:37" x14ac:dyDescent="0.2">
      <c r="D698" s="75">
        <f t="shared" si="58"/>
        <v>27</v>
      </c>
      <c r="E698" s="80">
        <f t="shared" si="58"/>
        <v>5</v>
      </c>
      <c r="F698" s="80">
        <f t="shared" si="58"/>
        <v>5</v>
      </c>
      <c r="H698" s="239" t="s">
        <v>828</v>
      </c>
      <c r="I698" s="239" t="s">
        <v>828</v>
      </c>
      <c r="J698" s="239" t="s">
        <v>828</v>
      </c>
      <c r="L698" s="239" t="s">
        <v>828</v>
      </c>
      <c r="M698" s="95"/>
      <c r="N698" s="95"/>
      <c r="O698" s="95"/>
      <c r="T698" s="240" t="s">
        <v>828</v>
      </c>
      <c r="U698" s="241" t="s">
        <v>828</v>
      </c>
      <c r="V698" s="175"/>
      <c r="W698" s="242" t="s">
        <v>828</v>
      </c>
      <c r="X698" s="228">
        <v>1.3929016484080559E-2</v>
      </c>
      <c r="Y698" s="248">
        <v>71</v>
      </c>
      <c r="AA698" s="248">
        <v>71</v>
      </c>
      <c r="AB698" s="175"/>
      <c r="AC698" s="248">
        <f t="shared" si="57"/>
        <v>27</v>
      </c>
      <c r="AD698" s="249">
        <v>-6.4855722868962642E-2</v>
      </c>
      <c r="AE698" s="228">
        <f t="shared" si="56"/>
        <v>0.1122328118842657</v>
      </c>
      <c r="AG698" s="228"/>
      <c r="AH698" s="228"/>
      <c r="AI698" s="228"/>
      <c r="AJ698" s="228"/>
      <c r="AK698" s="228"/>
    </row>
    <row r="699" spans="4:37" x14ac:dyDescent="0.2">
      <c r="D699" s="75">
        <f t="shared" si="58"/>
        <v>28</v>
      </c>
      <c r="E699" s="80">
        <f t="shared" si="58"/>
        <v>5</v>
      </c>
      <c r="F699" s="80">
        <f t="shared" si="58"/>
        <v>5</v>
      </c>
      <c r="H699" s="239" t="s">
        <v>828</v>
      </c>
      <c r="I699" s="239" t="s">
        <v>828</v>
      </c>
      <c r="J699" s="239" t="s">
        <v>828</v>
      </c>
      <c r="L699" s="239" t="s">
        <v>828</v>
      </c>
      <c r="M699" s="95"/>
      <c r="N699" s="95"/>
      <c r="O699" s="95"/>
      <c r="T699" s="240" t="s">
        <v>828</v>
      </c>
      <c r="U699" s="241" t="s">
        <v>828</v>
      </c>
      <c r="V699" s="175"/>
      <c r="W699" s="242" t="s">
        <v>828</v>
      </c>
      <c r="X699" s="228">
        <v>0.10769917834619777</v>
      </c>
      <c r="Y699" s="248">
        <v>180</v>
      </c>
      <c r="AA699" s="248">
        <v>180</v>
      </c>
      <c r="AB699" s="175"/>
      <c r="AC699" s="248">
        <f t="shared" si="57"/>
        <v>28</v>
      </c>
      <c r="AD699" s="249">
        <v>-6.4703493743359194E-2</v>
      </c>
      <c r="AE699" s="228">
        <f t="shared" si="56"/>
        <v>0.1122328118842657</v>
      </c>
      <c r="AG699" s="228"/>
      <c r="AH699" s="228"/>
      <c r="AI699" s="228"/>
      <c r="AJ699" s="228"/>
      <c r="AK699" s="228"/>
    </row>
    <row r="700" spans="4:37" x14ac:dyDescent="0.2">
      <c r="D700" s="75">
        <f t="shared" si="58"/>
        <v>29</v>
      </c>
      <c r="E700" s="80">
        <f t="shared" si="58"/>
        <v>5</v>
      </c>
      <c r="F700" s="80">
        <f t="shared" si="58"/>
        <v>5</v>
      </c>
      <c r="H700" s="239" t="s">
        <v>828</v>
      </c>
      <c r="I700" s="239" t="s">
        <v>828</v>
      </c>
      <c r="J700" s="239" t="s">
        <v>828</v>
      </c>
      <c r="L700" s="239" t="s">
        <v>828</v>
      </c>
      <c r="M700" s="95"/>
      <c r="N700" s="95"/>
      <c r="O700" s="95"/>
      <c r="T700" s="240" t="s">
        <v>828</v>
      </c>
      <c r="U700" s="241" t="s">
        <v>828</v>
      </c>
      <c r="V700" s="175"/>
      <c r="W700" s="242" t="s">
        <v>828</v>
      </c>
      <c r="X700" s="228">
        <v>1.6482790388196621E-2</v>
      </c>
      <c r="Y700" s="248">
        <v>75</v>
      </c>
      <c r="AA700" s="248">
        <v>75</v>
      </c>
      <c r="AB700" s="175"/>
      <c r="AC700" s="248">
        <f t="shared" si="57"/>
        <v>29</v>
      </c>
      <c r="AD700" s="249">
        <v>-6.1548024356816756E-2</v>
      </c>
      <c r="AE700" s="228">
        <f t="shared" si="56"/>
        <v>0.1122328118842657</v>
      </c>
      <c r="AG700" s="228"/>
      <c r="AH700" s="228"/>
      <c r="AI700" s="228"/>
      <c r="AJ700" s="228"/>
      <c r="AK700" s="228"/>
    </row>
    <row r="701" spans="4:37" x14ac:dyDescent="0.2">
      <c r="D701" s="75">
        <f t="shared" si="58"/>
        <v>30</v>
      </c>
      <c r="E701" s="80">
        <f t="shared" si="58"/>
        <v>5</v>
      </c>
      <c r="F701" s="80">
        <f t="shared" si="58"/>
        <v>5</v>
      </c>
      <c r="H701" s="239" t="s">
        <v>828</v>
      </c>
      <c r="I701" s="239" t="s">
        <v>828</v>
      </c>
      <c r="J701" s="239" t="s">
        <v>828</v>
      </c>
      <c r="L701" s="239" t="s">
        <v>828</v>
      </c>
      <c r="M701" s="95"/>
      <c r="N701" s="95"/>
      <c r="O701" s="95"/>
      <c r="T701" s="240" t="s">
        <v>828</v>
      </c>
      <c r="U701" s="241" t="s">
        <v>828</v>
      </c>
      <c r="V701" s="175"/>
      <c r="W701" s="242" t="s">
        <v>828</v>
      </c>
      <c r="X701" s="228">
        <v>0.12720692233777495</v>
      </c>
      <c r="Y701" s="248">
        <v>206</v>
      </c>
      <c r="AA701" s="248">
        <v>206</v>
      </c>
      <c r="AB701" s="175"/>
      <c r="AC701" s="248">
        <f t="shared" si="57"/>
        <v>30</v>
      </c>
      <c r="AD701" s="249">
        <v>-6.1413997178586859E-2</v>
      </c>
      <c r="AE701" s="228">
        <f t="shared" si="56"/>
        <v>0.1122328118842657</v>
      </c>
      <c r="AG701" s="228"/>
      <c r="AH701" s="228"/>
      <c r="AI701" s="228"/>
      <c r="AJ701" s="228"/>
      <c r="AK701" s="228"/>
    </row>
    <row r="702" spans="4:37" x14ac:dyDescent="0.2">
      <c r="D702" s="75">
        <f t="shared" si="58"/>
        <v>31</v>
      </c>
      <c r="E702" s="80">
        <f t="shared" si="58"/>
        <v>5</v>
      </c>
      <c r="F702" s="80">
        <f t="shared" si="58"/>
        <v>5</v>
      </c>
      <c r="H702" s="239" t="s">
        <v>828</v>
      </c>
      <c r="I702" s="239" t="s">
        <v>828</v>
      </c>
      <c r="J702" s="239" t="s">
        <v>828</v>
      </c>
      <c r="L702" s="239" t="s">
        <v>828</v>
      </c>
      <c r="M702" s="95"/>
      <c r="N702" s="95"/>
      <c r="O702" s="95"/>
      <c r="T702" s="240" t="s">
        <v>828</v>
      </c>
      <c r="U702" s="241" t="s">
        <v>828</v>
      </c>
      <c r="V702" s="175"/>
      <c r="W702" s="242" t="s">
        <v>828</v>
      </c>
      <c r="X702" s="228">
        <v>6.8451801524280695E-2</v>
      </c>
      <c r="Y702" s="248">
        <v>121</v>
      </c>
      <c r="AA702" s="248">
        <v>121</v>
      </c>
      <c r="AB702" s="175"/>
      <c r="AC702" s="248">
        <f t="shared" si="57"/>
        <v>31</v>
      </c>
      <c r="AD702" s="249">
        <v>-5.910017598373557E-2</v>
      </c>
      <c r="AE702" s="228">
        <f t="shared" si="56"/>
        <v>0.1122328118842657</v>
      </c>
      <c r="AG702" s="228"/>
      <c r="AH702" s="228"/>
      <c r="AI702" s="228"/>
      <c r="AJ702" s="228"/>
      <c r="AK702" s="228"/>
    </row>
    <row r="703" spans="4:37" x14ac:dyDescent="0.2">
      <c r="D703" s="75">
        <f t="shared" si="58"/>
        <v>32</v>
      </c>
      <c r="E703" s="80">
        <f t="shared" si="58"/>
        <v>5</v>
      </c>
      <c r="F703" s="80">
        <f t="shared" si="58"/>
        <v>5</v>
      </c>
      <c r="H703" s="239" t="s">
        <v>828</v>
      </c>
      <c r="I703" s="239" t="s">
        <v>828</v>
      </c>
      <c r="J703" s="239" t="s">
        <v>828</v>
      </c>
      <c r="L703" s="239" t="s">
        <v>828</v>
      </c>
      <c r="M703" s="95"/>
      <c r="N703" s="95"/>
      <c r="O703" s="95"/>
      <c r="T703" s="240" t="s">
        <v>828</v>
      </c>
      <c r="U703" s="241" t="s">
        <v>828</v>
      </c>
      <c r="V703" s="175"/>
      <c r="W703" s="242" t="s">
        <v>828</v>
      </c>
      <c r="X703" s="228">
        <v>9.9303411242097267E-2</v>
      </c>
      <c r="Y703" s="248">
        <v>170</v>
      </c>
      <c r="AA703" s="248">
        <v>170</v>
      </c>
      <c r="AB703" s="175"/>
      <c r="AC703" s="248">
        <f t="shared" si="57"/>
        <v>32</v>
      </c>
      <c r="AD703" s="249">
        <v>-5.737091430412971E-2</v>
      </c>
      <c r="AE703" s="228">
        <f t="shared" si="56"/>
        <v>0.1122328118842657</v>
      </c>
      <c r="AG703" s="228"/>
      <c r="AH703" s="228"/>
      <c r="AI703" s="228"/>
      <c r="AJ703" s="228"/>
      <c r="AK703" s="228"/>
    </row>
    <row r="704" spans="4:37" x14ac:dyDescent="0.2">
      <c r="D704" s="75">
        <f t="shared" si="58"/>
        <v>33</v>
      </c>
      <c r="E704" s="80">
        <f t="shared" si="58"/>
        <v>5</v>
      </c>
      <c r="F704" s="80">
        <f t="shared" si="58"/>
        <v>5</v>
      </c>
      <c r="H704" s="239" t="s">
        <v>828</v>
      </c>
      <c r="I704" s="239" t="s">
        <v>828</v>
      </c>
      <c r="J704" s="239" t="s">
        <v>828</v>
      </c>
      <c r="L704" s="239" t="s">
        <v>828</v>
      </c>
      <c r="M704" s="95"/>
      <c r="N704" s="95"/>
      <c r="O704" s="95"/>
      <c r="T704" s="240" t="s">
        <v>828</v>
      </c>
      <c r="U704" s="241" t="s">
        <v>828</v>
      </c>
      <c r="V704" s="175"/>
      <c r="W704" s="242" t="s">
        <v>828</v>
      </c>
      <c r="X704" s="228">
        <v>-6.4899076699458061E-2</v>
      </c>
      <c r="Y704" s="248">
        <v>26</v>
      </c>
      <c r="AA704" s="248">
        <v>26</v>
      </c>
      <c r="AB704" s="175"/>
      <c r="AC704" s="248">
        <f t="shared" si="57"/>
        <v>33</v>
      </c>
      <c r="AD704" s="249">
        <v>-5.2860010682834795E-2</v>
      </c>
      <c r="AE704" s="228">
        <f t="shared" si="56"/>
        <v>0.1122328118842657</v>
      </c>
      <c r="AG704" s="228"/>
      <c r="AH704" s="228"/>
      <c r="AI704" s="228"/>
      <c r="AJ704" s="228"/>
      <c r="AK704" s="228"/>
    </row>
    <row r="705" spans="4:37" x14ac:dyDescent="0.2">
      <c r="D705" s="75">
        <f t="shared" si="58"/>
        <v>34</v>
      </c>
      <c r="E705" s="80">
        <f t="shared" si="58"/>
        <v>5</v>
      </c>
      <c r="F705" s="80">
        <f t="shared" si="58"/>
        <v>5</v>
      </c>
      <c r="H705" s="239" t="s">
        <v>828</v>
      </c>
      <c r="I705" s="239" t="s">
        <v>828</v>
      </c>
      <c r="J705" s="239" t="s">
        <v>828</v>
      </c>
      <c r="L705" s="239" t="s">
        <v>828</v>
      </c>
      <c r="M705" s="95"/>
      <c r="N705" s="95"/>
      <c r="O705" s="95"/>
      <c r="T705" s="240" t="s">
        <v>828</v>
      </c>
      <c r="U705" s="241" t="s">
        <v>828</v>
      </c>
      <c r="V705" s="175"/>
      <c r="W705" s="242" t="s">
        <v>828</v>
      </c>
      <c r="X705" s="228">
        <v>0.1535406388662888</v>
      </c>
      <c r="Y705" s="248">
        <v>216</v>
      </c>
      <c r="AA705" s="248">
        <v>216</v>
      </c>
      <c r="AB705" s="175"/>
      <c r="AC705" s="248">
        <f t="shared" si="57"/>
        <v>34</v>
      </c>
      <c r="AD705" s="249">
        <v>-4.7182008117809225E-2</v>
      </c>
      <c r="AE705" s="228">
        <f t="shared" si="56"/>
        <v>0.1122328118842657</v>
      </c>
      <c r="AG705" s="228"/>
      <c r="AH705" s="228"/>
      <c r="AI705" s="228"/>
      <c r="AJ705" s="228"/>
      <c r="AK705" s="228"/>
    </row>
    <row r="706" spans="4:37" x14ac:dyDescent="0.2">
      <c r="D706" s="75">
        <f t="shared" si="58"/>
        <v>35</v>
      </c>
      <c r="E706" s="80">
        <f t="shared" si="58"/>
        <v>5</v>
      </c>
      <c r="F706" s="80">
        <f t="shared" si="58"/>
        <v>5</v>
      </c>
      <c r="H706" s="239" t="s">
        <v>828</v>
      </c>
      <c r="I706" s="239" t="s">
        <v>828</v>
      </c>
      <c r="J706" s="239" t="s">
        <v>828</v>
      </c>
      <c r="L706" s="239" t="s">
        <v>828</v>
      </c>
      <c r="M706" s="95"/>
      <c r="N706" s="95"/>
      <c r="O706" s="95"/>
      <c r="T706" s="240" t="s">
        <v>828</v>
      </c>
      <c r="U706" s="241" t="s">
        <v>828</v>
      </c>
      <c r="V706" s="175"/>
      <c r="W706" s="242" t="s">
        <v>828</v>
      </c>
      <c r="X706" s="228">
        <v>5.4348457105506433E-2</v>
      </c>
      <c r="Y706" s="248">
        <v>104</v>
      </c>
      <c r="AA706" s="248">
        <v>104</v>
      </c>
      <c r="AB706" s="175"/>
      <c r="AC706" s="248">
        <f t="shared" si="57"/>
        <v>35</v>
      </c>
      <c r="AD706" s="249">
        <v>-4.3740542274417309E-2</v>
      </c>
      <c r="AE706" s="228">
        <f t="shared" si="56"/>
        <v>0.1122328118842657</v>
      </c>
      <c r="AG706" s="228"/>
      <c r="AH706" s="228"/>
      <c r="AI706" s="228"/>
      <c r="AJ706" s="228"/>
      <c r="AK706" s="228"/>
    </row>
    <row r="707" spans="4:37" x14ac:dyDescent="0.2">
      <c r="D707" s="75">
        <f t="shared" si="58"/>
        <v>36</v>
      </c>
      <c r="E707" s="80">
        <f t="shared" si="58"/>
        <v>5</v>
      </c>
      <c r="F707" s="80">
        <f t="shared" si="58"/>
        <v>5</v>
      </c>
      <c r="H707" s="239" t="s">
        <v>828</v>
      </c>
      <c r="I707" s="239" t="s">
        <v>828</v>
      </c>
      <c r="J707" s="239" t="s">
        <v>828</v>
      </c>
      <c r="L707" s="239" t="s">
        <v>828</v>
      </c>
      <c r="M707" s="95"/>
      <c r="N707" s="95"/>
      <c r="O707" s="95"/>
      <c r="T707" s="240" t="s">
        <v>828</v>
      </c>
      <c r="U707" s="241" t="s">
        <v>828</v>
      </c>
      <c r="V707" s="175"/>
      <c r="W707" s="242" t="s">
        <v>828</v>
      </c>
      <c r="X707" s="228">
        <v>8.9468767854772209E-3</v>
      </c>
      <c r="Y707" s="248">
        <v>64</v>
      </c>
      <c r="AA707" s="248">
        <v>64</v>
      </c>
      <c r="AB707" s="175"/>
      <c r="AC707" s="248">
        <f t="shared" si="57"/>
        <v>36</v>
      </c>
      <c r="AD707" s="249">
        <v>-4.3481308230450114E-2</v>
      </c>
      <c r="AE707" s="228">
        <f t="shared" si="56"/>
        <v>0.1122328118842657</v>
      </c>
      <c r="AG707" s="228"/>
      <c r="AH707" s="228"/>
      <c r="AI707" s="228"/>
      <c r="AJ707" s="228"/>
      <c r="AK707" s="228"/>
    </row>
    <row r="708" spans="4:37" x14ac:dyDescent="0.2">
      <c r="D708" s="75">
        <f t="shared" si="58"/>
        <v>37</v>
      </c>
      <c r="E708" s="80">
        <f t="shared" si="58"/>
        <v>5</v>
      </c>
      <c r="F708" s="80">
        <f t="shared" si="58"/>
        <v>5</v>
      </c>
      <c r="H708" s="239" t="s">
        <v>828</v>
      </c>
      <c r="I708" s="239" t="s">
        <v>828</v>
      </c>
      <c r="J708" s="239" t="s">
        <v>828</v>
      </c>
      <c r="L708" s="239" t="s">
        <v>828</v>
      </c>
      <c r="M708" s="95"/>
      <c r="N708" s="95"/>
      <c r="O708" s="95"/>
      <c r="T708" s="240" t="s">
        <v>828</v>
      </c>
      <c r="U708" s="241" t="s">
        <v>828</v>
      </c>
      <c r="V708" s="175"/>
      <c r="W708" s="242" t="s">
        <v>828</v>
      </c>
      <c r="X708" s="228">
        <v>0.11705087037706825</v>
      </c>
      <c r="Y708" s="248">
        <v>197</v>
      </c>
      <c r="AA708" s="248">
        <v>197</v>
      </c>
      <c r="AB708" s="175"/>
      <c r="AC708" s="248">
        <f t="shared" si="57"/>
        <v>37</v>
      </c>
      <c r="AD708" s="249">
        <v>-4.0990419619962533E-2</v>
      </c>
      <c r="AE708" s="228">
        <f t="shared" si="56"/>
        <v>0.1122328118842657</v>
      </c>
      <c r="AG708" s="228"/>
      <c r="AH708" s="228"/>
      <c r="AI708" s="228"/>
      <c r="AJ708" s="228"/>
      <c r="AK708" s="228"/>
    </row>
    <row r="709" spans="4:37" x14ac:dyDescent="0.2">
      <c r="D709" s="75">
        <f t="shared" si="58"/>
        <v>38</v>
      </c>
      <c r="E709" s="80">
        <f t="shared" si="58"/>
        <v>5</v>
      </c>
      <c r="F709" s="80">
        <f t="shared" si="58"/>
        <v>5</v>
      </c>
      <c r="H709" s="239" t="s">
        <v>828</v>
      </c>
      <c r="I709" s="239" t="s">
        <v>828</v>
      </c>
      <c r="J709" s="239" t="s">
        <v>828</v>
      </c>
      <c r="L709" s="239" t="s">
        <v>828</v>
      </c>
      <c r="M709" s="95"/>
      <c r="N709" s="95"/>
      <c r="O709" s="95"/>
      <c r="T709" s="240" t="s">
        <v>828</v>
      </c>
      <c r="U709" s="241" t="s">
        <v>828</v>
      </c>
      <c r="V709" s="175"/>
      <c r="W709" s="242" t="s">
        <v>828</v>
      </c>
      <c r="X709" s="228">
        <v>0.10965947674947887</v>
      </c>
      <c r="Y709" s="248">
        <v>186</v>
      </c>
      <c r="AA709" s="248">
        <v>186</v>
      </c>
      <c r="AB709" s="175"/>
      <c r="AC709" s="248">
        <f t="shared" si="57"/>
        <v>38</v>
      </c>
      <c r="AD709" s="249">
        <v>-3.2635744129926446E-2</v>
      </c>
      <c r="AE709" s="228">
        <f t="shared" si="56"/>
        <v>0.1122328118842657</v>
      </c>
      <c r="AG709" s="228"/>
      <c r="AH709" s="228"/>
      <c r="AI709" s="228"/>
      <c r="AJ709" s="228"/>
      <c r="AK709" s="228"/>
    </row>
    <row r="710" spans="4:37" x14ac:dyDescent="0.2">
      <c r="D710" s="75">
        <f t="shared" si="58"/>
        <v>39</v>
      </c>
      <c r="E710" s="80">
        <f t="shared" si="58"/>
        <v>5</v>
      </c>
      <c r="F710" s="80">
        <f t="shared" si="58"/>
        <v>5</v>
      </c>
      <c r="H710" s="239" t="s">
        <v>828</v>
      </c>
      <c r="I710" s="239" t="s">
        <v>828</v>
      </c>
      <c r="J710" s="239" t="s">
        <v>828</v>
      </c>
      <c r="L710" s="239" t="s">
        <v>828</v>
      </c>
      <c r="M710" s="95"/>
      <c r="N710" s="95"/>
      <c r="O710" s="95"/>
      <c r="T710" s="240" t="s">
        <v>828</v>
      </c>
      <c r="U710" s="241" t="s">
        <v>828</v>
      </c>
      <c r="V710" s="175"/>
      <c r="W710" s="242" t="s">
        <v>828</v>
      </c>
      <c r="X710" s="228">
        <v>1.271965014549622E-2</v>
      </c>
      <c r="Y710" s="248">
        <v>70</v>
      </c>
      <c r="AA710" s="248">
        <v>70</v>
      </c>
      <c r="AB710" s="175"/>
      <c r="AC710" s="248">
        <f t="shared" si="57"/>
        <v>39</v>
      </c>
      <c r="AD710" s="249">
        <v>-3.2108837604418718E-2</v>
      </c>
      <c r="AE710" s="228">
        <f t="shared" si="56"/>
        <v>0.1122328118842657</v>
      </c>
      <c r="AG710" s="228"/>
      <c r="AH710" s="228"/>
      <c r="AI710" s="228"/>
      <c r="AJ710" s="228"/>
      <c r="AK710" s="228"/>
    </row>
    <row r="711" spans="4:37" x14ac:dyDescent="0.2">
      <c r="D711" s="75">
        <f t="shared" si="58"/>
        <v>40</v>
      </c>
      <c r="E711" s="80">
        <f t="shared" si="58"/>
        <v>5</v>
      </c>
      <c r="F711" s="80">
        <f t="shared" si="58"/>
        <v>5</v>
      </c>
      <c r="H711" s="239" t="s">
        <v>828</v>
      </c>
      <c r="I711" s="239" t="s">
        <v>828</v>
      </c>
      <c r="J711" s="239" t="s">
        <v>828</v>
      </c>
      <c r="L711" s="239" t="s">
        <v>828</v>
      </c>
      <c r="M711" s="95"/>
      <c r="N711" s="95"/>
      <c r="O711" s="95"/>
      <c r="T711" s="240" t="s">
        <v>828</v>
      </c>
      <c r="U711" s="241" t="s">
        <v>828</v>
      </c>
      <c r="V711" s="175"/>
      <c r="W711" s="242" t="s">
        <v>828</v>
      </c>
      <c r="X711" s="228">
        <v>-2.5401132465296548E-2</v>
      </c>
      <c r="Y711" s="248">
        <v>44</v>
      </c>
      <c r="AA711" s="248">
        <v>44</v>
      </c>
      <c r="AB711" s="175"/>
      <c r="AC711" s="248">
        <f t="shared" si="57"/>
        <v>40</v>
      </c>
      <c r="AD711" s="249">
        <v>-3.0833465886462776E-2</v>
      </c>
      <c r="AE711" s="228">
        <f t="shared" si="56"/>
        <v>0.1122328118842657</v>
      </c>
      <c r="AG711" s="228"/>
      <c r="AH711" s="228"/>
      <c r="AI711" s="228"/>
      <c r="AJ711" s="228"/>
      <c r="AK711" s="228"/>
    </row>
    <row r="712" spans="4:37" x14ac:dyDescent="0.2">
      <c r="D712" s="75">
        <f t="shared" ref="D712:F731" si="59">D401</f>
        <v>41</v>
      </c>
      <c r="E712" s="80">
        <f t="shared" si="59"/>
        <v>5</v>
      </c>
      <c r="F712" s="80">
        <f t="shared" si="59"/>
        <v>5</v>
      </c>
      <c r="H712" s="239" t="s">
        <v>828</v>
      </c>
      <c r="I712" s="239" t="s">
        <v>828</v>
      </c>
      <c r="J712" s="239" t="s">
        <v>828</v>
      </c>
      <c r="L712" s="239" t="s">
        <v>828</v>
      </c>
      <c r="M712" s="95"/>
      <c r="N712" s="95"/>
      <c r="O712" s="95"/>
      <c r="T712" s="240" t="s">
        <v>828</v>
      </c>
      <c r="U712" s="241" t="s">
        <v>828</v>
      </c>
      <c r="V712" s="175"/>
      <c r="W712" s="242" t="s">
        <v>828</v>
      </c>
      <c r="X712" s="228">
        <v>7.1275155370214588E-2</v>
      </c>
      <c r="Y712" s="248">
        <v>127</v>
      </c>
      <c r="AA712" s="248">
        <v>127</v>
      </c>
      <c r="AB712" s="175"/>
      <c r="AC712" s="248">
        <f t="shared" si="57"/>
        <v>41</v>
      </c>
      <c r="AD712" s="249">
        <v>-2.9510301250199062E-2</v>
      </c>
      <c r="AE712" s="228">
        <f t="shared" si="56"/>
        <v>0.1122328118842657</v>
      </c>
      <c r="AG712" s="228"/>
      <c r="AH712" s="228"/>
      <c r="AI712" s="228"/>
      <c r="AJ712" s="228"/>
      <c r="AK712" s="228"/>
    </row>
    <row r="713" spans="4:37" x14ac:dyDescent="0.2">
      <c r="D713" s="75">
        <f t="shared" si="59"/>
        <v>42</v>
      </c>
      <c r="E713" s="80">
        <f t="shared" si="59"/>
        <v>5</v>
      </c>
      <c r="F713" s="80">
        <f t="shared" si="59"/>
        <v>5</v>
      </c>
      <c r="H713" s="239" t="s">
        <v>828</v>
      </c>
      <c r="I713" s="239" t="s">
        <v>828</v>
      </c>
      <c r="J713" s="239" t="s">
        <v>828</v>
      </c>
      <c r="L713" s="239" t="s">
        <v>828</v>
      </c>
      <c r="M713" s="95"/>
      <c r="N713" s="95"/>
      <c r="O713" s="95"/>
      <c r="T713" s="240" t="s">
        <v>828</v>
      </c>
      <c r="U713" s="241" t="s">
        <v>828</v>
      </c>
      <c r="V713" s="175"/>
      <c r="W713" s="242" t="s">
        <v>828</v>
      </c>
      <c r="X713" s="228">
        <v>4.7203646376646063E-2</v>
      </c>
      <c r="Y713" s="248">
        <v>96</v>
      </c>
      <c r="AA713" s="248">
        <v>96</v>
      </c>
      <c r="AB713" s="175"/>
      <c r="AC713" s="248">
        <f t="shared" si="57"/>
        <v>42</v>
      </c>
      <c r="AD713" s="249">
        <v>-2.8491958214856748E-2</v>
      </c>
      <c r="AE713" s="228">
        <f t="shared" si="56"/>
        <v>0.1122328118842657</v>
      </c>
      <c r="AG713" s="228"/>
      <c r="AH713" s="228"/>
      <c r="AI713" s="228"/>
      <c r="AJ713" s="228"/>
      <c r="AK713" s="228"/>
    </row>
    <row r="714" spans="4:37" x14ac:dyDescent="0.2">
      <c r="D714" s="75">
        <f t="shared" si="59"/>
        <v>43</v>
      </c>
      <c r="E714" s="80">
        <f t="shared" si="59"/>
        <v>5</v>
      </c>
      <c r="F714" s="80">
        <f t="shared" si="59"/>
        <v>5</v>
      </c>
      <c r="H714" s="239" t="s">
        <v>828</v>
      </c>
      <c r="I714" s="239" t="s">
        <v>828</v>
      </c>
      <c r="J714" s="239" t="s">
        <v>828</v>
      </c>
      <c r="L714" s="239" t="s">
        <v>828</v>
      </c>
      <c r="M714" s="95"/>
      <c r="N714" s="95"/>
      <c r="O714" s="95"/>
      <c r="T714" s="240" t="s">
        <v>828</v>
      </c>
      <c r="U714" s="241" t="s">
        <v>828</v>
      </c>
      <c r="V714" s="175"/>
      <c r="W714" s="242" t="s">
        <v>828</v>
      </c>
      <c r="X714" s="228">
        <v>0.10160392837183095</v>
      </c>
      <c r="Y714" s="248">
        <v>173</v>
      </c>
      <c r="AA714" s="248">
        <v>173</v>
      </c>
      <c r="AB714" s="175"/>
      <c r="AC714" s="248">
        <f t="shared" si="57"/>
        <v>43</v>
      </c>
      <c r="AD714" s="249">
        <v>-2.6770453482209546E-2</v>
      </c>
      <c r="AE714" s="228">
        <f t="shared" si="56"/>
        <v>0.1122328118842657</v>
      </c>
      <c r="AG714" s="228"/>
      <c r="AH714" s="228"/>
      <c r="AI714" s="228"/>
      <c r="AJ714" s="228"/>
      <c r="AK714" s="228"/>
    </row>
    <row r="715" spans="4:37" x14ac:dyDescent="0.2">
      <c r="D715" s="75">
        <f t="shared" si="59"/>
        <v>44</v>
      </c>
      <c r="E715" s="80">
        <f t="shared" si="59"/>
        <v>5</v>
      </c>
      <c r="F715" s="80">
        <f t="shared" si="59"/>
        <v>5</v>
      </c>
      <c r="H715" s="239" t="s">
        <v>828</v>
      </c>
      <c r="I715" s="239" t="s">
        <v>828</v>
      </c>
      <c r="J715" s="239" t="s">
        <v>828</v>
      </c>
      <c r="L715" s="239" t="s">
        <v>828</v>
      </c>
      <c r="M715" s="95"/>
      <c r="N715" s="95"/>
      <c r="O715" s="95"/>
      <c r="T715" s="240" t="s">
        <v>828</v>
      </c>
      <c r="U715" s="241" t="s">
        <v>828</v>
      </c>
      <c r="V715" s="175"/>
      <c r="W715" s="242" t="s">
        <v>828</v>
      </c>
      <c r="X715" s="228">
        <v>6.8986638201086192E-2</v>
      </c>
      <c r="Y715" s="248">
        <v>123</v>
      </c>
      <c r="AA715" s="248">
        <v>123</v>
      </c>
      <c r="AB715" s="175"/>
      <c r="AC715" s="248">
        <f t="shared" si="57"/>
        <v>44</v>
      </c>
      <c r="AD715" s="249">
        <v>-2.5401132465296548E-2</v>
      </c>
      <c r="AE715" s="228">
        <f t="shared" si="56"/>
        <v>0.1122328118842657</v>
      </c>
      <c r="AG715" s="228"/>
      <c r="AH715" s="228"/>
      <c r="AI715" s="228"/>
      <c r="AJ715" s="228"/>
      <c r="AK715" s="228"/>
    </row>
    <row r="716" spans="4:37" x14ac:dyDescent="0.2">
      <c r="D716" s="75">
        <f t="shared" si="59"/>
        <v>45</v>
      </c>
      <c r="E716" s="80">
        <f t="shared" si="59"/>
        <v>5</v>
      </c>
      <c r="F716" s="80">
        <f t="shared" si="59"/>
        <v>5</v>
      </c>
      <c r="H716" s="239" t="s">
        <v>828</v>
      </c>
      <c r="I716" s="239" t="s">
        <v>828</v>
      </c>
      <c r="J716" s="239" t="s">
        <v>828</v>
      </c>
      <c r="L716" s="239" t="s">
        <v>828</v>
      </c>
      <c r="M716" s="95"/>
      <c r="N716" s="95"/>
      <c r="O716" s="95"/>
      <c r="T716" s="240" t="s">
        <v>828</v>
      </c>
      <c r="U716" s="241" t="s">
        <v>828</v>
      </c>
      <c r="V716" s="175"/>
      <c r="W716" s="242" t="s">
        <v>828</v>
      </c>
      <c r="X716" s="228">
        <v>0.13256727764503948</v>
      </c>
      <c r="Y716" s="248">
        <v>210</v>
      </c>
      <c r="AA716" s="248">
        <v>210</v>
      </c>
      <c r="AB716" s="175"/>
      <c r="AC716" s="248">
        <f t="shared" si="57"/>
        <v>45</v>
      </c>
      <c r="AD716" s="249">
        <v>-2.508792091687042E-2</v>
      </c>
      <c r="AE716" s="228">
        <f t="shared" si="56"/>
        <v>0.1122328118842657</v>
      </c>
      <c r="AG716" s="228"/>
      <c r="AH716" s="228"/>
      <c r="AI716" s="228"/>
      <c r="AJ716" s="228"/>
      <c r="AK716" s="228"/>
    </row>
    <row r="717" spans="4:37" x14ac:dyDescent="0.2">
      <c r="D717" s="75">
        <f t="shared" si="59"/>
        <v>46</v>
      </c>
      <c r="E717" s="80">
        <f t="shared" si="59"/>
        <v>5</v>
      </c>
      <c r="F717" s="80">
        <f t="shared" si="59"/>
        <v>5</v>
      </c>
      <c r="H717" s="239" t="s">
        <v>828</v>
      </c>
      <c r="I717" s="239" t="s">
        <v>828</v>
      </c>
      <c r="J717" s="239" t="s">
        <v>828</v>
      </c>
      <c r="L717" s="239" t="s">
        <v>828</v>
      </c>
      <c r="M717" s="95"/>
      <c r="N717" s="95"/>
      <c r="O717" s="95"/>
      <c r="T717" s="240" t="s">
        <v>828</v>
      </c>
      <c r="U717" s="241" t="s">
        <v>828</v>
      </c>
      <c r="V717" s="175"/>
      <c r="W717" s="242" t="s">
        <v>828</v>
      </c>
      <c r="X717" s="228">
        <v>8.1624906994801336E-2</v>
      </c>
      <c r="Y717" s="248">
        <v>138</v>
      </c>
      <c r="AA717" s="248">
        <v>138</v>
      </c>
      <c r="AB717" s="175"/>
      <c r="AC717" s="248">
        <f t="shared" si="57"/>
        <v>46</v>
      </c>
      <c r="AD717" s="249">
        <v>-2.4809989692188741E-2</v>
      </c>
      <c r="AE717" s="228">
        <f t="shared" si="56"/>
        <v>0.1122328118842657</v>
      </c>
      <c r="AG717" s="228"/>
      <c r="AH717" s="228"/>
      <c r="AI717" s="228"/>
      <c r="AJ717" s="228"/>
      <c r="AK717" s="228"/>
    </row>
    <row r="718" spans="4:37" x14ac:dyDescent="0.2">
      <c r="D718" s="75">
        <f t="shared" si="59"/>
        <v>47</v>
      </c>
      <c r="E718" s="80">
        <f t="shared" si="59"/>
        <v>5</v>
      </c>
      <c r="F718" s="80">
        <f t="shared" si="59"/>
        <v>5</v>
      </c>
      <c r="H718" s="239" t="s">
        <v>828</v>
      </c>
      <c r="I718" s="239" t="s">
        <v>828</v>
      </c>
      <c r="J718" s="239" t="s">
        <v>828</v>
      </c>
      <c r="L718" s="239" t="s">
        <v>828</v>
      </c>
      <c r="M718" s="95"/>
      <c r="N718" s="95"/>
      <c r="O718" s="95"/>
      <c r="T718" s="240" t="s">
        <v>828</v>
      </c>
      <c r="U718" s="241" t="s">
        <v>828</v>
      </c>
      <c r="V718" s="175"/>
      <c r="W718" s="242" t="s">
        <v>828</v>
      </c>
      <c r="X718" s="228">
        <v>-9.9294126702905702E-2</v>
      </c>
      <c r="Y718" s="248">
        <v>11</v>
      </c>
      <c r="AA718" s="248">
        <v>11</v>
      </c>
      <c r="AB718" s="175"/>
      <c r="AC718" s="248">
        <f t="shared" si="57"/>
        <v>47</v>
      </c>
      <c r="AD718" s="249">
        <v>-2.3851854318814075E-2</v>
      </c>
      <c r="AE718" s="228">
        <f t="shared" si="56"/>
        <v>0.1122328118842657</v>
      </c>
      <c r="AG718" s="228"/>
      <c r="AH718" s="228"/>
      <c r="AI718" s="228"/>
      <c r="AJ718" s="228"/>
      <c r="AK718" s="228"/>
    </row>
    <row r="719" spans="4:37" x14ac:dyDescent="0.2">
      <c r="D719" s="75">
        <f t="shared" si="59"/>
        <v>48</v>
      </c>
      <c r="E719" s="80">
        <f t="shared" si="59"/>
        <v>5</v>
      </c>
      <c r="F719" s="80">
        <f t="shared" si="59"/>
        <v>5</v>
      </c>
      <c r="H719" s="239" t="s">
        <v>828</v>
      </c>
      <c r="I719" s="239" t="s">
        <v>828</v>
      </c>
      <c r="J719" s="239" t="s">
        <v>828</v>
      </c>
      <c r="L719" s="239" t="s">
        <v>828</v>
      </c>
      <c r="M719" s="95"/>
      <c r="N719" s="95"/>
      <c r="O719" s="95"/>
      <c r="T719" s="240" t="s">
        <v>828</v>
      </c>
      <c r="U719" s="241" t="s">
        <v>828</v>
      </c>
      <c r="V719" s="175"/>
      <c r="W719" s="242" t="s">
        <v>828</v>
      </c>
      <c r="X719" s="228">
        <v>6.7078899330452163E-2</v>
      </c>
      <c r="Y719" s="248">
        <v>119</v>
      </c>
      <c r="AA719" s="248">
        <v>119</v>
      </c>
      <c r="AB719" s="175"/>
      <c r="AC719" s="248">
        <f t="shared" si="57"/>
        <v>48</v>
      </c>
      <c r="AD719" s="249">
        <v>-2.0630286596776799E-2</v>
      </c>
      <c r="AE719" s="228">
        <f t="shared" si="56"/>
        <v>0.1122328118842657</v>
      </c>
      <c r="AG719" s="228"/>
      <c r="AH719" s="228"/>
      <c r="AI719" s="228"/>
      <c r="AJ719" s="228"/>
      <c r="AK719" s="228"/>
    </row>
    <row r="720" spans="4:37" x14ac:dyDescent="0.2">
      <c r="D720" s="75">
        <f t="shared" si="59"/>
        <v>49</v>
      </c>
      <c r="E720" s="80">
        <f t="shared" si="59"/>
        <v>5</v>
      </c>
      <c r="F720" s="80">
        <f t="shared" si="59"/>
        <v>5</v>
      </c>
      <c r="H720" s="239" t="s">
        <v>828</v>
      </c>
      <c r="I720" s="239" t="s">
        <v>828</v>
      </c>
      <c r="J720" s="239" t="s">
        <v>828</v>
      </c>
      <c r="L720" s="239" t="s">
        <v>828</v>
      </c>
      <c r="M720" s="95"/>
      <c r="N720" s="95"/>
      <c r="O720" s="95"/>
      <c r="T720" s="240" t="s">
        <v>828</v>
      </c>
      <c r="U720" s="241" t="s">
        <v>828</v>
      </c>
      <c r="V720" s="175"/>
      <c r="W720" s="242" t="s">
        <v>828</v>
      </c>
      <c r="X720" s="228">
        <v>4.3974877877907742E-2</v>
      </c>
      <c r="Y720" s="248">
        <v>94</v>
      </c>
      <c r="AA720" s="248">
        <v>94</v>
      </c>
      <c r="AB720" s="175"/>
      <c r="AC720" s="248">
        <f t="shared" si="57"/>
        <v>49</v>
      </c>
      <c r="AD720" s="249">
        <v>-1.9588124441091728E-2</v>
      </c>
      <c r="AE720" s="228">
        <f t="shared" si="56"/>
        <v>0.1122328118842657</v>
      </c>
      <c r="AG720" s="228"/>
      <c r="AH720" s="228"/>
      <c r="AI720" s="228"/>
      <c r="AJ720" s="228"/>
      <c r="AK720" s="228"/>
    </row>
    <row r="721" spans="4:37" x14ac:dyDescent="0.2">
      <c r="D721" s="75">
        <f t="shared" si="59"/>
        <v>50</v>
      </c>
      <c r="E721" s="80">
        <f t="shared" si="59"/>
        <v>5</v>
      </c>
      <c r="F721" s="80">
        <f t="shared" si="59"/>
        <v>5</v>
      </c>
      <c r="H721" s="239" t="s">
        <v>828</v>
      </c>
      <c r="I721" s="239" t="s">
        <v>828</v>
      </c>
      <c r="J721" s="239" t="s">
        <v>828</v>
      </c>
      <c r="L721" s="239" t="s">
        <v>828</v>
      </c>
      <c r="M721" s="95"/>
      <c r="N721" s="95"/>
      <c r="O721" s="95"/>
      <c r="T721" s="240" t="s">
        <v>828</v>
      </c>
      <c r="U721" s="241" t="s">
        <v>828</v>
      </c>
      <c r="V721" s="175"/>
      <c r="W721" s="242" t="s">
        <v>828</v>
      </c>
      <c r="X721" s="228">
        <v>-0.13076096242074176</v>
      </c>
      <c r="Y721" s="248">
        <v>5</v>
      </c>
      <c r="AA721" s="248">
        <v>5</v>
      </c>
      <c r="AB721" s="175"/>
      <c r="AC721" s="248">
        <f t="shared" si="57"/>
        <v>50</v>
      </c>
      <c r="AD721" s="249">
        <v>-1.8297334764632744E-2</v>
      </c>
      <c r="AE721" s="228">
        <f t="shared" si="56"/>
        <v>0.1122328118842657</v>
      </c>
      <c r="AG721" s="228"/>
      <c r="AH721" s="228"/>
      <c r="AI721" s="228"/>
      <c r="AJ721" s="228"/>
      <c r="AK721" s="228"/>
    </row>
    <row r="722" spans="4:37" x14ac:dyDescent="0.2">
      <c r="D722" s="75">
        <f t="shared" si="59"/>
        <v>51</v>
      </c>
      <c r="E722" s="80">
        <f t="shared" si="59"/>
        <v>5</v>
      </c>
      <c r="F722" s="80">
        <f t="shared" si="59"/>
        <v>5</v>
      </c>
      <c r="H722" s="239" t="s">
        <v>828</v>
      </c>
      <c r="I722" s="239" t="s">
        <v>828</v>
      </c>
      <c r="J722" s="239" t="s">
        <v>828</v>
      </c>
      <c r="L722" s="239" t="s">
        <v>828</v>
      </c>
      <c r="M722" s="95"/>
      <c r="N722" s="95"/>
      <c r="O722" s="95"/>
      <c r="T722" s="240" t="s">
        <v>828</v>
      </c>
      <c r="U722" s="241" t="s">
        <v>828</v>
      </c>
      <c r="V722" s="175"/>
      <c r="W722" s="242" t="s">
        <v>828</v>
      </c>
      <c r="X722" s="228">
        <v>0.10365495493348925</v>
      </c>
      <c r="Y722" s="248">
        <v>176</v>
      </c>
      <c r="AA722" s="248">
        <v>176</v>
      </c>
      <c r="AB722" s="175"/>
      <c r="AC722" s="248">
        <f t="shared" si="57"/>
        <v>51</v>
      </c>
      <c r="AD722" s="249">
        <v>-1.7482316792807498E-2</v>
      </c>
      <c r="AE722" s="228">
        <f t="shared" si="56"/>
        <v>0.1122328118842657</v>
      </c>
      <c r="AG722" s="228"/>
      <c r="AH722" s="228"/>
      <c r="AI722" s="228"/>
      <c r="AJ722" s="228"/>
      <c r="AK722" s="228"/>
    </row>
    <row r="723" spans="4:37" x14ac:dyDescent="0.2">
      <c r="D723" s="75">
        <f t="shared" si="59"/>
        <v>52</v>
      </c>
      <c r="E723" s="80">
        <f t="shared" si="59"/>
        <v>5</v>
      </c>
      <c r="F723" s="80">
        <f t="shared" si="59"/>
        <v>5</v>
      </c>
      <c r="H723" s="239" t="s">
        <v>828</v>
      </c>
      <c r="I723" s="239" t="s">
        <v>828</v>
      </c>
      <c r="J723" s="239" t="s">
        <v>828</v>
      </c>
      <c r="L723" s="239" t="s">
        <v>828</v>
      </c>
      <c r="M723" s="95"/>
      <c r="N723" s="95"/>
      <c r="O723" s="95"/>
      <c r="T723" s="240" t="s">
        <v>828</v>
      </c>
      <c r="U723" s="241" t="s">
        <v>828</v>
      </c>
      <c r="V723" s="175"/>
      <c r="W723" s="242" t="s">
        <v>828</v>
      </c>
      <c r="X723" s="228">
        <v>0.12584014324019077</v>
      </c>
      <c r="Y723" s="248">
        <v>204</v>
      </c>
      <c r="AA723" s="248">
        <v>204</v>
      </c>
      <c r="AB723" s="175"/>
      <c r="AC723" s="248">
        <f t="shared" si="57"/>
        <v>52</v>
      </c>
      <c r="AD723" s="249">
        <v>-1.5614877459299006E-2</v>
      </c>
      <c r="AE723" s="228">
        <f t="shared" si="56"/>
        <v>0.1122328118842657</v>
      </c>
      <c r="AG723" s="228"/>
      <c r="AH723" s="228"/>
      <c r="AI723" s="228"/>
      <c r="AJ723" s="228"/>
      <c r="AK723" s="228"/>
    </row>
    <row r="724" spans="4:37" x14ac:dyDescent="0.2">
      <c r="D724" s="75">
        <f t="shared" si="59"/>
        <v>53</v>
      </c>
      <c r="E724" s="80">
        <f t="shared" si="59"/>
        <v>5</v>
      </c>
      <c r="F724" s="80">
        <f t="shared" si="59"/>
        <v>5</v>
      </c>
      <c r="H724" s="239" t="s">
        <v>828</v>
      </c>
      <c r="I724" s="239" t="s">
        <v>828</v>
      </c>
      <c r="J724" s="239" t="s">
        <v>828</v>
      </c>
      <c r="L724" s="239" t="s">
        <v>828</v>
      </c>
      <c r="M724" s="95"/>
      <c r="N724" s="95"/>
      <c r="O724" s="95"/>
      <c r="T724" s="240" t="s">
        <v>828</v>
      </c>
      <c r="U724" s="241" t="s">
        <v>828</v>
      </c>
      <c r="V724" s="175"/>
      <c r="W724" s="242" t="s">
        <v>828</v>
      </c>
      <c r="X724" s="228">
        <v>8.8710050765899703E-2</v>
      </c>
      <c r="Y724" s="248">
        <v>152</v>
      </c>
      <c r="AA724" s="248">
        <v>152</v>
      </c>
      <c r="AB724" s="175"/>
      <c r="AC724" s="248">
        <f t="shared" si="57"/>
        <v>53</v>
      </c>
      <c r="AD724" s="249">
        <v>-1.4293890296946997E-2</v>
      </c>
      <c r="AE724" s="228">
        <f t="shared" si="56"/>
        <v>0.1122328118842657</v>
      </c>
      <c r="AG724" s="228"/>
      <c r="AH724" s="228"/>
      <c r="AI724" s="228"/>
      <c r="AJ724" s="228"/>
      <c r="AK724" s="228"/>
    </row>
    <row r="725" spans="4:37" x14ac:dyDescent="0.2">
      <c r="D725" s="75">
        <f t="shared" si="59"/>
        <v>54</v>
      </c>
      <c r="E725" s="80">
        <f t="shared" si="59"/>
        <v>5</v>
      </c>
      <c r="F725" s="80">
        <f t="shared" si="59"/>
        <v>5</v>
      </c>
      <c r="H725" s="239" t="s">
        <v>828</v>
      </c>
      <c r="I725" s="239" t="s">
        <v>828</v>
      </c>
      <c r="J725" s="239" t="s">
        <v>828</v>
      </c>
      <c r="L725" s="239" t="s">
        <v>828</v>
      </c>
      <c r="M725" s="95"/>
      <c r="N725" s="95"/>
      <c r="O725" s="95"/>
      <c r="T725" s="240" t="s">
        <v>828</v>
      </c>
      <c r="U725" s="241" t="s">
        <v>828</v>
      </c>
      <c r="V725" s="175"/>
      <c r="W725" s="242" t="s">
        <v>828</v>
      </c>
      <c r="X725" s="228">
        <v>0.11307996786579705</v>
      </c>
      <c r="Y725" s="248">
        <v>193</v>
      </c>
      <c r="AA725" s="248">
        <v>193</v>
      </c>
      <c r="AB725" s="175"/>
      <c r="AC725" s="248">
        <f t="shared" si="57"/>
        <v>54</v>
      </c>
      <c r="AD725" s="249">
        <v>-1.3961299129028248E-2</v>
      </c>
      <c r="AE725" s="228">
        <f t="shared" si="56"/>
        <v>0.1122328118842657</v>
      </c>
      <c r="AG725" s="228"/>
      <c r="AH725" s="228"/>
      <c r="AI725" s="228"/>
      <c r="AJ725" s="228"/>
      <c r="AK725" s="228"/>
    </row>
    <row r="726" spans="4:37" x14ac:dyDescent="0.2">
      <c r="D726" s="75">
        <f t="shared" si="59"/>
        <v>55</v>
      </c>
      <c r="E726" s="80">
        <f t="shared" si="59"/>
        <v>5</v>
      </c>
      <c r="F726" s="80">
        <f t="shared" si="59"/>
        <v>5</v>
      </c>
      <c r="H726" s="239" t="s">
        <v>828</v>
      </c>
      <c r="I726" s="239" t="s">
        <v>828</v>
      </c>
      <c r="J726" s="239" t="s">
        <v>828</v>
      </c>
      <c r="L726" s="239" t="s">
        <v>828</v>
      </c>
      <c r="M726" s="95"/>
      <c r="N726" s="95"/>
      <c r="O726" s="95"/>
      <c r="T726" s="240" t="s">
        <v>828</v>
      </c>
      <c r="U726" s="241" t="s">
        <v>828</v>
      </c>
      <c r="V726" s="175"/>
      <c r="W726" s="242" t="s">
        <v>828</v>
      </c>
      <c r="X726" s="228">
        <v>3.0293610456135503E-2</v>
      </c>
      <c r="Y726" s="248">
        <v>83</v>
      </c>
      <c r="AA726" s="248">
        <v>83</v>
      </c>
      <c r="AB726" s="175"/>
      <c r="AC726" s="248">
        <f t="shared" si="57"/>
        <v>55</v>
      </c>
      <c r="AD726" s="249">
        <v>-1.0569461217144723E-2</v>
      </c>
      <c r="AE726" s="228">
        <f t="shared" si="56"/>
        <v>0.1122328118842657</v>
      </c>
      <c r="AG726" s="228"/>
      <c r="AH726" s="228"/>
      <c r="AI726" s="228"/>
      <c r="AJ726" s="228"/>
      <c r="AK726" s="228"/>
    </row>
    <row r="727" spans="4:37" x14ac:dyDescent="0.2">
      <c r="D727" s="75">
        <f t="shared" si="59"/>
        <v>56</v>
      </c>
      <c r="E727" s="80">
        <f t="shared" si="59"/>
        <v>5</v>
      </c>
      <c r="F727" s="80">
        <f t="shared" si="59"/>
        <v>5</v>
      </c>
      <c r="H727" s="239" t="s">
        <v>828</v>
      </c>
      <c r="I727" s="239" t="s">
        <v>828</v>
      </c>
      <c r="J727" s="239" t="s">
        <v>828</v>
      </c>
      <c r="L727" s="239" t="s">
        <v>828</v>
      </c>
      <c r="M727" s="95"/>
      <c r="N727" s="95"/>
      <c r="O727" s="95"/>
      <c r="T727" s="240" t="s">
        <v>828</v>
      </c>
      <c r="U727" s="241" t="s">
        <v>828</v>
      </c>
      <c r="V727" s="175"/>
      <c r="W727" s="242" t="s">
        <v>828</v>
      </c>
      <c r="X727" s="228">
        <v>8.4783821902782594E-2</v>
      </c>
      <c r="Y727" s="248">
        <v>145</v>
      </c>
      <c r="AA727" s="248">
        <v>145</v>
      </c>
      <c r="AB727" s="175"/>
      <c r="AC727" s="248">
        <f t="shared" si="57"/>
        <v>56</v>
      </c>
      <c r="AD727" s="249">
        <v>-8.2776710341285701E-3</v>
      </c>
      <c r="AE727" s="228">
        <f t="shared" si="56"/>
        <v>0.1122328118842657</v>
      </c>
      <c r="AG727" s="228"/>
      <c r="AH727" s="228"/>
      <c r="AI727" s="228"/>
      <c r="AJ727" s="228"/>
      <c r="AK727" s="228"/>
    </row>
    <row r="728" spans="4:37" x14ac:dyDescent="0.2">
      <c r="D728" s="75">
        <f t="shared" si="59"/>
        <v>57</v>
      </c>
      <c r="E728" s="80">
        <f t="shared" si="59"/>
        <v>5</v>
      </c>
      <c r="F728" s="80">
        <f t="shared" si="59"/>
        <v>5</v>
      </c>
      <c r="H728" s="239" t="s">
        <v>828</v>
      </c>
      <c r="I728" s="239" t="s">
        <v>828</v>
      </c>
      <c r="J728" s="239" t="s">
        <v>828</v>
      </c>
      <c r="L728" s="239" t="s">
        <v>828</v>
      </c>
      <c r="M728" s="95"/>
      <c r="N728" s="95"/>
      <c r="O728" s="95"/>
      <c r="T728" s="240" t="s">
        <v>828</v>
      </c>
      <c r="U728" s="241" t="s">
        <v>828</v>
      </c>
      <c r="V728" s="175"/>
      <c r="W728" s="242" t="s">
        <v>828</v>
      </c>
      <c r="X728" s="228">
        <v>0.16934297905682114</v>
      </c>
      <c r="Y728" s="248">
        <v>219</v>
      </c>
      <c r="AA728" s="248">
        <v>219</v>
      </c>
      <c r="AB728" s="175"/>
      <c r="AC728" s="248">
        <f t="shared" si="57"/>
        <v>57</v>
      </c>
      <c r="AD728" s="249">
        <v>-4.6924457886590451E-3</v>
      </c>
      <c r="AE728" s="228">
        <f t="shared" si="56"/>
        <v>0.1122328118842657</v>
      </c>
      <c r="AG728" s="228"/>
      <c r="AH728" s="228"/>
      <c r="AI728" s="228"/>
      <c r="AJ728" s="228"/>
      <c r="AK728" s="228"/>
    </row>
    <row r="729" spans="4:37" x14ac:dyDescent="0.2">
      <c r="D729" s="75">
        <f t="shared" si="59"/>
        <v>58</v>
      </c>
      <c r="E729" s="80">
        <f t="shared" si="59"/>
        <v>5</v>
      </c>
      <c r="F729" s="80">
        <f t="shared" si="59"/>
        <v>5</v>
      </c>
      <c r="H729" s="239" t="s">
        <v>828</v>
      </c>
      <c r="I729" s="239" t="s">
        <v>828</v>
      </c>
      <c r="J729" s="239" t="s">
        <v>828</v>
      </c>
      <c r="L729" s="239" t="s">
        <v>828</v>
      </c>
      <c r="M729" s="95"/>
      <c r="N729" s="95"/>
      <c r="O729" s="95"/>
      <c r="T729" s="240" t="s">
        <v>828</v>
      </c>
      <c r="U729" s="241" t="s">
        <v>828</v>
      </c>
      <c r="V729" s="175"/>
      <c r="W729" s="242" t="s">
        <v>828</v>
      </c>
      <c r="X729" s="228">
        <v>0.1281133789718851</v>
      </c>
      <c r="Y729" s="248">
        <v>207</v>
      </c>
      <c r="AA729" s="248">
        <v>207</v>
      </c>
      <c r="AB729" s="175"/>
      <c r="AC729" s="248">
        <f t="shared" si="57"/>
        <v>58</v>
      </c>
      <c r="AD729" s="249">
        <v>-3.5261373059112967E-3</v>
      </c>
      <c r="AE729" s="228">
        <f t="shared" si="56"/>
        <v>0.1122328118842657</v>
      </c>
      <c r="AG729" s="228"/>
      <c r="AH729" s="228"/>
      <c r="AI729" s="228"/>
      <c r="AJ729" s="228"/>
      <c r="AK729" s="228"/>
    </row>
    <row r="730" spans="4:37" x14ac:dyDescent="0.2">
      <c r="D730" s="75">
        <f t="shared" si="59"/>
        <v>59</v>
      </c>
      <c r="E730" s="80">
        <f t="shared" si="59"/>
        <v>5</v>
      </c>
      <c r="F730" s="80">
        <f t="shared" si="59"/>
        <v>5</v>
      </c>
      <c r="H730" s="239" t="s">
        <v>828</v>
      </c>
      <c r="I730" s="239" t="s">
        <v>828</v>
      </c>
      <c r="J730" s="239" t="s">
        <v>828</v>
      </c>
      <c r="L730" s="239" t="s">
        <v>828</v>
      </c>
      <c r="M730" s="95"/>
      <c r="N730" s="95"/>
      <c r="O730" s="95"/>
      <c r="T730" s="240" t="s">
        <v>828</v>
      </c>
      <c r="U730" s="241" t="s">
        <v>828</v>
      </c>
      <c r="V730" s="175"/>
      <c r="W730" s="242" t="s">
        <v>828</v>
      </c>
      <c r="X730" s="228">
        <v>-2.8491958214856748E-2</v>
      </c>
      <c r="Y730" s="248">
        <v>42</v>
      </c>
      <c r="AA730" s="248">
        <v>42</v>
      </c>
      <c r="AB730" s="175"/>
      <c r="AC730" s="248">
        <f t="shared" si="57"/>
        <v>59</v>
      </c>
      <c r="AD730" s="249">
        <v>-2.4551151356803249E-3</v>
      </c>
      <c r="AE730" s="228">
        <f t="shared" si="56"/>
        <v>0.1122328118842657</v>
      </c>
      <c r="AG730" s="228"/>
      <c r="AH730" s="228"/>
      <c r="AI730" s="228"/>
      <c r="AJ730" s="228"/>
      <c r="AK730" s="228"/>
    </row>
    <row r="731" spans="4:37" x14ac:dyDescent="0.2">
      <c r="D731" s="75">
        <f t="shared" si="59"/>
        <v>60</v>
      </c>
      <c r="E731" s="80">
        <f t="shared" si="59"/>
        <v>5</v>
      </c>
      <c r="F731" s="80">
        <f t="shared" si="59"/>
        <v>5</v>
      </c>
      <c r="H731" s="239" t="s">
        <v>828</v>
      </c>
      <c r="I731" s="239" t="s">
        <v>828</v>
      </c>
      <c r="J731" s="239" t="s">
        <v>828</v>
      </c>
      <c r="L731" s="239" t="s">
        <v>828</v>
      </c>
      <c r="M731" s="95"/>
      <c r="N731" s="95"/>
      <c r="O731" s="95"/>
      <c r="T731" s="240" t="s">
        <v>828</v>
      </c>
      <c r="U731" s="241" t="s">
        <v>828</v>
      </c>
      <c r="V731" s="175"/>
      <c r="W731" s="242" t="s">
        <v>828</v>
      </c>
      <c r="X731" s="228">
        <v>0.16004255217806621</v>
      </c>
      <c r="Y731" s="248">
        <v>218</v>
      </c>
      <c r="AA731" s="248">
        <v>218</v>
      </c>
      <c r="AB731" s="175"/>
      <c r="AC731" s="248">
        <f t="shared" si="57"/>
        <v>60</v>
      </c>
      <c r="AD731" s="249">
        <v>-2.2771310515587136E-4</v>
      </c>
      <c r="AE731" s="228">
        <f t="shared" si="56"/>
        <v>0.1122328118842657</v>
      </c>
      <c r="AG731" s="228"/>
      <c r="AH731" s="228"/>
      <c r="AI731" s="228"/>
      <c r="AJ731" s="228"/>
      <c r="AK731" s="228"/>
    </row>
    <row r="732" spans="4:37" x14ac:dyDescent="0.2">
      <c r="D732" s="75">
        <f t="shared" ref="D732:F751" si="60">D421</f>
        <v>61</v>
      </c>
      <c r="E732" s="80">
        <f t="shared" si="60"/>
        <v>5</v>
      </c>
      <c r="F732" s="80">
        <f t="shared" si="60"/>
        <v>5</v>
      </c>
      <c r="H732" s="239" t="s">
        <v>828</v>
      </c>
      <c r="I732" s="239" t="s">
        <v>828</v>
      </c>
      <c r="J732" s="239" t="s">
        <v>828</v>
      </c>
      <c r="L732" s="239" t="s">
        <v>828</v>
      </c>
      <c r="M732" s="95"/>
      <c r="N732" s="95"/>
      <c r="O732" s="95"/>
      <c r="T732" s="240" t="s">
        <v>828</v>
      </c>
      <c r="U732" s="241" t="s">
        <v>828</v>
      </c>
      <c r="V732" s="175"/>
      <c r="W732" s="242" t="s">
        <v>828</v>
      </c>
      <c r="X732" s="228">
        <v>-1.7482316792807498E-2</v>
      </c>
      <c r="Y732" s="248">
        <v>51</v>
      </c>
      <c r="AA732" s="248">
        <v>51</v>
      </c>
      <c r="AB732" s="175"/>
      <c r="AC732" s="248">
        <f t="shared" si="57"/>
        <v>61</v>
      </c>
      <c r="AD732" s="249">
        <v>4.581583804173187E-4</v>
      </c>
      <c r="AE732" s="228">
        <f t="shared" si="56"/>
        <v>0.1122328118842657</v>
      </c>
      <c r="AG732" s="228"/>
      <c r="AH732" s="228"/>
      <c r="AI732" s="228"/>
      <c r="AJ732" s="228"/>
      <c r="AK732" s="228"/>
    </row>
    <row r="733" spans="4:37" x14ac:dyDescent="0.2">
      <c r="D733" s="75">
        <f t="shared" si="60"/>
        <v>62</v>
      </c>
      <c r="E733" s="80">
        <f t="shared" si="60"/>
        <v>5</v>
      </c>
      <c r="F733" s="80">
        <f t="shared" si="60"/>
        <v>5</v>
      </c>
      <c r="H733" s="239" t="s">
        <v>828</v>
      </c>
      <c r="I733" s="239" t="s">
        <v>828</v>
      </c>
      <c r="J733" s="239" t="s">
        <v>828</v>
      </c>
      <c r="L733" s="239" t="s">
        <v>828</v>
      </c>
      <c r="M733" s="95"/>
      <c r="N733" s="95"/>
      <c r="O733" s="95"/>
      <c r="T733" s="240" t="s">
        <v>828</v>
      </c>
      <c r="U733" s="241" t="s">
        <v>828</v>
      </c>
      <c r="V733" s="175"/>
      <c r="W733" s="242" t="s">
        <v>828</v>
      </c>
      <c r="X733" s="228">
        <v>-9.7330860683964071E-2</v>
      </c>
      <c r="Y733" s="248">
        <v>13</v>
      </c>
      <c r="AA733" s="248">
        <v>13</v>
      </c>
      <c r="AB733" s="175"/>
      <c r="AC733" s="248">
        <f t="shared" si="57"/>
        <v>62</v>
      </c>
      <c r="AD733" s="249">
        <v>3.7182774108928248E-3</v>
      </c>
      <c r="AE733" s="228">
        <f t="shared" si="56"/>
        <v>0.1122328118842657</v>
      </c>
      <c r="AG733" s="228"/>
      <c r="AH733" s="228"/>
      <c r="AI733" s="228"/>
      <c r="AJ733" s="228"/>
      <c r="AK733" s="228"/>
    </row>
    <row r="734" spans="4:37" x14ac:dyDescent="0.2">
      <c r="D734" s="75">
        <f t="shared" si="60"/>
        <v>63</v>
      </c>
      <c r="E734" s="80">
        <f t="shared" si="60"/>
        <v>5</v>
      </c>
      <c r="F734" s="80">
        <f t="shared" si="60"/>
        <v>5</v>
      </c>
      <c r="H734" s="239" t="s">
        <v>828</v>
      </c>
      <c r="I734" s="239" t="s">
        <v>828</v>
      </c>
      <c r="J734" s="239" t="s">
        <v>828</v>
      </c>
      <c r="L734" s="239" t="s">
        <v>828</v>
      </c>
      <c r="M734" s="95"/>
      <c r="N734" s="95"/>
      <c r="O734" s="95"/>
      <c r="T734" s="240" t="s">
        <v>828</v>
      </c>
      <c r="U734" s="241" t="s">
        <v>828</v>
      </c>
      <c r="V734" s="175"/>
      <c r="W734" s="242" t="s">
        <v>828</v>
      </c>
      <c r="X734" s="228">
        <v>0.11281001162415792</v>
      </c>
      <c r="Y734" s="248">
        <v>192</v>
      </c>
      <c r="AA734" s="248">
        <v>192</v>
      </c>
      <c r="AB734" s="175"/>
      <c r="AC734" s="248">
        <f t="shared" si="57"/>
        <v>63</v>
      </c>
      <c r="AD734" s="249">
        <v>4.6556096092726955E-3</v>
      </c>
      <c r="AE734" s="228">
        <f t="shared" si="56"/>
        <v>0.1122328118842657</v>
      </c>
      <c r="AG734" s="228"/>
      <c r="AH734" s="228"/>
      <c r="AI734" s="228"/>
      <c r="AJ734" s="228"/>
      <c r="AK734" s="228"/>
    </row>
    <row r="735" spans="4:37" x14ac:dyDescent="0.2">
      <c r="D735" s="75">
        <f t="shared" si="60"/>
        <v>64</v>
      </c>
      <c r="E735" s="80">
        <f t="shared" si="60"/>
        <v>5</v>
      </c>
      <c r="F735" s="80">
        <f t="shared" si="60"/>
        <v>5</v>
      </c>
      <c r="H735" s="239" t="s">
        <v>828</v>
      </c>
      <c r="I735" s="239" t="s">
        <v>828</v>
      </c>
      <c r="J735" s="239" t="s">
        <v>828</v>
      </c>
      <c r="L735" s="239" t="s">
        <v>828</v>
      </c>
      <c r="M735" s="95"/>
      <c r="N735" s="95"/>
      <c r="O735" s="95"/>
      <c r="T735" s="240" t="s">
        <v>828</v>
      </c>
      <c r="U735" s="241" t="s">
        <v>828</v>
      </c>
      <c r="V735" s="175"/>
      <c r="W735" s="242" t="s">
        <v>828</v>
      </c>
      <c r="X735" s="228">
        <v>9.6692427453249116E-2</v>
      </c>
      <c r="Y735" s="248">
        <v>160</v>
      </c>
      <c r="AA735" s="248">
        <v>160</v>
      </c>
      <c r="AB735" s="175"/>
      <c r="AC735" s="248">
        <f t="shared" si="57"/>
        <v>64</v>
      </c>
      <c r="AD735" s="249">
        <v>8.9468767854772209E-3</v>
      </c>
      <c r="AE735" s="228">
        <f t="shared" si="56"/>
        <v>0.1122328118842657</v>
      </c>
      <c r="AG735" s="228"/>
      <c r="AH735" s="228"/>
      <c r="AI735" s="228"/>
      <c r="AJ735" s="228"/>
      <c r="AK735" s="228"/>
    </row>
    <row r="736" spans="4:37" x14ac:dyDescent="0.2">
      <c r="D736" s="75">
        <f t="shared" si="60"/>
        <v>65</v>
      </c>
      <c r="E736" s="80">
        <f t="shared" si="60"/>
        <v>5</v>
      </c>
      <c r="F736" s="80">
        <f t="shared" si="60"/>
        <v>5</v>
      </c>
      <c r="H736" s="239" t="s">
        <v>828</v>
      </c>
      <c r="I736" s="239" t="s">
        <v>828</v>
      </c>
      <c r="J736" s="239" t="s">
        <v>828</v>
      </c>
      <c r="L736" s="239" t="s">
        <v>828</v>
      </c>
      <c r="M736" s="95"/>
      <c r="N736" s="95"/>
      <c r="O736" s="95"/>
      <c r="T736" s="240" t="s">
        <v>828</v>
      </c>
      <c r="U736" s="241" t="s">
        <v>828</v>
      </c>
      <c r="V736" s="175"/>
      <c r="W736" s="242" t="s">
        <v>828</v>
      </c>
      <c r="X736" s="228">
        <v>-3.2635744129926446E-2</v>
      </c>
      <c r="Y736" s="248">
        <v>38</v>
      </c>
      <c r="AA736" s="248">
        <v>38</v>
      </c>
      <c r="AB736" s="175"/>
      <c r="AC736" s="248">
        <f t="shared" si="57"/>
        <v>65</v>
      </c>
      <c r="AD736" s="249">
        <v>1.0172654707937505E-2</v>
      </c>
      <c r="AE736" s="228">
        <f t="shared" ref="AE736:AE799" si="61">$AE$669</f>
        <v>0.1122328118842657</v>
      </c>
      <c r="AG736" s="228"/>
      <c r="AH736" s="228"/>
      <c r="AI736" s="228"/>
      <c r="AJ736" s="228"/>
      <c r="AK736" s="228"/>
    </row>
    <row r="737" spans="4:37" x14ac:dyDescent="0.2">
      <c r="D737" s="75">
        <f t="shared" si="60"/>
        <v>66</v>
      </c>
      <c r="E737" s="80">
        <f t="shared" si="60"/>
        <v>5</v>
      </c>
      <c r="F737" s="80">
        <f t="shared" si="60"/>
        <v>5</v>
      </c>
      <c r="H737" s="239" t="s">
        <v>828</v>
      </c>
      <c r="I737" s="239" t="s">
        <v>828</v>
      </c>
      <c r="J737" s="239" t="s">
        <v>828</v>
      </c>
      <c r="L737" s="239" t="s">
        <v>828</v>
      </c>
      <c r="M737" s="95"/>
      <c r="N737" s="95"/>
      <c r="O737" s="95"/>
      <c r="T737" s="240" t="s">
        <v>828</v>
      </c>
      <c r="U737" s="241" t="s">
        <v>828</v>
      </c>
      <c r="V737" s="175"/>
      <c r="W737" s="242" t="s">
        <v>828</v>
      </c>
      <c r="X737" s="228">
        <v>-3.2108837604418718E-2</v>
      </c>
      <c r="Y737" s="248">
        <v>39</v>
      </c>
      <c r="AA737" s="248">
        <v>39</v>
      </c>
      <c r="AB737" s="175"/>
      <c r="AC737" s="248">
        <f t="shared" ref="AC737:AC800" si="62">N(AC736)+1</f>
        <v>66</v>
      </c>
      <c r="AD737" s="249">
        <v>1.0424175144729732E-2</v>
      </c>
      <c r="AE737" s="228">
        <f t="shared" si="61"/>
        <v>0.1122328118842657</v>
      </c>
      <c r="AG737" s="228"/>
      <c r="AH737" s="228"/>
      <c r="AI737" s="228"/>
      <c r="AJ737" s="228"/>
      <c r="AK737" s="228"/>
    </row>
    <row r="738" spans="4:37" x14ac:dyDescent="0.2">
      <c r="D738" s="75">
        <f t="shared" si="60"/>
        <v>67</v>
      </c>
      <c r="E738" s="80">
        <f t="shared" si="60"/>
        <v>5</v>
      </c>
      <c r="F738" s="80">
        <f t="shared" si="60"/>
        <v>5</v>
      </c>
      <c r="H738" s="239" t="s">
        <v>828</v>
      </c>
      <c r="I738" s="239" t="s">
        <v>828</v>
      </c>
      <c r="J738" s="239" t="s">
        <v>828</v>
      </c>
      <c r="L738" s="239" t="s">
        <v>828</v>
      </c>
      <c r="M738" s="95"/>
      <c r="N738" s="95"/>
      <c r="O738" s="95"/>
      <c r="T738" s="240" t="s">
        <v>828</v>
      </c>
      <c r="U738" s="241" t="s">
        <v>828</v>
      </c>
      <c r="V738" s="175"/>
      <c r="W738" s="242" t="s">
        <v>828</v>
      </c>
      <c r="X738" s="228">
        <v>1.2282463858278185E-2</v>
      </c>
      <c r="Y738" s="248">
        <v>68</v>
      </c>
      <c r="AA738" s="248">
        <v>68</v>
      </c>
      <c r="AB738" s="175"/>
      <c r="AC738" s="248">
        <f t="shared" si="62"/>
        <v>67</v>
      </c>
      <c r="AD738" s="249">
        <v>1.0670728813247436E-2</v>
      </c>
      <c r="AE738" s="228">
        <f t="shared" si="61"/>
        <v>0.1122328118842657</v>
      </c>
      <c r="AG738" s="228"/>
      <c r="AH738" s="228"/>
      <c r="AI738" s="228"/>
      <c r="AJ738" s="228"/>
      <c r="AK738" s="228"/>
    </row>
    <row r="739" spans="4:37" x14ac:dyDescent="0.2">
      <c r="D739" s="75">
        <f t="shared" si="60"/>
        <v>68</v>
      </c>
      <c r="E739" s="80">
        <f t="shared" si="60"/>
        <v>5</v>
      </c>
      <c r="F739" s="80">
        <f t="shared" si="60"/>
        <v>5</v>
      </c>
      <c r="H739" s="239" t="s">
        <v>828</v>
      </c>
      <c r="I739" s="239" t="s">
        <v>828</v>
      </c>
      <c r="J739" s="239" t="s">
        <v>828</v>
      </c>
      <c r="L739" s="239" t="s">
        <v>828</v>
      </c>
      <c r="M739" s="95"/>
      <c r="N739" s="95"/>
      <c r="O739" s="95"/>
      <c r="T739" s="240" t="s">
        <v>828</v>
      </c>
      <c r="U739" s="241" t="s">
        <v>828</v>
      </c>
      <c r="V739" s="175"/>
      <c r="W739" s="242" t="s">
        <v>828</v>
      </c>
      <c r="X739" s="228">
        <v>-0.13900349252692187</v>
      </c>
      <c r="Y739" s="248">
        <v>4</v>
      </c>
      <c r="AA739" s="248">
        <v>4</v>
      </c>
      <c r="AB739" s="175"/>
      <c r="AC739" s="248">
        <f t="shared" si="62"/>
        <v>68</v>
      </c>
      <c r="AD739" s="249">
        <v>1.2282463858278185E-2</v>
      </c>
      <c r="AE739" s="228">
        <f t="shared" si="61"/>
        <v>0.1122328118842657</v>
      </c>
      <c r="AG739" s="228"/>
      <c r="AH739" s="228"/>
      <c r="AI739" s="228"/>
      <c r="AJ739" s="228"/>
      <c r="AK739" s="228"/>
    </row>
    <row r="740" spans="4:37" x14ac:dyDescent="0.2">
      <c r="D740" s="75">
        <f t="shared" si="60"/>
        <v>69</v>
      </c>
      <c r="E740" s="80">
        <f t="shared" si="60"/>
        <v>5</v>
      </c>
      <c r="F740" s="80">
        <f t="shared" si="60"/>
        <v>5</v>
      </c>
      <c r="H740" s="239" t="s">
        <v>828</v>
      </c>
      <c r="I740" s="239" t="s">
        <v>828</v>
      </c>
      <c r="J740" s="239" t="s">
        <v>828</v>
      </c>
      <c r="L740" s="239" t="s">
        <v>828</v>
      </c>
      <c r="M740" s="95"/>
      <c r="N740" s="95"/>
      <c r="O740" s="95"/>
      <c r="T740" s="240" t="s">
        <v>828</v>
      </c>
      <c r="U740" s="241" t="s">
        <v>828</v>
      </c>
      <c r="V740" s="175"/>
      <c r="W740" s="242" t="s">
        <v>828</v>
      </c>
      <c r="X740" s="228">
        <v>5.4396378066283717E-2</v>
      </c>
      <c r="Y740" s="248">
        <v>105</v>
      </c>
      <c r="AA740" s="248">
        <v>105</v>
      </c>
      <c r="AB740" s="175"/>
      <c r="AC740" s="248">
        <f t="shared" si="62"/>
        <v>69</v>
      </c>
      <c r="AD740" s="249">
        <v>1.2672089736356274E-2</v>
      </c>
      <c r="AE740" s="228">
        <f t="shared" si="61"/>
        <v>0.1122328118842657</v>
      </c>
      <c r="AG740" s="228"/>
      <c r="AH740" s="228"/>
      <c r="AI740" s="228"/>
      <c r="AJ740" s="228"/>
      <c r="AK740" s="228"/>
    </row>
    <row r="741" spans="4:37" x14ac:dyDescent="0.2">
      <c r="D741" s="75">
        <f t="shared" si="60"/>
        <v>70</v>
      </c>
      <c r="E741" s="80">
        <f t="shared" si="60"/>
        <v>5</v>
      </c>
      <c r="F741" s="80">
        <f t="shared" si="60"/>
        <v>5</v>
      </c>
      <c r="H741" s="239" t="s">
        <v>828</v>
      </c>
      <c r="I741" s="239" t="s">
        <v>828</v>
      </c>
      <c r="J741" s="239" t="s">
        <v>828</v>
      </c>
      <c r="L741" s="239" t="s">
        <v>828</v>
      </c>
      <c r="M741" s="95"/>
      <c r="N741" s="95"/>
      <c r="O741" s="95"/>
      <c r="T741" s="240" t="s">
        <v>828</v>
      </c>
      <c r="U741" s="241" t="s">
        <v>828</v>
      </c>
      <c r="V741" s="175"/>
      <c r="W741" s="242" t="s">
        <v>828</v>
      </c>
      <c r="X741" s="228">
        <v>-8.5810727067428025E-2</v>
      </c>
      <c r="Y741" s="248">
        <v>21</v>
      </c>
      <c r="AA741" s="248">
        <v>21</v>
      </c>
      <c r="AB741" s="175"/>
      <c r="AC741" s="248">
        <f t="shared" si="62"/>
        <v>70</v>
      </c>
      <c r="AD741" s="249">
        <v>1.271965014549622E-2</v>
      </c>
      <c r="AE741" s="228">
        <f t="shared" si="61"/>
        <v>0.1122328118842657</v>
      </c>
      <c r="AG741" s="228"/>
      <c r="AH741" s="228"/>
      <c r="AI741" s="228"/>
      <c r="AJ741" s="228"/>
      <c r="AK741" s="228"/>
    </row>
    <row r="742" spans="4:37" x14ac:dyDescent="0.2">
      <c r="D742" s="75">
        <f t="shared" si="60"/>
        <v>71</v>
      </c>
      <c r="E742" s="80">
        <f t="shared" si="60"/>
        <v>5</v>
      </c>
      <c r="F742" s="80">
        <f t="shared" si="60"/>
        <v>5</v>
      </c>
      <c r="H742" s="239" t="s">
        <v>828</v>
      </c>
      <c r="I742" s="239" t="s">
        <v>828</v>
      </c>
      <c r="J742" s="239" t="s">
        <v>828</v>
      </c>
      <c r="L742" s="239" t="s">
        <v>828</v>
      </c>
      <c r="M742" s="95"/>
      <c r="N742" s="95"/>
      <c r="O742" s="95"/>
      <c r="T742" s="240" t="s">
        <v>828</v>
      </c>
      <c r="U742" s="241" t="s">
        <v>828</v>
      </c>
      <c r="V742" s="175"/>
      <c r="W742" s="242" t="s">
        <v>828</v>
      </c>
      <c r="X742" s="228">
        <v>0.10803074242464944</v>
      </c>
      <c r="Y742" s="248">
        <v>181</v>
      </c>
      <c r="AA742" s="248">
        <v>181</v>
      </c>
      <c r="AB742" s="175"/>
      <c r="AC742" s="248">
        <f t="shared" si="62"/>
        <v>71</v>
      </c>
      <c r="AD742" s="249">
        <v>1.3929016484080559E-2</v>
      </c>
      <c r="AE742" s="228">
        <f t="shared" si="61"/>
        <v>0.1122328118842657</v>
      </c>
      <c r="AG742" s="228"/>
      <c r="AH742" s="228"/>
      <c r="AI742" s="228"/>
      <c r="AJ742" s="228"/>
      <c r="AK742" s="228"/>
    </row>
    <row r="743" spans="4:37" x14ac:dyDescent="0.2">
      <c r="D743" s="75">
        <f t="shared" si="60"/>
        <v>72</v>
      </c>
      <c r="E743" s="80">
        <f t="shared" si="60"/>
        <v>5</v>
      </c>
      <c r="F743" s="80">
        <f t="shared" si="60"/>
        <v>5</v>
      </c>
      <c r="H743" s="239" t="s">
        <v>828</v>
      </c>
      <c r="I743" s="239" t="s">
        <v>828</v>
      </c>
      <c r="J743" s="239" t="s">
        <v>828</v>
      </c>
      <c r="L743" s="239" t="s">
        <v>828</v>
      </c>
      <c r="M743" s="95"/>
      <c r="N743" s="95"/>
      <c r="O743" s="95"/>
      <c r="T743" s="240" t="s">
        <v>828</v>
      </c>
      <c r="U743" s="241" t="s">
        <v>828</v>
      </c>
      <c r="V743" s="175"/>
      <c r="W743" s="242" t="s">
        <v>828</v>
      </c>
      <c r="X743" s="228">
        <v>5.2983635472529211E-2</v>
      </c>
      <c r="Y743" s="248">
        <v>102</v>
      </c>
      <c r="AA743" s="248">
        <v>102</v>
      </c>
      <c r="AB743" s="175"/>
      <c r="AC743" s="248">
        <f t="shared" si="62"/>
        <v>72</v>
      </c>
      <c r="AD743" s="249">
        <v>1.5114795180549421E-2</v>
      </c>
      <c r="AE743" s="228">
        <f t="shared" si="61"/>
        <v>0.1122328118842657</v>
      </c>
      <c r="AG743" s="228"/>
      <c r="AH743" s="228"/>
      <c r="AI743" s="228"/>
      <c r="AJ743" s="228"/>
      <c r="AK743" s="228"/>
    </row>
    <row r="744" spans="4:37" x14ac:dyDescent="0.2">
      <c r="D744" s="75">
        <f t="shared" si="60"/>
        <v>73</v>
      </c>
      <c r="E744" s="80">
        <f t="shared" si="60"/>
        <v>5</v>
      </c>
      <c r="F744" s="80">
        <f t="shared" si="60"/>
        <v>5</v>
      </c>
      <c r="H744" s="239" t="s">
        <v>828</v>
      </c>
      <c r="I744" s="239" t="s">
        <v>828</v>
      </c>
      <c r="J744" s="239" t="s">
        <v>828</v>
      </c>
      <c r="L744" s="239" t="s">
        <v>828</v>
      </c>
      <c r="M744" s="95"/>
      <c r="N744" s="95"/>
      <c r="O744" s="95"/>
      <c r="T744" s="240" t="s">
        <v>828</v>
      </c>
      <c r="U744" s="241" t="s">
        <v>828</v>
      </c>
      <c r="V744" s="175"/>
      <c r="W744" s="242" t="s">
        <v>828</v>
      </c>
      <c r="X744" s="228">
        <v>-0.18882725711447981</v>
      </c>
      <c r="Y744" s="248">
        <v>3</v>
      </c>
      <c r="AA744" s="248">
        <v>3</v>
      </c>
      <c r="AB744" s="175"/>
      <c r="AC744" s="248">
        <f t="shared" si="62"/>
        <v>73</v>
      </c>
      <c r="AD744" s="249">
        <v>1.5554225705909634E-2</v>
      </c>
      <c r="AE744" s="228">
        <f t="shared" si="61"/>
        <v>0.1122328118842657</v>
      </c>
      <c r="AG744" s="228"/>
      <c r="AH744" s="228"/>
      <c r="AI744" s="228"/>
      <c r="AJ744" s="228"/>
      <c r="AK744" s="228"/>
    </row>
    <row r="745" spans="4:37" x14ac:dyDescent="0.2">
      <c r="D745" s="75">
        <f t="shared" si="60"/>
        <v>74</v>
      </c>
      <c r="E745" s="80">
        <f t="shared" si="60"/>
        <v>5</v>
      </c>
      <c r="F745" s="80">
        <f t="shared" si="60"/>
        <v>5</v>
      </c>
      <c r="H745" s="239" t="s">
        <v>828</v>
      </c>
      <c r="I745" s="239" t="s">
        <v>828</v>
      </c>
      <c r="J745" s="239" t="s">
        <v>828</v>
      </c>
      <c r="L745" s="239" t="s">
        <v>828</v>
      </c>
      <c r="M745" s="95"/>
      <c r="N745" s="95"/>
      <c r="O745" s="95"/>
      <c r="T745" s="240" t="s">
        <v>828</v>
      </c>
      <c r="U745" s="241" t="s">
        <v>828</v>
      </c>
      <c r="V745" s="175"/>
      <c r="W745" s="242" t="s">
        <v>828</v>
      </c>
      <c r="X745" s="228">
        <v>-9.036011230135825E-2</v>
      </c>
      <c r="Y745" s="248">
        <v>20</v>
      </c>
      <c r="AA745" s="248">
        <v>20</v>
      </c>
      <c r="AB745" s="175"/>
      <c r="AC745" s="248">
        <f t="shared" si="62"/>
        <v>74</v>
      </c>
      <c r="AD745" s="249">
        <v>1.6072098843383623E-2</v>
      </c>
      <c r="AE745" s="228">
        <f t="shared" si="61"/>
        <v>0.1122328118842657</v>
      </c>
      <c r="AG745" s="228"/>
      <c r="AH745" s="228"/>
      <c r="AI745" s="228"/>
      <c r="AJ745" s="228"/>
      <c r="AK745" s="228"/>
    </row>
    <row r="746" spans="4:37" x14ac:dyDescent="0.2">
      <c r="D746" s="75">
        <f t="shared" si="60"/>
        <v>75</v>
      </c>
      <c r="E746" s="80">
        <f t="shared" si="60"/>
        <v>5</v>
      </c>
      <c r="F746" s="80">
        <f t="shared" si="60"/>
        <v>5</v>
      </c>
      <c r="H746" s="239" t="s">
        <v>828</v>
      </c>
      <c r="I746" s="239" t="s">
        <v>828</v>
      </c>
      <c r="J746" s="239" t="s">
        <v>828</v>
      </c>
      <c r="L746" s="239" t="s">
        <v>828</v>
      </c>
      <c r="M746" s="95"/>
      <c r="N746" s="95"/>
      <c r="O746" s="95"/>
      <c r="T746" s="240" t="s">
        <v>828</v>
      </c>
      <c r="U746" s="241" t="s">
        <v>828</v>
      </c>
      <c r="V746" s="175"/>
      <c r="W746" s="242" t="s">
        <v>828</v>
      </c>
      <c r="X746" s="228">
        <v>-6.4855722868962642E-2</v>
      </c>
      <c r="Y746" s="248">
        <v>27</v>
      </c>
      <c r="AA746" s="248">
        <v>27</v>
      </c>
      <c r="AB746" s="175"/>
      <c r="AC746" s="248">
        <f t="shared" si="62"/>
        <v>75</v>
      </c>
      <c r="AD746" s="249">
        <v>1.6482790388196621E-2</v>
      </c>
      <c r="AE746" s="228">
        <f t="shared" si="61"/>
        <v>0.1122328118842657</v>
      </c>
      <c r="AG746" s="228"/>
      <c r="AH746" s="228"/>
      <c r="AI746" s="228"/>
      <c r="AJ746" s="228"/>
      <c r="AK746" s="228"/>
    </row>
    <row r="747" spans="4:37" x14ac:dyDescent="0.2">
      <c r="D747" s="75">
        <f t="shared" si="60"/>
        <v>76</v>
      </c>
      <c r="E747" s="80">
        <f t="shared" si="60"/>
        <v>5</v>
      </c>
      <c r="F747" s="80">
        <f t="shared" si="60"/>
        <v>5</v>
      </c>
      <c r="H747" s="239" t="s">
        <v>828</v>
      </c>
      <c r="I747" s="239" t="s">
        <v>828</v>
      </c>
      <c r="J747" s="239" t="s">
        <v>828</v>
      </c>
      <c r="L747" s="239" t="s">
        <v>828</v>
      </c>
      <c r="M747" s="95"/>
      <c r="N747" s="95"/>
      <c r="O747" s="95"/>
      <c r="T747" s="240" t="s">
        <v>828</v>
      </c>
      <c r="U747" s="241" t="s">
        <v>828</v>
      </c>
      <c r="V747" s="175"/>
      <c r="W747" s="242" t="s">
        <v>828</v>
      </c>
      <c r="X747" s="228">
        <v>-9.0381262511824323E-2</v>
      </c>
      <c r="Y747" s="248">
        <v>19</v>
      </c>
      <c r="AA747" s="248">
        <v>19</v>
      </c>
      <c r="AB747" s="175"/>
      <c r="AC747" s="248">
        <f t="shared" si="62"/>
        <v>76</v>
      </c>
      <c r="AD747" s="249">
        <v>1.6796581671116518E-2</v>
      </c>
      <c r="AE747" s="228">
        <f t="shared" si="61"/>
        <v>0.1122328118842657</v>
      </c>
      <c r="AG747" s="228"/>
      <c r="AH747" s="228"/>
      <c r="AI747" s="228"/>
      <c r="AJ747" s="228"/>
      <c r="AK747" s="228"/>
    </row>
    <row r="748" spans="4:37" x14ac:dyDescent="0.2">
      <c r="D748" s="75">
        <f t="shared" si="60"/>
        <v>77</v>
      </c>
      <c r="E748" s="80">
        <f t="shared" si="60"/>
        <v>5</v>
      </c>
      <c r="F748" s="80">
        <f t="shared" si="60"/>
        <v>5</v>
      </c>
      <c r="H748" s="239" t="s">
        <v>828</v>
      </c>
      <c r="I748" s="239" t="s">
        <v>828</v>
      </c>
      <c r="J748" s="239" t="s">
        <v>828</v>
      </c>
      <c r="L748" s="239" t="s">
        <v>828</v>
      </c>
      <c r="M748" s="95"/>
      <c r="N748" s="95"/>
      <c r="O748" s="95"/>
      <c r="T748" s="240" t="s">
        <v>828</v>
      </c>
      <c r="U748" s="241" t="s">
        <v>828</v>
      </c>
      <c r="V748" s="175"/>
      <c r="W748" s="242" t="s">
        <v>828</v>
      </c>
      <c r="X748" s="228">
        <v>-8.2776710341285701E-3</v>
      </c>
      <c r="Y748" s="248">
        <v>56</v>
      </c>
      <c r="AA748" s="248">
        <v>56</v>
      </c>
      <c r="AB748" s="175"/>
      <c r="AC748" s="248">
        <f t="shared" si="62"/>
        <v>77</v>
      </c>
      <c r="AD748" s="249">
        <v>1.6972679195296988E-2</v>
      </c>
      <c r="AE748" s="228">
        <f t="shared" si="61"/>
        <v>0.1122328118842657</v>
      </c>
      <c r="AG748" s="228"/>
      <c r="AH748" s="228"/>
      <c r="AI748" s="228"/>
      <c r="AJ748" s="228"/>
      <c r="AK748" s="228"/>
    </row>
    <row r="749" spans="4:37" x14ac:dyDescent="0.2">
      <c r="D749" s="75">
        <f t="shared" si="60"/>
        <v>78</v>
      </c>
      <c r="E749" s="80">
        <f t="shared" si="60"/>
        <v>5</v>
      </c>
      <c r="F749" s="80">
        <f t="shared" si="60"/>
        <v>5</v>
      </c>
      <c r="H749" s="239" t="s">
        <v>828</v>
      </c>
      <c r="I749" s="239" t="s">
        <v>828</v>
      </c>
      <c r="J749" s="239" t="s">
        <v>828</v>
      </c>
      <c r="L749" s="239" t="s">
        <v>828</v>
      </c>
      <c r="M749" s="95"/>
      <c r="N749" s="95"/>
      <c r="O749" s="95"/>
      <c r="T749" s="240" t="s">
        <v>828</v>
      </c>
      <c r="U749" s="241" t="s">
        <v>828</v>
      </c>
      <c r="V749" s="175"/>
      <c r="W749" s="242" t="s">
        <v>828</v>
      </c>
      <c r="X749" s="228">
        <v>-1.0569461217144723E-2</v>
      </c>
      <c r="Y749" s="248">
        <v>55</v>
      </c>
      <c r="AA749" s="248">
        <v>55</v>
      </c>
      <c r="AB749" s="175"/>
      <c r="AC749" s="248">
        <f t="shared" si="62"/>
        <v>78</v>
      </c>
      <c r="AD749" s="249">
        <v>1.8975950972787394E-2</v>
      </c>
      <c r="AE749" s="228">
        <f t="shared" si="61"/>
        <v>0.1122328118842657</v>
      </c>
      <c r="AG749" s="228"/>
      <c r="AH749" s="228"/>
      <c r="AI749" s="228"/>
      <c r="AJ749" s="228"/>
      <c r="AK749" s="228"/>
    </row>
    <row r="750" spans="4:37" x14ac:dyDescent="0.2">
      <c r="D750" s="75">
        <f t="shared" si="60"/>
        <v>79</v>
      </c>
      <c r="E750" s="80">
        <f t="shared" si="60"/>
        <v>5</v>
      </c>
      <c r="F750" s="80">
        <f t="shared" si="60"/>
        <v>5</v>
      </c>
      <c r="H750" s="239" t="s">
        <v>828</v>
      </c>
      <c r="I750" s="239" t="s">
        <v>828</v>
      </c>
      <c r="J750" s="239" t="s">
        <v>828</v>
      </c>
      <c r="L750" s="239" t="s">
        <v>828</v>
      </c>
      <c r="M750" s="95"/>
      <c r="N750" s="95"/>
      <c r="O750" s="95"/>
      <c r="T750" s="240" t="s">
        <v>828</v>
      </c>
      <c r="U750" s="241" t="s">
        <v>828</v>
      </c>
      <c r="V750" s="175"/>
      <c r="W750" s="242" t="s">
        <v>828</v>
      </c>
      <c r="X750" s="228">
        <v>0.13057106278329692</v>
      </c>
      <c r="Y750" s="248">
        <v>208</v>
      </c>
      <c r="AA750" s="248">
        <v>208</v>
      </c>
      <c r="AB750" s="175"/>
      <c r="AC750" s="248">
        <f t="shared" si="62"/>
        <v>79</v>
      </c>
      <c r="AD750" s="249">
        <v>1.9918722213049873E-2</v>
      </c>
      <c r="AE750" s="228">
        <f t="shared" si="61"/>
        <v>0.1122328118842657</v>
      </c>
      <c r="AG750" s="228"/>
      <c r="AH750" s="228"/>
      <c r="AI750" s="228"/>
      <c r="AJ750" s="228"/>
      <c r="AK750" s="228"/>
    </row>
    <row r="751" spans="4:37" x14ac:dyDescent="0.2">
      <c r="D751" s="75">
        <f t="shared" si="60"/>
        <v>80</v>
      </c>
      <c r="E751" s="80">
        <f t="shared" si="60"/>
        <v>5</v>
      </c>
      <c r="F751" s="80">
        <f t="shared" si="60"/>
        <v>5</v>
      </c>
      <c r="H751" s="239" t="s">
        <v>828</v>
      </c>
      <c r="I751" s="239" t="s">
        <v>828</v>
      </c>
      <c r="J751" s="239" t="s">
        <v>828</v>
      </c>
      <c r="L751" s="239" t="s">
        <v>828</v>
      </c>
      <c r="M751" s="95"/>
      <c r="N751" s="95"/>
      <c r="O751" s="95"/>
      <c r="T751" s="240" t="s">
        <v>828</v>
      </c>
      <c r="U751" s="241" t="s">
        <v>828</v>
      </c>
      <c r="V751" s="175"/>
      <c r="W751" s="242" t="s">
        <v>828</v>
      </c>
      <c r="X751" s="228">
        <v>0.101748139232437</v>
      </c>
      <c r="Y751" s="248">
        <v>174</v>
      </c>
      <c r="AA751" s="248">
        <v>174</v>
      </c>
      <c r="AB751" s="175"/>
      <c r="AC751" s="248">
        <f t="shared" si="62"/>
        <v>80</v>
      </c>
      <c r="AD751" s="249">
        <v>2.2353806615985152E-2</v>
      </c>
      <c r="AE751" s="228">
        <f t="shared" si="61"/>
        <v>0.1122328118842657</v>
      </c>
      <c r="AG751" s="228"/>
      <c r="AH751" s="228"/>
      <c r="AI751" s="228"/>
      <c r="AJ751" s="228"/>
      <c r="AK751" s="228"/>
    </row>
    <row r="752" spans="4:37" x14ac:dyDescent="0.2">
      <c r="D752" s="75">
        <f t="shared" ref="D752:F771" si="63">D441</f>
        <v>81</v>
      </c>
      <c r="E752" s="80">
        <f t="shared" si="63"/>
        <v>5</v>
      </c>
      <c r="F752" s="80">
        <f t="shared" si="63"/>
        <v>5</v>
      </c>
      <c r="H752" s="239" t="s">
        <v>828</v>
      </c>
      <c r="I752" s="239" t="s">
        <v>828</v>
      </c>
      <c r="J752" s="239" t="s">
        <v>828</v>
      </c>
      <c r="L752" s="239" t="s">
        <v>828</v>
      </c>
      <c r="M752" s="95"/>
      <c r="N752" s="95"/>
      <c r="O752" s="95"/>
      <c r="T752" s="240" t="s">
        <v>828</v>
      </c>
      <c r="U752" s="241" t="s">
        <v>828</v>
      </c>
      <c r="V752" s="175"/>
      <c r="W752" s="242" t="s">
        <v>828</v>
      </c>
      <c r="X752" s="228">
        <v>7.5738810641686236E-2</v>
      </c>
      <c r="Y752" s="248">
        <v>133</v>
      </c>
      <c r="AA752" s="248">
        <v>133</v>
      </c>
      <c r="AB752" s="175"/>
      <c r="AC752" s="248">
        <f t="shared" si="62"/>
        <v>81</v>
      </c>
      <c r="AD752" s="249">
        <v>2.7439554698770047E-2</v>
      </c>
      <c r="AE752" s="228">
        <f t="shared" si="61"/>
        <v>0.1122328118842657</v>
      </c>
      <c r="AG752" s="228"/>
      <c r="AH752" s="228"/>
      <c r="AI752" s="228"/>
      <c r="AJ752" s="228"/>
      <c r="AK752" s="228"/>
    </row>
    <row r="753" spans="4:37" x14ac:dyDescent="0.2">
      <c r="D753" s="75">
        <f t="shared" si="63"/>
        <v>82</v>
      </c>
      <c r="E753" s="80">
        <f t="shared" si="63"/>
        <v>5</v>
      </c>
      <c r="F753" s="80">
        <f t="shared" si="63"/>
        <v>5</v>
      </c>
      <c r="H753" s="239" t="s">
        <v>828</v>
      </c>
      <c r="I753" s="239" t="s">
        <v>828</v>
      </c>
      <c r="J753" s="239" t="s">
        <v>828</v>
      </c>
      <c r="L753" s="239" t="s">
        <v>828</v>
      </c>
      <c r="M753" s="95"/>
      <c r="N753" s="95"/>
      <c r="O753" s="95"/>
      <c r="T753" s="240" t="s">
        <v>828</v>
      </c>
      <c r="U753" s="241" t="s">
        <v>828</v>
      </c>
      <c r="V753" s="175"/>
      <c r="W753" s="242" t="s">
        <v>828</v>
      </c>
      <c r="X753" s="228">
        <v>0.13484758867323332</v>
      </c>
      <c r="Y753" s="248">
        <v>212</v>
      </c>
      <c r="AA753" s="248">
        <v>212</v>
      </c>
      <c r="AB753" s="175"/>
      <c r="AC753" s="248">
        <f t="shared" si="62"/>
        <v>82</v>
      </c>
      <c r="AD753" s="249">
        <v>2.9550585449906051E-2</v>
      </c>
      <c r="AE753" s="228">
        <f t="shared" si="61"/>
        <v>0.1122328118842657</v>
      </c>
      <c r="AG753" s="228"/>
      <c r="AH753" s="228"/>
      <c r="AI753" s="228"/>
      <c r="AJ753" s="228"/>
      <c r="AK753" s="228"/>
    </row>
    <row r="754" spans="4:37" x14ac:dyDescent="0.2">
      <c r="D754" s="75">
        <f t="shared" si="63"/>
        <v>83</v>
      </c>
      <c r="E754" s="80">
        <f t="shared" si="63"/>
        <v>5</v>
      </c>
      <c r="F754" s="80">
        <f t="shared" si="63"/>
        <v>5</v>
      </c>
      <c r="H754" s="239" t="s">
        <v>828</v>
      </c>
      <c r="I754" s="239" t="s">
        <v>828</v>
      </c>
      <c r="J754" s="239" t="s">
        <v>828</v>
      </c>
      <c r="L754" s="239" t="s">
        <v>828</v>
      </c>
      <c r="M754" s="95"/>
      <c r="N754" s="95"/>
      <c r="O754" s="95"/>
      <c r="T754" s="240" t="s">
        <v>828</v>
      </c>
      <c r="U754" s="241" t="s">
        <v>828</v>
      </c>
      <c r="V754" s="175"/>
      <c r="W754" s="242" t="s">
        <v>828</v>
      </c>
      <c r="X754" s="228">
        <v>0.11227667249384594</v>
      </c>
      <c r="Y754" s="248">
        <v>189</v>
      </c>
      <c r="AA754" s="248">
        <v>189</v>
      </c>
      <c r="AB754" s="175"/>
      <c r="AC754" s="248">
        <f t="shared" si="62"/>
        <v>83</v>
      </c>
      <c r="AD754" s="249">
        <v>3.0293610456135503E-2</v>
      </c>
      <c r="AE754" s="228">
        <f t="shared" si="61"/>
        <v>0.1122328118842657</v>
      </c>
      <c r="AG754" s="228"/>
      <c r="AH754" s="228"/>
      <c r="AI754" s="228"/>
      <c r="AJ754" s="228"/>
      <c r="AK754" s="228"/>
    </row>
    <row r="755" spans="4:37" x14ac:dyDescent="0.2">
      <c r="D755" s="75">
        <f t="shared" si="63"/>
        <v>84</v>
      </c>
      <c r="E755" s="80">
        <f t="shared" si="63"/>
        <v>5</v>
      </c>
      <c r="F755" s="80">
        <f t="shared" si="63"/>
        <v>5</v>
      </c>
      <c r="H755" s="239" t="s">
        <v>828</v>
      </c>
      <c r="I755" s="239" t="s">
        <v>828</v>
      </c>
      <c r="J755" s="239" t="s">
        <v>828</v>
      </c>
      <c r="L755" s="239" t="s">
        <v>828</v>
      </c>
      <c r="M755" s="95"/>
      <c r="N755" s="95"/>
      <c r="O755" s="95"/>
      <c r="T755" s="240" t="s">
        <v>828</v>
      </c>
      <c r="U755" s="241" t="s">
        <v>828</v>
      </c>
      <c r="V755" s="175"/>
      <c r="W755" s="242" t="s">
        <v>828</v>
      </c>
      <c r="X755" s="228">
        <v>-1.9588124441091728E-2</v>
      </c>
      <c r="Y755" s="248">
        <v>49</v>
      </c>
      <c r="AA755" s="248">
        <v>49</v>
      </c>
      <c r="AB755" s="175"/>
      <c r="AC755" s="248">
        <f t="shared" si="62"/>
        <v>84</v>
      </c>
      <c r="AD755" s="249">
        <v>3.0353339394786252E-2</v>
      </c>
      <c r="AE755" s="228">
        <f t="shared" si="61"/>
        <v>0.1122328118842657</v>
      </c>
      <c r="AG755" s="228"/>
      <c r="AH755" s="228"/>
      <c r="AI755" s="228"/>
      <c r="AJ755" s="228"/>
      <c r="AK755" s="228"/>
    </row>
    <row r="756" spans="4:37" x14ac:dyDescent="0.2">
      <c r="D756" s="75">
        <f t="shared" si="63"/>
        <v>85</v>
      </c>
      <c r="E756" s="80">
        <f t="shared" si="63"/>
        <v>5</v>
      </c>
      <c r="F756" s="80">
        <f t="shared" si="63"/>
        <v>5</v>
      </c>
      <c r="H756" s="239" t="s">
        <v>828</v>
      </c>
      <c r="I756" s="239" t="s">
        <v>828</v>
      </c>
      <c r="J756" s="239" t="s">
        <v>828</v>
      </c>
      <c r="L756" s="239" t="s">
        <v>828</v>
      </c>
      <c r="M756" s="95"/>
      <c r="N756" s="95"/>
      <c r="O756" s="95"/>
      <c r="T756" s="240" t="s">
        <v>828</v>
      </c>
      <c r="U756" s="241" t="s">
        <v>828</v>
      </c>
      <c r="V756" s="175"/>
      <c r="W756" s="242" t="s">
        <v>828</v>
      </c>
      <c r="X756" s="228">
        <v>8.244259901023189E-2</v>
      </c>
      <c r="Y756" s="248">
        <v>141</v>
      </c>
      <c r="AA756" s="248">
        <v>141</v>
      </c>
      <c r="AB756" s="175"/>
      <c r="AC756" s="248">
        <f t="shared" si="62"/>
        <v>85</v>
      </c>
      <c r="AD756" s="249">
        <v>3.0928842942981677E-2</v>
      </c>
      <c r="AE756" s="228">
        <f t="shared" si="61"/>
        <v>0.1122328118842657</v>
      </c>
      <c r="AG756" s="228"/>
      <c r="AH756" s="228"/>
      <c r="AI756" s="228"/>
      <c r="AJ756" s="228"/>
      <c r="AK756" s="228"/>
    </row>
    <row r="757" spans="4:37" x14ac:dyDescent="0.2">
      <c r="D757" s="75">
        <f t="shared" si="63"/>
        <v>86</v>
      </c>
      <c r="E757" s="80">
        <f t="shared" si="63"/>
        <v>5</v>
      </c>
      <c r="F757" s="80">
        <f t="shared" si="63"/>
        <v>5</v>
      </c>
      <c r="H757" s="239" t="s">
        <v>828</v>
      </c>
      <c r="I757" s="239" t="s">
        <v>828</v>
      </c>
      <c r="J757" s="239" t="s">
        <v>828</v>
      </c>
      <c r="L757" s="239" t="s">
        <v>828</v>
      </c>
      <c r="M757" s="95"/>
      <c r="N757" s="95"/>
      <c r="O757" s="95"/>
      <c r="T757" s="240" t="s">
        <v>828</v>
      </c>
      <c r="U757" s="241" t="s">
        <v>828</v>
      </c>
      <c r="V757" s="175"/>
      <c r="W757" s="242" t="s">
        <v>828</v>
      </c>
      <c r="X757" s="228">
        <v>6.4707051752853448E-2</v>
      </c>
      <c r="Y757" s="248">
        <v>116</v>
      </c>
      <c r="AA757" s="248">
        <v>116</v>
      </c>
      <c r="AB757" s="175"/>
      <c r="AC757" s="248">
        <f t="shared" si="62"/>
        <v>86</v>
      </c>
      <c r="AD757" s="249">
        <v>3.1754171183599258E-2</v>
      </c>
      <c r="AE757" s="228">
        <f t="shared" si="61"/>
        <v>0.1122328118842657</v>
      </c>
      <c r="AG757" s="228"/>
      <c r="AH757" s="228"/>
      <c r="AI757" s="228"/>
      <c r="AJ757" s="228"/>
      <c r="AK757" s="228"/>
    </row>
    <row r="758" spans="4:37" x14ac:dyDescent="0.2">
      <c r="D758" s="75">
        <f t="shared" si="63"/>
        <v>87</v>
      </c>
      <c r="E758" s="80">
        <f t="shared" si="63"/>
        <v>5</v>
      </c>
      <c r="F758" s="80">
        <f t="shared" si="63"/>
        <v>5</v>
      </c>
      <c r="H758" s="239" t="s">
        <v>828</v>
      </c>
      <c r="I758" s="239" t="s">
        <v>828</v>
      </c>
      <c r="J758" s="239" t="s">
        <v>828</v>
      </c>
      <c r="L758" s="239" t="s">
        <v>828</v>
      </c>
      <c r="M758" s="95"/>
      <c r="N758" s="95"/>
      <c r="O758" s="95"/>
      <c r="T758" s="240" t="s">
        <v>828</v>
      </c>
      <c r="U758" s="241" t="s">
        <v>828</v>
      </c>
      <c r="V758" s="175"/>
      <c r="W758" s="242" t="s">
        <v>828</v>
      </c>
      <c r="X758" s="228">
        <v>4.6829813039374259E-2</v>
      </c>
      <c r="Y758" s="248">
        <v>95</v>
      </c>
      <c r="AA758" s="248">
        <v>95</v>
      </c>
      <c r="AB758" s="175"/>
      <c r="AC758" s="248">
        <f t="shared" si="62"/>
        <v>87</v>
      </c>
      <c r="AD758" s="249">
        <v>3.7944408173042954E-2</v>
      </c>
      <c r="AE758" s="228">
        <f t="shared" si="61"/>
        <v>0.1122328118842657</v>
      </c>
      <c r="AG758" s="228"/>
      <c r="AH758" s="228"/>
      <c r="AI758" s="228"/>
      <c r="AJ758" s="228"/>
      <c r="AK758" s="228"/>
    </row>
    <row r="759" spans="4:37" x14ac:dyDescent="0.2">
      <c r="D759" s="75">
        <f t="shared" si="63"/>
        <v>88</v>
      </c>
      <c r="E759" s="80">
        <f t="shared" si="63"/>
        <v>5</v>
      </c>
      <c r="F759" s="80">
        <f t="shared" si="63"/>
        <v>5</v>
      </c>
      <c r="H759" s="239" t="s">
        <v>828</v>
      </c>
      <c r="I759" s="239" t="s">
        <v>828</v>
      </c>
      <c r="J759" s="239" t="s">
        <v>828</v>
      </c>
      <c r="L759" s="239" t="s">
        <v>828</v>
      </c>
      <c r="M759" s="95"/>
      <c r="N759" s="95"/>
      <c r="O759" s="95"/>
      <c r="T759" s="240" t="s">
        <v>828</v>
      </c>
      <c r="U759" s="241" t="s">
        <v>828</v>
      </c>
      <c r="V759" s="175"/>
      <c r="W759" s="242" t="s">
        <v>828</v>
      </c>
      <c r="X759" s="228">
        <v>8.712545985853816E-2</v>
      </c>
      <c r="Y759" s="248">
        <v>150</v>
      </c>
      <c r="AA759" s="248">
        <v>150</v>
      </c>
      <c r="AB759" s="175"/>
      <c r="AC759" s="248">
        <f t="shared" si="62"/>
        <v>88</v>
      </c>
      <c r="AD759" s="249">
        <v>3.8262752215596725E-2</v>
      </c>
      <c r="AE759" s="228">
        <f t="shared" si="61"/>
        <v>0.1122328118842657</v>
      </c>
      <c r="AG759" s="228"/>
      <c r="AH759" s="228"/>
      <c r="AI759" s="228"/>
      <c r="AJ759" s="228"/>
      <c r="AK759" s="228"/>
    </row>
    <row r="760" spans="4:37" x14ac:dyDescent="0.2">
      <c r="D760" s="75">
        <f t="shared" si="63"/>
        <v>89</v>
      </c>
      <c r="E760" s="80">
        <f t="shared" si="63"/>
        <v>5</v>
      </c>
      <c r="F760" s="80">
        <f t="shared" si="63"/>
        <v>5</v>
      </c>
      <c r="H760" s="239" t="s">
        <v>828</v>
      </c>
      <c r="I760" s="239" t="s">
        <v>828</v>
      </c>
      <c r="J760" s="239" t="s">
        <v>828</v>
      </c>
      <c r="L760" s="239" t="s">
        <v>828</v>
      </c>
      <c r="M760" s="95"/>
      <c r="N760" s="95"/>
      <c r="O760" s="95"/>
      <c r="T760" s="240" t="s">
        <v>828</v>
      </c>
      <c r="U760" s="241" t="s">
        <v>828</v>
      </c>
      <c r="V760" s="175"/>
      <c r="W760" s="242" t="s">
        <v>828</v>
      </c>
      <c r="X760" s="228">
        <v>3.0928842942981677E-2</v>
      </c>
      <c r="Y760" s="248">
        <v>85</v>
      </c>
      <c r="AA760" s="248">
        <v>85</v>
      </c>
      <c r="AB760" s="175"/>
      <c r="AC760" s="248">
        <f t="shared" si="62"/>
        <v>89</v>
      </c>
      <c r="AD760" s="249">
        <v>3.9028382495852242E-2</v>
      </c>
      <c r="AE760" s="228">
        <f t="shared" si="61"/>
        <v>0.1122328118842657</v>
      </c>
      <c r="AG760" s="228"/>
      <c r="AH760" s="228"/>
      <c r="AI760" s="228"/>
      <c r="AJ760" s="228"/>
      <c r="AK760" s="228"/>
    </row>
    <row r="761" spans="4:37" x14ac:dyDescent="0.2">
      <c r="D761" s="75">
        <f t="shared" si="63"/>
        <v>90</v>
      </c>
      <c r="E761" s="80">
        <f t="shared" si="63"/>
        <v>5</v>
      </c>
      <c r="F761" s="80">
        <f t="shared" si="63"/>
        <v>5</v>
      </c>
      <c r="H761" s="239" t="s">
        <v>828</v>
      </c>
      <c r="I761" s="239" t="s">
        <v>828</v>
      </c>
      <c r="J761" s="239" t="s">
        <v>828</v>
      </c>
      <c r="L761" s="239" t="s">
        <v>828</v>
      </c>
      <c r="M761" s="95"/>
      <c r="N761" s="95"/>
      <c r="O761" s="95"/>
      <c r="T761" s="240" t="s">
        <v>828</v>
      </c>
      <c r="U761" s="241" t="s">
        <v>828</v>
      </c>
      <c r="V761" s="175"/>
      <c r="W761" s="242" t="s">
        <v>828</v>
      </c>
      <c r="X761" s="228">
        <v>9.9392775005353845E-2</v>
      </c>
      <c r="Y761" s="248">
        <v>171</v>
      </c>
      <c r="AA761" s="248">
        <v>171</v>
      </c>
      <c r="AB761" s="175"/>
      <c r="AC761" s="248">
        <f t="shared" si="62"/>
        <v>90</v>
      </c>
      <c r="AD761" s="249">
        <v>4.0453320053697048E-2</v>
      </c>
      <c r="AE761" s="228">
        <f t="shared" si="61"/>
        <v>0.1122328118842657</v>
      </c>
      <c r="AG761" s="228"/>
      <c r="AH761" s="228"/>
      <c r="AI761" s="228"/>
      <c r="AJ761" s="228"/>
      <c r="AK761" s="228"/>
    </row>
    <row r="762" spans="4:37" x14ac:dyDescent="0.2">
      <c r="D762" s="75">
        <f t="shared" si="63"/>
        <v>91</v>
      </c>
      <c r="E762" s="80">
        <f t="shared" si="63"/>
        <v>5</v>
      </c>
      <c r="F762" s="80">
        <f t="shared" si="63"/>
        <v>5</v>
      </c>
      <c r="H762" s="239" t="s">
        <v>828</v>
      </c>
      <c r="I762" s="239" t="s">
        <v>828</v>
      </c>
      <c r="J762" s="239" t="s">
        <v>828</v>
      </c>
      <c r="L762" s="239" t="s">
        <v>828</v>
      </c>
      <c r="M762" s="95"/>
      <c r="N762" s="95"/>
      <c r="O762" s="95"/>
      <c r="T762" s="240" t="s">
        <v>828</v>
      </c>
      <c r="U762" s="241" t="s">
        <v>828</v>
      </c>
      <c r="V762" s="175"/>
      <c r="W762" s="242" t="s">
        <v>828</v>
      </c>
      <c r="X762" s="228">
        <v>-6.4703493743359194E-2</v>
      </c>
      <c r="Y762" s="248">
        <v>28</v>
      </c>
      <c r="AA762" s="248">
        <v>28</v>
      </c>
      <c r="AB762" s="175"/>
      <c r="AC762" s="248">
        <f t="shared" si="62"/>
        <v>91</v>
      </c>
      <c r="AD762" s="249">
        <v>4.055226972606385E-2</v>
      </c>
      <c r="AE762" s="228">
        <f t="shared" si="61"/>
        <v>0.1122328118842657</v>
      </c>
      <c r="AG762" s="228"/>
      <c r="AH762" s="228"/>
      <c r="AI762" s="228"/>
      <c r="AJ762" s="228"/>
      <c r="AK762" s="228"/>
    </row>
    <row r="763" spans="4:37" x14ac:dyDescent="0.2">
      <c r="D763" s="75">
        <f t="shared" si="63"/>
        <v>92</v>
      </c>
      <c r="E763" s="80">
        <f t="shared" si="63"/>
        <v>5</v>
      </c>
      <c r="F763" s="80">
        <f t="shared" si="63"/>
        <v>5</v>
      </c>
      <c r="H763" s="239" t="s">
        <v>828</v>
      </c>
      <c r="I763" s="239" t="s">
        <v>828</v>
      </c>
      <c r="J763" s="239" t="s">
        <v>828</v>
      </c>
      <c r="L763" s="239" t="s">
        <v>828</v>
      </c>
      <c r="M763" s="95"/>
      <c r="N763" s="95"/>
      <c r="O763" s="95"/>
      <c r="T763" s="240" t="s">
        <v>828</v>
      </c>
      <c r="U763" s="241" t="s">
        <v>828</v>
      </c>
      <c r="V763" s="175"/>
      <c r="W763" s="242" t="s">
        <v>828</v>
      </c>
      <c r="X763" s="228">
        <v>8.5035949115196671E-2</v>
      </c>
      <c r="Y763" s="248">
        <v>147</v>
      </c>
      <c r="AA763" s="248">
        <v>147</v>
      </c>
      <c r="AB763" s="175"/>
      <c r="AC763" s="248">
        <f t="shared" si="62"/>
        <v>92</v>
      </c>
      <c r="AD763" s="249">
        <v>4.139275177290222E-2</v>
      </c>
      <c r="AE763" s="228">
        <f t="shared" si="61"/>
        <v>0.1122328118842657</v>
      </c>
      <c r="AG763" s="228"/>
      <c r="AH763" s="228"/>
      <c r="AI763" s="228"/>
      <c r="AJ763" s="228"/>
      <c r="AK763" s="228"/>
    </row>
    <row r="764" spans="4:37" x14ac:dyDescent="0.2">
      <c r="D764" s="75">
        <f t="shared" si="63"/>
        <v>93</v>
      </c>
      <c r="E764" s="80">
        <f t="shared" si="63"/>
        <v>5</v>
      </c>
      <c r="F764" s="80">
        <f t="shared" si="63"/>
        <v>5</v>
      </c>
      <c r="H764" s="239" t="s">
        <v>828</v>
      </c>
      <c r="I764" s="239" t="s">
        <v>828</v>
      </c>
      <c r="J764" s="239" t="s">
        <v>828</v>
      </c>
      <c r="L764" s="239" t="s">
        <v>828</v>
      </c>
      <c r="M764" s="95"/>
      <c r="N764" s="95"/>
      <c r="O764" s="95"/>
      <c r="T764" s="240" t="s">
        <v>828</v>
      </c>
      <c r="U764" s="241" t="s">
        <v>828</v>
      </c>
      <c r="V764" s="175"/>
      <c r="W764" s="242" t="s">
        <v>828</v>
      </c>
      <c r="X764" s="228">
        <v>8.5003729189253807E-2</v>
      </c>
      <c r="Y764" s="248">
        <v>146</v>
      </c>
      <c r="AA764" s="248">
        <v>146</v>
      </c>
      <c r="AB764" s="175"/>
      <c r="AC764" s="248">
        <f t="shared" si="62"/>
        <v>93</v>
      </c>
      <c r="AD764" s="249">
        <v>4.2988118104570462E-2</v>
      </c>
      <c r="AE764" s="228">
        <f t="shared" si="61"/>
        <v>0.1122328118842657</v>
      </c>
      <c r="AG764" s="228"/>
      <c r="AH764" s="228"/>
      <c r="AI764" s="228"/>
      <c r="AJ764" s="228"/>
      <c r="AK764" s="228"/>
    </row>
    <row r="765" spans="4:37" x14ac:dyDescent="0.2">
      <c r="D765" s="75">
        <f t="shared" si="63"/>
        <v>94</v>
      </c>
      <c r="E765" s="80">
        <f t="shared" si="63"/>
        <v>5</v>
      </c>
      <c r="F765" s="80">
        <f t="shared" si="63"/>
        <v>5</v>
      </c>
      <c r="H765" s="239" t="s">
        <v>828</v>
      </c>
      <c r="I765" s="239" t="s">
        <v>828</v>
      </c>
      <c r="J765" s="239" t="s">
        <v>828</v>
      </c>
      <c r="L765" s="239" t="s">
        <v>828</v>
      </c>
      <c r="M765" s="95"/>
      <c r="N765" s="95"/>
      <c r="O765" s="95"/>
      <c r="T765" s="240" t="s">
        <v>828</v>
      </c>
      <c r="U765" s="241" t="s">
        <v>828</v>
      </c>
      <c r="V765" s="175"/>
      <c r="W765" s="242" t="s">
        <v>828</v>
      </c>
      <c r="X765" s="228">
        <v>0.1127101404871543</v>
      </c>
      <c r="Y765" s="248">
        <v>191</v>
      </c>
      <c r="AA765" s="248">
        <v>191</v>
      </c>
      <c r="AB765" s="175"/>
      <c r="AC765" s="248">
        <f t="shared" si="62"/>
        <v>94</v>
      </c>
      <c r="AD765" s="249">
        <v>4.3974877877907742E-2</v>
      </c>
      <c r="AE765" s="228">
        <f t="shared" si="61"/>
        <v>0.1122328118842657</v>
      </c>
      <c r="AG765" s="228"/>
      <c r="AH765" s="228"/>
      <c r="AI765" s="228"/>
      <c r="AJ765" s="228"/>
      <c r="AK765" s="228"/>
    </row>
    <row r="766" spans="4:37" x14ac:dyDescent="0.2">
      <c r="D766" s="75">
        <f t="shared" si="63"/>
        <v>95</v>
      </c>
      <c r="E766" s="80">
        <f t="shared" si="63"/>
        <v>5</v>
      </c>
      <c r="F766" s="80">
        <f t="shared" si="63"/>
        <v>5</v>
      </c>
      <c r="H766" s="239" t="s">
        <v>828</v>
      </c>
      <c r="I766" s="239" t="s">
        <v>828</v>
      </c>
      <c r="J766" s="239" t="s">
        <v>828</v>
      </c>
      <c r="L766" s="239" t="s">
        <v>828</v>
      </c>
      <c r="M766" s="95"/>
      <c r="N766" s="95"/>
      <c r="O766" s="95"/>
      <c r="T766" s="240" t="s">
        <v>828</v>
      </c>
      <c r="U766" s="241" t="s">
        <v>828</v>
      </c>
      <c r="V766" s="175"/>
      <c r="W766" s="242" t="s">
        <v>828</v>
      </c>
      <c r="X766" s="228">
        <v>-1.4293890296946997E-2</v>
      </c>
      <c r="Y766" s="248">
        <v>53</v>
      </c>
      <c r="AA766" s="248">
        <v>53</v>
      </c>
      <c r="AB766" s="175"/>
      <c r="AC766" s="248">
        <f t="shared" si="62"/>
        <v>95</v>
      </c>
      <c r="AD766" s="249">
        <v>4.6829813039374259E-2</v>
      </c>
      <c r="AE766" s="228">
        <f t="shared" si="61"/>
        <v>0.1122328118842657</v>
      </c>
      <c r="AG766" s="228"/>
      <c r="AH766" s="228"/>
      <c r="AI766" s="228"/>
      <c r="AJ766" s="228"/>
      <c r="AK766" s="228"/>
    </row>
    <row r="767" spans="4:37" x14ac:dyDescent="0.2">
      <c r="D767" s="75">
        <f t="shared" si="63"/>
        <v>96</v>
      </c>
      <c r="E767" s="80">
        <f t="shared" si="63"/>
        <v>5</v>
      </c>
      <c r="F767" s="80">
        <f t="shared" si="63"/>
        <v>5</v>
      </c>
      <c r="H767" s="239" t="s">
        <v>828</v>
      </c>
      <c r="I767" s="239" t="s">
        <v>828</v>
      </c>
      <c r="J767" s="239" t="s">
        <v>828</v>
      </c>
      <c r="L767" s="239" t="s">
        <v>828</v>
      </c>
      <c r="M767" s="95"/>
      <c r="N767" s="95"/>
      <c r="O767" s="95"/>
      <c r="T767" s="240" t="s">
        <v>828</v>
      </c>
      <c r="U767" s="241" t="s">
        <v>828</v>
      </c>
      <c r="V767" s="175"/>
      <c r="W767" s="242" t="s">
        <v>828</v>
      </c>
      <c r="X767" s="228">
        <v>6.6210633321691942E-2</v>
      </c>
      <c r="Y767" s="248">
        <v>117</v>
      </c>
      <c r="AA767" s="248">
        <v>117</v>
      </c>
      <c r="AB767" s="175"/>
      <c r="AC767" s="248">
        <f t="shared" si="62"/>
        <v>96</v>
      </c>
      <c r="AD767" s="249">
        <v>4.7203646376646063E-2</v>
      </c>
      <c r="AE767" s="228">
        <f t="shared" si="61"/>
        <v>0.1122328118842657</v>
      </c>
      <c r="AG767" s="228"/>
      <c r="AH767" s="228"/>
      <c r="AI767" s="228"/>
      <c r="AJ767" s="228"/>
      <c r="AK767" s="228"/>
    </row>
    <row r="768" spans="4:37" x14ac:dyDescent="0.2">
      <c r="D768" s="75">
        <f t="shared" si="63"/>
        <v>97</v>
      </c>
      <c r="E768" s="80">
        <f t="shared" si="63"/>
        <v>5</v>
      </c>
      <c r="F768" s="80">
        <f t="shared" si="63"/>
        <v>5</v>
      </c>
      <c r="H768" s="239" t="s">
        <v>828</v>
      </c>
      <c r="I768" s="239" t="s">
        <v>828</v>
      </c>
      <c r="J768" s="239" t="s">
        <v>828</v>
      </c>
      <c r="L768" s="239" t="s">
        <v>828</v>
      </c>
      <c r="M768" s="95"/>
      <c r="N768" s="95"/>
      <c r="O768" s="95"/>
      <c r="T768" s="240" t="s">
        <v>828</v>
      </c>
      <c r="U768" s="241" t="s">
        <v>828</v>
      </c>
      <c r="V768" s="175"/>
      <c r="W768" s="242" t="s">
        <v>828</v>
      </c>
      <c r="X768" s="228">
        <v>0.11240757009977075</v>
      </c>
      <c r="Y768" s="248">
        <v>190</v>
      </c>
      <c r="AA768" s="248">
        <v>190</v>
      </c>
      <c r="AB768" s="175"/>
      <c r="AC768" s="248">
        <f t="shared" si="62"/>
        <v>97</v>
      </c>
      <c r="AD768" s="249">
        <v>4.7496665046676767E-2</v>
      </c>
      <c r="AE768" s="228">
        <f t="shared" si="61"/>
        <v>0.1122328118842657</v>
      </c>
      <c r="AG768" s="228"/>
      <c r="AH768" s="228"/>
      <c r="AI768" s="228"/>
      <c r="AJ768" s="228"/>
      <c r="AK768" s="228"/>
    </row>
    <row r="769" spans="4:37" x14ac:dyDescent="0.2">
      <c r="D769" s="75">
        <f t="shared" si="63"/>
        <v>98</v>
      </c>
      <c r="E769" s="80">
        <f t="shared" si="63"/>
        <v>5</v>
      </c>
      <c r="F769" s="80">
        <f t="shared" si="63"/>
        <v>5</v>
      </c>
      <c r="H769" s="239" t="s">
        <v>828</v>
      </c>
      <c r="I769" s="239" t="s">
        <v>828</v>
      </c>
      <c r="J769" s="239" t="s">
        <v>828</v>
      </c>
      <c r="L769" s="239" t="s">
        <v>828</v>
      </c>
      <c r="M769" s="95"/>
      <c r="N769" s="95"/>
      <c r="O769" s="95"/>
      <c r="T769" s="240" t="s">
        <v>828</v>
      </c>
      <c r="U769" s="241" t="s">
        <v>828</v>
      </c>
      <c r="V769" s="175"/>
      <c r="W769" s="242" t="s">
        <v>828</v>
      </c>
      <c r="X769" s="228">
        <v>3.0353339394786252E-2</v>
      </c>
      <c r="Y769" s="248">
        <v>84</v>
      </c>
      <c r="AA769" s="248">
        <v>84</v>
      </c>
      <c r="AB769" s="175"/>
      <c r="AC769" s="248">
        <f t="shared" si="62"/>
        <v>98</v>
      </c>
      <c r="AD769" s="249">
        <v>4.833119516923913E-2</v>
      </c>
      <c r="AE769" s="228">
        <f t="shared" si="61"/>
        <v>0.1122328118842657</v>
      </c>
      <c r="AG769" s="228"/>
      <c r="AH769" s="228"/>
      <c r="AI769" s="228"/>
      <c r="AJ769" s="228"/>
      <c r="AK769" s="228"/>
    </row>
    <row r="770" spans="4:37" x14ac:dyDescent="0.2">
      <c r="D770" s="75">
        <f t="shared" si="63"/>
        <v>99</v>
      </c>
      <c r="E770" s="80">
        <f t="shared" si="63"/>
        <v>5</v>
      </c>
      <c r="F770" s="80">
        <f t="shared" si="63"/>
        <v>5</v>
      </c>
      <c r="H770" s="239" t="s">
        <v>828</v>
      </c>
      <c r="I770" s="239" t="s">
        <v>828</v>
      </c>
      <c r="J770" s="239" t="s">
        <v>828</v>
      </c>
      <c r="L770" s="239" t="s">
        <v>828</v>
      </c>
      <c r="M770" s="95"/>
      <c r="N770" s="95"/>
      <c r="O770" s="95"/>
      <c r="T770" s="240" t="s">
        <v>828</v>
      </c>
      <c r="U770" s="241" t="s">
        <v>828</v>
      </c>
      <c r="V770" s="175"/>
      <c r="W770" s="242" t="s">
        <v>828</v>
      </c>
      <c r="X770" s="228">
        <v>-5.737091430412971E-2</v>
      </c>
      <c r="Y770" s="248">
        <v>32</v>
      </c>
      <c r="AA770" s="248">
        <v>32</v>
      </c>
      <c r="AB770" s="175"/>
      <c r="AC770" s="248">
        <f t="shared" si="62"/>
        <v>99</v>
      </c>
      <c r="AD770" s="249">
        <v>4.9616512614626407E-2</v>
      </c>
      <c r="AE770" s="228">
        <f t="shared" si="61"/>
        <v>0.1122328118842657</v>
      </c>
      <c r="AG770" s="228"/>
      <c r="AH770" s="228"/>
      <c r="AI770" s="228"/>
      <c r="AJ770" s="228"/>
      <c r="AK770" s="228"/>
    </row>
    <row r="771" spans="4:37" x14ac:dyDescent="0.2">
      <c r="D771" s="75">
        <f t="shared" si="63"/>
        <v>100</v>
      </c>
      <c r="E771" s="80">
        <f t="shared" si="63"/>
        <v>5</v>
      </c>
      <c r="F771" s="80">
        <f t="shared" si="63"/>
        <v>5</v>
      </c>
      <c r="H771" s="239" t="s">
        <v>828</v>
      </c>
      <c r="I771" s="239" t="s">
        <v>828</v>
      </c>
      <c r="J771" s="239" t="s">
        <v>828</v>
      </c>
      <c r="L771" s="239" t="s">
        <v>828</v>
      </c>
      <c r="M771" s="95"/>
      <c r="N771" s="95"/>
      <c r="O771" s="95"/>
      <c r="T771" s="240" t="s">
        <v>828</v>
      </c>
      <c r="U771" s="241" t="s">
        <v>828</v>
      </c>
      <c r="V771" s="175"/>
      <c r="W771" s="242" t="s">
        <v>828</v>
      </c>
      <c r="X771" s="228">
        <v>-5.910017598373557E-2</v>
      </c>
      <c r="Y771" s="248">
        <v>31</v>
      </c>
      <c r="AA771" s="248">
        <v>31</v>
      </c>
      <c r="AB771" s="175"/>
      <c r="AC771" s="248">
        <f t="shared" si="62"/>
        <v>100</v>
      </c>
      <c r="AD771" s="249">
        <v>4.9873319357820634E-2</v>
      </c>
      <c r="AE771" s="228">
        <f t="shared" si="61"/>
        <v>0.1122328118842657</v>
      </c>
      <c r="AG771" s="228"/>
      <c r="AH771" s="228"/>
      <c r="AI771" s="228"/>
      <c r="AJ771" s="228"/>
      <c r="AK771" s="228"/>
    </row>
    <row r="772" spans="4:37" x14ac:dyDescent="0.2">
      <c r="D772" s="75">
        <f t="shared" ref="D772:F791" si="64">D461</f>
        <v>101</v>
      </c>
      <c r="E772" s="80">
        <f t="shared" si="64"/>
        <v>5</v>
      </c>
      <c r="F772" s="80">
        <f t="shared" si="64"/>
        <v>5</v>
      </c>
      <c r="H772" s="239" t="s">
        <v>828</v>
      </c>
      <c r="I772" s="239" t="s">
        <v>828</v>
      </c>
      <c r="J772" s="239" t="s">
        <v>828</v>
      </c>
      <c r="L772" s="239" t="s">
        <v>828</v>
      </c>
      <c r="M772" s="95"/>
      <c r="N772" s="95"/>
      <c r="O772" s="95"/>
      <c r="T772" s="240" t="s">
        <v>828</v>
      </c>
      <c r="U772" s="241" t="s">
        <v>828</v>
      </c>
      <c r="V772" s="175"/>
      <c r="W772" s="242" t="s">
        <v>828</v>
      </c>
      <c r="X772" s="228">
        <v>0.15980497049544307</v>
      </c>
      <c r="Y772" s="248">
        <v>217</v>
      </c>
      <c r="AA772" s="248">
        <v>217</v>
      </c>
      <c r="AB772" s="175"/>
      <c r="AC772" s="248">
        <f t="shared" si="62"/>
        <v>101</v>
      </c>
      <c r="AD772" s="249">
        <v>5.2303056572180297E-2</v>
      </c>
      <c r="AE772" s="228">
        <f t="shared" si="61"/>
        <v>0.1122328118842657</v>
      </c>
      <c r="AG772" s="228"/>
      <c r="AH772" s="228"/>
      <c r="AI772" s="228"/>
      <c r="AJ772" s="228"/>
      <c r="AK772" s="228"/>
    </row>
    <row r="773" spans="4:37" x14ac:dyDescent="0.2">
      <c r="D773" s="75">
        <f t="shared" si="64"/>
        <v>102</v>
      </c>
      <c r="E773" s="80">
        <f t="shared" si="64"/>
        <v>5</v>
      </c>
      <c r="F773" s="80">
        <f t="shared" si="64"/>
        <v>5</v>
      </c>
      <c r="H773" s="239" t="s">
        <v>828</v>
      </c>
      <c r="I773" s="239" t="s">
        <v>828</v>
      </c>
      <c r="J773" s="239" t="s">
        <v>828</v>
      </c>
      <c r="L773" s="239" t="s">
        <v>828</v>
      </c>
      <c r="M773" s="95"/>
      <c r="N773" s="95"/>
      <c r="O773" s="95"/>
      <c r="T773" s="240" t="s">
        <v>828</v>
      </c>
      <c r="U773" s="241" t="s">
        <v>828</v>
      </c>
      <c r="V773" s="175"/>
      <c r="W773" s="242" t="s">
        <v>828</v>
      </c>
      <c r="X773" s="228">
        <v>-4.3481308230450114E-2</v>
      </c>
      <c r="Y773" s="248">
        <v>36</v>
      </c>
      <c r="AA773" s="248">
        <v>36</v>
      </c>
      <c r="AB773" s="175"/>
      <c r="AC773" s="248">
        <f t="shared" si="62"/>
        <v>102</v>
      </c>
      <c r="AD773" s="249">
        <v>5.2983635472529211E-2</v>
      </c>
      <c r="AE773" s="228">
        <f t="shared" si="61"/>
        <v>0.1122328118842657</v>
      </c>
      <c r="AG773" s="228"/>
      <c r="AH773" s="228"/>
      <c r="AI773" s="228"/>
      <c r="AJ773" s="228"/>
      <c r="AK773" s="228"/>
    </row>
    <row r="774" spans="4:37" x14ac:dyDescent="0.2">
      <c r="D774" s="75">
        <f t="shared" si="64"/>
        <v>103</v>
      </c>
      <c r="E774" s="80">
        <f t="shared" si="64"/>
        <v>5</v>
      </c>
      <c r="F774" s="80">
        <f t="shared" si="64"/>
        <v>5</v>
      </c>
      <c r="H774" s="239" t="s">
        <v>828</v>
      </c>
      <c r="I774" s="239" t="s">
        <v>828</v>
      </c>
      <c r="J774" s="239" t="s">
        <v>828</v>
      </c>
      <c r="L774" s="239" t="s">
        <v>828</v>
      </c>
      <c r="M774" s="95"/>
      <c r="N774" s="95"/>
      <c r="O774" s="95"/>
      <c r="T774" s="240" t="s">
        <v>828</v>
      </c>
      <c r="U774" s="241" t="s">
        <v>828</v>
      </c>
      <c r="V774" s="175"/>
      <c r="W774" s="242" t="s">
        <v>828</v>
      </c>
      <c r="X774" s="228">
        <v>5.5419539851011418E-2</v>
      </c>
      <c r="Y774" s="248">
        <v>106</v>
      </c>
      <c r="AA774" s="248">
        <v>106</v>
      </c>
      <c r="AB774" s="175"/>
      <c r="AC774" s="248">
        <f t="shared" si="62"/>
        <v>103</v>
      </c>
      <c r="AD774" s="249">
        <v>5.3606148965675962E-2</v>
      </c>
      <c r="AE774" s="228">
        <f t="shared" si="61"/>
        <v>0.1122328118842657</v>
      </c>
      <c r="AG774" s="228"/>
      <c r="AH774" s="228"/>
      <c r="AI774" s="228"/>
      <c r="AJ774" s="228"/>
      <c r="AK774" s="228"/>
    </row>
    <row r="775" spans="4:37" x14ac:dyDescent="0.2">
      <c r="D775" s="75">
        <f t="shared" si="64"/>
        <v>104</v>
      </c>
      <c r="E775" s="80">
        <f t="shared" si="64"/>
        <v>5</v>
      </c>
      <c r="F775" s="80">
        <f t="shared" si="64"/>
        <v>5</v>
      </c>
      <c r="H775" s="239" t="s">
        <v>828</v>
      </c>
      <c r="I775" s="239" t="s">
        <v>828</v>
      </c>
      <c r="J775" s="239" t="s">
        <v>828</v>
      </c>
      <c r="L775" s="239" t="s">
        <v>828</v>
      </c>
      <c r="M775" s="95"/>
      <c r="N775" s="95"/>
      <c r="O775" s="95"/>
      <c r="T775" s="240" t="s">
        <v>828</v>
      </c>
      <c r="U775" s="241" t="s">
        <v>828</v>
      </c>
      <c r="V775" s="175"/>
      <c r="W775" s="242" t="s">
        <v>828</v>
      </c>
      <c r="X775" s="228">
        <v>9.4956498915901466E-2</v>
      </c>
      <c r="Y775" s="248">
        <v>159</v>
      </c>
      <c r="AA775" s="248">
        <v>159</v>
      </c>
      <c r="AB775" s="175"/>
      <c r="AC775" s="248">
        <f t="shared" si="62"/>
        <v>104</v>
      </c>
      <c r="AD775" s="249">
        <v>5.4348457105506433E-2</v>
      </c>
      <c r="AE775" s="228">
        <f t="shared" si="61"/>
        <v>0.1122328118842657</v>
      </c>
      <c r="AG775" s="228"/>
      <c r="AH775" s="228"/>
      <c r="AI775" s="228"/>
      <c r="AJ775" s="228"/>
      <c r="AK775" s="228"/>
    </row>
    <row r="776" spans="4:37" x14ac:dyDescent="0.2">
      <c r="D776" s="75">
        <f t="shared" si="64"/>
        <v>105</v>
      </c>
      <c r="E776" s="80">
        <f t="shared" si="64"/>
        <v>5</v>
      </c>
      <c r="F776" s="80">
        <f t="shared" si="64"/>
        <v>5</v>
      </c>
      <c r="H776" s="239" t="s">
        <v>828</v>
      </c>
      <c r="I776" s="239" t="s">
        <v>828</v>
      </c>
      <c r="J776" s="239" t="s">
        <v>828</v>
      </c>
      <c r="L776" s="239" t="s">
        <v>828</v>
      </c>
      <c r="M776" s="95"/>
      <c r="N776" s="95"/>
      <c r="O776" s="95"/>
      <c r="T776" s="240" t="s">
        <v>828</v>
      </c>
      <c r="U776" s="241" t="s">
        <v>828</v>
      </c>
      <c r="V776" s="175"/>
      <c r="W776" s="242" t="s">
        <v>828</v>
      </c>
      <c r="X776" s="228">
        <v>7.5342601046754679E-2</v>
      </c>
      <c r="Y776" s="248">
        <v>131</v>
      </c>
      <c r="AA776" s="248">
        <v>131</v>
      </c>
      <c r="AB776" s="175"/>
      <c r="AC776" s="248">
        <f t="shared" si="62"/>
        <v>105</v>
      </c>
      <c r="AD776" s="249">
        <v>5.4396378066283717E-2</v>
      </c>
      <c r="AE776" s="228">
        <f t="shared" si="61"/>
        <v>0.1122328118842657</v>
      </c>
      <c r="AG776" s="228"/>
      <c r="AH776" s="228"/>
      <c r="AI776" s="228"/>
      <c r="AJ776" s="228"/>
      <c r="AK776" s="228"/>
    </row>
    <row r="777" spans="4:37" x14ac:dyDescent="0.2">
      <c r="D777" s="75">
        <f t="shared" si="64"/>
        <v>106</v>
      </c>
      <c r="E777" s="80">
        <f t="shared" si="64"/>
        <v>5</v>
      </c>
      <c r="F777" s="80">
        <f t="shared" si="64"/>
        <v>5</v>
      </c>
      <c r="H777" s="239" t="s">
        <v>828</v>
      </c>
      <c r="I777" s="239" t="s">
        <v>828</v>
      </c>
      <c r="J777" s="239" t="s">
        <v>828</v>
      </c>
      <c r="L777" s="239" t="s">
        <v>828</v>
      </c>
      <c r="M777" s="95"/>
      <c r="N777" s="95"/>
      <c r="O777" s="95"/>
      <c r="T777" s="240" t="s">
        <v>828</v>
      </c>
      <c r="U777" s="241" t="s">
        <v>828</v>
      </c>
      <c r="V777" s="175"/>
      <c r="W777" s="242" t="s">
        <v>828</v>
      </c>
      <c r="X777" s="228">
        <v>8.1796002826923495E-2</v>
      </c>
      <c r="Y777" s="248">
        <v>139</v>
      </c>
      <c r="AA777" s="248">
        <v>139</v>
      </c>
      <c r="AB777" s="175"/>
      <c r="AC777" s="248">
        <f t="shared" si="62"/>
        <v>106</v>
      </c>
      <c r="AD777" s="249">
        <v>5.5419539851011418E-2</v>
      </c>
      <c r="AE777" s="228">
        <f t="shared" si="61"/>
        <v>0.1122328118842657</v>
      </c>
      <c r="AG777" s="228"/>
      <c r="AH777" s="228"/>
      <c r="AI777" s="228"/>
      <c r="AJ777" s="228"/>
      <c r="AK777" s="228"/>
    </row>
    <row r="778" spans="4:37" x14ac:dyDescent="0.2">
      <c r="D778" s="75">
        <f t="shared" si="64"/>
        <v>107</v>
      </c>
      <c r="E778" s="80">
        <f t="shared" si="64"/>
        <v>5</v>
      </c>
      <c r="F778" s="80">
        <f t="shared" si="64"/>
        <v>5</v>
      </c>
      <c r="H778" s="239" t="s">
        <v>828</v>
      </c>
      <c r="I778" s="239" t="s">
        <v>828</v>
      </c>
      <c r="J778" s="239" t="s">
        <v>828</v>
      </c>
      <c r="L778" s="239" t="s">
        <v>828</v>
      </c>
      <c r="M778" s="95"/>
      <c r="N778" s="95"/>
      <c r="O778" s="95"/>
      <c r="T778" s="240" t="s">
        <v>828</v>
      </c>
      <c r="U778" s="241" t="s">
        <v>828</v>
      </c>
      <c r="V778" s="175"/>
      <c r="W778" s="242" t="s">
        <v>828</v>
      </c>
      <c r="X778" s="228">
        <v>-9.599682247552567E-2</v>
      </c>
      <c r="Y778" s="248">
        <v>15</v>
      </c>
      <c r="AA778" s="248">
        <v>15</v>
      </c>
      <c r="AB778" s="175"/>
      <c r="AC778" s="248">
        <f t="shared" si="62"/>
        <v>107</v>
      </c>
      <c r="AD778" s="249">
        <v>5.5796093136179774E-2</v>
      </c>
      <c r="AE778" s="228">
        <f t="shared" si="61"/>
        <v>0.1122328118842657</v>
      </c>
      <c r="AG778" s="228"/>
      <c r="AH778" s="228"/>
      <c r="AI778" s="228"/>
      <c r="AJ778" s="228"/>
      <c r="AK778" s="228"/>
    </row>
    <row r="779" spans="4:37" x14ac:dyDescent="0.2">
      <c r="D779" s="75">
        <f t="shared" si="64"/>
        <v>108</v>
      </c>
      <c r="E779" s="80">
        <f t="shared" si="64"/>
        <v>5</v>
      </c>
      <c r="F779" s="80">
        <f t="shared" si="64"/>
        <v>5</v>
      </c>
      <c r="H779" s="239" t="s">
        <v>828</v>
      </c>
      <c r="I779" s="239" t="s">
        <v>828</v>
      </c>
      <c r="J779" s="239" t="s">
        <v>828</v>
      </c>
      <c r="L779" s="239" t="s">
        <v>828</v>
      </c>
      <c r="M779" s="95"/>
      <c r="N779" s="95"/>
      <c r="O779" s="95"/>
      <c r="T779" s="240" t="s">
        <v>828</v>
      </c>
      <c r="U779" s="241" t="s">
        <v>828</v>
      </c>
      <c r="V779" s="175"/>
      <c r="W779" s="242" t="s">
        <v>828</v>
      </c>
      <c r="X779" s="228">
        <v>-9.7314815834521479E-2</v>
      </c>
      <c r="Y779" s="248">
        <v>14</v>
      </c>
      <c r="AA779" s="248">
        <v>14</v>
      </c>
      <c r="AB779" s="175"/>
      <c r="AC779" s="248">
        <f t="shared" si="62"/>
        <v>108</v>
      </c>
      <c r="AD779" s="249">
        <v>5.617796891895923E-2</v>
      </c>
      <c r="AE779" s="228">
        <f t="shared" si="61"/>
        <v>0.1122328118842657</v>
      </c>
      <c r="AG779" s="228"/>
      <c r="AH779" s="228"/>
      <c r="AI779" s="228"/>
      <c r="AJ779" s="228"/>
      <c r="AK779" s="228"/>
    </row>
    <row r="780" spans="4:37" x14ac:dyDescent="0.2">
      <c r="D780" s="75">
        <f t="shared" si="64"/>
        <v>109</v>
      </c>
      <c r="E780" s="80">
        <f t="shared" si="64"/>
        <v>5</v>
      </c>
      <c r="F780" s="80">
        <f t="shared" si="64"/>
        <v>5</v>
      </c>
      <c r="H780" s="239" t="s">
        <v>828</v>
      </c>
      <c r="I780" s="239" t="s">
        <v>828</v>
      </c>
      <c r="J780" s="239" t="s">
        <v>828</v>
      </c>
      <c r="L780" s="239" t="s">
        <v>828</v>
      </c>
      <c r="M780" s="95"/>
      <c r="N780" s="95"/>
      <c r="O780" s="95"/>
      <c r="T780" s="240" t="s">
        <v>828</v>
      </c>
      <c r="U780" s="241" t="s">
        <v>828</v>
      </c>
      <c r="V780" s="175"/>
      <c r="W780" s="242" t="s">
        <v>828</v>
      </c>
      <c r="X780" s="228">
        <v>-8.0728849595447461E-2</v>
      </c>
      <c r="Y780" s="248">
        <v>23</v>
      </c>
      <c r="AA780" s="248">
        <v>23</v>
      </c>
      <c r="AB780" s="175"/>
      <c r="AC780" s="248">
        <f t="shared" si="62"/>
        <v>109</v>
      </c>
      <c r="AD780" s="249">
        <v>5.7054492785158471E-2</v>
      </c>
      <c r="AE780" s="228">
        <f t="shared" si="61"/>
        <v>0.1122328118842657</v>
      </c>
      <c r="AG780" s="228"/>
      <c r="AH780" s="228"/>
      <c r="AI780" s="228"/>
      <c r="AJ780" s="228"/>
      <c r="AK780" s="228"/>
    </row>
    <row r="781" spans="4:37" x14ac:dyDescent="0.2">
      <c r="D781" s="75">
        <f t="shared" si="64"/>
        <v>110</v>
      </c>
      <c r="E781" s="80">
        <f t="shared" si="64"/>
        <v>5</v>
      </c>
      <c r="F781" s="80">
        <f t="shared" si="64"/>
        <v>5</v>
      </c>
      <c r="H781" s="239" t="s">
        <v>828</v>
      </c>
      <c r="I781" s="239" t="s">
        <v>828</v>
      </c>
      <c r="J781" s="239" t="s">
        <v>828</v>
      </c>
      <c r="L781" s="239" t="s">
        <v>828</v>
      </c>
      <c r="M781" s="95"/>
      <c r="N781" s="95"/>
      <c r="O781" s="95"/>
      <c r="T781" s="240" t="s">
        <v>828</v>
      </c>
      <c r="U781" s="241" t="s">
        <v>828</v>
      </c>
      <c r="V781" s="175"/>
      <c r="W781" s="242" t="s">
        <v>828</v>
      </c>
      <c r="X781" s="228">
        <v>-3.5261373059112967E-3</v>
      </c>
      <c r="Y781" s="248">
        <v>58</v>
      </c>
      <c r="AA781" s="248">
        <v>58</v>
      </c>
      <c r="AB781" s="175"/>
      <c r="AC781" s="248">
        <f t="shared" si="62"/>
        <v>110</v>
      </c>
      <c r="AD781" s="249">
        <v>5.7211241264578744E-2</v>
      </c>
      <c r="AE781" s="228">
        <f t="shared" si="61"/>
        <v>0.1122328118842657</v>
      </c>
      <c r="AG781" s="228"/>
      <c r="AH781" s="228"/>
      <c r="AI781" s="228"/>
      <c r="AJ781" s="228"/>
      <c r="AK781" s="228"/>
    </row>
    <row r="782" spans="4:37" x14ac:dyDescent="0.2">
      <c r="D782" s="75">
        <f t="shared" si="64"/>
        <v>111</v>
      </c>
      <c r="E782" s="80">
        <f t="shared" si="64"/>
        <v>5</v>
      </c>
      <c r="F782" s="80">
        <f t="shared" si="64"/>
        <v>5</v>
      </c>
      <c r="H782" s="239" t="s">
        <v>828</v>
      </c>
      <c r="I782" s="239" t="s">
        <v>828</v>
      </c>
      <c r="J782" s="239" t="s">
        <v>828</v>
      </c>
      <c r="L782" s="239" t="s">
        <v>828</v>
      </c>
      <c r="M782" s="95"/>
      <c r="N782" s="95"/>
      <c r="O782" s="95"/>
      <c r="T782" s="240" t="s">
        <v>828</v>
      </c>
      <c r="U782" s="241" t="s">
        <v>828</v>
      </c>
      <c r="V782" s="175"/>
      <c r="W782" s="242" t="s">
        <v>828</v>
      </c>
      <c r="X782" s="228">
        <v>3.7944408173042954E-2</v>
      </c>
      <c r="Y782" s="248">
        <v>87</v>
      </c>
      <c r="AA782" s="248">
        <v>87</v>
      </c>
      <c r="AB782" s="175"/>
      <c r="AC782" s="248">
        <f t="shared" si="62"/>
        <v>111</v>
      </c>
      <c r="AD782" s="249">
        <v>5.9246708554538584E-2</v>
      </c>
      <c r="AE782" s="228">
        <f t="shared" si="61"/>
        <v>0.1122328118842657</v>
      </c>
      <c r="AG782" s="228"/>
      <c r="AH782" s="228"/>
      <c r="AI782" s="228"/>
      <c r="AJ782" s="228"/>
      <c r="AK782" s="228"/>
    </row>
    <row r="783" spans="4:37" x14ac:dyDescent="0.2">
      <c r="D783" s="75">
        <f t="shared" si="64"/>
        <v>112</v>
      </c>
      <c r="E783" s="80">
        <f t="shared" si="64"/>
        <v>5</v>
      </c>
      <c r="F783" s="80">
        <f t="shared" si="64"/>
        <v>5</v>
      </c>
      <c r="H783" s="239" t="s">
        <v>828</v>
      </c>
      <c r="I783" s="239" t="s">
        <v>828</v>
      </c>
      <c r="J783" s="239" t="s">
        <v>828</v>
      </c>
      <c r="L783" s="239" t="s">
        <v>828</v>
      </c>
      <c r="M783" s="95"/>
      <c r="N783" s="95"/>
      <c r="O783" s="95"/>
      <c r="T783" s="240" t="s">
        <v>828</v>
      </c>
      <c r="U783" s="241" t="s">
        <v>828</v>
      </c>
      <c r="V783" s="175"/>
      <c r="W783" s="242" t="s">
        <v>828</v>
      </c>
      <c r="X783" s="228">
        <v>9.1208492362797475E-2</v>
      </c>
      <c r="Y783" s="248">
        <v>154</v>
      </c>
      <c r="AA783" s="248">
        <v>154</v>
      </c>
      <c r="AB783" s="175"/>
      <c r="AC783" s="248">
        <f t="shared" si="62"/>
        <v>112</v>
      </c>
      <c r="AD783" s="249">
        <v>6.0433506710704799E-2</v>
      </c>
      <c r="AE783" s="228">
        <f t="shared" si="61"/>
        <v>0.1122328118842657</v>
      </c>
      <c r="AG783" s="228"/>
      <c r="AH783" s="228"/>
      <c r="AI783" s="228"/>
      <c r="AJ783" s="228"/>
      <c r="AK783" s="228"/>
    </row>
    <row r="784" spans="4:37" x14ac:dyDescent="0.2">
      <c r="D784" s="75">
        <f t="shared" si="64"/>
        <v>113</v>
      </c>
      <c r="E784" s="80">
        <f t="shared" si="64"/>
        <v>5</v>
      </c>
      <c r="F784" s="80">
        <f t="shared" si="64"/>
        <v>5</v>
      </c>
      <c r="H784" s="239" t="s">
        <v>828</v>
      </c>
      <c r="I784" s="239" t="s">
        <v>828</v>
      </c>
      <c r="J784" s="239" t="s">
        <v>828</v>
      </c>
      <c r="L784" s="239" t="s">
        <v>828</v>
      </c>
      <c r="M784" s="95"/>
      <c r="N784" s="95"/>
      <c r="O784" s="95"/>
      <c r="T784" s="240" t="s">
        <v>828</v>
      </c>
      <c r="U784" s="241" t="s">
        <v>828</v>
      </c>
      <c r="V784" s="175"/>
      <c r="W784" s="242" t="s">
        <v>828</v>
      </c>
      <c r="X784" s="228">
        <v>1.2672089736356274E-2</v>
      </c>
      <c r="Y784" s="248">
        <v>69</v>
      </c>
      <c r="AA784" s="248">
        <v>69</v>
      </c>
      <c r="AB784" s="175"/>
      <c r="AC784" s="248">
        <f t="shared" si="62"/>
        <v>113</v>
      </c>
      <c r="AD784" s="249">
        <v>6.3433643084674113E-2</v>
      </c>
      <c r="AE784" s="228">
        <f t="shared" si="61"/>
        <v>0.1122328118842657</v>
      </c>
      <c r="AG784" s="228"/>
      <c r="AH784" s="228"/>
      <c r="AI784" s="228"/>
      <c r="AJ784" s="228"/>
      <c r="AK784" s="228"/>
    </row>
    <row r="785" spans="4:37" x14ac:dyDescent="0.2">
      <c r="D785" s="75">
        <f t="shared" si="64"/>
        <v>114</v>
      </c>
      <c r="E785" s="80">
        <f t="shared" si="64"/>
        <v>5</v>
      </c>
      <c r="F785" s="80">
        <f t="shared" si="64"/>
        <v>5</v>
      </c>
      <c r="H785" s="239" t="s">
        <v>828</v>
      </c>
      <c r="I785" s="239" t="s">
        <v>828</v>
      </c>
      <c r="J785" s="239" t="s">
        <v>828</v>
      </c>
      <c r="L785" s="239" t="s">
        <v>828</v>
      </c>
      <c r="M785" s="95"/>
      <c r="N785" s="95"/>
      <c r="O785" s="95"/>
      <c r="T785" s="240" t="s">
        <v>828</v>
      </c>
      <c r="U785" s="241" t="s">
        <v>828</v>
      </c>
      <c r="V785" s="175"/>
      <c r="W785" s="242" t="s">
        <v>828</v>
      </c>
      <c r="X785" s="228">
        <v>0.13380751608806832</v>
      </c>
      <c r="Y785" s="248">
        <v>211</v>
      </c>
      <c r="AA785" s="248">
        <v>211</v>
      </c>
      <c r="AB785" s="175"/>
      <c r="AC785" s="248">
        <f t="shared" si="62"/>
        <v>114</v>
      </c>
      <c r="AD785" s="249">
        <v>6.403449398502864E-2</v>
      </c>
      <c r="AE785" s="228">
        <f t="shared" si="61"/>
        <v>0.1122328118842657</v>
      </c>
      <c r="AG785" s="228"/>
      <c r="AH785" s="228"/>
      <c r="AI785" s="228"/>
      <c r="AJ785" s="228"/>
      <c r="AK785" s="228"/>
    </row>
    <row r="786" spans="4:37" x14ac:dyDescent="0.2">
      <c r="D786" s="75">
        <f t="shared" si="64"/>
        <v>115</v>
      </c>
      <c r="E786" s="80">
        <f t="shared" si="64"/>
        <v>5</v>
      </c>
      <c r="F786" s="80">
        <f t="shared" si="64"/>
        <v>5</v>
      </c>
      <c r="H786" s="239" t="s">
        <v>828</v>
      </c>
      <c r="I786" s="239" t="s">
        <v>828</v>
      </c>
      <c r="J786" s="239" t="s">
        <v>828</v>
      </c>
      <c r="L786" s="239" t="s">
        <v>828</v>
      </c>
      <c r="M786" s="95"/>
      <c r="N786" s="95"/>
      <c r="O786" s="95"/>
      <c r="T786" s="240" t="s">
        <v>828</v>
      </c>
      <c r="U786" s="241" t="s">
        <v>828</v>
      </c>
      <c r="V786" s="175"/>
      <c r="W786" s="242" t="s">
        <v>828</v>
      </c>
      <c r="X786" s="228">
        <v>-4.7182008117809225E-2</v>
      </c>
      <c r="Y786" s="248">
        <v>34</v>
      </c>
      <c r="AA786" s="248">
        <v>34</v>
      </c>
      <c r="AB786" s="175"/>
      <c r="AC786" s="248">
        <f t="shared" si="62"/>
        <v>115</v>
      </c>
      <c r="AD786" s="249">
        <v>6.4373718092624641E-2</v>
      </c>
      <c r="AE786" s="228">
        <f t="shared" si="61"/>
        <v>0.1122328118842657</v>
      </c>
      <c r="AG786" s="228"/>
      <c r="AH786" s="228"/>
      <c r="AI786" s="228"/>
      <c r="AJ786" s="228"/>
      <c r="AK786" s="228"/>
    </row>
    <row r="787" spans="4:37" x14ac:dyDescent="0.2">
      <c r="D787" s="75">
        <f t="shared" si="64"/>
        <v>116</v>
      </c>
      <c r="E787" s="80">
        <f t="shared" si="64"/>
        <v>5</v>
      </c>
      <c r="F787" s="80">
        <f t="shared" si="64"/>
        <v>5</v>
      </c>
      <c r="H787" s="239" t="s">
        <v>828</v>
      </c>
      <c r="I787" s="239" t="s">
        <v>828</v>
      </c>
      <c r="J787" s="239" t="s">
        <v>828</v>
      </c>
      <c r="L787" s="239" t="s">
        <v>828</v>
      </c>
      <c r="M787" s="95"/>
      <c r="N787" s="95"/>
      <c r="O787" s="95"/>
      <c r="T787" s="240" t="s">
        <v>828</v>
      </c>
      <c r="U787" s="241" t="s">
        <v>828</v>
      </c>
      <c r="V787" s="175"/>
      <c r="W787" s="242" t="s">
        <v>828</v>
      </c>
      <c r="X787" s="228">
        <v>-7.9820251067397582E-2</v>
      </c>
      <c r="Y787" s="248">
        <v>24</v>
      </c>
      <c r="AA787" s="248">
        <v>24</v>
      </c>
      <c r="AB787" s="175"/>
      <c r="AC787" s="248">
        <f t="shared" si="62"/>
        <v>116</v>
      </c>
      <c r="AD787" s="249">
        <v>6.4707051752853448E-2</v>
      </c>
      <c r="AE787" s="228">
        <f t="shared" si="61"/>
        <v>0.1122328118842657</v>
      </c>
      <c r="AG787" s="228"/>
      <c r="AH787" s="228"/>
      <c r="AI787" s="228"/>
      <c r="AJ787" s="228"/>
      <c r="AK787" s="228"/>
    </row>
    <row r="788" spans="4:37" x14ac:dyDescent="0.2">
      <c r="D788" s="75">
        <f t="shared" si="64"/>
        <v>117</v>
      </c>
      <c r="E788" s="80">
        <f t="shared" si="64"/>
        <v>5</v>
      </c>
      <c r="F788" s="80">
        <f t="shared" si="64"/>
        <v>5</v>
      </c>
      <c r="H788" s="239" t="s">
        <v>828</v>
      </c>
      <c r="I788" s="239" t="s">
        <v>828</v>
      </c>
      <c r="J788" s="239" t="s">
        <v>828</v>
      </c>
      <c r="L788" s="239" t="s">
        <v>828</v>
      </c>
      <c r="M788" s="95"/>
      <c r="N788" s="95"/>
      <c r="O788" s="95"/>
      <c r="T788" s="240" t="s">
        <v>828</v>
      </c>
      <c r="U788" s="241" t="s">
        <v>828</v>
      </c>
      <c r="V788" s="175"/>
      <c r="W788" s="242" t="s">
        <v>828</v>
      </c>
      <c r="X788" s="228">
        <v>6.6378404046690029E-2</v>
      </c>
      <c r="Y788" s="248">
        <v>118</v>
      </c>
      <c r="AA788" s="248">
        <v>118</v>
      </c>
      <c r="AB788" s="175"/>
      <c r="AC788" s="248">
        <f t="shared" si="62"/>
        <v>117</v>
      </c>
      <c r="AD788" s="249">
        <v>6.6210633321691942E-2</v>
      </c>
      <c r="AE788" s="228">
        <f t="shared" si="61"/>
        <v>0.1122328118842657</v>
      </c>
      <c r="AG788" s="228"/>
      <c r="AH788" s="228"/>
      <c r="AI788" s="228"/>
      <c r="AJ788" s="228"/>
      <c r="AK788" s="228"/>
    </row>
    <row r="789" spans="4:37" x14ac:dyDescent="0.2">
      <c r="D789" s="75">
        <f t="shared" si="64"/>
        <v>118</v>
      </c>
      <c r="E789" s="80">
        <f t="shared" si="64"/>
        <v>5</v>
      </c>
      <c r="F789" s="80">
        <f t="shared" si="64"/>
        <v>5</v>
      </c>
      <c r="H789" s="239" t="s">
        <v>828</v>
      </c>
      <c r="I789" s="239" t="s">
        <v>828</v>
      </c>
      <c r="J789" s="239" t="s">
        <v>828</v>
      </c>
      <c r="L789" s="239" t="s">
        <v>828</v>
      </c>
      <c r="M789" s="95"/>
      <c r="N789" s="95"/>
      <c r="O789" s="95"/>
      <c r="T789" s="240" t="s">
        <v>828</v>
      </c>
      <c r="U789" s="241" t="s">
        <v>828</v>
      </c>
      <c r="V789" s="175"/>
      <c r="W789" s="242" t="s">
        <v>828</v>
      </c>
      <c r="X789" s="228">
        <v>-9.0429460349449486E-2</v>
      </c>
      <c r="Y789" s="248">
        <v>18</v>
      </c>
      <c r="AA789" s="248">
        <v>18</v>
      </c>
      <c r="AB789" s="175"/>
      <c r="AC789" s="248">
        <f t="shared" si="62"/>
        <v>118</v>
      </c>
      <c r="AD789" s="249">
        <v>6.6378404046690029E-2</v>
      </c>
      <c r="AE789" s="228">
        <f t="shared" si="61"/>
        <v>0.1122328118842657</v>
      </c>
      <c r="AG789" s="228"/>
      <c r="AH789" s="228"/>
      <c r="AI789" s="228"/>
      <c r="AJ789" s="228"/>
      <c r="AK789" s="228"/>
    </row>
    <row r="790" spans="4:37" x14ac:dyDescent="0.2">
      <c r="D790" s="75">
        <f t="shared" si="64"/>
        <v>119</v>
      </c>
      <c r="E790" s="80">
        <f t="shared" si="64"/>
        <v>5</v>
      </c>
      <c r="F790" s="80">
        <f t="shared" si="64"/>
        <v>5</v>
      </c>
      <c r="H790" s="239" t="s">
        <v>828</v>
      </c>
      <c r="I790" s="239" t="s">
        <v>828</v>
      </c>
      <c r="J790" s="239" t="s">
        <v>828</v>
      </c>
      <c r="L790" s="239" t="s">
        <v>828</v>
      </c>
      <c r="M790" s="95"/>
      <c r="N790" s="95"/>
      <c r="O790" s="95"/>
      <c r="T790" s="240" t="s">
        <v>828</v>
      </c>
      <c r="U790" s="241" t="s">
        <v>828</v>
      </c>
      <c r="V790" s="175"/>
      <c r="W790" s="242" t="s">
        <v>828</v>
      </c>
      <c r="X790" s="228">
        <v>-5.2860010682834795E-2</v>
      </c>
      <c r="Y790" s="248">
        <v>33</v>
      </c>
      <c r="AA790" s="248">
        <v>33</v>
      </c>
      <c r="AB790" s="175"/>
      <c r="AC790" s="248">
        <f t="shared" si="62"/>
        <v>119</v>
      </c>
      <c r="AD790" s="249">
        <v>6.7078899330452163E-2</v>
      </c>
      <c r="AE790" s="228">
        <f t="shared" si="61"/>
        <v>0.1122328118842657</v>
      </c>
      <c r="AG790" s="228"/>
      <c r="AH790" s="228"/>
      <c r="AI790" s="228"/>
      <c r="AJ790" s="228"/>
      <c r="AK790" s="228"/>
    </row>
    <row r="791" spans="4:37" x14ac:dyDescent="0.2">
      <c r="D791" s="75">
        <f t="shared" si="64"/>
        <v>120</v>
      </c>
      <c r="E791" s="80">
        <f t="shared" si="64"/>
        <v>5</v>
      </c>
      <c r="F791" s="80">
        <f t="shared" si="64"/>
        <v>5</v>
      </c>
      <c r="H791" s="239" t="s">
        <v>828</v>
      </c>
      <c r="I791" s="239" t="s">
        <v>828</v>
      </c>
      <c r="J791" s="239" t="s">
        <v>828</v>
      </c>
      <c r="L791" s="239" t="s">
        <v>828</v>
      </c>
      <c r="M791" s="95"/>
      <c r="N791" s="95"/>
      <c r="O791" s="95"/>
      <c r="T791" s="240" t="s">
        <v>828</v>
      </c>
      <c r="U791" s="241" t="s">
        <v>828</v>
      </c>
      <c r="V791" s="175"/>
      <c r="W791" s="242" t="s">
        <v>828</v>
      </c>
      <c r="X791" s="228">
        <v>-9.1221127035423052E-2</v>
      </c>
      <c r="Y791" s="248">
        <v>17</v>
      </c>
      <c r="AA791" s="248">
        <v>17</v>
      </c>
      <c r="AB791" s="175"/>
      <c r="AC791" s="248">
        <f t="shared" si="62"/>
        <v>120</v>
      </c>
      <c r="AD791" s="249">
        <v>6.7428852022473576E-2</v>
      </c>
      <c r="AE791" s="228">
        <f t="shared" si="61"/>
        <v>0.1122328118842657</v>
      </c>
      <c r="AG791" s="228"/>
      <c r="AH791" s="228"/>
      <c r="AI791" s="228"/>
      <c r="AJ791" s="228"/>
      <c r="AK791" s="228"/>
    </row>
    <row r="792" spans="4:37" x14ac:dyDescent="0.2">
      <c r="D792" s="75">
        <f t="shared" ref="D792:F811" si="65">D481</f>
        <v>121</v>
      </c>
      <c r="E792" s="80">
        <f t="shared" si="65"/>
        <v>5</v>
      </c>
      <c r="F792" s="80">
        <f t="shared" si="65"/>
        <v>5</v>
      </c>
      <c r="H792" s="239" t="s">
        <v>828</v>
      </c>
      <c r="I792" s="239" t="s">
        <v>828</v>
      </c>
      <c r="J792" s="239" t="s">
        <v>828</v>
      </c>
      <c r="L792" s="239" t="s">
        <v>828</v>
      </c>
      <c r="M792" s="95"/>
      <c r="N792" s="95"/>
      <c r="O792" s="95"/>
      <c r="T792" s="240" t="s">
        <v>828</v>
      </c>
      <c r="U792" s="241" t="s">
        <v>828</v>
      </c>
      <c r="V792" s="175"/>
      <c r="W792" s="242" t="s">
        <v>828</v>
      </c>
      <c r="X792" s="228">
        <v>7.623117773821031E-2</v>
      </c>
      <c r="Y792" s="248">
        <v>134</v>
      </c>
      <c r="AA792" s="248">
        <v>134</v>
      </c>
      <c r="AB792" s="175"/>
      <c r="AC792" s="248">
        <f t="shared" si="62"/>
        <v>121</v>
      </c>
      <c r="AD792" s="249">
        <v>6.8451801524280695E-2</v>
      </c>
      <c r="AE792" s="228">
        <f t="shared" si="61"/>
        <v>0.1122328118842657</v>
      </c>
      <c r="AG792" s="228"/>
      <c r="AH792" s="228"/>
      <c r="AI792" s="228"/>
      <c r="AJ792" s="228"/>
      <c r="AK792" s="228"/>
    </row>
    <row r="793" spans="4:37" x14ac:dyDescent="0.2">
      <c r="D793" s="75">
        <f t="shared" si="65"/>
        <v>122</v>
      </c>
      <c r="E793" s="80">
        <f t="shared" si="65"/>
        <v>5</v>
      </c>
      <c r="F793" s="80">
        <f t="shared" si="65"/>
        <v>5</v>
      </c>
      <c r="H793" s="239" t="s">
        <v>828</v>
      </c>
      <c r="I793" s="239" t="s">
        <v>828</v>
      </c>
      <c r="J793" s="239" t="s">
        <v>828</v>
      </c>
      <c r="L793" s="239" t="s">
        <v>828</v>
      </c>
      <c r="M793" s="95"/>
      <c r="N793" s="95"/>
      <c r="O793" s="95"/>
      <c r="T793" s="240" t="s">
        <v>828</v>
      </c>
      <c r="U793" s="241" t="s">
        <v>828</v>
      </c>
      <c r="V793" s="175"/>
      <c r="W793" s="242" t="s">
        <v>828</v>
      </c>
      <c r="X793" s="228">
        <v>4.9873319357820634E-2</v>
      </c>
      <c r="Y793" s="248">
        <v>100</v>
      </c>
      <c r="AA793" s="248">
        <v>100</v>
      </c>
      <c r="AB793" s="175"/>
      <c r="AC793" s="248">
        <f t="shared" si="62"/>
        <v>122</v>
      </c>
      <c r="AD793" s="249">
        <v>6.8610257459872703E-2</v>
      </c>
      <c r="AE793" s="228">
        <f t="shared" si="61"/>
        <v>0.1122328118842657</v>
      </c>
      <c r="AG793" s="228"/>
      <c r="AH793" s="228"/>
      <c r="AI793" s="228"/>
      <c r="AJ793" s="228"/>
      <c r="AK793" s="228"/>
    </row>
    <row r="794" spans="4:37" x14ac:dyDescent="0.2">
      <c r="D794" s="75">
        <f t="shared" si="65"/>
        <v>123</v>
      </c>
      <c r="E794" s="80">
        <f t="shared" si="65"/>
        <v>5</v>
      </c>
      <c r="F794" s="80">
        <f t="shared" si="65"/>
        <v>5</v>
      </c>
      <c r="H794" s="239" t="s">
        <v>828</v>
      </c>
      <c r="I794" s="239" t="s">
        <v>828</v>
      </c>
      <c r="J794" s="239" t="s">
        <v>828</v>
      </c>
      <c r="L794" s="239" t="s">
        <v>828</v>
      </c>
      <c r="M794" s="95"/>
      <c r="N794" s="95"/>
      <c r="O794" s="95"/>
      <c r="T794" s="240" t="s">
        <v>828</v>
      </c>
      <c r="U794" s="241" t="s">
        <v>828</v>
      </c>
      <c r="V794" s="175"/>
      <c r="W794" s="242" t="s">
        <v>828</v>
      </c>
      <c r="X794" s="228">
        <v>4.139275177290222E-2</v>
      </c>
      <c r="Y794" s="248">
        <v>92</v>
      </c>
      <c r="AA794" s="248">
        <v>92</v>
      </c>
      <c r="AB794" s="175"/>
      <c r="AC794" s="248">
        <f t="shared" si="62"/>
        <v>123</v>
      </c>
      <c r="AD794" s="249">
        <v>6.8986638201086192E-2</v>
      </c>
      <c r="AE794" s="228">
        <f t="shared" si="61"/>
        <v>0.1122328118842657</v>
      </c>
      <c r="AG794" s="228"/>
      <c r="AH794" s="228"/>
      <c r="AI794" s="228"/>
      <c r="AJ794" s="228"/>
      <c r="AK794" s="228"/>
    </row>
    <row r="795" spans="4:37" x14ac:dyDescent="0.2">
      <c r="D795" s="75">
        <f t="shared" si="65"/>
        <v>124</v>
      </c>
      <c r="E795" s="80">
        <f t="shared" si="65"/>
        <v>5</v>
      </c>
      <c r="F795" s="80">
        <f t="shared" si="65"/>
        <v>5</v>
      </c>
      <c r="H795" s="239" t="s">
        <v>828</v>
      </c>
      <c r="I795" s="239" t="s">
        <v>828</v>
      </c>
      <c r="J795" s="239" t="s">
        <v>828</v>
      </c>
      <c r="L795" s="239" t="s">
        <v>828</v>
      </c>
      <c r="M795" s="95"/>
      <c r="N795" s="95"/>
      <c r="O795" s="95"/>
      <c r="T795" s="240" t="s">
        <v>828</v>
      </c>
      <c r="U795" s="241" t="s">
        <v>828</v>
      </c>
      <c r="V795" s="175"/>
      <c r="W795" s="242" t="s">
        <v>828</v>
      </c>
      <c r="X795" s="228">
        <v>6.8610257459872703E-2</v>
      </c>
      <c r="Y795" s="248">
        <v>122</v>
      </c>
      <c r="AA795" s="248">
        <v>122</v>
      </c>
      <c r="AB795" s="175"/>
      <c r="AC795" s="248">
        <f t="shared" si="62"/>
        <v>124</v>
      </c>
      <c r="AD795" s="249">
        <v>6.927650758883637E-2</v>
      </c>
      <c r="AE795" s="228">
        <f t="shared" si="61"/>
        <v>0.1122328118842657</v>
      </c>
      <c r="AG795" s="228"/>
      <c r="AH795" s="228"/>
      <c r="AI795" s="228"/>
      <c r="AJ795" s="228"/>
      <c r="AK795" s="228"/>
    </row>
    <row r="796" spans="4:37" x14ac:dyDescent="0.2">
      <c r="D796" s="75">
        <f t="shared" si="65"/>
        <v>125</v>
      </c>
      <c r="E796" s="80">
        <f t="shared" si="65"/>
        <v>5</v>
      </c>
      <c r="F796" s="80">
        <f t="shared" si="65"/>
        <v>5</v>
      </c>
      <c r="H796" s="239" t="s">
        <v>828</v>
      </c>
      <c r="I796" s="239" t="s">
        <v>828</v>
      </c>
      <c r="J796" s="239" t="s">
        <v>828</v>
      </c>
      <c r="L796" s="239" t="s">
        <v>828</v>
      </c>
      <c r="M796" s="95"/>
      <c r="N796" s="95"/>
      <c r="O796" s="95"/>
      <c r="T796" s="240" t="s">
        <v>828</v>
      </c>
      <c r="U796" s="241" t="s">
        <v>828</v>
      </c>
      <c r="V796" s="175"/>
      <c r="W796" s="242" t="s">
        <v>828</v>
      </c>
      <c r="X796" s="228">
        <v>9.7943332033236866E-2</v>
      </c>
      <c r="Y796" s="248">
        <v>168</v>
      </c>
      <c r="AA796" s="248">
        <v>168</v>
      </c>
      <c r="AB796" s="175"/>
      <c r="AC796" s="248">
        <f t="shared" si="62"/>
        <v>125</v>
      </c>
      <c r="AD796" s="249">
        <v>7.0066542955208477E-2</v>
      </c>
      <c r="AE796" s="228">
        <f t="shared" si="61"/>
        <v>0.1122328118842657</v>
      </c>
      <c r="AG796" s="228"/>
      <c r="AH796" s="228"/>
      <c r="AI796" s="228"/>
      <c r="AJ796" s="228"/>
      <c r="AK796" s="228"/>
    </row>
    <row r="797" spans="4:37" x14ac:dyDescent="0.2">
      <c r="D797" s="75">
        <f t="shared" si="65"/>
        <v>126</v>
      </c>
      <c r="E797" s="80">
        <f t="shared" si="65"/>
        <v>5</v>
      </c>
      <c r="F797" s="80">
        <f t="shared" si="65"/>
        <v>5</v>
      </c>
      <c r="H797" s="239" t="s">
        <v>828</v>
      </c>
      <c r="I797" s="239" t="s">
        <v>828</v>
      </c>
      <c r="J797" s="239" t="s">
        <v>828</v>
      </c>
      <c r="L797" s="239" t="s">
        <v>828</v>
      </c>
      <c r="M797" s="95"/>
      <c r="N797" s="95"/>
      <c r="O797" s="95"/>
      <c r="T797" s="240" t="s">
        <v>828</v>
      </c>
      <c r="U797" s="241" t="s">
        <v>828</v>
      </c>
      <c r="V797" s="175"/>
      <c r="W797" s="242" t="s">
        <v>828</v>
      </c>
      <c r="X797" s="228">
        <v>8.592421797836472E-2</v>
      </c>
      <c r="Y797" s="248">
        <v>149</v>
      </c>
      <c r="AA797" s="248">
        <v>149</v>
      </c>
      <c r="AB797" s="175"/>
      <c r="AC797" s="248">
        <f t="shared" si="62"/>
        <v>126</v>
      </c>
      <c r="AD797" s="249">
        <v>7.0537764446639076E-2</v>
      </c>
      <c r="AE797" s="228">
        <f t="shared" si="61"/>
        <v>0.1122328118842657</v>
      </c>
      <c r="AG797" s="228"/>
      <c r="AH797" s="228"/>
      <c r="AI797" s="228"/>
      <c r="AJ797" s="228"/>
      <c r="AK797" s="228"/>
    </row>
    <row r="798" spans="4:37" x14ac:dyDescent="0.2">
      <c r="D798" s="75">
        <f t="shared" si="65"/>
        <v>127</v>
      </c>
      <c r="E798" s="80">
        <f t="shared" si="65"/>
        <v>5</v>
      </c>
      <c r="F798" s="80">
        <f t="shared" si="65"/>
        <v>5</v>
      </c>
      <c r="H798" s="239" t="s">
        <v>828</v>
      </c>
      <c r="I798" s="239" t="s">
        <v>828</v>
      </c>
      <c r="J798" s="239" t="s">
        <v>828</v>
      </c>
      <c r="L798" s="239" t="s">
        <v>828</v>
      </c>
      <c r="M798" s="95"/>
      <c r="N798" s="95"/>
      <c r="O798" s="95"/>
      <c r="T798" s="240" t="s">
        <v>828</v>
      </c>
      <c r="U798" s="241" t="s">
        <v>828</v>
      </c>
      <c r="V798" s="175"/>
      <c r="W798" s="242" t="s">
        <v>828</v>
      </c>
      <c r="X798" s="228">
        <v>-1.8297334764632744E-2</v>
      </c>
      <c r="Y798" s="248">
        <v>50</v>
      </c>
      <c r="AA798" s="248">
        <v>50</v>
      </c>
      <c r="AB798" s="175"/>
      <c r="AC798" s="248">
        <f t="shared" si="62"/>
        <v>127</v>
      </c>
      <c r="AD798" s="249">
        <v>7.1275155370214588E-2</v>
      </c>
      <c r="AE798" s="228">
        <f t="shared" si="61"/>
        <v>0.1122328118842657</v>
      </c>
      <c r="AG798" s="228"/>
      <c r="AH798" s="228"/>
      <c r="AI798" s="228"/>
      <c r="AJ798" s="228"/>
      <c r="AK798" s="228"/>
    </row>
    <row r="799" spans="4:37" x14ac:dyDescent="0.2">
      <c r="D799" s="75">
        <f t="shared" si="65"/>
        <v>128</v>
      </c>
      <c r="E799" s="80">
        <f t="shared" si="65"/>
        <v>5</v>
      </c>
      <c r="F799" s="80">
        <f t="shared" si="65"/>
        <v>5</v>
      </c>
      <c r="H799" s="239" t="s">
        <v>828</v>
      </c>
      <c r="I799" s="239" t="s">
        <v>828</v>
      </c>
      <c r="J799" s="239" t="s">
        <v>828</v>
      </c>
      <c r="L799" s="239" t="s">
        <v>828</v>
      </c>
      <c r="M799" s="95"/>
      <c r="N799" s="95"/>
      <c r="O799" s="95"/>
      <c r="T799" s="240" t="s">
        <v>828</v>
      </c>
      <c r="U799" s="241" t="s">
        <v>828</v>
      </c>
      <c r="V799" s="175"/>
      <c r="W799" s="242" t="s">
        <v>828</v>
      </c>
      <c r="X799" s="228">
        <v>-0.11988485400468367</v>
      </c>
      <c r="Y799" s="248">
        <v>6</v>
      </c>
      <c r="AA799" s="248">
        <v>6</v>
      </c>
      <c r="AB799" s="175"/>
      <c r="AC799" s="248">
        <f t="shared" si="62"/>
        <v>128</v>
      </c>
      <c r="AD799" s="249">
        <v>7.2811069991305988E-2</v>
      </c>
      <c r="AE799" s="228">
        <f t="shared" si="61"/>
        <v>0.1122328118842657</v>
      </c>
      <c r="AG799" s="228"/>
      <c r="AH799" s="228"/>
      <c r="AI799" s="228"/>
      <c r="AJ799" s="228"/>
      <c r="AK799" s="228"/>
    </row>
    <row r="800" spans="4:37" x14ac:dyDescent="0.2">
      <c r="D800" s="75">
        <f t="shared" si="65"/>
        <v>129</v>
      </c>
      <c r="E800" s="80">
        <f t="shared" si="65"/>
        <v>5</v>
      </c>
      <c r="F800" s="80">
        <f t="shared" si="65"/>
        <v>5</v>
      </c>
      <c r="H800" s="239" t="s">
        <v>828</v>
      </c>
      <c r="I800" s="239" t="s">
        <v>828</v>
      </c>
      <c r="J800" s="239" t="s">
        <v>828</v>
      </c>
      <c r="L800" s="239" t="s">
        <v>828</v>
      </c>
      <c r="M800" s="95"/>
      <c r="N800" s="95"/>
      <c r="O800" s="95"/>
      <c r="T800" s="240" t="s">
        <v>828</v>
      </c>
      <c r="U800" s="241" t="s">
        <v>828</v>
      </c>
      <c r="V800" s="175"/>
      <c r="W800" s="242" t="s">
        <v>828</v>
      </c>
      <c r="X800" s="228">
        <v>9.3153963988403615E-2</v>
      </c>
      <c r="Y800" s="248">
        <v>156</v>
      </c>
      <c r="AA800" s="248">
        <v>156</v>
      </c>
      <c r="AB800" s="175"/>
      <c r="AC800" s="248">
        <f t="shared" si="62"/>
        <v>129</v>
      </c>
      <c r="AD800" s="249">
        <v>7.3507299636621434E-2</v>
      </c>
      <c r="AE800" s="228">
        <f t="shared" ref="AE800:AE863" si="66">$AE$669</f>
        <v>0.1122328118842657</v>
      </c>
      <c r="AG800" s="228"/>
      <c r="AH800" s="228"/>
      <c r="AI800" s="228"/>
      <c r="AJ800" s="228"/>
      <c r="AK800" s="228"/>
    </row>
    <row r="801" spans="4:37" x14ac:dyDescent="0.2">
      <c r="D801" s="75">
        <f t="shared" si="65"/>
        <v>130</v>
      </c>
      <c r="E801" s="80">
        <f t="shared" si="65"/>
        <v>5</v>
      </c>
      <c r="F801" s="80">
        <f t="shared" si="65"/>
        <v>5</v>
      </c>
      <c r="H801" s="239" t="s">
        <v>828</v>
      </c>
      <c r="I801" s="239" t="s">
        <v>828</v>
      </c>
      <c r="J801" s="239" t="s">
        <v>828</v>
      </c>
      <c r="L801" s="239" t="s">
        <v>828</v>
      </c>
      <c r="M801" s="95"/>
      <c r="N801" s="95"/>
      <c r="O801" s="95"/>
      <c r="T801" s="240" t="s">
        <v>828</v>
      </c>
      <c r="U801" s="241" t="s">
        <v>828</v>
      </c>
      <c r="V801" s="175"/>
      <c r="W801" s="242" t="s">
        <v>828</v>
      </c>
      <c r="X801" s="228">
        <v>0.11111988166139371</v>
      </c>
      <c r="Y801" s="248">
        <v>188</v>
      </c>
      <c r="AA801" s="248">
        <v>188</v>
      </c>
      <c r="AB801" s="175"/>
      <c r="AC801" s="248">
        <f t="shared" ref="AC801:AC864" si="67">N(AC800)+1</f>
        <v>130</v>
      </c>
      <c r="AD801" s="249">
        <v>7.4706393262441384E-2</v>
      </c>
      <c r="AE801" s="228">
        <f t="shared" si="66"/>
        <v>0.1122328118842657</v>
      </c>
      <c r="AG801" s="228"/>
      <c r="AH801" s="228"/>
      <c r="AI801" s="228"/>
      <c r="AJ801" s="228"/>
      <c r="AK801" s="228"/>
    </row>
    <row r="802" spans="4:37" x14ac:dyDescent="0.2">
      <c r="D802" s="75">
        <f t="shared" si="65"/>
        <v>131</v>
      </c>
      <c r="E802" s="80">
        <f t="shared" si="65"/>
        <v>5</v>
      </c>
      <c r="F802" s="80">
        <f t="shared" si="65"/>
        <v>5</v>
      </c>
      <c r="H802" s="239" t="s">
        <v>828</v>
      </c>
      <c r="I802" s="239" t="s">
        <v>828</v>
      </c>
      <c r="J802" s="239" t="s">
        <v>828</v>
      </c>
      <c r="L802" s="239" t="s">
        <v>828</v>
      </c>
      <c r="M802" s="95"/>
      <c r="N802" s="95"/>
      <c r="O802" s="95"/>
      <c r="T802" s="240" t="s">
        <v>828</v>
      </c>
      <c r="U802" s="241" t="s">
        <v>828</v>
      </c>
      <c r="V802" s="175"/>
      <c r="W802" s="242" t="s">
        <v>828</v>
      </c>
      <c r="X802" s="228">
        <v>4.6556096092726955E-3</v>
      </c>
      <c r="Y802" s="248">
        <v>63</v>
      </c>
      <c r="AA802" s="248">
        <v>63</v>
      </c>
      <c r="AB802" s="175"/>
      <c r="AC802" s="248">
        <f t="shared" si="67"/>
        <v>131</v>
      </c>
      <c r="AD802" s="249">
        <v>7.5342601046754679E-2</v>
      </c>
      <c r="AE802" s="228">
        <f t="shared" si="66"/>
        <v>0.1122328118842657</v>
      </c>
      <c r="AG802" s="228"/>
      <c r="AH802" s="228"/>
      <c r="AI802" s="228"/>
      <c r="AJ802" s="228"/>
      <c r="AK802" s="228"/>
    </row>
    <row r="803" spans="4:37" x14ac:dyDescent="0.2">
      <c r="D803" s="75">
        <f t="shared" si="65"/>
        <v>132</v>
      </c>
      <c r="E803" s="80">
        <f t="shared" si="65"/>
        <v>5</v>
      </c>
      <c r="F803" s="80">
        <f t="shared" si="65"/>
        <v>5</v>
      </c>
      <c r="H803" s="239" t="s">
        <v>828</v>
      </c>
      <c r="I803" s="239" t="s">
        <v>828</v>
      </c>
      <c r="J803" s="239" t="s">
        <v>828</v>
      </c>
      <c r="L803" s="239" t="s">
        <v>828</v>
      </c>
      <c r="M803" s="95"/>
      <c r="N803" s="95"/>
      <c r="O803" s="95"/>
      <c r="T803" s="240" t="s">
        <v>828</v>
      </c>
      <c r="U803" s="241" t="s">
        <v>828</v>
      </c>
      <c r="V803" s="175"/>
      <c r="W803" s="242" t="s">
        <v>828</v>
      </c>
      <c r="X803" s="228">
        <v>7.5386635378867542E-2</v>
      </c>
      <c r="Y803" s="248">
        <v>132</v>
      </c>
      <c r="AA803" s="248">
        <v>132</v>
      </c>
      <c r="AB803" s="175"/>
      <c r="AC803" s="248">
        <f t="shared" si="67"/>
        <v>132</v>
      </c>
      <c r="AD803" s="249">
        <v>7.5386635378867542E-2</v>
      </c>
      <c r="AE803" s="228">
        <f t="shared" si="66"/>
        <v>0.1122328118842657</v>
      </c>
      <c r="AG803" s="228"/>
      <c r="AH803" s="228"/>
      <c r="AI803" s="228"/>
      <c r="AJ803" s="228"/>
      <c r="AK803" s="228"/>
    </row>
    <row r="804" spans="4:37" x14ac:dyDescent="0.2">
      <c r="D804" s="75">
        <f t="shared" si="65"/>
        <v>133</v>
      </c>
      <c r="E804" s="80">
        <f t="shared" si="65"/>
        <v>5</v>
      </c>
      <c r="F804" s="80">
        <f t="shared" si="65"/>
        <v>5</v>
      </c>
      <c r="H804" s="239" t="s">
        <v>828</v>
      </c>
      <c r="I804" s="239" t="s">
        <v>828</v>
      </c>
      <c r="J804" s="239" t="s">
        <v>828</v>
      </c>
      <c r="L804" s="239" t="s">
        <v>828</v>
      </c>
      <c r="M804" s="95"/>
      <c r="N804" s="95"/>
      <c r="O804" s="95"/>
      <c r="T804" s="240" t="s">
        <v>828</v>
      </c>
      <c r="U804" s="241" t="s">
        <v>828</v>
      </c>
      <c r="V804" s="175"/>
      <c r="W804" s="242" t="s">
        <v>828</v>
      </c>
      <c r="X804" s="228">
        <v>3.7182774108928248E-3</v>
      </c>
      <c r="Y804" s="248">
        <v>62</v>
      </c>
      <c r="AA804" s="248">
        <v>62</v>
      </c>
      <c r="AB804" s="175"/>
      <c r="AC804" s="248">
        <f t="shared" si="67"/>
        <v>133</v>
      </c>
      <c r="AD804" s="249">
        <v>7.5738810641686236E-2</v>
      </c>
      <c r="AE804" s="228">
        <f t="shared" si="66"/>
        <v>0.1122328118842657</v>
      </c>
      <c r="AG804" s="228"/>
      <c r="AH804" s="228"/>
      <c r="AI804" s="228"/>
      <c r="AJ804" s="228"/>
      <c r="AK804" s="228"/>
    </row>
    <row r="805" spans="4:37" x14ac:dyDescent="0.2">
      <c r="D805" s="75">
        <f t="shared" si="65"/>
        <v>134</v>
      </c>
      <c r="E805" s="80">
        <f t="shared" si="65"/>
        <v>5</v>
      </c>
      <c r="F805" s="80">
        <f t="shared" si="65"/>
        <v>5</v>
      </c>
      <c r="H805" s="239" t="s">
        <v>828</v>
      </c>
      <c r="I805" s="239" t="s">
        <v>828</v>
      </c>
      <c r="J805" s="239" t="s">
        <v>828</v>
      </c>
      <c r="L805" s="239" t="s">
        <v>828</v>
      </c>
      <c r="M805" s="95"/>
      <c r="N805" s="95"/>
      <c r="O805" s="95"/>
      <c r="T805" s="240" t="s">
        <v>828</v>
      </c>
      <c r="U805" s="241" t="s">
        <v>828</v>
      </c>
      <c r="V805" s="175"/>
      <c r="W805" s="242" t="s">
        <v>828</v>
      </c>
      <c r="X805" s="228">
        <v>0.1181709841957909</v>
      </c>
      <c r="Y805" s="248">
        <v>198</v>
      </c>
      <c r="AA805" s="248">
        <v>198</v>
      </c>
      <c r="AB805" s="175"/>
      <c r="AC805" s="248">
        <f t="shared" si="67"/>
        <v>134</v>
      </c>
      <c r="AD805" s="249">
        <v>7.623117773821031E-2</v>
      </c>
      <c r="AE805" s="228">
        <f t="shared" si="66"/>
        <v>0.1122328118842657</v>
      </c>
      <c r="AG805" s="228"/>
      <c r="AH805" s="228"/>
      <c r="AI805" s="228"/>
      <c r="AJ805" s="228"/>
      <c r="AK805" s="228"/>
    </row>
    <row r="806" spans="4:37" x14ac:dyDescent="0.2">
      <c r="D806" s="75">
        <f t="shared" si="65"/>
        <v>135</v>
      </c>
      <c r="E806" s="80">
        <f t="shared" si="65"/>
        <v>5</v>
      </c>
      <c r="F806" s="80">
        <f t="shared" si="65"/>
        <v>5</v>
      </c>
      <c r="H806" s="239" t="s">
        <v>828</v>
      </c>
      <c r="I806" s="239" t="s">
        <v>828</v>
      </c>
      <c r="J806" s="239" t="s">
        <v>828</v>
      </c>
      <c r="L806" s="239" t="s">
        <v>828</v>
      </c>
      <c r="M806" s="95"/>
      <c r="N806" s="95"/>
      <c r="O806" s="95"/>
      <c r="T806" s="240" t="s">
        <v>828</v>
      </c>
      <c r="U806" s="241" t="s">
        <v>828</v>
      </c>
      <c r="V806" s="175"/>
      <c r="W806" s="242" t="s">
        <v>828</v>
      </c>
      <c r="X806" s="228">
        <v>9.8040510267686953E-2</v>
      </c>
      <c r="Y806" s="248">
        <v>169</v>
      </c>
      <c r="AA806" s="248">
        <v>169</v>
      </c>
      <c r="AB806" s="175"/>
      <c r="AC806" s="248">
        <f t="shared" si="67"/>
        <v>135</v>
      </c>
      <c r="AD806" s="249">
        <v>7.6768425602739165E-2</v>
      </c>
      <c r="AE806" s="228">
        <f t="shared" si="66"/>
        <v>0.1122328118842657</v>
      </c>
      <c r="AG806" s="228"/>
      <c r="AH806" s="228"/>
      <c r="AI806" s="228"/>
      <c r="AJ806" s="228"/>
      <c r="AK806" s="228"/>
    </row>
    <row r="807" spans="4:37" x14ac:dyDescent="0.2">
      <c r="D807" s="75">
        <f t="shared" si="65"/>
        <v>136</v>
      </c>
      <c r="E807" s="80">
        <f t="shared" si="65"/>
        <v>5</v>
      </c>
      <c r="F807" s="80">
        <f t="shared" si="65"/>
        <v>5</v>
      </c>
      <c r="H807" s="239" t="s">
        <v>828</v>
      </c>
      <c r="I807" s="239" t="s">
        <v>828</v>
      </c>
      <c r="J807" s="239" t="s">
        <v>828</v>
      </c>
      <c r="L807" s="239" t="s">
        <v>828</v>
      </c>
      <c r="M807" s="95"/>
      <c r="N807" s="95"/>
      <c r="O807" s="95"/>
      <c r="T807" s="240" t="s">
        <v>828</v>
      </c>
      <c r="U807" s="241" t="s">
        <v>828</v>
      </c>
      <c r="V807" s="175"/>
      <c r="W807" s="242" t="s">
        <v>828</v>
      </c>
      <c r="X807" s="228">
        <v>0.10908897734494449</v>
      </c>
      <c r="Y807" s="248">
        <v>184</v>
      </c>
      <c r="AA807" s="248">
        <v>184</v>
      </c>
      <c r="AB807" s="175"/>
      <c r="AC807" s="248">
        <f t="shared" si="67"/>
        <v>136</v>
      </c>
      <c r="AD807" s="249">
        <v>7.6962769076460311E-2</v>
      </c>
      <c r="AE807" s="228">
        <f t="shared" si="66"/>
        <v>0.1122328118842657</v>
      </c>
      <c r="AG807" s="228"/>
      <c r="AH807" s="228"/>
      <c r="AI807" s="228"/>
      <c r="AJ807" s="228"/>
      <c r="AK807" s="228"/>
    </row>
    <row r="808" spans="4:37" x14ac:dyDescent="0.2">
      <c r="D808" s="75">
        <f t="shared" si="65"/>
        <v>137</v>
      </c>
      <c r="E808" s="80">
        <f t="shared" si="65"/>
        <v>5</v>
      </c>
      <c r="F808" s="80">
        <f t="shared" si="65"/>
        <v>5</v>
      </c>
      <c r="H808" s="239" t="s">
        <v>828</v>
      </c>
      <c r="I808" s="239" t="s">
        <v>828</v>
      </c>
      <c r="J808" s="239" t="s">
        <v>828</v>
      </c>
      <c r="L808" s="239" t="s">
        <v>828</v>
      </c>
      <c r="M808" s="95"/>
      <c r="N808" s="95"/>
      <c r="O808" s="95"/>
      <c r="T808" s="240" t="s">
        <v>828</v>
      </c>
      <c r="U808" s="241" t="s">
        <v>828</v>
      </c>
      <c r="V808" s="175"/>
      <c r="W808" s="242" t="s">
        <v>828</v>
      </c>
      <c r="X808" s="228">
        <v>-9.523648587007616E-2</v>
      </c>
      <c r="Y808" s="248">
        <v>16</v>
      </c>
      <c r="AA808" s="248">
        <v>16</v>
      </c>
      <c r="AB808" s="175"/>
      <c r="AC808" s="248">
        <f t="shared" si="67"/>
        <v>137</v>
      </c>
      <c r="AD808" s="249">
        <v>7.839786980061296E-2</v>
      </c>
      <c r="AE808" s="228">
        <f t="shared" si="66"/>
        <v>0.1122328118842657</v>
      </c>
      <c r="AG808" s="228"/>
      <c r="AH808" s="228"/>
      <c r="AI808" s="228"/>
      <c r="AJ808" s="228"/>
      <c r="AK808" s="228"/>
    </row>
    <row r="809" spans="4:37" x14ac:dyDescent="0.2">
      <c r="D809" s="75">
        <f t="shared" si="65"/>
        <v>138</v>
      </c>
      <c r="E809" s="80">
        <f t="shared" si="65"/>
        <v>5</v>
      </c>
      <c r="F809" s="80">
        <f t="shared" si="65"/>
        <v>5</v>
      </c>
      <c r="H809" s="239" t="s">
        <v>828</v>
      </c>
      <c r="I809" s="239" t="s">
        <v>828</v>
      </c>
      <c r="J809" s="239" t="s">
        <v>828</v>
      </c>
      <c r="L809" s="239" t="s">
        <v>828</v>
      </c>
      <c r="M809" s="95"/>
      <c r="N809" s="95"/>
      <c r="O809" s="95"/>
      <c r="T809" s="240" t="s">
        <v>828</v>
      </c>
      <c r="U809" s="241" t="s">
        <v>828</v>
      </c>
      <c r="V809" s="175"/>
      <c r="W809" s="242" t="s">
        <v>828</v>
      </c>
      <c r="X809" s="228">
        <v>-9.9973753411121261E-2</v>
      </c>
      <c r="Y809" s="248">
        <v>10</v>
      </c>
      <c r="AA809" s="248">
        <v>10</v>
      </c>
      <c r="AB809" s="175"/>
      <c r="AC809" s="248">
        <f t="shared" si="67"/>
        <v>138</v>
      </c>
      <c r="AD809" s="249">
        <v>8.1624906994801336E-2</v>
      </c>
      <c r="AE809" s="228">
        <f t="shared" si="66"/>
        <v>0.1122328118842657</v>
      </c>
      <c r="AG809" s="228"/>
      <c r="AH809" s="228"/>
      <c r="AI809" s="228"/>
      <c r="AJ809" s="228"/>
      <c r="AK809" s="228"/>
    </row>
    <row r="810" spans="4:37" x14ac:dyDescent="0.2">
      <c r="D810" s="75">
        <f t="shared" si="65"/>
        <v>139</v>
      </c>
      <c r="E810" s="80">
        <f t="shared" si="65"/>
        <v>5</v>
      </c>
      <c r="F810" s="80">
        <f t="shared" si="65"/>
        <v>5</v>
      </c>
      <c r="H810" s="239" t="s">
        <v>828</v>
      </c>
      <c r="I810" s="239" t="s">
        <v>828</v>
      </c>
      <c r="J810" s="239" t="s">
        <v>828</v>
      </c>
      <c r="L810" s="239" t="s">
        <v>828</v>
      </c>
      <c r="M810" s="95"/>
      <c r="N810" s="95"/>
      <c r="O810" s="95"/>
      <c r="T810" s="240" t="s">
        <v>828</v>
      </c>
      <c r="U810" s="241" t="s">
        <v>828</v>
      </c>
      <c r="V810" s="175"/>
      <c r="W810" s="242" t="s">
        <v>828</v>
      </c>
      <c r="X810" s="228">
        <v>6.403449398502864E-2</v>
      </c>
      <c r="Y810" s="248">
        <v>114</v>
      </c>
      <c r="AA810" s="248">
        <v>114</v>
      </c>
      <c r="AB810" s="175"/>
      <c r="AC810" s="248">
        <f t="shared" si="67"/>
        <v>139</v>
      </c>
      <c r="AD810" s="249">
        <v>8.1796002826923495E-2</v>
      </c>
      <c r="AE810" s="228">
        <f t="shared" si="66"/>
        <v>0.1122328118842657</v>
      </c>
      <c r="AG810" s="228"/>
      <c r="AH810" s="228"/>
      <c r="AI810" s="228"/>
      <c r="AJ810" s="228"/>
      <c r="AK810" s="228"/>
    </row>
    <row r="811" spans="4:37" x14ac:dyDescent="0.2">
      <c r="D811" s="75">
        <f t="shared" si="65"/>
        <v>140</v>
      </c>
      <c r="E811" s="80">
        <f t="shared" si="65"/>
        <v>5</v>
      </c>
      <c r="F811" s="80">
        <f t="shared" si="65"/>
        <v>5</v>
      </c>
      <c r="H811" s="239" t="s">
        <v>828</v>
      </c>
      <c r="I811" s="239" t="s">
        <v>828</v>
      </c>
      <c r="J811" s="239" t="s">
        <v>828</v>
      </c>
      <c r="L811" s="239" t="s">
        <v>828</v>
      </c>
      <c r="M811" s="95"/>
      <c r="N811" s="95"/>
      <c r="O811" s="95"/>
      <c r="T811" s="240" t="s">
        <v>828</v>
      </c>
      <c r="U811" s="241" t="s">
        <v>828</v>
      </c>
      <c r="V811" s="175"/>
      <c r="W811" s="242" t="s">
        <v>828</v>
      </c>
      <c r="X811" s="228">
        <v>0.11507144929332284</v>
      </c>
      <c r="Y811" s="248">
        <v>195</v>
      </c>
      <c r="AA811" s="248">
        <v>195</v>
      </c>
      <c r="AB811" s="175"/>
      <c r="AC811" s="248">
        <f t="shared" si="67"/>
        <v>140</v>
      </c>
      <c r="AD811" s="249">
        <v>8.1839013842212538E-2</v>
      </c>
      <c r="AE811" s="228">
        <f t="shared" si="66"/>
        <v>0.1122328118842657</v>
      </c>
      <c r="AG811" s="228"/>
      <c r="AH811" s="228"/>
      <c r="AI811" s="228"/>
      <c r="AJ811" s="228"/>
      <c r="AK811" s="228"/>
    </row>
    <row r="812" spans="4:37" x14ac:dyDescent="0.2">
      <c r="D812" s="75">
        <f t="shared" ref="D812:F829" si="68">D501</f>
        <v>141</v>
      </c>
      <c r="E812" s="80">
        <f t="shared" si="68"/>
        <v>5</v>
      </c>
      <c r="F812" s="80">
        <f t="shared" si="68"/>
        <v>5</v>
      </c>
      <c r="H812" s="239" t="s">
        <v>828</v>
      </c>
      <c r="I812" s="239" t="s">
        <v>828</v>
      </c>
      <c r="J812" s="239" t="s">
        <v>828</v>
      </c>
      <c r="L812" s="239" t="s">
        <v>828</v>
      </c>
      <c r="M812" s="95"/>
      <c r="N812" s="95"/>
      <c r="O812" s="95"/>
      <c r="T812" s="240" t="s">
        <v>828</v>
      </c>
      <c r="U812" s="241" t="s">
        <v>828</v>
      </c>
      <c r="V812" s="175"/>
      <c r="W812" s="242" t="s">
        <v>828</v>
      </c>
      <c r="X812" s="228">
        <v>0.12662632495156428</v>
      </c>
      <c r="Y812" s="248">
        <v>205</v>
      </c>
      <c r="AA812" s="248">
        <v>205</v>
      </c>
      <c r="AB812" s="175"/>
      <c r="AC812" s="248">
        <f t="shared" si="67"/>
        <v>141</v>
      </c>
      <c r="AD812" s="249">
        <v>8.244259901023189E-2</v>
      </c>
      <c r="AE812" s="228">
        <f t="shared" si="66"/>
        <v>0.1122328118842657</v>
      </c>
      <c r="AG812" s="228"/>
      <c r="AH812" s="228"/>
      <c r="AI812" s="228"/>
      <c r="AJ812" s="228"/>
      <c r="AK812" s="228"/>
    </row>
    <row r="813" spans="4:37" x14ac:dyDescent="0.2">
      <c r="D813" s="75">
        <f t="shared" si="68"/>
        <v>142</v>
      </c>
      <c r="E813" s="80">
        <f t="shared" si="68"/>
        <v>5</v>
      </c>
      <c r="F813" s="80">
        <f t="shared" si="68"/>
        <v>5</v>
      </c>
      <c r="H813" s="239" t="s">
        <v>828</v>
      </c>
      <c r="I813" s="239" t="s">
        <v>828</v>
      </c>
      <c r="J813" s="239" t="s">
        <v>828</v>
      </c>
      <c r="L813" s="239" t="s">
        <v>828</v>
      </c>
      <c r="M813" s="95"/>
      <c r="N813" s="95"/>
      <c r="O813" s="95"/>
      <c r="T813" s="240" t="s">
        <v>828</v>
      </c>
      <c r="U813" s="241" t="s">
        <v>828</v>
      </c>
      <c r="V813" s="175"/>
      <c r="W813" s="242" t="s">
        <v>828</v>
      </c>
      <c r="X813" s="228">
        <v>0.1088939210134931</v>
      </c>
      <c r="Y813" s="248">
        <v>182</v>
      </c>
      <c r="AA813" s="248">
        <v>182</v>
      </c>
      <c r="AB813" s="175"/>
      <c r="AC813" s="248">
        <f t="shared" si="67"/>
        <v>142</v>
      </c>
      <c r="AD813" s="249">
        <v>8.2883549019453981E-2</v>
      </c>
      <c r="AE813" s="228">
        <f t="shared" si="66"/>
        <v>0.1122328118842657</v>
      </c>
      <c r="AG813" s="228"/>
      <c r="AH813" s="228"/>
      <c r="AI813" s="228"/>
      <c r="AJ813" s="228"/>
      <c r="AK813" s="228"/>
    </row>
    <row r="814" spans="4:37" x14ac:dyDescent="0.2">
      <c r="D814" s="75">
        <f t="shared" si="68"/>
        <v>143</v>
      </c>
      <c r="E814" s="80">
        <f t="shared" si="68"/>
        <v>5</v>
      </c>
      <c r="F814" s="80">
        <f t="shared" si="68"/>
        <v>5</v>
      </c>
      <c r="H814" s="239" t="s">
        <v>828</v>
      </c>
      <c r="I814" s="239" t="s">
        <v>828</v>
      </c>
      <c r="J814" s="239" t="s">
        <v>828</v>
      </c>
      <c r="L814" s="239" t="s">
        <v>828</v>
      </c>
      <c r="M814" s="95"/>
      <c r="N814" s="95"/>
      <c r="O814" s="95"/>
      <c r="T814" s="240" t="s">
        <v>828</v>
      </c>
      <c r="U814" s="241" t="s">
        <v>828</v>
      </c>
      <c r="V814" s="175"/>
      <c r="W814" s="242" t="s">
        <v>828</v>
      </c>
      <c r="X814" s="228">
        <v>4.055226972606385E-2</v>
      </c>
      <c r="Y814" s="248">
        <v>91</v>
      </c>
      <c r="AA814" s="248">
        <v>91</v>
      </c>
      <c r="AB814" s="175"/>
      <c r="AC814" s="248">
        <f t="shared" si="67"/>
        <v>143</v>
      </c>
      <c r="AD814" s="249">
        <v>8.3923388628387732E-2</v>
      </c>
      <c r="AE814" s="228">
        <f t="shared" si="66"/>
        <v>0.1122328118842657</v>
      </c>
      <c r="AG814" s="228"/>
      <c r="AH814" s="228"/>
      <c r="AI814" s="228"/>
      <c r="AJ814" s="228"/>
      <c r="AK814" s="228"/>
    </row>
    <row r="815" spans="4:37" x14ac:dyDescent="0.2">
      <c r="D815" s="75">
        <f t="shared" si="68"/>
        <v>144</v>
      </c>
      <c r="E815" s="80">
        <f t="shared" si="68"/>
        <v>5</v>
      </c>
      <c r="F815" s="80">
        <f t="shared" si="68"/>
        <v>5</v>
      </c>
      <c r="H815" s="239" t="s">
        <v>828</v>
      </c>
      <c r="I815" s="239" t="s">
        <v>828</v>
      </c>
      <c r="J815" s="239" t="s">
        <v>828</v>
      </c>
      <c r="L815" s="239" t="s">
        <v>828</v>
      </c>
      <c r="M815" s="95"/>
      <c r="N815" s="95"/>
      <c r="O815" s="95"/>
      <c r="T815" s="240" t="s">
        <v>828</v>
      </c>
      <c r="U815" s="241" t="s">
        <v>828</v>
      </c>
      <c r="V815" s="175"/>
      <c r="W815" s="242" t="s">
        <v>828</v>
      </c>
      <c r="X815" s="228">
        <v>7.3507299636621434E-2</v>
      </c>
      <c r="Y815" s="248">
        <v>129</v>
      </c>
      <c r="AA815" s="248">
        <v>129</v>
      </c>
      <c r="AB815" s="175"/>
      <c r="AC815" s="248">
        <f t="shared" si="67"/>
        <v>144</v>
      </c>
      <c r="AD815" s="249">
        <v>8.4231128199944758E-2</v>
      </c>
      <c r="AE815" s="228">
        <f t="shared" si="66"/>
        <v>0.1122328118842657</v>
      </c>
      <c r="AG815" s="228"/>
      <c r="AH815" s="228"/>
      <c r="AI815" s="228"/>
      <c r="AJ815" s="228"/>
      <c r="AK815" s="228"/>
    </row>
    <row r="816" spans="4:37" x14ac:dyDescent="0.2">
      <c r="D816" s="75">
        <f t="shared" si="68"/>
        <v>145</v>
      </c>
      <c r="E816" s="80">
        <f t="shared" si="68"/>
        <v>5</v>
      </c>
      <c r="F816" s="80">
        <f t="shared" si="68"/>
        <v>5</v>
      </c>
      <c r="H816" s="239" t="s">
        <v>828</v>
      </c>
      <c r="I816" s="239" t="s">
        <v>828</v>
      </c>
      <c r="J816" s="239" t="s">
        <v>828</v>
      </c>
      <c r="L816" s="239" t="s">
        <v>828</v>
      </c>
      <c r="M816" s="95"/>
      <c r="N816" s="95"/>
      <c r="O816" s="95"/>
      <c r="T816" s="240" t="s">
        <v>828</v>
      </c>
      <c r="U816" s="241" t="s">
        <v>828</v>
      </c>
      <c r="V816" s="175"/>
      <c r="W816" s="242" t="s">
        <v>828</v>
      </c>
      <c r="X816" s="228">
        <v>6.7428852022473576E-2</v>
      </c>
      <c r="Y816" s="248">
        <v>120</v>
      </c>
      <c r="AA816" s="248">
        <v>120</v>
      </c>
      <c r="AB816" s="175"/>
      <c r="AC816" s="248">
        <f t="shared" si="67"/>
        <v>145</v>
      </c>
      <c r="AD816" s="249">
        <v>8.4783821902782594E-2</v>
      </c>
      <c r="AE816" s="228">
        <f t="shared" si="66"/>
        <v>0.1122328118842657</v>
      </c>
      <c r="AG816" s="228"/>
      <c r="AH816" s="228"/>
      <c r="AI816" s="228"/>
      <c r="AJ816" s="228"/>
      <c r="AK816" s="228"/>
    </row>
    <row r="817" spans="4:37" x14ac:dyDescent="0.2">
      <c r="D817" s="75">
        <f t="shared" si="68"/>
        <v>146</v>
      </c>
      <c r="E817" s="80">
        <f t="shared" si="68"/>
        <v>5</v>
      </c>
      <c r="F817" s="80">
        <f t="shared" si="68"/>
        <v>5</v>
      </c>
      <c r="H817" s="239" t="s">
        <v>828</v>
      </c>
      <c r="I817" s="239" t="s">
        <v>828</v>
      </c>
      <c r="J817" s="239" t="s">
        <v>828</v>
      </c>
      <c r="L817" s="239" t="s">
        <v>828</v>
      </c>
      <c r="M817" s="95"/>
      <c r="N817" s="95"/>
      <c r="O817" s="95"/>
      <c r="T817" s="240" t="s">
        <v>828</v>
      </c>
      <c r="U817" s="241" t="s">
        <v>828</v>
      </c>
      <c r="V817" s="175"/>
      <c r="W817" s="242" t="s">
        <v>828</v>
      </c>
      <c r="X817" s="228">
        <v>0.10929880467909303</v>
      </c>
      <c r="Y817" s="248">
        <v>185</v>
      </c>
      <c r="AA817" s="248">
        <v>185</v>
      </c>
      <c r="AB817" s="175"/>
      <c r="AC817" s="248">
        <f t="shared" si="67"/>
        <v>146</v>
      </c>
      <c r="AD817" s="249">
        <v>8.5003729189253807E-2</v>
      </c>
      <c r="AE817" s="228">
        <f t="shared" si="66"/>
        <v>0.1122328118842657</v>
      </c>
      <c r="AG817" s="228"/>
      <c r="AH817" s="228"/>
      <c r="AI817" s="228"/>
      <c r="AJ817" s="228"/>
      <c r="AK817" s="228"/>
    </row>
    <row r="818" spans="4:37" x14ac:dyDescent="0.2">
      <c r="D818" s="75">
        <f t="shared" si="68"/>
        <v>147</v>
      </c>
      <c r="E818" s="80">
        <f t="shared" si="68"/>
        <v>5</v>
      </c>
      <c r="F818" s="80">
        <f t="shared" si="68"/>
        <v>5</v>
      </c>
      <c r="H818" s="239" t="s">
        <v>828</v>
      </c>
      <c r="I818" s="239" t="s">
        <v>828</v>
      </c>
      <c r="J818" s="239" t="s">
        <v>828</v>
      </c>
      <c r="L818" s="239" t="s">
        <v>828</v>
      </c>
      <c r="M818" s="95"/>
      <c r="N818" s="95"/>
      <c r="O818" s="95"/>
      <c r="T818" s="240" t="s">
        <v>828</v>
      </c>
      <c r="U818" s="241" t="s">
        <v>828</v>
      </c>
      <c r="V818" s="175"/>
      <c r="W818" s="242" t="s">
        <v>828</v>
      </c>
      <c r="X818" s="228">
        <v>1.6972679195296988E-2</v>
      </c>
      <c r="Y818" s="248">
        <v>77</v>
      </c>
      <c r="AA818" s="248">
        <v>77</v>
      </c>
      <c r="AB818" s="175"/>
      <c r="AC818" s="248">
        <f t="shared" si="67"/>
        <v>147</v>
      </c>
      <c r="AD818" s="249">
        <v>8.5035949115196671E-2</v>
      </c>
      <c r="AE818" s="228">
        <f t="shared" si="66"/>
        <v>0.1122328118842657</v>
      </c>
      <c r="AG818" s="228"/>
      <c r="AH818" s="228"/>
      <c r="AI818" s="228"/>
      <c r="AJ818" s="228"/>
      <c r="AK818" s="228"/>
    </row>
    <row r="819" spans="4:37" x14ac:dyDescent="0.2">
      <c r="D819" s="75">
        <f t="shared" si="68"/>
        <v>148</v>
      </c>
      <c r="E819" s="80">
        <f t="shared" si="68"/>
        <v>5</v>
      </c>
      <c r="F819" s="80">
        <f t="shared" si="68"/>
        <v>5</v>
      </c>
      <c r="H819" s="239" t="s">
        <v>828</v>
      </c>
      <c r="I819" s="239" t="s">
        <v>828</v>
      </c>
      <c r="J819" s="239" t="s">
        <v>828</v>
      </c>
      <c r="L819" s="239" t="s">
        <v>828</v>
      </c>
      <c r="M819" s="95"/>
      <c r="N819" s="95"/>
      <c r="O819" s="95"/>
      <c r="T819" s="240" t="s">
        <v>828</v>
      </c>
      <c r="U819" s="241" t="s">
        <v>828</v>
      </c>
      <c r="V819" s="175"/>
      <c r="W819" s="242" t="s">
        <v>828</v>
      </c>
      <c r="X819" s="228">
        <v>6.0433506710704799E-2</v>
      </c>
      <c r="Y819" s="248">
        <v>112</v>
      </c>
      <c r="AA819" s="248">
        <v>112</v>
      </c>
      <c r="AB819" s="175"/>
      <c r="AC819" s="248">
        <f t="shared" si="67"/>
        <v>148</v>
      </c>
      <c r="AD819" s="249">
        <v>8.5261127108484866E-2</v>
      </c>
      <c r="AE819" s="228">
        <f t="shared" si="66"/>
        <v>0.1122328118842657</v>
      </c>
      <c r="AG819" s="228"/>
      <c r="AH819" s="228"/>
      <c r="AI819" s="228"/>
      <c r="AJ819" s="228"/>
      <c r="AK819" s="228"/>
    </row>
    <row r="820" spans="4:37" x14ac:dyDescent="0.2">
      <c r="D820" s="75">
        <f t="shared" si="68"/>
        <v>149</v>
      </c>
      <c r="E820" s="80">
        <f t="shared" si="68"/>
        <v>5</v>
      </c>
      <c r="F820" s="80">
        <f t="shared" si="68"/>
        <v>5</v>
      </c>
      <c r="H820" s="239" t="s">
        <v>828</v>
      </c>
      <c r="I820" s="239" t="s">
        <v>828</v>
      </c>
      <c r="J820" s="239" t="s">
        <v>828</v>
      </c>
      <c r="L820" s="239" t="s">
        <v>828</v>
      </c>
      <c r="M820" s="95"/>
      <c r="N820" s="95"/>
      <c r="O820" s="95"/>
      <c r="T820" s="240" t="s">
        <v>828</v>
      </c>
      <c r="U820" s="241" t="s">
        <v>828</v>
      </c>
      <c r="V820" s="175"/>
      <c r="W820" s="242" t="s">
        <v>828</v>
      </c>
      <c r="X820" s="228">
        <v>9.3860757188752364E-2</v>
      </c>
      <c r="Y820" s="248">
        <v>158</v>
      </c>
      <c r="AA820" s="248">
        <v>158</v>
      </c>
      <c r="AB820" s="175"/>
      <c r="AC820" s="248">
        <f t="shared" si="67"/>
        <v>149</v>
      </c>
      <c r="AD820" s="249">
        <v>8.592421797836472E-2</v>
      </c>
      <c r="AE820" s="228">
        <f t="shared" si="66"/>
        <v>0.1122328118842657</v>
      </c>
      <c r="AG820" s="228"/>
      <c r="AH820" s="228"/>
      <c r="AI820" s="228"/>
      <c r="AJ820" s="228"/>
      <c r="AK820" s="228"/>
    </row>
    <row r="821" spans="4:37" x14ac:dyDescent="0.2">
      <c r="D821" s="75">
        <f t="shared" si="68"/>
        <v>150</v>
      </c>
      <c r="E821" s="80">
        <f t="shared" si="68"/>
        <v>5</v>
      </c>
      <c r="F821" s="80">
        <f t="shared" si="68"/>
        <v>5</v>
      </c>
      <c r="H821" s="239" t="s">
        <v>828</v>
      </c>
      <c r="I821" s="239" t="s">
        <v>828</v>
      </c>
      <c r="J821" s="239" t="s">
        <v>828</v>
      </c>
      <c r="L821" s="239" t="s">
        <v>828</v>
      </c>
      <c r="M821" s="95"/>
      <c r="N821" s="95"/>
      <c r="O821" s="95"/>
      <c r="T821" s="240" t="s">
        <v>828</v>
      </c>
      <c r="U821" s="241" t="s">
        <v>828</v>
      </c>
      <c r="V821" s="175"/>
      <c r="W821" s="242" t="s">
        <v>828</v>
      </c>
      <c r="X821" s="228">
        <v>-2.4551151356803249E-3</v>
      </c>
      <c r="Y821" s="248">
        <v>59</v>
      </c>
      <c r="AA821" s="248">
        <v>59</v>
      </c>
      <c r="AB821" s="175"/>
      <c r="AC821" s="248">
        <f t="shared" si="67"/>
        <v>150</v>
      </c>
      <c r="AD821" s="249">
        <v>8.712545985853816E-2</v>
      </c>
      <c r="AE821" s="228">
        <f t="shared" si="66"/>
        <v>0.1122328118842657</v>
      </c>
      <c r="AG821" s="228"/>
      <c r="AH821" s="228"/>
      <c r="AI821" s="228"/>
      <c r="AJ821" s="228"/>
      <c r="AK821" s="228"/>
    </row>
    <row r="822" spans="4:37" x14ac:dyDescent="0.2">
      <c r="D822" s="75">
        <f t="shared" si="68"/>
        <v>151</v>
      </c>
      <c r="E822" s="80">
        <f t="shared" si="68"/>
        <v>5</v>
      </c>
      <c r="F822" s="80">
        <f t="shared" si="68"/>
        <v>5</v>
      </c>
      <c r="H822" s="239" t="s">
        <v>828</v>
      </c>
      <c r="I822" s="239" t="s">
        <v>828</v>
      </c>
      <c r="J822" s="239" t="s">
        <v>828</v>
      </c>
      <c r="L822" s="239" t="s">
        <v>828</v>
      </c>
      <c r="M822" s="95"/>
      <c r="N822" s="95"/>
      <c r="O822" s="95"/>
      <c r="T822" s="240" t="s">
        <v>828</v>
      </c>
      <c r="U822" s="241" t="s">
        <v>828</v>
      </c>
      <c r="V822" s="175"/>
      <c r="W822" s="242" t="s">
        <v>828</v>
      </c>
      <c r="X822" s="228">
        <v>-2.508792091687042E-2</v>
      </c>
      <c r="Y822" s="248">
        <v>45</v>
      </c>
      <c r="AA822" s="248">
        <v>45</v>
      </c>
      <c r="AB822" s="175"/>
      <c r="AC822" s="248">
        <f t="shared" si="67"/>
        <v>151</v>
      </c>
      <c r="AD822" s="249">
        <v>8.8646322551245854E-2</v>
      </c>
      <c r="AE822" s="228">
        <f t="shared" si="66"/>
        <v>0.1122328118842657</v>
      </c>
      <c r="AG822" s="228"/>
      <c r="AH822" s="228"/>
      <c r="AI822" s="228"/>
      <c r="AJ822" s="228"/>
      <c r="AK822" s="228"/>
    </row>
    <row r="823" spans="4:37" x14ac:dyDescent="0.2">
      <c r="D823" s="75">
        <f t="shared" si="68"/>
        <v>152</v>
      </c>
      <c r="E823" s="80">
        <f t="shared" si="68"/>
        <v>5</v>
      </c>
      <c r="F823" s="80">
        <f t="shared" si="68"/>
        <v>5</v>
      </c>
      <c r="H823" s="239" t="s">
        <v>828</v>
      </c>
      <c r="I823" s="239" t="s">
        <v>828</v>
      </c>
      <c r="J823" s="239" t="s">
        <v>828</v>
      </c>
      <c r="L823" s="239" t="s">
        <v>828</v>
      </c>
      <c r="M823" s="95"/>
      <c r="N823" s="95"/>
      <c r="O823" s="95"/>
      <c r="T823" s="240" t="s">
        <v>828</v>
      </c>
      <c r="U823" s="241" t="s">
        <v>828</v>
      </c>
      <c r="V823" s="175"/>
      <c r="W823" s="242" t="s">
        <v>828</v>
      </c>
      <c r="X823" s="228">
        <v>-1.3961299129028248E-2</v>
      </c>
      <c r="Y823" s="248">
        <v>54</v>
      </c>
      <c r="AA823" s="248">
        <v>54</v>
      </c>
      <c r="AB823" s="175"/>
      <c r="AC823" s="248">
        <f t="shared" si="67"/>
        <v>152</v>
      </c>
      <c r="AD823" s="249">
        <v>8.8710050765899703E-2</v>
      </c>
      <c r="AE823" s="228">
        <f t="shared" si="66"/>
        <v>0.1122328118842657</v>
      </c>
      <c r="AG823" s="228"/>
      <c r="AH823" s="228"/>
      <c r="AI823" s="228"/>
      <c r="AJ823" s="228"/>
      <c r="AK823" s="228"/>
    </row>
    <row r="824" spans="4:37" x14ac:dyDescent="0.2">
      <c r="D824" s="75">
        <f t="shared" si="68"/>
        <v>153</v>
      </c>
      <c r="E824" s="80">
        <f t="shared" si="68"/>
        <v>5</v>
      </c>
      <c r="F824" s="80">
        <f t="shared" si="68"/>
        <v>5</v>
      </c>
      <c r="H824" s="239" t="s">
        <v>828</v>
      </c>
      <c r="I824" s="239" t="s">
        <v>828</v>
      </c>
      <c r="J824" s="239" t="s">
        <v>828</v>
      </c>
      <c r="L824" s="239" t="s">
        <v>828</v>
      </c>
      <c r="M824" s="95"/>
      <c r="N824" s="95"/>
      <c r="O824" s="95"/>
      <c r="T824" s="240" t="s">
        <v>828</v>
      </c>
      <c r="U824" s="241" t="s">
        <v>828</v>
      </c>
      <c r="V824" s="175"/>
      <c r="W824" s="242" t="s">
        <v>828</v>
      </c>
      <c r="X824" s="228">
        <v>0.1308635507115361</v>
      </c>
      <c r="Y824" s="248">
        <v>209</v>
      </c>
      <c r="AA824" s="248">
        <v>209</v>
      </c>
      <c r="AB824" s="175"/>
      <c r="AC824" s="248">
        <f t="shared" si="67"/>
        <v>153</v>
      </c>
      <c r="AD824" s="249">
        <v>9.084853050277425E-2</v>
      </c>
      <c r="AE824" s="228">
        <f t="shared" si="66"/>
        <v>0.1122328118842657</v>
      </c>
      <c r="AG824" s="228"/>
      <c r="AH824" s="228"/>
      <c r="AI824" s="228"/>
      <c r="AJ824" s="228"/>
      <c r="AK824" s="228"/>
    </row>
    <row r="825" spans="4:37" x14ac:dyDescent="0.2">
      <c r="D825" s="75">
        <f t="shared" si="68"/>
        <v>154</v>
      </c>
      <c r="E825" s="80">
        <f t="shared" si="68"/>
        <v>5</v>
      </c>
      <c r="F825" s="80">
        <f t="shared" si="68"/>
        <v>5</v>
      </c>
      <c r="H825" s="239" t="s">
        <v>828</v>
      </c>
      <c r="I825" s="239" t="s">
        <v>828</v>
      </c>
      <c r="J825" s="239" t="s">
        <v>828</v>
      </c>
      <c r="L825" s="239" t="s">
        <v>828</v>
      </c>
      <c r="M825" s="95"/>
      <c r="N825" s="95"/>
      <c r="O825" s="95"/>
      <c r="T825" s="240" t="s">
        <v>828</v>
      </c>
      <c r="U825" s="241" t="s">
        <v>828</v>
      </c>
      <c r="V825" s="175"/>
      <c r="W825" s="242" t="s">
        <v>828</v>
      </c>
      <c r="X825" s="228">
        <v>0.10895006239374753</v>
      </c>
      <c r="Y825" s="248">
        <v>183</v>
      </c>
      <c r="AA825" s="248">
        <v>183</v>
      </c>
      <c r="AB825" s="175"/>
      <c r="AC825" s="248">
        <f t="shared" si="67"/>
        <v>154</v>
      </c>
      <c r="AD825" s="249">
        <v>9.1208492362797475E-2</v>
      </c>
      <c r="AE825" s="228">
        <f t="shared" si="66"/>
        <v>0.1122328118842657</v>
      </c>
      <c r="AG825" s="228"/>
      <c r="AH825" s="228"/>
      <c r="AI825" s="228"/>
      <c r="AJ825" s="228"/>
      <c r="AK825" s="228"/>
    </row>
    <row r="826" spans="4:37" x14ac:dyDescent="0.2">
      <c r="D826" s="75">
        <f t="shared" si="68"/>
        <v>155</v>
      </c>
      <c r="E826" s="80">
        <f t="shared" si="68"/>
        <v>5</v>
      </c>
      <c r="F826" s="80">
        <f t="shared" si="68"/>
        <v>5</v>
      </c>
      <c r="H826" s="239" t="s">
        <v>828</v>
      </c>
      <c r="I826" s="239" t="s">
        <v>828</v>
      </c>
      <c r="J826" s="239" t="s">
        <v>828</v>
      </c>
      <c r="L826" s="239" t="s">
        <v>828</v>
      </c>
      <c r="M826" s="95"/>
      <c r="N826" s="95"/>
      <c r="O826" s="95"/>
      <c r="T826" s="240" t="s">
        <v>828</v>
      </c>
      <c r="U826" s="241" t="s">
        <v>828</v>
      </c>
      <c r="V826" s="175"/>
      <c r="W826" s="242" t="s">
        <v>828</v>
      </c>
      <c r="X826" s="228">
        <v>5.9246708554538584E-2</v>
      </c>
      <c r="Y826" s="248">
        <v>111</v>
      </c>
      <c r="AA826" s="248">
        <v>111</v>
      </c>
      <c r="AB826" s="175"/>
      <c r="AC826" s="248">
        <f t="shared" si="67"/>
        <v>155</v>
      </c>
      <c r="AD826" s="249">
        <v>9.2702221733732382E-2</v>
      </c>
      <c r="AE826" s="228">
        <f t="shared" si="66"/>
        <v>0.1122328118842657</v>
      </c>
      <c r="AG826" s="228"/>
      <c r="AH826" s="228"/>
      <c r="AI826" s="228"/>
      <c r="AJ826" s="228"/>
      <c r="AK826" s="228"/>
    </row>
    <row r="827" spans="4:37" x14ac:dyDescent="0.2">
      <c r="D827" s="75">
        <f t="shared" si="68"/>
        <v>156</v>
      </c>
      <c r="E827" s="80">
        <f t="shared" si="68"/>
        <v>5</v>
      </c>
      <c r="F827" s="80">
        <f t="shared" si="68"/>
        <v>5</v>
      </c>
      <c r="H827" s="239" t="s">
        <v>828</v>
      </c>
      <c r="I827" s="239" t="s">
        <v>828</v>
      </c>
      <c r="J827" s="239" t="s">
        <v>828</v>
      </c>
      <c r="L827" s="239" t="s">
        <v>828</v>
      </c>
      <c r="M827" s="95"/>
      <c r="N827" s="95"/>
      <c r="O827" s="95"/>
      <c r="T827" s="240" t="s">
        <v>828</v>
      </c>
      <c r="U827" s="241" t="s">
        <v>828</v>
      </c>
      <c r="V827" s="175"/>
      <c r="W827" s="242" t="s">
        <v>828</v>
      </c>
      <c r="X827" s="228">
        <v>-1.5614877459299006E-2</v>
      </c>
      <c r="Y827" s="248">
        <v>52</v>
      </c>
      <c r="AA827" s="248">
        <v>52</v>
      </c>
      <c r="AB827" s="175"/>
      <c r="AC827" s="248">
        <f t="shared" si="67"/>
        <v>156</v>
      </c>
      <c r="AD827" s="249">
        <v>9.3153963988403615E-2</v>
      </c>
      <c r="AE827" s="228">
        <f t="shared" si="66"/>
        <v>0.1122328118842657</v>
      </c>
      <c r="AG827" s="228"/>
      <c r="AH827" s="228"/>
      <c r="AI827" s="228"/>
      <c r="AJ827" s="228"/>
      <c r="AK827" s="228"/>
    </row>
    <row r="828" spans="4:37" x14ac:dyDescent="0.2">
      <c r="D828" s="75">
        <f t="shared" si="68"/>
        <v>157</v>
      </c>
      <c r="E828" s="80">
        <f t="shared" si="68"/>
        <v>5</v>
      </c>
      <c r="F828" s="80">
        <f t="shared" si="68"/>
        <v>5</v>
      </c>
      <c r="H828" s="239" t="s">
        <v>828</v>
      </c>
      <c r="I828" s="239" t="s">
        <v>828</v>
      </c>
      <c r="J828" s="239" t="s">
        <v>828</v>
      </c>
      <c r="L828" s="239" t="s">
        <v>828</v>
      </c>
      <c r="M828" s="95"/>
      <c r="N828" s="95"/>
      <c r="O828" s="95"/>
      <c r="T828" s="240" t="s">
        <v>828</v>
      </c>
      <c r="U828" s="241" t="s">
        <v>828</v>
      </c>
      <c r="V828" s="175"/>
      <c r="W828" s="242" t="s">
        <v>828</v>
      </c>
      <c r="X828" s="228">
        <v>1.9918722213049873E-2</v>
      </c>
      <c r="Y828" s="248">
        <v>79</v>
      </c>
      <c r="AA828" s="248">
        <v>79</v>
      </c>
      <c r="AB828" s="175"/>
      <c r="AC828" s="248">
        <f t="shared" si="67"/>
        <v>157</v>
      </c>
      <c r="AD828" s="249">
        <v>9.3685827333789246E-2</v>
      </c>
      <c r="AE828" s="228">
        <f t="shared" si="66"/>
        <v>0.1122328118842657</v>
      </c>
      <c r="AG828" s="228"/>
      <c r="AH828" s="228"/>
      <c r="AI828" s="228"/>
      <c r="AJ828" s="228"/>
      <c r="AK828" s="228"/>
    </row>
    <row r="829" spans="4:37" x14ac:dyDescent="0.2">
      <c r="D829" s="75">
        <f t="shared" si="68"/>
        <v>158</v>
      </c>
      <c r="E829" s="80">
        <f t="shared" si="68"/>
        <v>5</v>
      </c>
      <c r="F829" s="80">
        <f t="shared" si="68"/>
        <v>5</v>
      </c>
      <c r="H829" s="252" t="s">
        <v>828</v>
      </c>
      <c r="I829" s="252" t="s">
        <v>828</v>
      </c>
      <c r="J829" s="252" t="s">
        <v>828</v>
      </c>
      <c r="L829" s="252" t="s">
        <v>828</v>
      </c>
      <c r="M829" s="95"/>
      <c r="N829" s="95"/>
      <c r="O829" s="95"/>
      <c r="T829" s="240" t="s">
        <v>828</v>
      </c>
      <c r="U829" s="241" t="s">
        <v>828</v>
      </c>
      <c r="V829" s="175"/>
      <c r="W829" s="242" t="s">
        <v>828</v>
      </c>
      <c r="X829" s="228">
        <v>1.5554225705909634E-2</v>
      </c>
      <c r="Y829" s="248">
        <v>73</v>
      </c>
      <c r="AA829" s="248">
        <v>73</v>
      </c>
      <c r="AB829" s="175"/>
      <c r="AC829" s="248">
        <f t="shared" si="67"/>
        <v>158</v>
      </c>
      <c r="AD829" s="249">
        <v>9.3860757188752364E-2</v>
      </c>
      <c r="AE829" s="228">
        <f t="shared" si="66"/>
        <v>0.1122328118842657</v>
      </c>
      <c r="AG829" s="228"/>
      <c r="AH829" s="228"/>
      <c r="AI829" s="228"/>
      <c r="AJ829" s="228"/>
      <c r="AK829" s="228"/>
    </row>
    <row r="830" spans="4:37" x14ac:dyDescent="0.2">
      <c r="D830" s="250">
        <f t="shared" ref="D830:F849" si="69">D527</f>
        <v>1</v>
      </c>
      <c r="E830" s="251">
        <f t="shared" si="69"/>
        <v>6</v>
      </c>
      <c r="F830" s="251">
        <f t="shared" si="69"/>
        <v>6</v>
      </c>
      <c r="H830" s="254" t="s">
        <v>828</v>
      </c>
      <c r="I830" s="254" t="s">
        <v>828</v>
      </c>
      <c r="J830" s="254" t="s">
        <v>828</v>
      </c>
      <c r="L830" s="254" t="s">
        <v>828</v>
      </c>
      <c r="M830" s="95"/>
      <c r="N830" s="95"/>
      <c r="O830" s="95"/>
      <c r="T830" s="240" t="s">
        <v>828</v>
      </c>
      <c r="U830" s="241" t="s">
        <v>828</v>
      </c>
      <c r="V830" s="175"/>
      <c r="W830" s="242" t="s">
        <v>828</v>
      </c>
      <c r="X830" s="228">
        <v>4.7496665046676767E-2</v>
      </c>
      <c r="Y830" s="248">
        <v>97</v>
      </c>
      <c r="AA830" s="248">
        <v>97</v>
      </c>
      <c r="AB830" s="175"/>
      <c r="AC830" s="248">
        <f t="shared" si="67"/>
        <v>159</v>
      </c>
      <c r="AD830" s="249">
        <v>9.4956498915901466E-2</v>
      </c>
      <c r="AE830" s="228">
        <f t="shared" si="66"/>
        <v>0.1122328118842657</v>
      </c>
      <c r="AG830" s="228"/>
      <c r="AH830" s="228"/>
      <c r="AI830" s="228"/>
      <c r="AJ830" s="228"/>
      <c r="AK830" s="228"/>
    </row>
    <row r="831" spans="4:37" x14ac:dyDescent="0.2">
      <c r="D831" s="75">
        <f t="shared" si="69"/>
        <v>2</v>
      </c>
      <c r="E831" s="80">
        <f t="shared" si="69"/>
        <v>6</v>
      </c>
      <c r="F831" s="80">
        <f t="shared" si="69"/>
        <v>6</v>
      </c>
      <c r="H831" s="239" t="s">
        <v>828</v>
      </c>
      <c r="I831" s="239" t="s">
        <v>828</v>
      </c>
      <c r="J831" s="239" t="s">
        <v>828</v>
      </c>
      <c r="L831" s="239" t="s">
        <v>828</v>
      </c>
      <c r="M831" s="95"/>
      <c r="N831" s="95"/>
      <c r="O831" s="95"/>
      <c r="T831" s="240" t="s">
        <v>828</v>
      </c>
      <c r="U831" s="241" t="s">
        <v>828</v>
      </c>
      <c r="V831" s="175"/>
      <c r="W831" s="242" t="s">
        <v>828</v>
      </c>
      <c r="X831" s="228">
        <v>-0.237696562363753</v>
      </c>
      <c r="Y831" s="248">
        <v>2</v>
      </c>
      <c r="AA831" s="248">
        <v>2</v>
      </c>
      <c r="AB831" s="175"/>
      <c r="AC831" s="248">
        <f t="shared" si="67"/>
        <v>160</v>
      </c>
      <c r="AD831" s="249">
        <v>9.6692427453249116E-2</v>
      </c>
      <c r="AE831" s="228">
        <f t="shared" si="66"/>
        <v>0.1122328118842657</v>
      </c>
      <c r="AG831" s="228"/>
      <c r="AH831" s="228"/>
      <c r="AI831" s="228"/>
      <c r="AJ831" s="228"/>
      <c r="AK831" s="228"/>
    </row>
    <row r="832" spans="4:37" x14ac:dyDescent="0.2">
      <c r="D832" s="75">
        <f t="shared" si="69"/>
        <v>3</v>
      </c>
      <c r="E832" s="80">
        <f t="shared" si="69"/>
        <v>6</v>
      </c>
      <c r="F832" s="80">
        <f t="shared" si="69"/>
        <v>6</v>
      </c>
      <c r="H832" s="239" t="s">
        <v>828</v>
      </c>
      <c r="I832" s="239" t="s">
        <v>828</v>
      </c>
      <c r="J832" s="239" t="s">
        <v>828</v>
      </c>
      <c r="L832" s="239" t="s">
        <v>828</v>
      </c>
      <c r="M832" s="95"/>
      <c r="N832" s="95"/>
      <c r="O832" s="95"/>
      <c r="T832" s="240" t="s">
        <v>828</v>
      </c>
      <c r="U832" s="241" t="s">
        <v>828</v>
      </c>
      <c r="V832" s="175"/>
      <c r="W832" s="242" t="s">
        <v>828</v>
      </c>
      <c r="X832" s="228">
        <v>-4.3740542274417309E-2</v>
      </c>
      <c r="Y832" s="248">
        <v>35</v>
      </c>
      <c r="AA832" s="248">
        <v>35</v>
      </c>
      <c r="AB832" s="175"/>
      <c r="AC832" s="248">
        <f t="shared" si="67"/>
        <v>161</v>
      </c>
      <c r="AD832" s="249">
        <v>9.699453551912568E-2</v>
      </c>
      <c r="AE832" s="228">
        <f t="shared" si="66"/>
        <v>0.1122328118842657</v>
      </c>
      <c r="AG832" s="228"/>
      <c r="AH832" s="228"/>
      <c r="AI832" s="228"/>
      <c r="AJ832" s="228"/>
      <c r="AK832" s="228"/>
    </row>
    <row r="833" spans="4:37" x14ac:dyDescent="0.2">
      <c r="D833" s="75">
        <f t="shared" si="69"/>
        <v>4</v>
      </c>
      <c r="E833" s="80">
        <f t="shared" si="69"/>
        <v>6</v>
      </c>
      <c r="F833" s="80">
        <f t="shared" si="69"/>
        <v>6</v>
      </c>
      <c r="H833" s="239" t="s">
        <v>828</v>
      </c>
      <c r="I833" s="239" t="s">
        <v>828</v>
      </c>
      <c r="J833" s="239" t="s">
        <v>828</v>
      </c>
      <c r="L833" s="239" t="s">
        <v>828</v>
      </c>
      <c r="M833" s="95"/>
      <c r="N833" s="95"/>
      <c r="O833" s="95"/>
      <c r="T833" s="240" t="s">
        <v>828</v>
      </c>
      <c r="U833" s="241" t="s">
        <v>828</v>
      </c>
      <c r="V833" s="175"/>
      <c r="W833" s="242" t="s">
        <v>828</v>
      </c>
      <c r="X833" s="228">
        <v>-8.3863958100959105E-2</v>
      </c>
      <c r="Y833" s="248">
        <v>22</v>
      </c>
      <c r="AA833" s="248">
        <v>22</v>
      </c>
      <c r="AB833" s="175"/>
      <c r="AC833" s="248">
        <f t="shared" si="67"/>
        <v>162</v>
      </c>
      <c r="AD833" s="249">
        <v>9.699453551912568E-2</v>
      </c>
      <c r="AE833" s="228">
        <f t="shared" si="66"/>
        <v>0.1122328118842657</v>
      </c>
      <c r="AG833" s="228"/>
      <c r="AH833" s="228"/>
      <c r="AI833" s="228"/>
      <c r="AJ833" s="228"/>
      <c r="AK833" s="228"/>
    </row>
    <row r="834" spans="4:37" x14ac:dyDescent="0.2">
      <c r="D834" s="75">
        <f t="shared" si="69"/>
        <v>5</v>
      </c>
      <c r="E834" s="80">
        <f t="shared" si="69"/>
        <v>6</v>
      </c>
      <c r="F834" s="80">
        <f t="shared" si="69"/>
        <v>6</v>
      </c>
      <c r="H834" s="239" t="s">
        <v>828</v>
      </c>
      <c r="I834" s="239" t="s">
        <v>828</v>
      </c>
      <c r="J834" s="239" t="s">
        <v>828</v>
      </c>
      <c r="L834" s="239" t="s">
        <v>828</v>
      </c>
      <c r="M834" s="95"/>
      <c r="N834" s="95"/>
      <c r="O834" s="95"/>
      <c r="T834" s="240" t="s">
        <v>828</v>
      </c>
      <c r="U834" s="241" t="s">
        <v>828</v>
      </c>
      <c r="V834" s="175"/>
      <c r="W834" s="242" t="s">
        <v>828</v>
      </c>
      <c r="X834" s="228">
        <v>-0.10208620705854651</v>
      </c>
      <c r="Y834" s="248">
        <v>9</v>
      </c>
      <c r="AA834" s="248">
        <v>9</v>
      </c>
      <c r="AB834" s="175"/>
      <c r="AC834" s="248">
        <f t="shared" si="67"/>
        <v>163</v>
      </c>
      <c r="AD834" s="249">
        <v>9.699453551912568E-2</v>
      </c>
      <c r="AE834" s="228">
        <f t="shared" si="66"/>
        <v>0.1122328118842657</v>
      </c>
      <c r="AG834" s="228"/>
      <c r="AH834" s="228"/>
      <c r="AI834" s="228"/>
      <c r="AJ834" s="228"/>
      <c r="AK834" s="228"/>
    </row>
    <row r="835" spans="4:37" x14ac:dyDescent="0.2">
      <c r="D835" s="75">
        <f t="shared" si="69"/>
        <v>6</v>
      </c>
      <c r="E835" s="80">
        <f t="shared" si="69"/>
        <v>6</v>
      </c>
      <c r="F835" s="80">
        <f t="shared" si="69"/>
        <v>6</v>
      </c>
      <c r="H835" s="239" t="s">
        <v>828</v>
      </c>
      <c r="I835" s="239" t="s">
        <v>828</v>
      </c>
      <c r="J835" s="239" t="s">
        <v>828</v>
      </c>
      <c r="L835" s="239" t="s">
        <v>828</v>
      </c>
      <c r="M835" s="95"/>
      <c r="N835" s="95"/>
      <c r="O835" s="95"/>
      <c r="T835" s="240" t="s">
        <v>828</v>
      </c>
      <c r="U835" s="241" t="s">
        <v>828</v>
      </c>
      <c r="V835" s="175"/>
      <c r="W835" s="242" t="s">
        <v>828</v>
      </c>
      <c r="X835" s="228">
        <v>-9.7791784863753894E-2</v>
      </c>
      <c r="Y835" s="248">
        <v>12</v>
      </c>
      <c r="AA835" s="248">
        <v>12</v>
      </c>
      <c r="AB835" s="175"/>
      <c r="AC835" s="248">
        <f t="shared" si="67"/>
        <v>164</v>
      </c>
      <c r="AD835" s="249">
        <v>9.699453551912568E-2</v>
      </c>
      <c r="AE835" s="228">
        <f t="shared" si="66"/>
        <v>0.1122328118842657</v>
      </c>
      <c r="AG835" s="228"/>
      <c r="AH835" s="228"/>
      <c r="AI835" s="228"/>
      <c r="AJ835" s="228"/>
      <c r="AK835" s="228"/>
    </row>
    <row r="836" spans="4:37" x14ac:dyDescent="0.2">
      <c r="D836" s="75">
        <f t="shared" si="69"/>
        <v>7</v>
      </c>
      <c r="E836" s="80">
        <f t="shared" si="69"/>
        <v>6</v>
      </c>
      <c r="F836" s="80">
        <f t="shared" si="69"/>
        <v>6</v>
      </c>
      <c r="H836" s="239" t="s">
        <v>828</v>
      </c>
      <c r="I836" s="239" t="s">
        <v>828</v>
      </c>
      <c r="J836" s="239" t="s">
        <v>828</v>
      </c>
      <c r="L836" s="239" t="s">
        <v>828</v>
      </c>
      <c r="M836" s="95"/>
      <c r="N836" s="95"/>
      <c r="O836" s="95"/>
      <c r="T836" s="240" t="s">
        <v>828</v>
      </c>
      <c r="U836" s="241" t="s">
        <v>828</v>
      </c>
      <c r="V836" s="175"/>
      <c r="W836" s="242" t="s">
        <v>828</v>
      </c>
      <c r="X836" s="228">
        <v>-6.1548024356816756E-2</v>
      </c>
      <c r="Y836" s="248">
        <v>29</v>
      </c>
      <c r="AA836" s="248">
        <v>29</v>
      </c>
      <c r="AB836" s="175"/>
      <c r="AC836" s="248">
        <f t="shared" si="67"/>
        <v>165</v>
      </c>
      <c r="AD836" s="249">
        <v>9.699453551912568E-2</v>
      </c>
      <c r="AE836" s="228">
        <f t="shared" si="66"/>
        <v>0.1122328118842657</v>
      </c>
      <c r="AG836" s="228"/>
      <c r="AH836" s="228"/>
      <c r="AI836" s="228"/>
      <c r="AJ836" s="228"/>
      <c r="AK836" s="228"/>
    </row>
    <row r="837" spans="4:37" x14ac:dyDescent="0.2">
      <c r="D837" s="75">
        <f t="shared" si="69"/>
        <v>8</v>
      </c>
      <c r="E837" s="80">
        <f t="shared" si="69"/>
        <v>6</v>
      </c>
      <c r="F837" s="80">
        <f t="shared" si="69"/>
        <v>6</v>
      </c>
      <c r="H837" s="239" t="s">
        <v>828</v>
      </c>
      <c r="I837" s="239" t="s">
        <v>828</v>
      </c>
      <c r="J837" s="239" t="s">
        <v>828</v>
      </c>
      <c r="L837" s="239" t="s">
        <v>828</v>
      </c>
      <c r="M837" s="95"/>
      <c r="N837" s="95"/>
      <c r="O837" s="95"/>
      <c r="T837" s="240" t="s">
        <v>828</v>
      </c>
      <c r="U837" s="241" t="s">
        <v>828</v>
      </c>
      <c r="V837" s="175"/>
      <c r="W837" s="242" t="s">
        <v>828</v>
      </c>
      <c r="X837" s="228">
        <v>-6.6300078422906999E-2</v>
      </c>
      <c r="Y837" s="248">
        <v>25</v>
      </c>
      <c r="AA837" s="248">
        <v>25</v>
      </c>
      <c r="AB837" s="175"/>
      <c r="AC837" s="248">
        <f t="shared" si="67"/>
        <v>166</v>
      </c>
      <c r="AD837" s="249">
        <v>9.699453551912568E-2</v>
      </c>
      <c r="AE837" s="228">
        <f t="shared" si="66"/>
        <v>0.1122328118842657</v>
      </c>
      <c r="AG837" s="228"/>
      <c r="AH837" s="228"/>
      <c r="AI837" s="228"/>
      <c r="AJ837" s="228"/>
      <c r="AK837" s="228"/>
    </row>
    <row r="838" spans="4:37" x14ac:dyDescent="0.2">
      <c r="D838" s="75">
        <f t="shared" si="69"/>
        <v>9</v>
      </c>
      <c r="E838" s="80">
        <f t="shared" si="69"/>
        <v>6</v>
      </c>
      <c r="F838" s="80">
        <f t="shared" si="69"/>
        <v>6</v>
      </c>
      <c r="H838" s="239" t="s">
        <v>828</v>
      </c>
      <c r="I838" s="239" t="s">
        <v>828</v>
      </c>
      <c r="J838" s="239" t="s">
        <v>828</v>
      </c>
      <c r="L838" s="239" t="s">
        <v>828</v>
      </c>
      <c r="M838" s="95"/>
      <c r="N838" s="95"/>
      <c r="O838" s="95"/>
      <c r="T838" s="240" t="s">
        <v>828</v>
      </c>
      <c r="U838" s="241" t="s">
        <v>828</v>
      </c>
      <c r="V838" s="175"/>
      <c r="W838" s="242" t="s">
        <v>828</v>
      </c>
      <c r="X838" s="228">
        <v>-0.10592684432290711</v>
      </c>
      <c r="Y838" s="248">
        <v>8</v>
      </c>
      <c r="AA838" s="248">
        <v>8</v>
      </c>
      <c r="AB838" s="175"/>
      <c r="AC838" s="248">
        <f t="shared" si="67"/>
        <v>167</v>
      </c>
      <c r="AD838" s="249">
        <v>9.699453551912568E-2</v>
      </c>
      <c r="AE838" s="228">
        <f t="shared" si="66"/>
        <v>0.1122328118842657</v>
      </c>
      <c r="AG838" s="228"/>
      <c r="AH838" s="228"/>
      <c r="AI838" s="228"/>
      <c r="AJ838" s="228"/>
      <c r="AK838" s="228"/>
    </row>
    <row r="839" spans="4:37" x14ac:dyDescent="0.2">
      <c r="D839" s="75">
        <f t="shared" si="69"/>
        <v>10</v>
      </c>
      <c r="E839" s="80">
        <f t="shared" si="69"/>
        <v>6</v>
      </c>
      <c r="F839" s="80">
        <f t="shared" si="69"/>
        <v>6</v>
      </c>
      <c r="H839" s="239" t="s">
        <v>828</v>
      </c>
      <c r="I839" s="239" t="s">
        <v>828</v>
      </c>
      <c r="J839" s="239" t="s">
        <v>828</v>
      </c>
      <c r="L839" s="239" t="s">
        <v>828</v>
      </c>
      <c r="M839" s="95"/>
      <c r="N839" s="95"/>
      <c r="O839" s="95"/>
      <c r="T839" s="240" t="s">
        <v>828</v>
      </c>
      <c r="U839" s="241" t="s">
        <v>828</v>
      </c>
      <c r="V839" s="175"/>
      <c r="W839" s="242" t="s">
        <v>828</v>
      </c>
      <c r="X839" s="228">
        <v>9.699453551912568E-2</v>
      </c>
      <c r="Y839" s="248">
        <v>161</v>
      </c>
      <c r="AA839" s="248">
        <v>161</v>
      </c>
      <c r="AB839" s="175"/>
      <c r="AC839" s="248">
        <f t="shared" si="67"/>
        <v>168</v>
      </c>
      <c r="AD839" s="249">
        <v>9.7943332033236866E-2</v>
      </c>
      <c r="AE839" s="228">
        <f t="shared" si="66"/>
        <v>0.1122328118842657</v>
      </c>
      <c r="AG839" s="228"/>
      <c r="AH839" s="228"/>
      <c r="AI839" s="228"/>
      <c r="AJ839" s="228"/>
      <c r="AK839" s="228"/>
    </row>
    <row r="840" spans="4:37" x14ac:dyDescent="0.2">
      <c r="D840" s="75">
        <f t="shared" si="69"/>
        <v>11</v>
      </c>
      <c r="E840" s="80">
        <f t="shared" si="69"/>
        <v>6</v>
      </c>
      <c r="F840" s="80">
        <f t="shared" si="69"/>
        <v>6</v>
      </c>
      <c r="H840" s="239" t="s">
        <v>828</v>
      </c>
      <c r="I840" s="239" t="s">
        <v>828</v>
      </c>
      <c r="J840" s="239" t="s">
        <v>828</v>
      </c>
      <c r="L840" s="239" t="s">
        <v>828</v>
      </c>
      <c r="M840" s="95"/>
      <c r="N840" s="95"/>
      <c r="O840" s="95"/>
      <c r="T840" s="240" t="s">
        <v>828</v>
      </c>
      <c r="U840" s="241" t="s">
        <v>828</v>
      </c>
      <c r="V840" s="175"/>
      <c r="W840" s="242" t="s">
        <v>828</v>
      </c>
      <c r="X840" s="228">
        <v>9.9685683827416702E-2</v>
      </c>
      <c r="Y840" s="248">
        <v>172</v>
      </c>
      <c r="AA840" s="248">
        <v>172</v>
      </c>
      <c r="AB840" s="175"/>
      <c r="AC840" s="248">
        <f t="shared" si="67"/>
        <v>169</v>
      </c>
      <c r="AD840" s="249">
        <v>9.8040510267686953E-2</v>
      </c>
      <c r="AE840" s="228">
        <f t="shared" si="66"/>
        <v>0.1122328118842657</v>
      </c>
      <c r="AG840" s="228"/>
      <c r="AH840" s="228"/>
      <c r="AI840" s="228"/>
      <c r="AJ840" s="228"/>
      <c r="AK840" s="228"/>
    </row>
    <row r="841" spans="4:37" x14ac:dyDescent="0.2">
      <c r="D841" s="75">
        <f t="shared" si="69"/>
        <v>12</v>
      </c>
      <c r="E841" s="80">
        <f t="shared" si="69"/>
        <v>6</v>
      </c>
      <c r="F841" s="80">
        <f t="shared" si="69"/>
        <v>6</v>
      </c>
      <c r="H841" s="239" t="s">
        <v>828</v>
      </c>
      <c r="I841" s="239" t="s">
        <v>828</v>
      </c>
      <c r="J841" s="239" t="s">
        <v>828</v>
      </c>
      <c r="L841" s="239" t="s">
        <v>828</v>
      </c>
      <c r="M841" s="95"/>
      <c r="N841" s="95"/>
      <c r="O841" s="95"/>
      <c r="T841" s="240" t="s">
        <v>828</v>
      </c>
      <c r="U841" s="241" t="s">
        <v>828</v>
      </c>
      <c r="V841" s="175"/>
      <c r="W841" s="242" t="s">
        <v>828</v>
      </c>
      <c r="X841" s="228">
        <v>-6.1413997178586859E-2</v>
      </c>
      <c r="Y841" s="248">
        <v>30</v>
      </c>
      <c r="AA841" s="248">
        <v>30</v>
      </c>
      <c r="AB841" s="175"/>
      <c r="AC841" s="248">
        <f t="shared" si="67"/>
        <v>170</v>
      </c>
      <c r="AD841" s="249">
        <v>9.9303411242097267E-2</v>
      </c>
      <c r="AE841" s="228">
        <f t="shared" si="66"/>
        <v>0.1122328118842657</v>
      </c>
      <c r="AG841" s="228"/>
      <c r="AH841" s="228"/>
      <c r="AI841" s="228"/>
      <c r="AJ841" s="228"/>
      <c r="AK841" s="228"/>
    </row>
    <row r="842" spans="4:37" x14ac:dyDescent="0.2">
      <c r="D842" s="75">
        <f t="shared" si="69"/>
        <v>13</v>
      </c>
      <c r="E842" s="80">
        <f t="shared" si="69"/>
        <v>6</v>
      </c>
      <c r="F842" s="80">
        <f t="shared" si="69"/>
        <v>6</v>
      </c>
      <c r="H842" s="239" t="s">
        <v>828</v>
      </c>
      <c r="I842" s="239" t="s">
        <v>828</v>
      </c>
      <c r="J842" s="239" t="s">
        <v>828</v>
      </c>
      <c r="L842" s="239" t="s">
        <v>828</v>
      </c>
      <c r="M842" s="95"/>
      <c r="N842" s="95"/>
      <c r="O842" s="95"/>
      <c r="T842" s="240" t="s">
        <v>828</v>
      </c>
      <c r="U842" s="241" t="s">
        <v>828</v>
      </c>
      <c r="V842" s="175"/>
      <c r="W842" s="242" t="s">
        <v>828</v>
      </c>
      <c r="X842" s="228">
        <v>-4.0990419619962533E-2</v>
      </c>
      <c r="Y842" s="248">
        <v>37</v>
      </c>
      <c r="AA842" s="248">
        <v>37</v>
      </c>
      <c r="AB842" s="175"/>
      <c r="AC842" s="248">
        <f t="shared" si="67"/>
        <v>171</v>
      </c>
      <c r="AD842" s="249">
        <v>9.9392775005353845E-2</v>
      </c>
      <c r="AE842" s="228">
        <f t="shared" si="66"/>
        <v>0.1122328118842657</v>
      </c>
      <c r="AG842" s="228"/>
      <c r="AH842" s="228"/>
      <c r="AI842" s="228"/>
      <c r="AJ842" s="228"/>
      <c r="AK842" s="228"/>
    </row>
    <row r="843" spans="4:37" x14ac:dyDescent="0.2">
      <c r="D843" s="75">
        <f t="shared" si="69"/>
        <v>14</v>
      </c>
      <c r="E843" s="80">
        <f t="shared" si="69"/>
        <v>6</v>
      </c>
      <c r="F843" s="80">
        <f t="shared" si="69"/>
        <v>6</v>
      </c>
      <c r="H843" s="239" t="s">
        <v>828</v>
      </c>
      <c r="I843" s="239" t="s">
        <v>828</v>
      </c>
      <c r="J843" s="239" t="s">
        <v>828</v>
      </c>
      <c r="L843" s="239" t="s">
        <v>828</v>
      </c>
      <c r="M843" s="95"/>
      <c r="N843" s="95"/>
      <c r="O843" s="95"/>
      <c r="T843" s="240" t="s">
        <v>828</v>
      </c>
      <c r="U843" s="241" t="s">
        <v>828</v>
      </c>
      <c r="V843" s="175"/>
      <c r="W843" s="242" t="s">
        <v>828</v>
      </c>
      <c r="X843" s="228">
        <v>-0.10725260869206832</v>
      </c>
      <c r="Y843" s="248">
        <v>7</v>
      </c>
      <c r="AA843" s="248">
        <v>7</v>
      </c>
      <c r="AB843" s="175"/>
      <c r="AC843" s="248">
        <f t="shared" si="67"/>
        <v>172</v>
      </c>
      <c r="AD843" s="249">
        <v>9.9685683827416702E-2</v>
      </c>
      <c r="AE843" s="228">
        <f t="shared" si="66"/>
        <v>0.1122328118842657</v>
      </c>
      <c r="AG843" s="228"/>
      <c r="AH843" s="228"/>
      <c r="AI843" s="228"/>
      <c r="AJ843" s="228"/>
      <c r="AK843" s="228"/>
    </row>
    <row r="844" spans="4:37" x14ac:dyDescent="0.2">
      <c r="D844" s="75">
        <f t="shared" si="69"/>
        <v>15</v>
      </c>
      <c r="E844" s="80">
        <f t="shared" si="69"/>
        <v>6</v>
      </c>
      <c r="F844" s="80">
        <f t="shared" si="69"/>
        <v>6</v>
      </c>
      <c r="H844" s="239" t="s">
        <v>828</v>
      </c>
      <c r="I844" s="239" t="s">
        <v>828</v>
      </c>
      <c r="J844" s="239" t="s">
        <v>828</v>
      </c>
      <c r="L844" s="239" t="s">
        <v>828</v>
      </c>
      <c r="M844" s="95"/>
      <c r="N844" s="95"/>
      <c r="O844" s="95"/>
      <c r="T844" s="240" t="s">
        <v>828</v>
      </c>
      <c r="U844" s="241" t="s">
        <v>828</v>
      </c>
      <c r="V844" s="175"/>
      <c r="W844" s="242" t="s">
        <v>828</v>
      </c>
      <c r="X844" s="228">
        <v>9.699453551912568E-2</v>
      </c>
      <c r="Y844" s="248">
        <v>161</v>
      </c>
      <c r="AA844" s="248">
        <v>162</v>
      </c>
      <c r="AB844" s="175"/>
      <c r="AC844" s="248">
        <f t="shared" si="67"/>
        <v>173</v>
      </c>
      <c r="AD844" s="249">
        <v>0.10160392837183095</v>
      </c>
      <c r="AE844" s="228">
        <f t="shared" si="66"/>
        <v>0.1122328118842657</v>
      </c>
      <c r="AG844" s="228"/>
      <c r="AH844" s="228"/>
      <c r="AI844" s="228"/>
      <c r="AJ844" s="228"/>
      <c r="AK844" s="228"/>
    </row>
    <row r="845" spans="4:37" x14ac:dyDescent="0.2">
      <c r="D845" s="75">
        <f t="shared" si="69"/>
        <v>16</v>
      </c>
      <c r="E845" s="80">
        <f t="shared" si="69"/>
        <v>6</v>
      </c>
      <c r="F845" s="80">
        <f t="shared" si="69"/>
        <v>6</v>
      </c>
      <c r="H845" s="239" t="s">
        <v>828</v>
      </c>
      <c r="I845" s="239" t="s">
        <v>828</v>
      </c>
      <c r="J845" s="239" t="s">
        <v>828</v>
      </c>
      <c r="L845" s="239" t="s">
        <v>828</v>
      </c>
      <c r="M845" s="95"/>
      <c r="N845" s="95"/>
      <c r="O845" s="95"/>
      <c r="T845" s="240" t="s">
        <v>828</v>
      </c>
      <c r="U845" s="241" t="s">
        <v>828</v>
      </c>
      <c r="V845" s="175"/>
      <c r="W845" s="242" t="s">
        <v>828</v>
      </c>
      <c r="X845" s="228">
        <v>-3.0833465886462776E-2</v>
      </c>
      <c r="Y845" s="248">
        <v>40</v>
      </c>
      <c r="AA845" s="248">
        <v>40</v>
      </c>
      <c r="AB845" s="175"/>
      <c r="AC845" s="248">
        <f t="shared" si="67"/>
        <v>174</v>
      </c>
      <c r="AD845" s="249">
        <v>0.101748139232437</v>
      </c>
      <c r="AE845" s="228">
        <f t="shared" si="66"/>
        <v>0.1122328118842657</v>
      </c>
      <c r="AG845" s="228"/>
      <c r="AH845" s="228"/>
      <c r="AI845" s="228"/>
      <c r="AJ845" s="228"/>
      <c r="AK845" s="228"/>
    </row>
    <row r="846" spans="4:37" x14ac:dyDescent="0.2">
      <c r="D846" s="75">
        <f t="shared" si="69"/>
        <v>17</v>
      </c>
      <c r="E846" s="80">
        <f t="shared" si="69"/>
        <v>6</v>
      </c>
      <c r="F846" s="80">
        <f t="shared" si="69"/>
        <v>6</v>
      </c>
      <c r="H846" s="239" t="s">
        <v>828</v>
      </c>
      <c r="I846" s="239" t="s">
        <v>828</v>
      </c>
      <c r="J846" s="239" t="s">
        <v>828</v>
      </c>
      <c r="L846" s="239" t="s">
        <v>828</v>
      </c>
      <c r="M846" s="95"/>
      <c r="N846" s="95"/>
      <c r="O846" s="95"/>
      <c r="T846" s="240" t="s">
        <v>828</v>
      </c>
      <c r="U846" s="241" t="s">
        <v>828</v>
      </c>
      <c r="V846" s="175"/>
      <c r="W846" s="242" t="s">
        <v>828</v>
      </c>
      <c r="X846" s="228">
        <v>-0.34663381948202676</v>
      </c>
      <c r="Y846" s="248">
        <v>1</v>
      </c>
      <c r="AA846" s="248">
        <v>1</v>
      </c>
      <c r="AB846" s="175"/>
      <c r="AC846" s="248">
        <f t="shared" si="67"/>
        <v>175</v>
      </c>
      <c r="AD846" s="249">
        <v>0.10252666642691345</v>
      </c>
      <c r="AE846" s="228">
        <f t="shared" si="66"/>
        <v>0.1122328118842657</v>
      </c>
      <c r="AG846" s="228"/>
      <c r="AH846" s="228"/>
      <c r="AI846" s="228"/>
      <c r="AJ846" s="228"/>
      <c r="AK846" s="228"/>
    </row>
    <row r="847" spans="4:37" x14ac:dyDescent="0.2">
      <c r="D847" s="75">
        <f t="shared" si="69"/>
        <v>18</v>
      </c>
      <c r="E847" s="80">
        <f t="shared" si="69"/>
        <v>6</v>
      </c>
      <c r="F847" s="80">
        <f t="shared" si="69"/>
        <v>6</v>
      </c>
      <c r="H847" s="239" t="s">
        <v>828</v>
      </c>
      <c r="I847" s="239" t="s">
        <v>828</v>
      </c>
      <c r="J847" s="239" t="s">
        <v>828</v>
      </c>
      <c r="L847" s="239" t="s">
        <v>828</v>
      </c>
      <c r="M847" s="95"/>
      <c r="N847" s="95"/>
      <c r="O847" s="95"/>
      <c r="T847" s="240" t="s">
        <v>828</v>
      </c>
      <c r="U847" s="241" t="s">
        <v>828</v>
      </c>
      <c r="V847" s="175"/>
      <c r="W847" s="242" t="s">
        <v>828</v>
      </c>
      <c r="X847" s="228">
        <v>1.0172654707937505E-2</v>
      </c>
      <c r="Y847" s="248">
        <v>65</v>
      </c>
      <c r="AA847" s="248">
        <v>65</v>
      </c>
      <c r="AB847" s="175"/>
      <c r="AC847" s="248">
        <f t="shared" si="67"/>
        <v>176</v>
      </c>
      <c r="AD847" s="249">
        <v>0.10365495493348925</v>
      </c>
      <c r="AE847" s="228">
        <f t="shared" si="66"/>
        <v>0.1122328118842657</v>
      </c>
      <c r="AG847" s="228"/>
      <c r="AH847" s="228"/>
      <c r="AI847" s="228"/>
      <c r="AJ847" s="228"/>
      <c r="AK847" s="228"/>
    </row>
    <row r="848" spans="4:37" x14ac:dyDescent="0.2">
      <c r="D848" s="75">
        <f t="shared" si="69"/>
        <v>19</v>
      </c>
      <c r="E848" s="80">
        <f t="shared" si="69"/>
        <v>6</v>
      </c>
      <c r="F848" s="80">
        <f t="shared" si="69"/>
        <v>6</v>
      </c>
      <c r="H848" s="239" t="s">
        <v>828</v>
      </c>
      <c r="I848" s="239" t="s">
        <v>828</v>
      </c>
      <c r="J848" s="239" t="s">
        <v>828</v>
      </c>
      <c r="L848" s="239" t="s">
        <v>828</v>
      </c>
      <c r="M848" s="95"/>
      <c r="N848" s="95"/>
      <c r="O848" s="95"/>
      <c r="T848" s="240" t="s">
        <v>828</v>
      </c>
      <c r="U848" s="241" t="s">
        <v>828</v>
      </c>
      <c r="V848" s="175"/>
      <c r="W848" s="242" t="s">
        <v>828</v>
      </c>
      <c r="X848" s="228">
        <v>-2.3851854318814075E-2</v>
      </c>
      <c r="Y848" s="248">
        <v>47</v>
      </c>
      <c r="AA848" s="248">
        <v>47</v>
      </c>
      <c r="AB848" s="175"/>
      <c r="AC848" s="248">
        <f t="shared" si="67"/>
        <v>177</v>
      </c>
      <c r="AD848" s="249">
        <v>0.10626246612573952</v>
      </c>
      <c r="AE848" s="228">
        <f t="shared" si="66"/>
        <v>0.1122328118842657</v>
      </c>
      <c r="AG848" s="228"/>
      <c r="AH848" s="228"/>
      <c r="AI848" s="228"/>
      <c r="AJ848" s="228"/>
      <c r="AK848" s="228"/>
    </row>
    <row r="849" spans="4:37" x14ac:dyDescent="0.2">
      <c r="D849" s="75">
        <f t="shared" si="69"/>
        <v>20</v>
      </c>
      <c r="E849" s="80">
        <f t="shared" si="69"/>
        <v>6</v>
      </c>
      <c r="F849" s="80">
        <f t="shared" si="69"/>
        <v>6</v>
      </c>
      <c r="H849" s="239" t="s">
        <v>828</v>
      </c>
      <c r="I849" s="239" t="s">
        <v>828</v>
      </c>
      <c r="J849" s="239" t="s">
        <v>828</v>
      </c>
      <c r="L849" s="239" t="s">
        <v>828</v>
      </c>
      <c r="M849" s="95"/>
      <c r="N849" s="95"/>
      <c r="O849" s="95"/>
      <c r="T849" s="240" t="s">
        <v>828</v>
      </c>
      <c r="U849" s="241" t="s">
        <v>828</v>
      </c>
      <c r="V849" s="175"/>
      <c r="W849" s="242" t="s">
        <v>828</v>
      </c>
      <c r="X849" s="228">
        <v>-2.4809989692188741E-2</v>
      </c>
      <c r="Y849" s="248">
        <v>46</v>
      </c>
      <c r="AA849" s="248">
        <v>46</v>
      </c>
      <c r="AB849" s="175"/>
      <c r="AC849" s="248">
        <f t="shared" si="67"/>
        <v>178</v>
      </c>
      <c r="AD849" s="249">
        <v>0.10650405345817276</v>
      </c>
      <c r="AE849" s="228">
        <f t="shared" si="66"/>
        <v>0.1122328118842657</v>
      </c>
      <c r="AG849" s="228"/>
      <c r="AH849" s="228"/>
      <c r="AI849" s="228"/>
      <c r="AJ849" s="228"/>
      <c r="AK849" s="228"/>
    </row>
    <row r="850" spans="4:37" x14ac:dyDescent="0.2">
      <c r="D850" s="75">
        <f t="shared" ref="D850:F869" si="70">D547</f>
        <v>21</v>
      </c>
      <c r="E850" s="80">
        <f t="shared" si="70"/>
        <v>6</v>
      </c>
      <c r="F850" s="80">
        <f t="shared" si="70"/>
        <v>6</v>
      </c>
      <c r="H850" s="239" t="s">
        <v>828</v>
      </c>
      <c r="I850" s="239" t="s">
        <v>828</v>
      </c>
      <c r="J850" s="239" t="s">
        <v>828</v>
      </c>
      <c r="L850" s="239" t="s">
        <v>828</v>
      </c>
      <c r="M850" s="95"/>
      <c r="N850" s="95"/>
      <c r="O850" s="95"/>
      <c r="T850" s="240" t="s">
        <v>828</v>
      </c>
      <c r="U850" s="241" t="s">
        <v>828</v>
      </c>
      <c r="V850" s="175"/>
      <c r="W850" s="242" t="s">
        <v>828</v>
      </c>
      <c r="X850" s="228">
        <v>1.5114795180549421E-2</v>
      </c>
      <c r="Y850" s="248">
        <v>72</v>
      </c>
      <c r="AA850" s="248">
        <v>72</v>
      </c>
      <c r="AB850" s="175"/>
      <c r="AC850" s="248">
        <f t="shared" si="67"/>
        <v>179</v>
      </c>
      <c r="AD850" s="249">
        <v>0.10697611724306327</v>
      </c>
      <c r="AE850" s="228">
        <f t="shared" si="66"/>
        <v>0.1122328118842657</v>
      </c>
      <c r="AG850" s="228"/>
      <c r="AH850" s="228"/>
      <c r="AI850" s="228"/>
      <c r="AJ850" s="228"/>
      <c r="AK850" s="228"/>
    </row>
    <row r="851" spans="4:37" x14ac:dyDescent="0.2">
      <c r="D851" s="75">
        <f t="shared" si="70"/>
        <v>22</v>
      </c>
      <c r="E851" s="80">
        <f t="shared" si="70"/>
        <v>6</v>
      </c>
      <c r="F851" s="80">
        <f t="shared" si="70"/>
        <v>6</v>
      </c>
      <c r="H851" s="239" t="s">
        <v>828</v>
      </c>
      <c r="I851" s="239" t="s">
        <v>828</v>
      </c>
      <c r="J851" s="239" t="s">
        <v>828</v>
      </c>
      <c r="L851" s="239" t="s">
        <v>828</v>
      </c>
      <c r="M851" s="95"/>
      <c r="N851" s="95"/>
      <c r="O851" s="95"/>
      <c r="T851" s="240" t="s">
        <v>828</v>
      </c>
      <c r="U851" s="241" t="s">
        <v>828</v>
      </c>
      <c r="V851" s="175"/>
      <c r="W851" s="242" t="s">
        <v>828</v>
      </c>
      <c r="X851" s="228">
        <v>4.581583804173187E-4</v>
      </c>
      <c r="Y851" s="248">
        <v>61</v>
      </c>
      <c r="AA851" s="248">
        <v>61</v>
      </c>
      <c r="AB851" s="175"/>
      <c r="AC851" s="248">
        <f t="shared" si="67"/>
        <v>180</v>
      </c>
      <c r="AD851" s="249">
        <v>0.10769917834619777</v>
      </c>
      <c r="AE851" s="228">
        <f t="shared" si="66"/>
        <v>0.1122328118842657</v>
      </c>
      <c r="AG851" s="228"/>
      <c r="AH851" s="228"/>
      <c r="AI851" s="228"/>
      <c r="AJ851" s="228"/>
      <c r="AK851" s="228"/>
    </row>
    <row r="852" spans="4:37" x14ac:dyDescent="0.2">
      <c r="D852" s="75">
        <f t="shared" si="70"/>
        <v>23</v>
      </c>
      <c r="E852" s="80">
        <f t="shared" si="70"/>
        <v>6</v>
      </c>
      <c r="F852" s="80">
        <f t="shared" si="70"/>
        <v>6</v>
      </c>
      <c r="H852" s="239" t="s">
        <v>828</v>
      </c>
      <c r="I852" s="239" t="s">
        <v>828</v>
      </c>
      <c r="J852" s="239" t="s">
        <v>828</v>
      </c>
      <c r="L852" s="239" t="s">
        <v>828</v>
      </c>
      <c r="M852" s="95"/>
      <c r="N852" s="95"/>
      <c r="O852" s="95"/>
      <c r="T852" s="240" t="s">
        <v>828</v>
      </c>
      <c r="U852" s="241" t="s">
        <v>828</v>
      </c>
      <c r="V852" s="175"/>
      <c r="W852" s="242" t="s">
        <v>828</v>
      </c>
      <c r="X852" s="228">
        <v>-4.6924457886590451E-3</v>
      </c>
      <c r="Y852" s="248">
        <v>57</v>
      </c>
      <c r="AA852" s="248">
        <v>57</v>
      </c>
      <c r="AB852" s="175"/>
      <c r="AC852" s="248">
        <f t="shared" si="67"/>
        <v>181</v>
      </c>
      <c r="AD852" s="249">
        <v>0.10803074242464944</v>
      </c>
      <c r="AE852" s="228">
        <f t="shared" si="66"/>
        <v>0.1122328118842657</v>
      </c>
      <c r="AG852" s="228"/>
      <c r="AH852" s="228"/>
      <c r="AI852" s="228"/>
      <c r="AJ852" s="228"/>
      <c r="AK852" s="228"/>
    </row>
    <row r="853" spans="4:37" x14ac:dyDescent="0.2">
      <c r="D853" s="75">
        <f t="shared" si="70"/>
        <v>24</v>
      </c>
      <c r="E853" s="80">
        <f t="shared" si="70"/>
        <v>6</v>
      </c>
      <c r="F853" s="80">
        <f t="shared" si="70"/>
        <v>6</v>
      </c>
      <c r="H853" s="239" t="s">
        <v>828</v>
      </c>
      <c r="I853" s="239" t="s">
        <v>828</v>
      </c>
      <c r="J853" s="239" t="s">
        <v>828</v>
      </c>
      <c r="L853" s="239" t="s">
        <v>828</v>
      </c>
      <c r="M853" s="95"/>
      <c r="N853" s="95"/>
      <c r="O853" s="95"/>
      <c r="T853" s="240" t="s">
        <v>828</v>
      </c>
      <c r="U853" s="241" t="s">
        <v>828</v>
      </c>
      <c r="V853" s="175"/>
      <c r="W853" s="242" t="s">
        <v>828</v>
      </c>
      <c r="X853" s="228">
        <v>5.7211241264578744E-2</v>
      </c>
      <c r="Y853" s="248">
        <v>110</v>
      </c>
      <c r="AA853" s="248">
        <v>110</v>
      </c>
      <c r="AB853" s="175"/>
      <c r="AC853" s="248">
        <f t="shared" si="67"/>
        <v>182</v>
      </c>
      <c r="AD853" s="249">
        <v>0.1088939210134931</v>
      </c>
      <c r="AE853" s="228">
        <f t="shared" si="66"/>
        <v>0.1122328118842657</v>
      </c>
      <c r="AG853" s="228"/>
      <c r="AH853" s="228"/>
      <c r="AI853" s="228"/>
      <c r="AJ853" s="228"/>
      <c r="AK853" s="228"/>
    </row>
    <row r="854" spans="4:37" x14ac:dyDescent="0.2">
      <c r="D854" s="75">
        <f t="shared" si="70"/>
        <v>25</v>
      </c>
      <c r="E854" s="80">
        <f t="shared" si="70"/>
        <v>6</v>
      </c>
      <c r="F854" s="80">
        <f t="shared" si="70"/>
        <v>6</v>
      </c>
      <c r="H854" s="239" t="s">
        <v>828</v>
      </c>
      <c r="I854" s="239" t="s">
        <v>828</v>
      </c>
      <c r="J854" s="239" t="s">
        <v>828</v>
      </c>
      <c r="L854" s="239" t="s">
        <v>828</v>
      </c>
      <c r="M854" s="95"/>
      <c r="N854" s="95"/>
      <c r="O854" s="95"/>
      <c r="T854" s="240" t="s">
        <v>828</v>
      </c>
      <c r="U854" s="241" t="s">
        <v>828</v>
      </c>
      <c r="V854" s="175"/>
      <c r="W854" s="242" t="s">
        <v>828</v>
      </c>
      <c r="X854" s="228">
        <v>1.6072098843383623E-2</v>
      </c>
      <c r="Y854" s="248">
        <v>74</v>
      </c>
      <c r="AA854" s="248">
        <v>74</v>
      </c>
      <c r="AB854" s="175"/>
      <c r="AC854" s="248">
        <f t="shared" si="67"/>
        <v>183</v>
      </c>
      <c r="AD854" s="249">
        <v>0.10895006239374753</v>
      </c>
      <c r="AE854" s="228">
        <f t="shared" si="66"/>
        <v>0.1122328118842657</v>
      </c>
      <c r="AG854" s="228"/>
      <c r="AH854" s="228"/>
      <c r="AI854" s="228"/>
      <c r="AJ854" s="228"/>
      <c r="AK854" s="228"/>
    </row>
    <row r="855" spans="4:37" x14ac:dyDescent="0.2">
      <c r="D855" s="75">
        <f t="shared" si="70"/>
        <v>26</v>
      </c>
      <c r="E855" s="80">
        <f t="shared" si="70"/>
        <v>6</v>
      </c>
      <c r="F855" s="80">
        <f t="shared" si="70"/>
        <v>6</v>
      </c>
      <c r="H855" s="239" t="s">
        <v>828</v>
      </c>
      <c r="I855" s="239" t="s">
        <v>828</v>
      </c>
      <c r="J855" s="239" t="s">
        <v>828</v>
      </c>
      <c r="L855" s="239" t="s">
        <v>828</v>
      </c>
      <c r="M855" s="95"/>
      <c r="N855" s="95"/>
      <c r="O855" s="95"/>
      <c r="T855" s="240" t="s">
        <v>828</v>
      </c>
      <c r="U855" s="241" t="s">
        <v>828</v>
      </c>
      <c r="V855" s="175"/>
      <c r="W855" s="242" t="s">
        <v>828</v>
      </c>
      <c r="X855" s="228">
        <v>-2.2771310515587136E-4</v>
      </c>
      <c r="Y855" s="248">
        <v>60</v>
      </c>
      <c r="AA855" s="248">
        <v>60</v>
      </c>
      <c r="AB855" s="175"/>
      <c r="AC855" s="248">
        <f t="shared" si="67"/>
        <v>184</v>
      </c>
      <c r="AD855" s="249">
        <v>0.10908897734494449</v>
      </c>
      <c r="AE855" s="228">
        <f t="shared" si="66"/>
        <v>0.1122328118842657</v>
      </c>
      <c r="AG855" s="228"/>
      <c r="AH855" s="228"/>
      <c r="AI855" s="228"/>
      <c r="AJ855" s="228"/>
      <c r="AK855" s="228"/>
    </row>
    <row r="856" spans="4:37" x14ac:dyDescent="0.2">
      <c r="D856" s="75">
        <f t="shared" si="70"/>
        <v>27</v>
      </c>
      <c r="E856" s="80">
        <f t="shared" si="70"/>
        <v>6</v>
      </c>
      <c r="F856" s="80">
        <f t="shared" si="70"/>
        <v>6</v>
      </c>
      <c r="H856" s="239" t="s">
        <v>828</v>
      </c>
      <c r="I856" s="239" t="s">
        <v>828</v>
      </c>
      <c r="J856" s="239" t="s">
        <v>828</v>
      </c>
      <c r="L856" s="239" t="s">
        <v>828</v>
      </c>
      <c r="M856" s="95"/>
      <c r="N856" s="95"/>
      <c r="O856" s="95"/>
      <c r="T856" s="240" t="s">
        <v>828</v>
      </c>
      <c r="U856" s="241" t="s">
        <v>828</v>
      </c>
      <c r="V856" s="175"/>
      <c r="W856" s="242" t="s">
        <v>828</v>
      </c>
      <c r="X856" s="228">
        <v>5.3606148965675962E-2</v>
      </c>
      <c r="Y856" s="248">
        <v>103</v>
      </c>
      <c r="AA856" s="248">
        <v>103</v>
      </c>
      <c r="AB856" s="175"/>
      <c r="AC856" s="248">
        <f t="shared" si="67"/>
        <v>185</v>
      </c>
      <c r="AD856" s="249">
        <v>0.10929880467909303</v>
      </c>
      <c r="AE856" s="228">
        <f t="shared" si="66"/>
        <v>0.1122328118842657</v>
      </c>
      <c r="AG856" s="228"/>
      <c r="AH856" s="228"/>
      <c r="AI856" s="228"/>
      <c r="AJ856" s="228"/>
      <c r="AK856" s="228"/>
    </row>
    <row r="857" spans="4:37" x14ac:dyDescent="0.2">
      <c r="D857" s="75">
        <f t="shared" si="70"/>
        <v>28</v>
      </c>
      <c r="E857" s="80">
        <f t="shared" si="70"/>
        <v>6</v>
      </c>
      <c r="F857" s="80">
        <f t="shared" si="70"/>
        <v>6</v>
      </c>
      <c r="H857" s="239" t="s">
        <v>828</v>
      </c>
      <c r="I857" s="239" t="s">
        <v>828</v>
      </c>
      <c r="J857" s="239" t="s">
        <v>828</v>
      </c>
      <c r="L857" s="239" t="s">
        <v>828</v>
      </c>
      <c r="M857" s="95"/>
      <c r="N857" s="95"/>
      <c r="O857" s="95"/>
      <c r="T857" s="240" t="s">
        <v>828</v>
      </c>
      <c r="U857" s="241" t="s">
        <v>828</v>
      </c>
      <c r="V857" s="175"/>
      <c r="W857" s="242" t="s">
        <v>828</v>
      </c>
      <c r="X857" s="228">
        <v>2.2353806615985152E-2</v>
      </c>
      <c r="Y857" s="248">
        <v>80</v>
      </c>
      <c r="AA857" s="248">
        <v>80</v>
      </c>
      <c r="AB857" s="175"/>
      <c r="AC857" s="248">
        <f t="shared" si="67"/>
        <v>186</v>
      </c>
      <c r="AD857" s="249">
        <v>0.10965947674947887</v>
      </c>
      <c r="AE857" s="228">
        <f t="shared" si="66"/>
        <v>0.1122328118842657</v>
      </c>
      <c r="AG857" s="228"/>
      <c r="AH857" s="228"/>
      <c r="AI857" s="228"/>
      <c r="AJ857" s="228"/>
      <c r="AK857" s="228"/>
    </row>
    <row r="858" spans="4:37" x14ac:dyDescent="0.2">
      <c r="D858" s="75">
        <f t="shared" si="70"/>
        <v>29</v>
      </c>
      <c r="E858" s="80">
        <f t="shared" si="70"/>
        <v>6</v>
      </c>
      <c r="F858" s="80">
        <f t="shared" si="70"/>
        <v>6</v>
      </c>
      <c r="H858" s="239" t="s">
        <v>828</v>
      </c>
      <c r="I858" s="239" t="s">
        <v>828</v>
      </c>
      <c r="J858" s="239" t="s">
        <v>828</v>
      </c>
      <c r="L858" s="239" t="s">
        <v>828</v>
      </c>
      <c r="M858" s="95"/>
      <c r="N858" s="95"/>
      <c r="O858" s="95"/>
      <c r="T858" s="240" t="s">
        <v>828</v>
      </c>
      <c r="U858" s="241" t="s">
        <v>828</v>
      </c>
      <c r="V858" s="175"/>
      <c r="W858" s="242" t="s">
        <v>828</v>
      </c>
      <c r="X858" s="228">
        <v>2.7439554698770047E-2</v>
      </c>
      <c r="Y858" s="248">
        <v>81</v>
      </c>
      <c r="AA858" s="248">
        <v>81</v>
      </c>
      <c r="AB858" s="175"/>
      <c r="AC858" s="248">
        <f t="shared" si="67"/>
        <v>187</v>
      </c>
      <c r="AD858" s="249">
        <v>0.10993923618414154</v>
      </c>
      <c r="AE858" s="228">
        <f t="shared" si="66"/>
        <v>0.1122328118842657</v>
      </c>
      <c r="AG858" s="228"/>
      <c r="AH858" s="228"/>
      <c r="AI858" s="228"/>
      <c r="AJ858" s="228"/>
      <c r="AK858" s="228"/>
    </row>
    <row r="859" spans="4:37" x14ac:dyDescent="0.2">
      <c r="D859" s="75">
        <f t="shared" si="70"/>
        <v>30</v>
      </c>
      <c r="E859" s="80">
        <f t="shared" si="70"/>
        <v>6</v>
      </c>
      <c r="F859" s="80">
        <f t="shared" si="70"/>
        <v>6</v>
      </c>
      <c r="H859" s="239" t="s">
        <v>828</v>
      </c>
      <c r="I859" s="239" t="s">
        <v>828</v>
      </c>
      <c r="J859" s="239" t="s">
        <v>828</v>
      </c>
      <c r="L859" s="239" t="s">
        <v>828</v>
      </c>
      <c r="M859" s="95"/>
      <c r="N859" s="95"/>
      <c r="O859" s="95"/>
      <c r="T859" s="240" t="s">
        <v>828</v>
      </c>
      <c r="U859" s="241" t="s">
        <v>828</v>
      </c>
      <c r="V859" s="175"/>
      <c r="W859" s="242" t="s">
        <v>828</v>
      </c>
      <c r="X859" s="228">
        <v>1.6796581671116518E-2</v>
      </c>
      <c r="Y859" s="248">
        <v>76</v>
      </c>
      <c r="AA859" s="248">
        <v>76</v>
      </c>
      <c r="AB859" s="175"/>
      <c r="AC859" s="248">
        <f t="shared" si="67"/>
        <v>188</v>
      </c>
      <c r="AD859" s="249">
        <v>0.11111988166139371</v>
      </c>
      <c r="AE859" s="228">
        <f t="shared" si="66"/>
        <v>0.1122328118842657</v>
      </c>
      <c r="AG859" s="228"/>
      <c r="AH859" s="228"/>
      <c r="AI859" s="228"/>
      <c r="AJ859" s="228"/>
      <c r="AK859" s="228"/>
    </row>
    <row r="860" spans="4:37" x14ac:dyDescent="0.2">
      <c r="D860" s="75">
        <f t="shared" si="70"/>
        <v>31</v>
      </c>
      <c r="E860" s="80">
        <f t="shared" si="70"/>
        <v>6</v>
      </c>
      <c r="F860" s="80">
        <f t="shared" si="70"/>
        <v>6</v>
      </c>
      <c r="H860" s="239" t="s">
        <v>828</v>
      </c>
      <c r="I860" s="239" t="s">
        <v>828</v>
      </c>
      <c r="J860" s="239" t="s">
        <v>828</v>
      </c>
      <c r="L860" s="239" t="s">
        <v>828</v>
      </c>
      <c r="M860" s="95"/>
      <c r="N860" s="95"/>
      <c r="O860" s="95"/>
      <c r="T860" s="240" t="s">
        <v>828</v>
      </c>
      <c r="U860" s="241" t="s">
        <v>828</v>
      </c>
      <c r="V860" s="175"/>
      <c r="W860" s="242" t="s">
        <v>828</v>
      </c>
      <c r="X860" s="228">
        <v>4.0453320053697048E-2</v>
      </c>
      <c r="Y860" s="248">
        <v>90</v>
      </c>
      <c r="AA860" s="248">
        <v>90</v>
      </c>
      <c r="AB860" s="175"/>
      <c r="AC860" s="248">
        <f t="shared" si="67"/>
        <v>189</v>
      </c>
      <c r="AD860" s="249">
        <v>0.11227667249384594</v>
      </c>
      <c r="AE860" s="228">
        <f t="shared" si="66"/>
        <v>0.1122328118842657</v>
      </c>
      <c r="AG860" s="228"/>
      <c r="AH860" s="228"/>
      <c r="AI860" s="228"/>
      <c r="AJ860" s="228"/>
      <c r="AK860" s="228"/>
    </row>
    <row r="861" spans="4:37" x14ac:dyDescent="0.2">
      <c r="D861" s="75">
        <f t="shared" si="70"/>
        <v>32</v>
      </c>
      <c r="E861" s="80">
        <f t="shared" si="70"/>
        <v>6</v>
      </c>
      <c r="F861" s="80">
        <f t="shared" si="70"/>
        <v>6</v>
      </c>
      <c r="H861" s="239" t="s">
        <v>828</v>
      </c>
      <c r="I861" s="239" t="s">
        <v>828</v>
      </c>
      <c r="J861" s="239" t="s">
        <v>828</v>
      </c>
      <c r="L861" s="239" t="s">
        <v>828</v>
      </c>
      <c r="M861" s="95"/>
      <c r="N861" s="95"/>
      <c r="O861" s="95"/>
      <c r="T861" s="240" t="s">
        <v>828</v>
      </c>
      <c r="U861" s="241" t="s">
        <v>828</v>
      </c>
      <c r="V861" s="175"/>
      <c r="W861" s="242" t="s">
        <v>828</v>
      </c>
      <c r="X861" s="228">
        <v>4.9616512614626407E-2</v>
      </c>
      <c r="Y861" s="248">
        <v>99</v>
      </c>
      <c r="AA861" s="248">
        <v>99</v>
      </c>
      <c r="AB861" s="175"/>
      <c r="AC861" s="248">
        <f t="shared" si="67"/>
        <v>190</v>
      </c>
      <c r="AD861" s="249">
        <v>0.11240757009977075</v>
      </c>
      <c r="AE861" s="228">
        <f t="shared" si="66"/>
        <v>0.1122328118842657</v>
      </c>
      <c r="AG861" s="228"/>
      <c r="AH861" s="228"/>
      <c r="AI861" s="228"/>
      <c r="AJ861" s="228"/>
      <c r="AK861" s="228"/>
    </row>
    <row r="862" spans="4:37" x14ac:dyDescent="0.2">
      <c r="D862" s="75">
        <f t="shared" si="70"/>
        <v>33</v>
      </c>
      <c r="E862" s="80">
        <f t="shared" si="70"/>
        <v>6</v>
      </c>
      <c r="F862" s="80">
        <f t="shared" si="70"/>
        <v>6</v>
      </c>
      <c r="H862" s="239" t="s">
        <v>828</v>
      </c>
      <c r="I862" s="239" t="s">
        <v>828</v>
      </c>
      <c r="J862" s="239" t="s">
        <v>828</v>
      </c>
      <c r="L862" s="239" t="s">
        <v>828</v>
      </c>
      <c r="M862" s="95"/>
      <c r="N862" s="95"/>
      <c r="O862" s="95"/>
      <c r="T862" s="240" t="s">
        <v>828</v>
      </c>
      <c r="U862" s="241" t="s">
        <v>828</v>
      </c>
      <c r="V862" s="175"/>
      <c r="W862" s="242" t="s">
        <v>828</v>
      </c>
      <c r="X862" s="228">
        <v>6.3433643084674113E-2</v>
      </c>
      <c r="Y862" s="248">
        <v>113</v>
      </c>
      <c r="AA862" s="248">
        <v>113</v>
      </c>
      <c r="AB862" s="175"/>
      <c r="AC862" s="248">
        <f t="shared" si="67"/>
        <v>191</v>
      </c>
      <c r="AD862" s="249">
        <v>0.1127101404871543</v>
      </c>
      <c r="AE862" s="228">
        <f t="shared" si="66"/>
        <v>0.1122328118842657</v>
      </c>
      <c r="AG862" s="228"/>
      <c r="AH862" s="228"/>
      <c r="AI862" s="228"/>
      <c r="AJ862" s="228"/>
      <c r="AK862" s="228"/>
    </row>
    <row r="863" spans="4:37" x14ac:dyDescent="0.2">
      <c r="D863" s="75">
        <f t="shared" si="70"/>
        <v>34</v>
      </c>
      <c r="E863" s="80">
        <f t="shared" si="70"/>
        <v>6</v>
      </c>
      <c r="F863" s="80">
        <f t="shared" si="70"/>
        <v>6</v>
      </c>
      <c r="H863" s="239" t="s">
        <v>828</v>
      </c>
      <c r="I863" s="239" t="s">
        <v>828</v>
      </c>
      <c r="J863" s="239" t="s">
        <v>828</v>
      </c>
      <c r="L863" s="239" t="s">
        <v>828</v>
      </c>
      <c r="M863" s="95"/>
      <c r="N863" s="95"/>
      <c r="O863" s="95"/>
      <c r="T863" s="240" t="s">
        <v>828</v>
      </c>
      <c r="U863" s="241" t="s">
        <v>828</v>
      </c>
      <c r="V863" s="175"/>
      <c r="W863" s="242" t="s">
        <v>828</v>
      </c>
      <c r="X863" s="228">
        <v>3.8262752215596725E-2</v>
      </c>
      <c r="Y863" s="248">
        <v>88</v>
      </c>
      <c r="AA863" s="248">
        <v>88</v>
      </c>
      <c r="AB863" s="175"/>
      <c r="AC863" s="248">
        <f t="shared" si="67"/>
        <v>192</v>
      </c>
      <c r="AD863" s="249">
        <v>0.11281001162415792</v>
      </c>
      <c r="AE863" s="228">
        <f t="shared" si="66"/>
        <v>0.1122328118842657</v>
      </c>
      <c r="AG863" s="228"/>
      <c r="AH863" s="228"/>
      <c r="AI863" s="228"/>
      <c r="AJ863" s="228"/>
      <c r="AK863" s="228"/>
    </row>
    <row r="864" spans="4:37" x14ac:dyDescent="0.2">
      <c r="D864" s="75">
        <f t="shared" si="70"/>
        <v>35</v>
      </c>
      <c r="E864" s="80">
        <f t="shared" si="70"/>
        <v>6</v>
      </c>
      <c r="F864" s="80">
        <f t="shared" si="70"/>
        <v>6</v>
      </c>
      <c r="H864" s="239" t="s">
        <v>828</v>
      </c>
      <c r="I864" s="239" t="s">
        <v>828</v>
      </c>
      <c r="J864" s="239" t="s">
        <v>828</v>
      </c>
      <c r="L864" s="239" t="s">
        <v>828</v>
      </c>
      <c r="M864" s="95"/>
      <c r="N864" s="95"/>
      <c r="O864" s="95"/>
      <c r="T864" s="240" t="s">
        <v>828</v>
      </c>
      <c r="U864" s="241" t="s">
        <v>828</v>
      </c>
      <c r="V864" s="175"/>
      <c r="W864" s="242" t="s">
        <v>828</v>
      </c>
      <c r="X864" s="228">
        <v>5.7054492785158471E-2</v>
      </c>
      <c r="Y864" s="248">
        <v>109</v>
      </c>
      <c r="AA864" s="248">
        <v>109</v>
      </c>
      <c r="AB864" s="175"/>
      <c r="AC864" s="248">
        <f t="shared" si="67"/>
        <v>193</v>
      </c>
      <c r="AD864" s="249">
        <v>0.11307996786579705</v>
      </c>
      <c r="AE864" s="228">
        <f t="shared" ref="AE864:AE891" si="71">$AE$669</f>
        <v>0.1122328118842657</v>
      </c>
      <c r="AG864" s="228"/>
      <c r="AH864" s="228"/>
      <c r="AI864" s="228"/>
      <c r="AJ864" s="228"/>
      <c r="AK864" s="228"/>
    </row>
    <row r="865" spans="4:37" x14ac:dyDescent="0.2">
      <c r="D865" s="75">
        <f t="shared" si="70"/>
        <v>36</v>
      </c>
      <c r="E865" s="80">
        <f t="shared" si="70"/>
        <v>6</v>
      </c>
      <c r="F865" s="80">
        <f t="shared" si="70"/>
        <v>6</v>
      </c>
      <c r="H865" s="239" t="s">
        <v>828</v>
      </c>
      <c r="I865" s="239" t="s">
        <v>828</v>
      </c>
      <c r="J865" s="239" t="s">
        <v>828</v>
      </c>
      <c r="L865" s="239" t="s">
        <v>828</v>
      </c>
      <c r="M865" s="95"/>
      <c r="N865" s="95"/>
      <c r="O865" s="95"/>
      <c r="T865" s="240" t="s">
        <v>828</v>
      </c>
      <c r="U865" s="241" t="s">
        <v>828</v>
      </c>
      <c r="V865" s="175"/>
      <c r="W865" s="242" t="s">
        <v>828</v>
      </c>
      <c r="X865" s="228">
        <v>9.699453551912568E-2</v>
      </c>
      <c r="Y865" s="248">
        <v>161</v>
      </c>
      <c r="AA865" s="248">
        <v>163</v>
      </c>
      <c r="AB865" s="175"/>
      <c r="AC865" s="248">
        <f t="shared" ref="AC865:AC891" si="72">N(AC864)+1</f>
        <v>194</v>
      </c>
      <c r="AD865" s="249">
        <v>0.11482027358407883</v>
      </c>
      <c r="AE865" s="228">
        <f t="shared" si="71"/>
        <v>0.1122328118842657</v>
      </c>
      <c r="AG865" s="228"/>
      <c r="AH865" s="228"/>
      <c r="AI865" s="228"/>
      <c r="AJ865" s="228"/>
      <c r="AK865" s="228"/>
    </row>
    <row r="866" spans="4:37" x14ac:dyDescent="0.2">
      <c r="D866" s="75">
        <f t="shared" si="70"/>
        <v>37</v>
      </c>
      <c r="E866" s="80">
        <f t="shared" si="70"/>
        <v>6</v>
      </c>
      <c r="F866" s="80">
        <f t="shared" si="70"/>
        <v>6</v>
      </c>
      <c r="H866" s="239" t="s">
        <v>828</v>
      </c>
      <c r="I866" s="239" t="s">
        <v>828</v>
      </c>
      <c r="J866" s="239" t="s">
        <v>828</v>
      </c>
      <c r="L866" s="239" t="s">
        <v>828</v>
      </c>
      <c r="M866" s="95"/>
      <c r="N866" s="95"/>
      <c r="O866" s="95"/>
      <c r="T866" s="240" t="s">
        <v>828</v>
      </c>
      <c r="U866" s="241" t="s">
        <v>828</v>
      </c>
      <c r="V866" s="175"/>
      <c r="W866" s="242" t="s">
        <v>828</v>
      </c>
      <c r="X866" s="228">
        <v>2.9550585449906051E-2</v>
      </c>
      <c r="Y866" s="248">
        <v>82</v>
      </c>
      <c r="AA866" s="248">
        <v>82</v>
      </c>
      <c r="AB866" s="175"/>
      <c r="AC866" s="248">
        <f t="shared" si="72"/>
        <v>195</v>
      </c>
      <c r="AD866" s="249">
        <v>0.11507144929332284</v>
      </c>
      <c r="AE866" s="228">
        <f t="shared" si="71"/>
        <v>0.1122328118842657</v>
      </c>
      <c r="AG866" s="228"/>
      <c r="AH866" s="228"/>
      <c r="AI866" s="228"/>
      <c r="AJ866" s="228"/>
      <c r="AK866" s="228"/>
    </row>
    <row r="867" spans="4:37" x14ac:dyDescent="0.2">
      <c r="D867" s="75">
        <f t="shared" si="70"/>
        <v>38</v>
      </c>
      <c r="E867" s="80">
        <f t="shared" si="70"/>
        <v>6</v>
      </c>
      <c r="F867" s="80">
        <f t="shared" si="70"/>
        <v>6</v>
      </c>
      <c r="H867" s="239" t="s">
        <v>828</v>
      </c>
      <c r="I867" s="239" t="s">
        <v>828</v>
      </c>
      <c r="J867" s="239" t="s">
        <v>828</v>
      </c>
      <c r="L867" s="239" t="s">
        <v>828</v>
      </c>
      <c r="M867" s="95"/>
      <c r="N867" s="95"/>
      <c r="O867" s="95"/>
      <c r="T867" s="240" t="s">
        <v>828</v>
      </c>
      <c r="U867" s="241" t="s">
        <v>828</v>
      </c>
      <c r="V867" s="175"/>
      <c r="W867" s="242" t="s">
        <v>828</v>
      </c>
      <c r="X867" s="228">
        <v>6.4373718092624641E-2</v>
      </c>
      <c r="Y867" s="248">
        <v>115</v>
      </c>
      <c r="AA867" s="248">
        <v>115</v>
      </c>
      <c r="AB867" s="175"/>
      <c r="AC867" s="248">
        <f t="shared" si="72"/>
        <v>196</v>
      </c>
      <c r="AD867" s="249">
        <v>0.11619163408301864</v>
      </c>
      <c r="AE867" s="228">
        <f t="shared" si="71"/>
        <v>0.1122328118842657</v>
      </c>
      <c r="AG867" s="228"/>
      <c r="AH867" s="228"/>
      <c r="AI867" s="228"/>
      <c r="AJ867" s="228"/>
      <c r="AK867" s="228"/>
    </row>
    <row r="868" spans="4:37" x14ac:dyDescent="0.2">
      <c r="D868" s="75">
        <f t="shared" si="70"/>
        <v>39</v>
      </c>
      <c r="E868" s="80">
        <f t="shared" si="70"/>
        <v>6</v>
      </c>
      <c r="F868" s="80">
        <f t="shared" si="70"/>
        <v>6</v>
      </c>
      <c r="H868" s="239" t="s">
        <v>828</v>
      </c>
      <c r="I868" s="239" t="s">
        <v>828</v>
      </c>
      <c r="J868" s="239" t="s">
        <v>828</v>
      </c>
      <c r="L868" s="239" t="s">
        <v>828</v>
      </c>
      <c r="M868" s="95"/>
      <c r="N868" s="95"/>
      <c r="O868" s="95"/>
      <c r="T868" s="240" t="s">
        <v>828</v>
      </c>
      <c r="U868" s="241" t="s">
        <v>828</v>
      </c>
      <c r="V868" s="175"/>
      <c r="W868" s="242" t="s">
        <v>828</v>
      </c>
      <c r="X868" s="228">
        <v>7.0537764446639076E-2</v>
      </c>
      <c r="Y868" s="248">
        <v>126</v>
      </c>
      <c r="AA868" s="248">
        <v>126</v>
      </c>
      <c r="AB868" s="175"/>
      <c r="AC868" s="248">
        <f t="shared" si="72"/>
        <v>197</v>
      </c>
      <c r="AD868" s="249">
        <v>0.11705087037706825</v>
      </c>
      <c r="AE868" s="228">
        <f t="shared" si="71"/>
        <v>0.1122328118842657</v>
      </c>
      <c r="AG868" s="228"/>
      <c r="AH868" s="228"/>
      <c r="AI868" s="228"/>
      <c r="AJ868" s="228"/>
      <c r="AK868" s="228"/>
    </row>
    <row r="869" spans="4:37" x14ac:dyDescent="0.2">
      <c r="D869" s="75">
        <f t="shared" si="70"/>
        <v>40</v>
      </c>
      <c r="E869" s="80">
        <f t="shared" si="70"/>
        <v>6</v>
      </c>
      <c r="F869" s="80">
        <f t="shared" si="70"/>
        <v>6</v>
      </c>
      <c r="H869" s="239" t="s">
        <v>828</v>
      </c>
      <c r="I869" s="239" t="s">
        <v>828</v>
      </c>
      <c r="J869" s="239" t="s">
        <v>828</v>
      </c>
      <c r="L869" s="239" t="s">
        <v>828</v>
      </c>
      <c r="M869" s="95"/>
      <c r="N869" s="95"/>
      <c r="O869" s="95"/>
      <c r="T869" s="240" t="s">
        <v>828</v>
      </c>
      <c r="U869" s="241" t="s">
        <v>828</v>
      </c>
      <c r="V869" s="175"/>
      <c r="W869" s="242" t="s">
        <v>828</v>
      </c>
      <c r="X869" s="228">
        <v>7.2811069991305988E-2</v>
      </c>
      <c r="Y869" s="248">
        <v>128</v>
      </c>
      <c r="AA869" s="248">
        <v>128</v>
      </c>
      <c r="AB869" s="175"/>
      <c r="AC869" s="248">
        <f t="shared" si="72"/>
        <v>198</v>
      </c>
      <c r="AD869" s="249">
        <v>0.1181709841957909</v>
      </c>
      <c r="AE869" s="228">
        <f t="shared" si="71"/>
        <v>0.1122328118842657</v>
      </c>
      <c r="AG869" s="228"/>
      <c r="AH869" s="228"/>
      <c r="AI869" s="228"/>
      <c r="AJ869" s="228"/>
      <c r="AK869" s="228"/>
    </row>
    <row r="870" spans="4:37" x14ac:dyDescent="0.2">
      <c r="D870" s="75">
        <f t="shared" ref="D870:F878" si="73">D567</f>
        <v>41</v>
      </c>
      <c r="E870" s="80">
        <f t="shared" si="73"/>
        <v>6</v>
      </c>
      <c r="F870" s="80">
        <f t="shared" si="73"/>
        <v>6</v>
      </c>
      <c r="H870" s="239" t="s">
        <v>828</v>
      </c>
      <c r="I870" s="239" t="s">
        <v>828</v>
      </c>
      <c r="J870" s="239" t="s">
        <v>828</v>
      </c>
      <c r="L870" s="239" t="s">
        <v>828</v>
      </c>
      <c r="M870" s="95"/>
      <c r="N870" s="95"/>
      <c r="O870" s="95"/>
      <c r="T870" s="240" t="s">
        <v>828</v>
      </c>
      <c r="U870" s="241" t="s">
        <v>828</v>
      </c>
      <c r="V870" s="175"/>
      <c r="W870" s="242" t="s">
        <v>828</v>
      </c>
      <c r="X870" s="228">
        <v>7.6962769076460311E-2</v>
      </c>
      <c r="Y870" s="248">
        <v>136</v>
      </c>
      <c r="AA870" s="248">
        <v>136</v>
      </c>
      <c r="AB870" s="175"/>
      <c r="AC870" s="248">
        <f t="shared" si="72"/>
        <v>199</v>
      </c>
      <c r="AD870" s="249">
        <v>0.11923454957574921</v>
      </c>
      <c r="AE870" s="228">
        <f t="shared" si="71"/>
        <v>0.1122328118842657</v>
      </c>
      <c r="AG870" s="228"/>
      <c r="AH870" s="228"/>
      <c r="AI870" s="228"/>
      <c r="AJ870" s="228"/>
      <c r="AK870" s="228"/>
    </row>
    <row r="871" spans="4:37" x14ac:dyDescent="0.2">
      <c r="D871" s="75">
        <f t="shared" si="73"/>
        <v>42</v>
      </c>
      <c r="E871" s="80">
        <f t="shared" si="73"/>
        <v>6</v>
      </c>
      <c r="F871" s="80">
        <f t="shared" si="73"/>
        <v>6</v>
      </c>
      <c r="H871" s="239" t="s">
        <v>828</v>
      </c>
      <c r="I871" s="239" t="s">
        <v>828</v>
      </c>
      <c r="J871" s="239" t="s">
        <v>828</v>
      </c>
      <c r="L871" s="239" t="s">
        <v>828</v>
      </c>
      <c r="M871" s="95"/>
      <c r="N871" s="95"/>
      <c r="O871" s="95"/>
      <c r="T871" s="240" t="s">
        <v>828</v>
      </c>
      <c r="U871" s="241" t="s">
        <v>828</v>
      </c>
      <c r="V871" s="175"/>
      <c r="W871" s="242" t="s">
        <v>828</v>
      </c>
      <c r="X871" s="228">
        <v>8.1839013842212538E-2</v>
      </c>
      <c r="Y871" s="248">
        <v>140</v>
      </c>
      <c r="AA871" s="248">
        <v>140</v>
      </c>
      <c r="AB871" s="175"/>
      <c r="AC871" s="248">
        <f t="shared" si="72"/>
        <v>200</v>
      </c>
      <c r="AD871" s="249">
        <v>0.12025757771267176</v>
      </c>
      <c r="AE871" s="228">
        <f t="shared" si="71"/>
        <v>0.1122328118842657</v>
      </c>
      <c r="AG871" s="228"/>
      <c r="AH871" s="228"/>
      <c r="AI871" s="228"/>
      <c r="AJ871" s="228"/>
      <c r="AK871" s="228"/>
    </row>
    <row r="872" spans="4:37" x14ac:dyDescent="0.2">
      <c r="D872" s="75">
        <f t="shared" si="73"/>
        <v>43</v>
      </c>
      <c r="E872" s="80">
        <f t="shared" si="73"/>
        <v>6</v>
      </c>
      <c r="F872" s="80">
        <f t="shared" si="73"/>
        <v>6</v>
      </c>
      <c r="H872" s="239" t="s">
        <v>828</v>
      </c>
      <c r="I872" s="239" t="s">
        <v>828</v>
      </c>
      <c r="J872" s="239" t="s">
        <v>828</v>
      </c>
      <c r="L872" s="239" t="s">
        <v>828</v>
      </c>
      <c r="M872" s="95"/>
      <c r="N872" s="95"/>
      <c r="O872" s="95"/>
      <c r="T872" s="240" t="s">
        <v>828</v>
      </c>
      <c r="U872" s="241" t="s">
        <v>828</v>
      </c>
      <c r="V872" s="175"/>
      <c r="W872" s="242" t="s">
        <v>828</v>
      </c>
      <c r="X872" s="228">
        <v>9.084853050277425E-2</v>
      </c>
      <c r="Y872" s="248">
        <v>153</v>
      </c>
      <c r="AA872" s="248">
        <v>153</v>
      </c>
      <c r="AB872" s="175"/>
      <c r="AC872" s="248">
        <f t="shared" si="72"/>
        <v>201</v>
      </c>
      <c r="AD872" s="249">
        <v>0.12047345405911075</v>
      </c>
      <c r="AE872" s="228">
        <f t="shared" si="71"/>
        <v>0.1122328118842657</v>
      </c>
      <c r="AG872" s="228"/>
      <c r="AH872" s="228"/>
      <c r="AI872" s="228"/>
      <c r="AJ872" s="228"/>
      <c r="AK872" s="228"/>
    </row>
    <row r="873" spans="4:37" x14ac:dyDescent="0.2">
      <c r="D873" s="75">
        <f t="shared" si="73"/>
        <v>44</v>
      </c>
      <c r="E873" s="80">
        <f t="shared" si="73"/>
        <v>6</v>
      </c>
      <c r="F873" s="80">
        <f t="shared" si="73"/>
        <v>6</v>
      </c>
      <c r="H873" s="239" t="s">
        <v>828</v>
      </c>
      <c r="I873" s="239" t="s">
        <v>828</v>
      </c>
      <c r="J873" s="239" t="s">
        <v>828</v>
      </c>
      <c r="L873" s="239" t="s">
        <v>828</v>
      </c>
      <c r="M873" s="95"/>
      <c r="N873" s="95"/>
      <c r="O873" s="95"/>
      <c r="T873" s="240" t="s">
        <v>828</v>
      </c>
      <c r="U873" s="241" t="s">
        <v>828</v>
      </c>
      <c r="V873" s="175"/>
      <c r="W873" s="242" t="s">
        <v>828</v>
      </c>
      <c r="X873" s="228">
        <v>9.699453551912568E-2</v>
      </c>
      <c r="Y873" s="248">
        <v>161</v>
      </c>
      <c r="AA873" s="248">
        <v>164</v>
      </c>
      <c r="AB873" s="175"/>
      <c r="AC873" s="248">
        <f t="shared" si="72"/>
        <v>202</v>
      </c>
      <c r="AD873" s="249">
        <v>0.12114752549235358</v>
      </c>
      <c r="AE873" s="228">
        <f t="shared" si="71"/>
        <v>0.1122328118842657</v>
      </c>
      <c r="AG873" s="228"/>
      <c r="AH873" s="228"/>
      <c r="AI873" s="228"/>
      <c r="AJ873" s="228"/>
      <c r="AK873" s="228"/>
    </row>
    <row r="874" spans="4:37" x14ac:dyDescent="0.2">
      <c r="D874" s="75">
        <f t="shared" si="73"/>
        <v>45</v>
      </c>
      <c r="E874" s="80">
        <f t="shared" si="73"/>
        <v>6</v>
      </c>
      <c r="F874" s="80">
        <f t="shared" si="73"/>
        <v>6</v>
      </c>
      <c r="H874" s="239" t="s">
        <v>828</v>
      </c>
      <c r="I874" s="239" t="s">
        <v>828</v>
      </c>
      <c r="J874" s="239" t="s">
        <v>828</v>
      </c>
      <c r="L874" s="239" t="s">
        <v>828</v>
      </c>
      <c r="M874" s="95"/>
      <c r="N874" s="95"/>
      <c r="O874" s="95"/>
      <c r="T874" s="240" t="s">
        <v>828</v>
      </c>
      <c r="U874" s="241" t="s">
        <v>828</v>
      </c>
      <c r="V874" s="175"/>
      <c r="W874" s="242" t="s">
        <v>828</v>
      </c>
      <c r="X874" s="228">
        <v>9.699453551912568E-2</v>
      </c>
      <c r="Y874" s="248">
        <v>161</v>
      </c>
      <c r="AA874" s="248">
        <v>165</v>
      </c>
      <c r="AB874" s="175"/>
      <c r="AC874" s="248">
        <f t="shared" si="72"/>
        <v>203</v>
      </c>
      <c r="AD874" s="249">
        <v>0.1246324642663227</v>
      </c>
      <c r="AE874" s="228">
        <f t="shared" si="71"/>
        <v>0.1122328118842657</v>
      </c>
      <c r="AG874" s="228"/>
      <c r="AH874" s="228"/>
      <c r="AI874" s="228"/>
      <c r="AJ874" s="228"/>
      <c r="AK874" s="228"/>
    </row>
    <row r="875" spans="4:37" x14ac:dyDescent="0.2">
      <c r="D875" s="75">
        <f t="shared" si="73"/>
        <v>46</v>
      </c>
      <c r="E875" s="80">
        <f t="shared" si="73"/>
        <v>6</v>
      </c>
      <c r="F875" s="80">
        <f t="shared" si="73"/>
        <v>6</v>
      </c>
      <c r="H875" s="239" t="s">
        <v>828</v>
      </c>
      <c r="I875" s="239" t="s">
        <v>828</v>
      </c>
      <c r="J875" s="239" t="s">
        <v>828</v>
      </c>
      <c r="L875" s="239" t="s">
        <v>828</v>
      </c>
      <c r="M875" s="95"/>
      <c r="N875" s="95"/>
      <c r="O875" s="95"/>
      <c r="T875" s="240" t="s">
        <v>828</v>
      </c>
      <c r="U875" s="241" t="s">
        <v>828</v>
      </c>
      <c r="V875" s="175"/>
      <c r="W875" s="242" t="s">
        <v>828</v>
      </c>
      <c r="X875" s="228">
        <v>9.699453551912568E-2</v>
      </c>
      <c r="Y875" s="248">
        <v>161</v>
      </c>
      <c r="AA875" s="248">
        <v>166</v>
      </c>
      <c r="AB875" s="175"/>
      <c r="AC875" s="248">
        <f t="shared" si="72"/>
        <v>204</v>
      </c>
      <c r="AD875" s="249">
        <v>0.12584014324019077</v>
      </c>
      <c r="AE875" s="228">
        <f t="shared" si="71"/>
        <v>0.1122328118842657</v>
      </c>
      <c r="AG875" s="228"/>
      <c r="AH875" s="228"/>
      <c r="AI875" s="228"/>
      <c r="AJ875" s="228"/>
      <c r="AK875" s="228"/>
    </row>
    <row r="876" spans="4:37" x14ac:dyDescent="0.2">
      <c r="D876" s="75">
        <f t="shared" si="73"/>
        <v>47</v>
      </c>
      <c r="E876" s="80">
        <f t="shared" si="73"/>
        <v>6</v>
      </c>
      <c r="F876" s="80">
        <f t="shared" si="73"/>
        <v>6</v>
      </c>
      <c r="H876" s="239" t="s">
        <v>828</v>
      </c>
      <c r="I876" s="239" t="s">
        <v>828</v>
      </c>
      <c r="J876" s="239" t="s">
        <v>828</v>
      </c>
      <c r="L876" s="239" t="s">
        <v>828</v>
      </c>
      <c r="M876" s="95"/>
      <c r="N876" s="95"/>
      <c r="O876" s="95"/>
      <c r="T876" s="240" t="s">
        <v>828</v>
      </c>
      <c r="U876" s="241" t="s">
        <v>828</v>
      </c>
      <c r="V876" s="175"/>
      <c r="W876" s="242" t="s">
        <v>828</v>
      </c>
      <c r="X876" s="228">
        <v>9.699453551912568E-2</v>
      </c>
      <c r="Y876" s="248">
        <v>161</v>
      </c>
      <c r="AA876" s="248">
        <v>167</v>
      </c>
      <c r="AB876" s="175"/>
      <c r="AC876" s="248">
        <f t="shared" si="72"/>
        <v>205</v>
      </c>
      <c r="AD876" s="249">
        <v>0.12662632495156428</v>
      </c>
      <c r="AE876" s="228">
        <f t="shared" si="71"/>
        <v>0.1122328118842657</v>
      </c>
      <c r="AG876" s="228"/>
      <c r="AH876" s="228"/>
      <c r="AI876" s="228"/>
      <c r="AJ876" s="228"/>
      <c r="AK876" s="228"/>
    </row>
    <row r="877" spans="4:37" x14ac:dyDescent="0.2">
      <c r="D877" s="75">
        <f t="shared" si="73"/>
        <v>48</v>
      </c>
      <c r="E877" s="80">
        <f t="shared" si="73"/>
        <v>6</v>
      </c>
      <c r="F877" s="80">
        <f t="shared" si="73"/>
        <v>6</v>
      </c>
      <c r="H877" s="239" t="s">
        <v>828</v>
      </c>
      <c r="I877" s="239" t="s">
        <v>828</v>
      </c>
      <c r="J877" s="239" t="s">
        <v>828</v>
      </c>
      <c r="L877" s="239" t="s">
        <v>828</v>
      </c>
      <c r="M877" s="95"/>
      <c r="N877" s="95"/>
      <c r="O877" s="95"/>
      <c r="T877" s="240" t="s">
        <v>828</v>
      </c>
      <c r="U877" s="241" t="s">
        <v>828</v>
      </c>
      <c r="V877" s="175"/>
      <c r="W877" s="242" t="s">
        <v>828</v>
      </c>
      <c r="X877" s="228">
        <v>0.14542142895091439</v>
      </c>
      <c r="Y877" s="248">
        <v>214</v>
      </c>
      <c r="AA877" s="248">
        <v>214</v>
      </c>
      <c r="AB877" s="175"/>
      <c r="AC877" s="248">
        <f t="shared" si="72"/>
        <v>206</v>
      </c>
      <c r="AD877" s="249">
        <v>0.12720692233777495</v>
      </c>
      <c r="AE877" s="228">
        <f t="shared" si="71"/>
        <v>0.1122328118842657</v>
      </c>
      <c r="AG877" s="228"/>
      <c r="AH877" s="228"/>
      <c r="AI877" s="228"/>
      <c r="AJ877" s="228"/>
      <c r="AK877" s="228"/>
    </row>
    <row r="878" spans="4:37" x14ac:dyDescent="0.2">
      <c r="D878" s="75">
        <f t="shared" si="73"/>
        <v>49</v>
      </c>
      <c r="E878" s="80">
        <f t="shared" si="73"/>
        <v>6</v>
      </c>
      <c r="F878" s="80">
        <f t="shared" si="73"/>
        <v>6</v>
      </c>
      <c r="H878" s="252" t="s">
        <v>828</v>
      </c>
      <c r="I878" s="239" t="s">
        <v>828</v>
      </c>
      <c r="J878" s="239" t="s">
        <v>828</v>
      </c>
      <c r="L878" s="252" t="s">
        <v>828</v>
      </c>
      <c r="M878" s="95"/>
      <c r="N878" s="95"/>
      <c r="O878" s="95"/>
      <c r="T878" s="240" t="s">
        <v>828</v>
      </c>
      <c r="U878" s="241" t="s">
        <v>828</v>
      </c>
      <c r="V878" s="175"/>
      <c r="W878" s="242" t="s">
        <v>828</v>
      </c>
      <c r="X878" s="228">
        <v>0.13803504854629253</v>
      </c>
      <c r="Y878" s="248">
        <v>213</v>
      </c>
      <c r="AA878" s="248">
        <v>213</v>
      </c>
      <c r="AB878" s="175"/>
      <c r="AC878" s="248">
        <f t="shared" si="72"/>
        <v>207</v>
      </c>
      <c r="AD878" s="249">
        <v>0.1281133789718851</v>
      </c>
      <c r="AE878" s="228">
        <f t="shared" si="71"/>
        <v>0.1122328118842657</v>
      </c>
      <c r="AG878" s="228"/>
      <c r="AH878" s="228"/>
      <c r="AI878" s="228"/>
      <c r="AJ878" s="228"/>
      <c r="AK878" s="228"/>
    </row>
    <row r="879" spans="4:37" x14ac:dyDescent="0.2">
      <c r="D879" s="250">
        <f>D652</f>
        <v>1</v>
      </c>
      <c r="E879" s="251">
        <f t="shared" ref="E879:F879" si="74">E652</f>
        <v>7</v>
      </c>
      <c r="F879" s="251">
        <f t="shared" si="74"/>
        <v>6</v>
      </c>
      <c r="H879" s="253" t="s">
        <v>828</v>
      </c>
      <c r="I879" s="253" t="s">
        <v>828</v>
      </c>
      <c r="J879" s="253" t="s">
        <v>828</v>
      </c>
      <c r="L879" s="253" t="s">
        <v>828</v>
      </c>
      <c r="M879" s="95"/>
      <c r="N879" s="95"/>
      <c r="O879" s="95"/>
      <c r="T879" s="240" t="s">
        <v>828</v>
      </c>
      <c r="U879" s="241" t="s">
        <v>828</v>
      </c>
      <c r="V879" s="175"/>
      <c r="W879" s="242" t="s">
        <v>828</v>
      </c>
      <c r="X879" s="228">
        <v>-2.0630286596776799E-2</v>
      </c>
      <c r="Y879" s="248">
        <v>48</v>
      </c>
      <c r="AA879" s="248">
        <v>48</v>
      </c>
      <c r="AB879" s="175"/>
      <c r="AC879" s="248">
        <f t="shared" si="72"/>
        <v>208</v>
      </c>
      <c r="AD879" s="249">
        <v>0.13057106278329692</v>
      </c>
      <c r="AE879" s="228">
        <f t="shared" si="71"/>
        <v>0.1122328118842657</v>
      </c>
      <c r="AG879" s="228"/>
      <c r="AH879" s="228"/>
      <c r="AI879" s="228"/>
      <c r="AJ879" s="228"/>
      <c r="AK879" s="228"/>
    </row>
    <row r="880" spans="4:37" x14ac:dyDescent="0.2">
      <c r="D880" s="75">
        <f t="shared" ref="D880:F880" si="75">D653</f>
        <v>2</v>
      </c>
      <c r="E880" s="80">
        <f t="shared" si="75"/>
        <v>7</v>
      </c>
      <c r="F880" s="80">
        <f t="shared" si="75"/>
        <v>6</v>
      </c>
      <c r="H880" s="239" t="s">
        <v>828</v>
      </c>
      <c r="I880" s="239" t="s">
        <v>828</v>
      </c>
      <c r="J880" s="239" t="s">
        <v>828</v>
      </c>
      <c r="L880" s="239" t="s">
        <v>828</v>
      </c>
      <c r="M880" s="95"/>
      <c r="N880" s="95"/>
      <c r="O880" s="95"/>
      <c r="T880" s="240" t="s">
        <v>828</v>
      </c>
      <c r="U880" s="241" t="s">
        <v>828</v>
      </c>
      <c r="V880" s="175"/>
      <c r="W880" s="242" t="s">
        <v>828</v>
      </c>
      <c r="X880" s="228">
        <v>0.12114752549235358</v>
      </c>
      <c r="Y880" s="248">
        <v>202</v>
      </c>
      <c r="AA880" s="248">
        <v>202</v>
      </c>
      <c r="AB880" s="175"/>
      <c r="AC880" s="248">
        <f t="shared" si="72"/>
        <v>209</v>
      </c>
      <c r="AD880" s="249">
        <v>0.1308635507115361</v>
      </c>
      <c r="AE880" s="228">
        <f t="shared" si="71"/>
        <v>0.1122328118842657</v>
      </c>
      <c r="AG880" s="228"/>
      <c r="AH880" s="228"/>
      <c r="AI880" s="228"/>
      <c r="AJ880" s="228"/>
      <c r="AK880" s="228"/>
    </row>
    <row r="881" spans="2:37" x14ac:dyDescent="0.2">
      <c r="D881" s="75">
        <f t="shared" ref="D881:F881" si="76">D654</f>
        <v>3</v>
      </c>
      <c r="E881" s="80">
        <f t="shared" si="76"/>
        <v>7</v>
      </c>
      <c r="F881" s="80">
        <f t="shared" si="76"/>
        <v>6</v>
      </c>
      <c r="H881" s="239" t="s">
        <v>828</v>
      </c>
      <c r="I881" s="239" t="s">
        <v>828</v>
      </c>
      <c r="J881" s="239" t="s">
        <v>828</v>
      </c>
      <c r="L881" s="239" t="s">
        <v>828</v>
      </c>
      <c r="M881" s="95"/>
      <c r="N881" s="95"/>
      <c r="O881" s="95"/>
      <c r="T881" s="240" t="s">
        <v>828</v>
      </c>
      <c r="U881" s="241" t="s">
        <v>828</v>
      </c>
      <c r="V881" s="175"/>
      <c r="W881" s="242" t="s">
        <v>828</v>
      </c>
      <c r="X881" s="228">
        <v>7.839786980061296E-2</v>
      </c>
      <c r="Y881" s="248">
        <v>137</v>
      </c>
      <c r="AA881" s="248">
        <v>137</v>
      </c>
      <c r="AB881" s="175"/>
      <c r="AC881" s="248">
        <f t="shared" si="72"/>
        <v>210</v>
      </c>
      <c r="AD881" s="249">
        <v>0.13256727764503948</v>
      </c>
      <c r="AE881" s="228">
        <f t="shared" si="71"/>
        <v>0.1122328118842657</v>
      </c>
      <c r="AG881" s="228"/>
      <c r="AH881" s="228"/>
      <c r="AI881" s="228"/>
      <c r="AJ881" s="228"/>
      <c r="AK881" s="228"/>
    </row>
    <row r="882" spans="2:37" x14ac:dyDescent="0.2">
      <c r="D882" s="75">
        <f t="shared" ref="D882:F882" si="77">D655</f>
        <v>4</v>
      </c>
      <c r="E882" s="80">
        <f t="shared" si="77"/>
        <v>7</v>
      </c>
      <c r="F882" s="80">
        <f t="shared" si="77"/>
        <v>6</v>
      </c>
      <c r="H882" s="239" t="s">
        <v>828</v>
      </c>
      <c r="I882" s="239" t="s">
        <v>828</v>
      </c>
      <c r="J882" s="239" t="s">
        <v>828</v>
      </c>
      <c r="L882" s="239" t="s">
        <v>828</v>
      </c>
      <c r="M882" s="95"/>
      <c r="N882" s="95"/>
      <c r="O882" s="95"/>
      <c r="T882" s="240" t="s">
        <v>828</v>
      </c>
      <c r="U882" s="241" t="s">
        <v>828</v>
      </c>
      <c r="V882" s="175"/>
      <c r="W882" s="242" t="s">
        <v>828</v>
      </c>
      <c r="X882" s="228">
        <v>0.10993923618414154</v>
      </c>
      <c r="Y882" s="248">
        <v>187</v>
      </c>
      <c r="AA882" s="248">
        <v>187</v>
      </c>
      <c r="AB882" s="175"/>
      <c r="AC882" s="248">
        <f t="shared" si="72"/>
        <v>211</v>
      </c>
      <c r="AD882" s="249">
        <v>0.13380751608806832</v>
      </c>
      <c r="AE882" s="228">
        <f t="shared" si="71"/>
        <v>0.1122328118842657</v>
      </c>
      <c r="AG882" s="228"/>
      <c r="AH882" s="228"/>
      <c r="AI882" s="228"/>
      <c r="AJ882" s="228"/>
      <c r="AK882" s="228"/>
    </row>
    <row r="883" spans="2:37" x14ac:dyDescent="0.2">
      <c r="D883" s="75">
        <f t="shared" ref="D883:F883" si="78">D656</f>
        <v>5</v>
      </c>
      <c r="E883" s="80">
        <f t="shared" si="78"/>
        <v>7</v>
      </c>
      <c r="F883" s="80">
        <f t="shared" si="78"/>
        <v>6</v>
      </c>
      <c r="H883" s="239" t="s">
        <v>828</v>
      </c>
      <c r="I883" s="239" t="s">
        <v>828</v>
      </c>
      <c r="J883" s="239" t="s">
        <v>828</v>
      </c>
      <c r="L883" s="239" t="s">
        <v>828</v>
      </c>
      <c r="M883" s="95"/>
      <c r="N883" s="95"/>
      <c r="O883" s="95"/>
      <c r="T883" s="240" t="s">
        <v>828</v>
      </c>
      <c r="U883" s="241" t="s">
        <v>828</v>
      </c>
      <c r="V883" s="175"/>
      <c r="W883" s="242" t="s">
        <v>828</v>
      </c>
      <c r="X883" s="228">
        <v>1.0424175144729732E-2</v>
      </c>
      <c r="Y883" s="248">
        <v>66</v>
      </c>
      <c r="AA883" s="248">
        <v>66</v>
      </c>
      <c r="AB883" s="175"/>
      <c r="AC883" s="248">
        <f t="shared" si="72"/>
        <v>212</v>
      </c>
      <c r="AD883" s="249">
        <v>0.13484758867323332</v>
      </c>
      <c r="AE883" s="228">
        <f t="shared" si="71"/>
        <v>0.1122328118842657</v>
      </c>
      <c r="AG883" s="228"/>
      <c r="AH883" s="228"/>
      <c r="AI883" s="228"/>
      <c r="AJ883" s="228"/>
      <c r="AK883" s="228"/>
    </row>
    <row r="884" spans="2:37" x14ac:dyDescent="0.2">
      <c r="D884" s="75">
        <f t="shared" ref="D884:F884" si="79">D657</f>
        <v>6</v>
      </c>
      <c r="E884" s="80">
        <f t="shared" si="79"/>
        <v>7</v>
      </c>
      <c r="F884" s="80">
        <f t="shared" si="79"/>
        <v>6</v>
      </c>
      <c r="H884" s="239" t="s">
        <v>828</v>
      </c>
      <c r="I884" s="239" t="s">
        <v>828</v>
      </c>
      <c r="J884" s="239" t="s">
        <v>828</v>
      </c>
      <c r="L884" s="239" t="s">
        <v>828</v>
      </c>
      <c r="M884" s="95"/>
      <c r="N884" s="95"/>
      <c r="O884" s="95"/>
      <c r="T884" s="240" t="s">
        <v>828</v>
      </c>
      <c r="U884" s="241" t="s">
        <v>828</v>
      </c>
      <c r="V884" s="175"/>
      <c r="W884" s="242" t="s">
        <v>828</v>
      </c>
      <c r="X884" s="228">
        <v>5.5796093136179774E-2</v>
      </c>
      <c r="Y884" s="248">
        <v>107</v>
      </c>
      <c r="AA884" s="248">
        <v>107</v>
      </c>
      <c r="AB884" s="175"/>
      <c r="AC884" s="248">
        <f t="shared" si="72"/>
        <v>213</v>
      </c>
      <c r="AD884" s="249">
        <v>0.13803504854629253</v>
      </c>
      <c r="AE884" s="228">
        <f t="shared" si="71"/>
        <v>0.1122328118842657</v>
      </c>
      <c r="AG884" s="228"/>
      <c r="AH884" s="228"/>
      <c r="AI884" s="228"/>
      <c r="AJ884" s="228"/>
      <c r="AK884" s="228"/>
    </row>
    <row r="885" spans="2:37" x14ac:dyDescent="0.2">
      <c r="D885" s="75">
        <f t="shared" ref="D885:F885" si="80">D658</f>
        <v>7</v>
      </c>
      <c r="E885" s="80">
        <f t="shared" si="80"/>
        <v>7</v>
      </c>
      <c r="F885" s="80">
        <f t="shared" si="80"/>
        <v>6</v>
      </c>
      <c r="H885" s="239" t="s">
        <v>828</v>
      </c>
      <c r="I885" s="239" t="s">
        <v>828</v>
      </c>
      <c r="J885" s="239" t="s">
        <v>828</v>
      </c>
      <c r="L885" s="239" t="s">
        <v>828</v>
      </c>
      <c r="M885" s="95"/>
      <c r="N885" s="95"/>
      <c r="O885" s="95"/>
      <c r="T885" s="240" t="s">
        <v>828</v>
      </c>
      <c r="U885" s="241" t="s">
        <v>828</v>
      </c>
      <c r="V885" s="175"/>
      <c r="W885" s="242" t="s">
        <v>828</v>
      </c>
      <c r="X885" s="228">
        <v>5.617796891895923E-2</v>
      </c>
      <c r="Y885" s="248">
        <v>108</v>
      </c>
      <c r="AA885" s="248">
        <v>108</v>
      </c>
      <c r="AB885" s="175"/>
      <c r="AC885" s="248">
        <f t="shared" si="72"/>
        <v>214</v>
      </c>
      <c r="AD885" s="249">
        <v>0.14542142895091439</v>
      </c>
      <c r="AE885" s="228">
        <f t="shared" si="71"/>
        <v>0.1122328118842657</v>
      </c>
      <c r="AG885" s="228"/>
      <c r="AH885" s="228"/>
      <c r="AI885" s="228"/>
      <c r="AJ885" s="228"/>
      <c r="AK885" s="228"/>
    </row>
    <row r="886" spans="2:37" x14ac:dyDescent="0.2">
      <c r="D886" s="75">
        <f t="shared" ref="D886:F886" si="81">D659</f>
        <v>8</v>
      </c>
      <c r="E886" s="80">
        <f t="shared" si="81"/>
        <v>7</v>
      </c>
      <c r="F886" s="80">
        <f t="shared" si="81"/>
        <v>6</v>
      </c>
      <c r="H886" s="239" t="s">
        <v>828</v>
      </c>
      <c r="I886" s="239" t="s">
        <v>828</v>
      </c>
      <c r="J886" s="239" t="s">
        <v>828</v>
      </c>
      <c r="L886" s="239" t="s">
        <v>828</v>
      </c>
      <c r="M886" s="95"/>
      <c r="N886" s="95"/>
      <c r="O886" s="95"/>
      <c r="T886" s="240" t="s">
        <v>828</v>
      </c>
      <c r="U886" s="241" t="s">
        <v>828</v>
      </c>
      <c r="V886" s="175"/>
      <c r="W886" s="242" t="s">
        <v>828</v>
      </c>
      <c r="X886" s="228">
        <v>3.9028382495852242E-2</v>
      </c>
      <c r="Y886" s="248">
        <v>89</v>
      </c>
      <c r="AA886" s="248">
        <v>89</v>
      </c>
      <c r="AB886" s="175"/>
      <c r="AC886" s="248">
        <f t="shared" si="72"/>
        <v>215</v>
      </c>
      <c r="AD886" s="249">
        <v>0.15127737410037229</v>
      </c>
      <c r="AE886" s="228">
        <f t="shared" si="71"/>
        <v>0.1122328118842657</v>
      </c>
      <c r="AG886" s="228"/>
      <c r="AH886" s="228"/>
      <c r="AI886" s="228"/>
      <c r="AJ886" s="228"/>
      <c r="AK886" s="228"/>
    </row>
    <row r="887" spans="2:37" x14ac:dyDescent="0.2">
      <c r="D887" s="75">
        <f t="shared" ref="D887:F887" si="82">D660</f>
        <v>9</v>
      </c>
      <c r="E887" s="80">
        <f t="shared" si="82"/>
        <v>7</v>
      </c>
      <c r="F887" s="80">
        <f t="shared" si="82"/>
        <v>6</v>
      </c>
      <c r="H887" s="239" t="s">
        <v>828</v>
      </c>
      <c r="I887" s="239" t="s">
        <v>828</v>
      </c>
      <c r="J887" s="239" t="s">
        <v>828</v>
      </c>
      <c r="L887" s="239" t="s">
        <v>828</v>
      </c>
      <c r="M887" s="95"/>
      <c r="N887" s="95"/>
      <c r="O887" s="95"/>
      <c r="T887" s="240" t="s">
        <v>828</v>
      </c>
      <c r="U887" s="241" t="s">
        <v>828</v>
      </c>
      <c r="V887" s="175"/>
      <c r="W887" s="242" t="s">
        <v>828</v>
      </c>
      <c r="X887" s="228">
        <v>-2.9510301250199062E-2</v>
      </c>
      <c r="Y887" s="248">
        <v>41</v>
      </c>
      <c r="AA887" s="248">
        <v>41</v>
      </c>
      <c r="AB887" s="175"/>
      <c r="AC887" s="248">
        <f t="shared" si="72"/>
        <v>216</v>
      </c>
      <c r="AD887" s="249">
        <v>0.1535406388662888</v>
      </c>
      <c r="AE887" s="228">
        <f t="shared" si="71"/>
        <v>0.1122328118842657</v>
      </c>
      <c r="AG887" s="228"/>
      <c r="AH887" s="228"/>
      <c r="AI887" s="228"/>
      <c r="AJ887" s="228"/>
      <c r="AK887" s="228"/>
    </row>
    <row r="888" spans="2:37" x14ac:dyDescent="0.2">
      <c r="D888" s="75">
        <f t="shared" ref="D888:F888" si="83">D661</f>
        <v>10</v>
      </c>
      <c r="E888" s="80">
        <f t="shared" si="83"/>
        <v>7</v>
      </c>
      <c r="F888" s="80">
        <f t="shared" si="83"/>
        <v>6</v>
      </c>
      <c r="H888" s="239" t="s">
        <v>828</v>
      </c>
      <c r="I888" s="239" t="s">
        <v>828</v>
      </c>
      <c r="J888" s="239" t="s">
        <v>828</v>
      </c>
      <c r="L888" s="239" t="s">
        <v>828</v>
      </c>
      <c r="M888" s="95"/>
      <c r="N888" s="95"/>
      <c r="O888" s="95"/>
      <c r="T888" s="240" t="s">
        <v>828</v>
      </c>
      <c r="U888" s="241" t="s">
        <v>828</v>
      </c>
      <c r="V888" s="175"/>
      <c r="W888" s="242" t="s">
        <v>828</v>
      </c>
      <c r="X888" s="228">
        <v>8.8646322551245854E-2</v>
      </c>
      <c r="Y888" s="248">
        <v>151</v>
      </c>
      <c r="AA888" s="248">
        <v>151</v>
      </c>
      <c r="AB888" s="175"/>
      <c r="AC888" s="248">
        <f t="shared" si="72"/>
        <v>217</v>
      </c>
      <c r="AD888" s="249">
        <v>0.15980497049544307</v>
      </c>
      <c r="AE888" s="228">
        <f t="shared" si="71"/>
        <v>0.1122328118842657</v>
      </c>
      <c r="AG888" s="228"/>
      <c r="AH888" s="228"/>
      <c r="AI888" s="228"/>
      <c r="AJ888" s="228"/>
      <c r="AK888" s="228"/>
    </row>
    <row r="889" spans="2:37" x14ac:dyDescent="0.2">
      <c r="D889" s="75">
        <f t="shared" ref="D889:F889" si="84">D662</f>
        <v>11</v>
      </c>
      <c r="E889" s="80">
        <f t="shared" si="84"/>
        <v>7</v>
      </c>
      <c r="F889" s="80">
        <f t="shared" si="84"/>
        <v>6</v>
      </c>
      <c r="H889" s="239" t="s">
        <v>828</v>
      </c>
      <c r="I889" s="239" t="s">
        <v>828</v>
      </c>
      <c r="J889" s="239" t="s">
        <v>828</v>
      </c>
      <c r="L889" s="239" t="s">
        <v>828</v>
      </c>
      <c r="M889" s="95"/>
      <c r="N889" s="95"/>
      <c r="O889" s="95"/>
      <c r="T889" s="240" t="s">
        <v>828</v>
      </c>
      <c r="U889" s="241" t="s">
        <v>828</v>
      </c>
      <c r="V889" s="175"/>
      <c r="W889" s="242" t="s">
        <v>828</v>
      </c>
      <c r="X889" s="228">
        <v>0.12025757771267176</v>
      </c>
      <c r="Y889" s="248">
        <v>200</v>
      </c>
      <c r="AA889" s="248">
        <v>200</v>
      </c>
      <c r="AB889" s="175"/>
      <c r="AC889" s="248">
        <f t="shared" si="72"/>
        <v>218</v>
      </c>
      <c r="AD889" s="249">
        <v>0.16004255217806621</v>
      </c>
      <c r="AE889" s="228">
        <f t="shared" si="71"/>
        <v>0.1122328118842657</v>
      </c>
      <c r="AG889" s="228"/>
      <c r="AH889" s="228"/>
      <c r="AI889" s="228"/>
      <c r="AJ889" s="228"/>
      <c r="AK889" s="228"/>
    </row>
    <row r="890" spans="2:37" x14ac:dyDescent="0.2">
      <c r="D890" s="75">
        <f t="shared" ref="D890:F890" si="85">D663</f>
        <v>12</v>
      </c>
      <c r="E890" s="80">
        <f t="shared" si="85"/>
        <v>7</v>
      </c>
      <c r="F890" s="80">
        <f t="shared" si="85"/>
        <v>6</v>
      </c>
      <c r="H890" s="239" t="s">
        <v>828</v>
      </c>
      <c r="I890" s="239" t="s">
        <v>828</v>
      </c>
      <c r="J890" s="239" t="s">
        <v>828</v>
      </c>
      <c r="L890" s="239" t="s">
        <v>828</v>
      </c>
      <c r="M890" s="95"/>
      <c r="N890" s="95"/>
      <c r="O890" s="95"/>
      <c r="T890" s="240" t="s">
        <v>828</v>
      </c>
      <c r="U890" s="241" t="s">
        <v>828</v>
      </c>
      <c r="V890" s="175"/>
      <c r="W890" s="242" t="s">
        <v>828</v>
      </c>
      <c r="X890" s="228">
        <v>0.10626246612573952</v>
      </c>
      <c r="Y890" s="248">
        <v>177</v>
      </c>
      <c r="AA890" s="248">
        <v>177</v>
      </c>
      <c r="AB890" s="175"/>
      <c r="AC890" s="248">
        <f t="shared" si="72"/>
        <v>219</v>
      </c>
      <c r="AD890" s="249">
        <v>0.16934297905682114</v>
      </c>
      <c r="AE890" s="228">
        <f t="shared" si="71"/>
        <v>0.1122328118842657</v>
      </c>
      <c r="AG890" s="228"/>
      <c r="AH890" s="228"/>
      <c r="AI890" s="228"/>
      <c r="AJ890" s="228"/>
      <c r="AK890" s="228"/>
    </row>
    <row r="891" spans="2:37" x14ac:dyDescent="0.2">
      <c r="D891" s="75">
        <f t="shared" ref="D891:F891" si="86">D664</f>
        <v>13</v>
      </c>
      <c r="E891" s="80">
        <f t="shared" si="86"/>
        <v>7</v>
      </c>
      <c r="F891" s="80">
        <f t="shared" si="86"/>
        <v>6</v>
      </c>
      <c r="H891" s="239" t="s">
        <v>828</v>
      </c>
      <c r="I891" s="239" t="s">
        <v>828</v>
      </c>
      <c r="J891" s="239" t="s">
        <v>828</v>
      </c>
      <c r="L891" s="239" t="s">
        <v>828</v>
      </c>
      <c r="M891" s="95"/>
      <c r="N891" s="95"/>
      <c r="O891" s="95"/>
      <c r="T891" s="240" t="s">
        <v>828</v>
      </c>
      <c r="U891" s="241" t="s">
        <v>828</v>
      </c>
      <c r="V891" s="175"/>
      <c r="W891" s="242" t="s">
        <v>828</v>
      </c>
      <c r="X891" s="228">
        <v>0.10697611724306327</v>
      </c>
      <c r="Y891" s="248">
        <v>179</v>
      </c>
      <c r="AA891" s="248">
        <v>179</v>
      </c>
      <c r="AB891" s="175"/>
      <c r="AC891" s="248">
        <f t="shared" si="72"/>
        <v>220</v>
      </c>
      <c r="AD891" s="249">
        <v>0.17264104523526258</v>
      </c>
      <c r="AE891" s="228">
        <f t="shared" si="71"/>
        <v>0.1122328118842657</v>
      </c>
      <c r="AG891" s="228"/>
      <c r="AH891" s="228"/>
      <c r="AI891" s="228"/>
      <c r="AJ891" s="228"/>
      <c r="AK891" s="228"/>
    </row>
    <row r="894" spans="2:37" s="2" customFormat="1" ht="15.75" x14ac:dyDescent="0.2">
      <c r="B894" s="2" t="s">
        <v>20</v>
      </c>
    </row>
    <row r="895" spans="2:37" x14ac:dyDescent="0.2">
      <c r="B895" s="132" t="s">
        <v>192</v>
      </c>
    </row>
  </sheetData>
  <mergeCells count="33">
    <mergeCell ref="W525:X525"/>
    <mergeCell ref="W650:X650"/>
    <mergeCell ref="W670:X670"/>
    <mergeCell ref="H650:J650"/>
    <mergeCell ref="L650:O650"/>
    <mergeCell ref="H670:J670"/>
    <mergeCell ref="L670:O670"/>
    <mergeCell ref="H525:J525"/>
    <mergeCell ref="L525:O525"/>
    <mergeCell ref="H581:J581"/>
    <mergeCell ref="L581:O581"/>
    <mergeCell ref="W581:X581"/>
    <mergeCell ref="C191:D192"/>
    <mergeCell ref="E191:I191"/>
    <mergeCell ref="I36:I39"/>
    <mergeCell ref="I40:I43"/>
    <mergeCell ref="I45:I48"/>
    <mergeCell ref="I49:I52"/>
    <mergeCell ref="H359:J359"/>
    <mergeCell ref="L359:O359"/>
    <mergeCell ref="W359:X359"/>
    <mergeCell ref="I53:J53"/>
    <mergeCell ref="I28:I29"/>
    <mergeCell ref="I30:I31"/>
    <mergeCell ref="I32:I35"/>
    <mergeCell ref="M349:O349"/>
    <mergeCell ref="I349:J349"/>
    <mergeCell ref="AA329:AE329"/>
    <mergeCell ref="AG329:AK329"/>
    <mergeCell ref="R178:R179"/>
    <mergeCell ref="H329:J329"/>
    <mergeCell ref="T329:Y329"/>
    <mergeCell ref="L329:O329"/>
  </mergeCells>
  <conditionalFormatting sqref="B2">
    <cfRule type="cellIs" dxfId="3" priority="2" operator="notEqual">
      <formula>"No Errors Found"</formula>
    </cfRule>
  </conditionalFormatting>
  <hyperlinks>
    <hyperlink ref="B3:D3" location="Cover!A1" display="Go to Cover Sheet" xr:uid="{00000000-0004-0000-0F00-000000000000}"/>
  </hyperlink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4"/>
  </sheetPr>
  <dimension ref="A1:AI181"/>
  <sheetViews>
    <sheetView showGridLines="0" zoomScaleNormal="100" workbookViewId="0">
      <pane xSplit="4" ySplit="9" topLeftCell="E10" activePane="bottomRight" state="frozen"/>
      <selection activeCell="D242" sqref="D242"/>
      <selection pane="topRight" activeCell="D242" sqref="D242"/>
      <selection pane="bottomLeft" activeCell="D242" sqref="D242"/>
      <selection pane="bottomRight" activeCell="E10" sqref="E10"/>
    </sheetView>
  </sheetViews>
  <sheetFormatPr defaultColWidth="9.1640625" defaultRowHeight="11.25" outlineLevelRow="1" x14ac:dyDescent="0.2"/>
  <cols>
    <col min="1" max="1" width="2.1640625" bestFit="1" customWidth="1"/>
    <col min="2" max="3" width="2.83203125" customWidth="1"/>
    <col min="4" max="4" width="44.33203125" customWidth="1"/>
    <col min="5" max="5" width="5" customWidth="1"/>
    <col min="6" max="6" width="14.33203125" bestFit="1" customWidth="1"/>
    <col min="7" max="7" width="2.33203125" customWidth="1"/>
    <col min="8" max="8" width="12.1640625" bestFit="1" customWidth="1"/>
    <col min="9" max="9" width="10.83203125" customWidth="1"/>
    <col min="10" max="10" width="12.83203125" customWidth="1"/>
    <col min="11" max="12" width="3.33203125" customWidth="1"/>
    <col min="13" max="35" width="17.6640625" customWidth="1"/>
  </cols>
  <sheetData>
    <row r="1" spans="1:35" ht="19.5" x14ac:dyDescent="0.2">
      <c r="A1" s="59">
        <f>IF(SUM($A10:$A181)&gt;0,1,0)</f>
        <v>0</v>
      </c>
      <c r="B1" s="3" t="s">
        <v>780</v>
      </c>
    </row>
    <row r="2" spans="1:35" x14ac:dyDescent="0.2">
      <c r="B2" s="13" t="str">
        <f ca="1">Title_Msg</f>
        <v>No Errors Found</v>
      </c>
    </row>
    <row r="3" spans="1:35" x14ac:dyDescent="0.2">
      <c r="B3" s="46" t="str">
        <f>TOC!B1</f>
        <v>Table of contents</v>
      </c>
      <c r="C3" s="42"/>
      <c r="D3" s="42"/>
      <c r="E3" s="42"/>
    </row>
    <row r="4" spans="1:35" ht="12.75" x14ac:dyDescent="0.2">
      <c r="B4" s="40" t="str">
        <f>Model_Name</f>
        <v>Pricing Model - Power and Water Corporation</v>
      </c>
    </row>
    <row r="5" spans="1:35" ht="12.75" hidden="1" outlineLevel="1" x14ac:dyDescent="0.2">
      <c r="B5" s="10"/>
      <c r="J5" s="51"/>
      <c r="K5" s="51"/>
      <c r="L5" s="51"/>
      <c r="M5" s="51"/>
      <c r="N5" s="51"/>
      <c r="O5" s="51"/>
      <c r="P5" s="51"/>
      <c r="Q5" s="51"/>
      <c r="R5" s="51"/>
      <c r="S5" s="51"/>
    </row>
    <row r="6" spans="1:35" ht="12.75" hidden="1" outlineLevel="1" x14ac:dyDescent="0.2">
      <c r="B6" s="10"/>
      <c r="J6" s="51"/>
      <c r="K6" s="51"/>
      <c r="L6" s="51"/>
      <c r="M6" s="51"/>
      <c r="N6" s="51"/>
      <c r="O6" s="51"/>
      <c r="P6" s="51"/>
      <c r="Q6" s="51"/>
      <c r="R6" s="51"/>
      <c r="S6" s="51"/>
    </row>
    <row r="7" spans="1:35" ht="12.75" hidden="1" outlineLevel="1" x14ac:dyDescent="0.2">
      <c r="B7" s="10"/>
      <c r="J7" s="52"/>
      <c r="K7" s="52"/>
      <c r="L7" s="52"/>
      <c r="M7" s="52"/>
      <c r="N7" s="52"/>
      <c r="O7" s="52"/>
      <c r="P7" s="52"/>
      <c r="Q7" s="52"/>
      <c r="R7" s="52"/>
      <c r="S7" s="52"/>
    </row>
    <row r="8" spans="1:35" ht="12.75" hidden="1" outlineLevel="1" x14ac:dyDescent="0.2">
      <c r="B8" s="10"/>
      <c r="J8" s="53"/>
      <c r="K8" s="53"/>
      <c r="L8" s="53"/>
      <c r="M8" s="53"/>
      <c r="N8" s="53"/>
      <c r="O8" s="53"/>
      <c r="P8" s="53"/>
      <c r="Q8" s="53"/>
      <c r="R8" s="53"/>
      <c r="S8" s="53"/>
    </row>
    <row r="9" spans="1:35" ht="12.75" collapsed="1" x14ac:dyDescent="0.2">
      <c r="B9" s="5" t="str">
        <f>Lookup!B19</f>
        <v>FY</v>
      </c>
      <c r="D9" s="244" t="s">
        <v>118</v>
      </c>
      <c r="E9" s="50"/>
      <c r="F9" s="50" t="s">
        <v>62</v>
      </c>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75" x14ac:dyDescent="0.2">
      <c r="B11" s="2" t="s">
        <v>508</v>
      </c>
    </row>
    <row r="12" spans="1:35" ht="11.25" customHeight="1" x14ac:dyDescent="0.2"/>
    <row r="13" spans="1:35" ht="11.25" customHeight="1" x14ac:dyDescent="0.2">
      <c r="D13" s="105" t="s">
        <v>548</v>
      </c>
    </row>
    <row r="14" spans="1:35" ht="11.25" customHeight="1" x14ac:dyDescent="0.2"/>
    <row r="15" spans="1:35" ht="11.25" customHeight="1" x14ac:dyDescent="0.2"/>
    <row r="16" spans="1:35" ht="11.25" customHeight="1" x14ac:dyDescent="0.2">
      <c r="D16" s="70" t="s">
        <v>703</v>
      </c>
      <c r="H16" s="54" t="str">
        <f>Lookup!E$19</f>
        <v>Source</v>
      </c>
      <c r="I16" s="54" t="str">
        <f>Lookup!F$19</f>
        <v>Unit</v>
      </c>
      <c r="J16" s="54" t="str">
        <f>Lookup!G$19</f>
        <v>Basis</v>
      </c>
      <c r="M16" s="54" t="str">
        <f t="shared" ref="M16:N16" si="0">M$9</f>
        <v>FY23</v>
      </c>
      <c r="N16" s="54" t="str">
        <f t="shared" si="0"/>
        <v>FY24</v>
      </c>
      <c r="O16" s="54" t="str">
        <f>O$9</f>
        <v>FY25</v>
      </c>
      <c r="P16" s="54" t="str">
        <f>P$9</f>
        <v>FY26</v>
      </c>
      <c r="Q16" s="54" t="str">
        <f>Q$9</f>
        <v>FY27</v>
      </c>
      <c r="R16" s="54" t="str">
        <f>R$9</f>
        <v>FY28</v>
      </c>
      <c r="S16" s="54" t="str">
        <f>S$9</f>
        <v>FY29</v>
      </c>
    </row>
    <row r="17" spans="2:19" ht="11.25" customHeight="1" x14ac:dyDescent="0.2">
      <c r="D17" s="1"/>
    </row>
    <row r="18" spans="2:19" ht="12.75" x14ac:dyDescent="0.2">
      <c r="D18" s="75" t="str">
        <f>Inputs_Other!D34</f>
        <v>Real 2024 (End Period) to Nominal (End Period)</v>
      </c>
      <c r="E18" s="82"/>
      <c r="F18" s="82"/>
      <c r="G18" s="82"/>
      <c r="H18" s="243" t="s">
        <v>52</v>
      </c>
      <c r="I18" s="243" t="s">
        <v>45</v>
      </c>
      <c r="J18" s="243" t="s">
        <v>21</v>
      </c>
      <c r="M18" s="95"/>
      <c r="N18" s="142">
        <f>Inputs_Other!N34</f>
        <v>1</v>
      </c>
      <c r="O18" s="142">
        <f>Inputs_Other!O$34</f>
        <v>1.0279978112784547</v>
      </c>
      <c r="P18" s="142">
        <f>Inputs_Other!P$34</f>
        <v>1.0567794999932933</v>
      </c>
      <c r="Q18" s="142">
        <f>Inputs_Other!Q$34</f>
        <v>1.0863670129970453</v>
      </c>
      <c r="R18" s="142">
        <f>Inputs_Other!R$34</f>
        <v>1.116782911606075</v>
      </c>
      <c r="S18" s="142">
        <f>Inputs_Other!S$34</f>
        <v>1.1480503888042251</v>
      </c>
    </row>
    <row r="19" spans="2:19" ht="12.75" x14ac:dyDescent="0.2">
      <c r="D19" s="75" t="str">
        <f>Inputs_Other!D35</f>
        <v>Real 2024 (End Period) to Nominal (Mid Period)</v>
      </c>
      <c r="H19" s="243" t="s">
        <v>52</v>
      </c>
      <c r="I19" s="243" t="s">
        <v>45</v>
      </c>
      <c r="J19" s="243" t="s">
        <v>21</v>
      </c>
      <c r="M19" s="142">
        <f>Inputs_Other!M35</f>
        <v>0.92507256012358996</v>
      </c>
      <c r="N19" s="142">
        <f>Inputs_Other!N35</f>
        <v>0.98010958237730716</v>
      </c>
      <c r="O19" s="95"/>
      <c r="P19" s="95"/>
      <c r="Q19" s="95"/>
      <c r="R19" s="95"/>
      <c r="S19" s="95"/>
    </row>
    <row r="20" spans="2:19" ht="11.25" customHeight="1" x14ac:dyDescent="0.2"/>
    <row r="21" spans="2:19" ht="11.25" customHeight="1" x14ac:dyDescent="0.2"/>
    <row r="22" spans="2:19" s="2" customFormat="1" ht="15.75" x14ac:dyDescent="0.2">
      <c r="B22" s="2" t="s">
        <v>781</v>
      </c>
    </row>
    <row r="23" spans="2:19" ht="11.25" customHeight="1" x14ac:dyDescent="0.2"/>
    <row r="24" spans="2:19" s="8" customFormat="1" ht="15" x14ac:dyDescent="0.2">
      <c r="C24" s="8" t="s">
        <v>509</v>
      </c>
    </row>
    <row r="25" spans="2:19" ht="11.25" customHeight="1" x14ac:dyDescent="0.2"/>
    <row r="26" spans="2:19" ht="11.25" customHeight="1" x14ac:dyDescent="0.2">
      <c r="D26" s="70" t="s">
        <v>518</v>
      </c>
      <c r="H26" s="54" t="str">
        <f>Lookup!E$19</f>
        <v>Source</v>
      </c>
      <c r="I26" s="54" t="str">
        <f>Lookup!F$19</f>
        <v>Unit</v>
      </c>
      <c r="J26" s="54" t="str">
        <f>Lookup!G$19</f>
        <v>Basis</v>
      </c>
      <c r="M26" s="54" t="str">
        <f t="shared" ref="M26:N26" si="1">M$9</f>
        <v>FY23</v>
      </c>
      <c r="N26" s="54" t="str">
        <f t="shared" si="1"/>
        <v>FY24</v>
      </c>
      <c r="O26" s="54" t="str">
        <f>O$9</f>
        <v>FY25</v>
      </c>
      <c r="P26" s="54" t="str">
        <f>P$9</f>
        <v>FY26</v>
      </c>
      <c r="Q26" s="54" t="str">
        <f>Q$9</f>
        <v>FY27</v>
      </c>
      <c r="R26" s="54" t="str">
        <f>R$9</f>
        <v>FY28</v>
      </c>
      <c r="S26" s="54" t="str">
        <f>S$9</f>
        <v>FY29</v>
      </c>
    </row>
    <row r="28" spans="2:19" ht="12.75" x14ac:dyDescent="0.2">
      <c r="D28" s="7" t="s">
        <v>495</v>
      </c>
      <c r="H28" s="243" t="s">
        <v>52</v>
      </c>
      <c r="I28" s="243" t="s">
        <v>44</v>
      </c>
      <c r="J28" s="243" t="s">
        <v>238</v>
      </c>
      <c r="M28" s="66">
        <f>SUMIF(Inputs_FY23_FY24!$V$25:$V$71,$D28,Inputs_FY23_FY24!S$25:S$71)/Dollars_to_Thousands/M$19</f>
        <v>44996091.192499474</v>
      </c>
      <c r="N28" s="66">
        <f>SUMIF(Inputs_FY23_FY24!$V$25:$V$71,$D28,Inputs_FY23_FY24!T$25:T$71)/Dollars_to_Thousands/N$19</f>
        <v>59065568.432773434</v>
      </c>
      <c r="O28" s="97">
        <f>SUMIF(Calc_Revenue!$U$30:$U$77,$D28,Calc_Revenue!O$30:O$77)/Dollars_to_Thousands/O$18</f>
        <v>72524374.808542624</v>
      </c>
      <c r="P28" s="66">
        <f>SUMIF(Calc_Revenue!$U$30:$U$77,$D28,Calc_Revenue!P$30:P$77)/Dollars_to_Thousands/P$18</f>
        <v>78852068.307050273</v>
      </c>
      <c r="Q28" s="66">
        <f>SUMIF(Calc_Revenue!$U$30:$U$77,$D28,Calc_Revenue!Q$30:Q$77)/Dollars_to_Thousands/Q$18</f>
        <v>85108343.270670235</v>
      </c>
      <c r="R28" s="66">
        <f>SUMIF(Calc_Revenue!$U$30:$U$77,$D28,Calc_Revenue!R$30:R$77)/Dollars_to_Thousands/R$18</f>
        <v>90934097.857967436</v>
      </c>
      <c r="S28" s="66">
        <f>SUMIF(Calc_Revenue!$U$30:$U$77,$D28,Calc_Revenue!S$30:S$77)/Dollars_to_Thousands/S$18</f>
        <v>89997456.95022577</v>
      </c>
    </row>
    <row r="29" spans="2:19" ht="12.75" x14ac:dyDescent="0.2">
      <c r="D29" s="7" t="s">
        <v>496</v>
      </c>
      <c r="H29" s="243" t="s">
        <v>52</v>
      </c>
      <c r="I29" s="243" t="s">
        <v>44</v>
      </c>
      <c r="J29" s="243" t="s">
        <v>238</v>
      </c>
      <c r="M29" s="66">
        <f>SUMIF(Inputs_FY23_FY24!$V$25:$V$71,$D29,Inputs_FY23_FY24!S$25:S$71)/Dollars_to_Thousands/M$19</f>
        <v>65760181.553191029</v>
      </c>
      <c r="N29" s="66">
        <f>SUMIF(Inputs_FY23_FY24!$V$25:$V$71,$D29,Inputs_FY23_FY24!T$25:T$71)/Dollars_to_Thousands/N$19</f>
        <v>50803903.945092291</v>
      </c>
      <c r="O29" s="97">
        <f>SUMIF(Calc_Revenue!$U$30:$U$77,$D29,Calc_Revenue!O$30:O$77)/Dollars_to_Thousands/O$18</f>
        <v>41220720.778287791</v>
      </c>
      <c r="P29" s="66">
        <f>SUMIF(Calc_Revenue!$U$30:$U$77,$D29,Calc_Revenue!P$30:P$77)/Dollars_to_Thousands/P$18</f>
        <v>36102030.296987809</v>
      </c>
      <c r="Q29" s="66">
        <f>SUMIF(Calc_Revenue!$U$30:$U$77,$D29,Calc_Revenue!Q$30:Q$77)/Dollars_to_Thousands/Q$18</f>
        <v>31883826.070764519</v>
      </c>
      <c r="R29" s="66">
        <f>SUMIF(Calc_Revenue!$U$30:$U$77,$D29,Calc_Revenue!R$30:R$77)/Dollars_to_Thousands/R$18</f>
        <v>32885404.712189324</v>
      </c>
      <c r="S29" s="66">
        <f>SUMIF(Calc_Revenue!$U$30:$U$77,$D29,Calc_Revenue!S$30:S$77)/Dollars_to_Thousands/S$18</f>
        <v>26207125.893675018</v>
      </c>
    </row>
    <row r="30" spans="2:19" ht="12.75" x14ac:dyDescent="0.2">
      <c r="D30" s="7" t="s">
        <v>497</v>
      </c>
      <c r="H30" s="243" t="s">
        <v>52</v>
      </c>
      <c r="I30" s="243" t="s">
        <v>44</v>
      </c>
      <c r="J30" s="243" t="s">
        <v>238</v>
      </c>
      <c r="M30" s="66">
        <f>SUMIF(Inputs_FY23_FY24!$V$25:$V$71,$D30,Inputs_FY23_FY24!S$25:S$71)/Dollars_to_Thousands/M$19</f>
        <v>0</v>
      </c>
      <c r="N30" s="66">
        <f>SUMIF(Inputs_FY23_FY24!$V$25:$V$71,$D30,Inputs_FY23_FY24!T$25:T$71)/Dollars_to_Thousands/N$19</f>
        <v>0</v>
      </c>
      <c r="O30" s="97">
        <f>SUMIF(Calc_Revenue!$U$30:$U$77,$D30,Calc_Revenue!O$30:O$77)/Dollars_to_Thousands/O$18</f>
        <v>20778390.782013167</v>
      </c>
      <c r="P30" s="66">
        <f>SUMIF(Calc_Revenue!$U$30:$U$77,$D30,Calc_Revenue!P$30:P$77)/Dollars_to_Thousands/P$18</f>
        <v>23971684.848255042</v>
      </c>
      <c r="Q30" s="66">
        <f>SUMIF(Calc_Revenue!$U$30:$U$77,$D30,Calc_Revenue!Q$30:Q$77)/Dollars_to_Thousands/Q$18</f>
        <v>26753267.934281554</v>
      </c>
      <c r="R30" s="66">
        <f>SUMIF(Calc_Revenue!$U$30:$U$77,$D30,Calc_Revenue!R$30:R$77)/Dollars_to_Thousands/R$18</f>
        <v>28034769.013294183</v>
      </c>
      <c r="S30" s="66">
        <f>SUMIF(Calc_Revenue!$U$30:$U$77,$D30,Calc_Revenue!S$30:S$77)/Dollars_to_Thousands/S$18</f>
        <v>31930959.574341994</v>
      </c>
    </row>
    <row r="31" spans="2:19" ht="12.75" x14ac:dyDescent="0.2">
      <c r="D31" s="7" t="s">
        <v>498</v>
      </c>
      <c r="H31" s="243" t="s">
        <v>52</v>
      </c>
      <c r="I31" s="243" t="s">
        <v>44</v>
      </c>
      <c r="J31" s="243" t="s">
        <v>238</v>
      </c>
      <c r="M31" s="66">
        <f>SUMIF(Inputs_FY23_FY24!$V$25:$V$71,$D31,Inputs_FY23_FY24!S$25:S$71)/Dollars_to_Thousands/M$19</f>
        <v>0</v>
      </c>
      <c r="N31" s="66">
        <f>SUMIF(Inputs_FY23_FY24!$V$25:$V$71,$D31,Inputs_FY23_FY24!T$25:T$71)/Dollars_to_Thousands/N$19</f>
        <v>0</v>
      </c>
      <c r="O31" s="97">
        <f>SUMIF(Calc_Revenue!$U$30:$U$77,$D31,Calc_Revenue!O$30:O$77)/Dollars_to_Thousands/O$18</f>
        <v>23578051.57108961</v>
      </c>
      <c r="P31" s="66">
        <f>SUMIF(Calc_Revenue!$U$30:$U$77,$D31,Calc_Revenue!P$30:P$77)/Dollars_to_Thousands/P$18</f>
        <v>29179854.005718123</v>
      </c>
      <c r="Q31" s="66">
        <f>SUMIF(Calc_Revenue!$U$30:$U$77,$D31,Calc_Revenue!Q$30:Q$77)/Dollars_to_Thousands/Q$18</f>
        <v>35994024.149368331</v>
      </c>
      <c r="R31" s="66">
        <f>SUMIF(Calc_Revenue!$U$30:$U$77,$D31,Calc_Revenue!R$30:R$77)/Dollars_to_Thousands/R$18</f>
        <v>39356897.443827435</v>
      </c>
      <c r="S31" s="66">
        <f>SUMIF(Calc_Revenue!$U$30:$U$77,$D31,Calc_Revenue!S$30:S$77)/Dollars_to_Thousands/S$18</f>
        <v>48064176.067773983</v>
      </c>
    </row>
    <row r="32" spans="2:19" ht="12.75" x14ac:dyDescent="0.2">
      <c r="D32" s="7" t="s">
        <v>499</v>
      </c>
      <c r="H32" s="243" t="s">
        <v>52</v>
      </c>
      <c r="I32" s="243" t="s">
        <v>44</v>
      </c>
      <c r="J32" s="243" t="s">
        <v>238</v>
      </c>
      <c r="M32" s="66">
        <f>SUMIF(Inputs_FY23_FY24!$V$25:$V$71,$D32,Inputs_FY23_FY24!S$25:S$71)/Dollars_to_Thousands/M$19</f>
        <v>0</v>
      </c>
      <c r="N32" s="66">
        <f>SUMIF(Inputs_FY23_FY24!$V$25:$V$71,$D32,Inputs_FY23_FY24!T$25:T$71)/Dollars_to_Thousands/N$19</f>
        <v>0</v>
      </c>
      <c r="O32" s="97">
        <f>SUMIF(Calc_Revenue!$U$30:$U$77,$D32,Calc_Revenue!O$30:O$77)/Dollars_to_Thousands/O$18</f>
        <v>0</v>
      </c>
      <c r="P32" s="66">
        <f>SUMIF(Calc_Revenue!$U$30:$U$77,$D32,Calc_Revenue!P$30:P$77)/Dollars_to_Thousands/P$18</f>
        <v>0</v>
      </c>
      <c r="Q32" s="66">
        <f>SUMIF(Calc_Revenue!$U$30:$U$77,$D32,Calc_Revenue!Q$30:Q$77)/Dollars_to_Thousands/Q$18</f>
        <v>0</v>
      </c>
      <c r="R32" s="66">
        <f>SUMIF(Calc_Revenue!$U$30:$U$77,$D32,Calc_Revenue!R$30:R$77)/Dollars_to_Thousands/R$18</f>
        <v>0</v>
      </c>
      <c r="S32" s="66">
        <f>SUMIF(Calc_Revenue!$U$30:$U$77,$D32,Calc_Revenue!S$30:S$77)/Dollars_to_Thousands/S$18</f>
        <v>0</v>
      </c>
    </row>
    <row r="33" spans="1:19" ht="12.75" x14ac:dyDescent="0.2">
      <c r="D33" s="7" t="s">
        <v>500</v>
      </c>
      <c r="H33" s="243" t="s">
        <v>52</v>
      </c>
      <c r="I33" s="243" t="s">
        <v>44</v>
      </c>
      <c r="J33" s="243" t="s">
        <v>238</v>
      </c>
      <c r="M33" s="66">
        <f>SUMIF(Inputs_FY23_FY24!$V$25:$V$71,$D33,Inputs_FY23_FY24!S$25:S$71)/Dollars_to_Thousands/M$19</f>
        <v>0</v>
      </c>
      <c r="N33" s="66">
        <f>SUMIF(Inputs_FY23_FY24!$V$25:$V$71,$D33,Inputs_FY23_FY24!T$25:T$71)/Dollars_to_Thousands/N$19</f>
        <v>0</v>
      </c>
      <c r="O33" s="97">
        <f>SUMIF(Calc_Revenue!$U$30:$U$77,$D33,Calc_Revenue!O$30:O$77)/Dollars_to_Thousands/O$18</f>
        <v>0</v>
      </c>
      <c r="P33" s="66">
        <f>SUMIF(Calc_Revenue!$U$30:$U$77,$D33,Calc_Revenue!P$30:P$77)/Dollars_to_Thousands/P$18</f>
        <v>0</v>
      </c>
      <c r="Q33" s="66">
        <f>SUMIF(Calc_Revenue!$U$30:$U$77,$D33,Calc_Revenue!Q$30:Q$77)/Dollars_to_Thousands/Q$18</f>
        <v>0</v>
      </c>
      <c r="R33" s="66">
        <f>SUMIF(Calc_Revenue!$U$30:$U$77,$D33,Calc_Revenue!R$30:R$77)/Dollars_to_Thousands/R$18</f>
        <v>0</v>
      </c>
      <c r="S33" s="66">
        <f>SUMIF(Calc_Revenue!$U$30:$U$77,$D33,Calc_Revenue!S$30:S$77)/Dollars_to_Thousands/S$18</f>
        <v>0</v>
      </c>
    </row>
    <row r="34" spans="1:19" ht="12.75" x14ac:dyDescent="0.2">
      <c r="D34" s="7" t="s">
        <v>501</v>
      </c>
      <c r="H34" s="243" t="s">
        <v>52</v>
      </c>
      <c r="I34" s="243" t="s">
        <v>44</v>
      </c>
      <c r="J34" s="243" t="s">
        <v>238</v>
      </c>
      <c r="M34" s="66">
        <f>SUMIF(Inputs_FY23_FY24!$V$25:$V$71,$D34,Inputs_FY23_FY24!S$25:S$71)/Dollars_to_Thousands/M$19</f>
        <v>970054.12149441987</v>
      </c>
      <c r="N34" s="66">
        <f>SUMIF(Inputs_FY23_FY24!$V$25:$V$71,$D34,Inputs_FY23_FY24!T$25:T$71)/Dollars_to_Thousands/N$19</f>
        <v>1271701.4667126869</v>
      </c>
      <c r="O34" s="97">
        <f>SUMIF(Calc_Revenue!$U$30:$U$77,$D34,Calc_Revenue!O$30:O$77)/Dollars_to_Thousands/O$18</f>
        <v>1502729.4059319936</v>
      </c>
      <c r="P34" s="66">
        <f>SUMIF(Calc_Revenue!$U$30:$U$77,$D34,Calc_Revenue!P$30:P$77)/Dollars_to_Thousands/P$18</f>
        <v>2243121.7949867598</v>
      </c>
      <c r="Q34" s="66">
        <f>SUMIF(Calc_Revenue!$U$30:$U$77,$D34,Calc_Revenue!Q$30:Q$77)/Dollars_to_Thousands/Q$18</f>
        <v>2330355.6571007208</v>
      </c>
      <c r="R34" s="66">
        <f>SUMIF(Calc_Revenue!$U$30:$U$77,$D34,Calc_Revenue!R$30:R$77)/Dollars_to_Thousands/R$18</f>
        <v>2303361.2510466743</v>
      </c>
      <c r="S34" s="66">
        <f>SUMIF(Calc_Revenue!$U$30:$U$77,$D34,Calc_Revenue!S$30:S$77)/Dollars_to_Thousands/S$18</f>
        <v>2374349.9553282009</v>
      </c>
    </row>
    <row r="35" spans="1:19" ht="12.75" x14ac:dyDescent="0.2">
      <c r="D35" s="7" t="s">
        <v>502</v>
      </c>
      <c r="H35" s="243" t="s">
        <v>52</v>
      </c>
      <c r="I35" s="243" t="s">
        <v>44</v>
      </c>
      <c r="J35" s="243" t="s">
        <v>238</v>
      </c>
      <c r="M35" s="66">
        <f>SUMIF(Inputs_FY23_FY24!$V$25:$V$71,$D35,Inputs_FY23_FY24!S$25:S$71)/Dollars_to_Thousands/M$19</f>
        <v>0</v>
      </c>
      <c r="N35" s="66">
        <f>SUMIF(Inputs_FY23_FY24!$V$25:$V$71,$D35,Inputs_FY23_FY24!T$25:T$71)/Dollars_to_Thousands/N$19</f>
        <v>0</v>
      </c>
      <c r="O35" s="97">
        <f>SUMIF(Calc_Revenue!$U$30:$U$77,$D35,Calc_Revenue!O$30:O$77)/Dollars_to_Thousands/O$18</f>
        <v>0</v>
      </c>
      <c r="P35" s="66">
        <f>SUMIF(Calc_Revenue!$U$30:$U$77,$D35,Calc_Revenue!P$30:P$77)/Dollars_to_Thousands/P$18</f>
        <v>0</v>
      </c>
      <c r="Q35" s="66">
        <f>SUMIF(Calc_Revenue!$U$30:$U$77,$D35,Calc_Revenue!Q$30:Q$77)/Dollars_to_Thousands/Q$18</f>
        <v>0</v>
      </c>
      <c r="R35" s="66">
        <f>SUMIF(Calc_Revenue!$U$30:$U$77,$D35,Calc_Revenue!R$30:R$77)/Dollars_to_Thousands/R$18</f>
        <v>0</v>
      </c>
      <c r="S35" s="66">
        <f>SUMIF(Calc_Revenue!$U$30:$U$77,$D35,Calc_Revenue!S$30:S$77)/Dollars_to_Thousands/S$18</f>
        <v>0</v>
      </c>
    </row>
    <row r="36" spans="1:19" ht="12.75" x14ac:dyDescent="0.2">
      <c r="D36" s="7" t="s">
        <v>503</v>
      </c>
      <c r="H36" s="243" t="s">
        <v>52</v>
      </c>
      <c r="I36" s="243" t="s">
        <v>44</v>
      </c>
      <c r="J36" s="243" t="s">
        <v>238</v>
      </c>
      <c r="M36" s="66">
        <f>SUMIF(Inputs_FY23_FY24!$V$25:$V$71,$D36,Inputs_FY23_FY24!S$25:S$71)/Dollars_to_Thousands/M$19</f>
        <v>43297297.075023949</v>
      </c>
      <c r="N36" s="66">
        <f>SUMIF(Inputs_FY23_FY24!$V$25:$V$71,$D36,Inputs_FY23_FY24!T$25:T$71)/Dollars_to_Thousands/N$19</f>
        <v>49163831.353345878</v>
      </c>
      <c r="O36" s="97">
        <f>SUMIF(Calc_Revenue!$U$30:$U$77,$D36,Calc_Revenue!O$30:O$77)/Dollars_to_Thousands/O$18</f>
        <v>9122000.7136760801</v>
      </c>
      <c r="P36" s="66">
        <f>SUMIF(Calc_Revenue!$U$30:$U$77,$D36,Calc_Revenue!P$30:P$77)/Dollars_to_Thousands/P$18</f>
        <v>10141212.192353593</v>
      </c>
      <c r="Q36" s="66">
        <f>SUMIF(Calc_Revenue!$U$30:$U$77,$D36,Calc_Revenue!Q$30:Q$77)/Dollars_to_Thousands/Q$18</f>
        <v>11004012.399160357</v>
      </c>
      <c r="R36" s="66">
        <f>SUMIF(Calc_Revenue!$U$30:$U$77,$D36,Calc_Revenue!R$30:R$77)/Dollars_to_Thousands/R$18</f>
        <v>13020533.571233267</v>
      </c>
      <c r="S36" s="66">
        <f>SUMIF(Calc_Revenue!$U$30:$U$77,$D36,Calc_Revenue!S$30:S$77)/Dollars_to_Thousands/S$18</f>
        <v>13814917.72153051</v>
      </c>
    </row>
    <row r="37" spans="1:19" ht="12.75" x14ac:dyDescent="0.2">
      <c r="D37" s="7" t="s">
        <v>504</v>
      </c>
      <c r="H37" s="243" t="s">
        <v>52</v>
      </c>
      <c r="I37" s="243" t="s">
        <v>44</v>
      </c>
      <c r="J37" s="243" t="s">
        <v>238</v>
      </c>
      <c r="M37" s="66">
        <f>SUMIF(Inputs_FY23_FY24!$V$25:$V$71,$D37,Inputs_FY23_FY24!S$25:S$71)/Dollars_to_Thousands/M$19</f>
        <v>0</v>
      </c>
      <c r="N37" s="66">
        <f>SUMIF(Inputs_FY23_FY24!$V$25:$V$71,$D37,Inputs_FY23_FY24!T$25:T$71)/Dollars_to_Thousands/N$19</f>
        <v>0</v>
      </c>
      <c r="O37" s="97">
        <f>SUMIF(Calc_Revenue!$U$30:$U$77,$D37,Calc_Revenue!O$30:O$77)/Dollars_to_Thousands/O$18</f>
        <v>0</v>
      </c>
      <c r="P37" s="66">
        <f>SUMIF(Calc_Revenue!$U$30:$U$77,$D37,Calc_Revenue!P$30:P$77)/Dollars_to_Thousands/P$18</f>
        <v>0</v>
      </c>
      <c r="Q37" s="66">
        <f>SUMIF(Calc_Revenue!$U$30:$U$77,$D37,Calc_Revenue!Q$30:Q$77)/Dollars_to_Thousands/Q$18</f>
        <v>0</v>
      </c>
      <c r="R37" s="66">
        <f>SUMIF(Calc_Revenue!$U$30:$U$77,$D37,Calc_Revenue!R$30:R$77)/Dollars_to_Thousands/R$18</f>
        <v>0</v>
      </c>
      <c r="S37" s="66">
        <f>SUMIF(Calc_Revenue!$U$30:$U$77,$D37,Calc_Revenue!S$30:S$77)/Dollars_to_Thousands/S$18</f>
        <v>0</v>
      </c>
    </row>
    <row r="38" spans="1:19" ht="12.75" x14ac:dyDescent="0.2">
      <c r="D38" s="7" t="s">
        <v>505</v>
      </c>
      <c r="H38" s="243" t="s">
        <v>52</v>
      </c>
      <c r="I38" s="243" t="s">
        <v>44</v>
      </c>
      <c r="J38" s="243" t="s">
        <v>238</v>
      </c>
      <c r="M38" s="66">
        <f>SUMIF(Inputs_FY23_FY24!$V$25:$V$71,$D38,Inputs_FY23_FY24!S$25:S$71)/Dollars_to_Thousands/M$19</f>
        <v>0</v>
      </c>
      <c r="N38" s="66">
        <f>SUMIF(Inputs_FY23_FY24!$V$25:$V$71,$D38,Inputs_FY23_FY24!T$25:T$71)/Dollars_to_Thousands/N$19</f>
        <v>0</v>
      </c>
      <c r="O38" s="97">
        <f>SUMIF(Calc_Revenue!$U$30:$U$77,$D38,Calc_Revenue!O$30:O$77)/Dollars_to_Thousands/O$18</f>
        <v>0</v>
      </c>
      <c r="P38" s="66">
        <f>SUMIF(Calc_Revenue!$U$30:$U$77,$D38,Calc_Revenue!P$30:P$77)/Dollars_to_Thousands/P$18</f>
        <v>0</v>
      </c>
      <c r="Q38" s="66">
        <f>SUMIF(Calc_Revenue!$U$30:$U$77,$D38,Calc_Revenue!Q$30:Q$77)/Dollars_to_Thousands/Q$18</f>
        <v>0</v>
      </c>
      <c r="R38" s="66">
        <f>SUMIF(Calc_Revenue!$U$30:$U$77,$D38,Calc_Revenue!R$30:R$77)/Dollars_to_Thousands/R$18</f>
        <v>0</v>
      </c>
      <c r="S38" s="66">
        <f>SUMIF(Calc_Revenue!$U$30:$U$77,$D38,Calc_Revenue!S$30:S$77)/Dollars_to_Thousands/S$18</f>
        <v>0</v>
      </c>
    </row>
    <row r="39" spans="1:19" ht="12.75" x14ac:dyDescent="0.2">
      <c r="D39" s="7" t="s">
        <v>506</v>
      </c>
      <c r="H39" s="243" t="s">
        <v>52</v>
      </c>
      <c r="I39" s="243" t="s">
        <v>44</v>
      </c>
      <c r="J39" s="243" t="s">
        <v>238</v>
      </c>
      <c r="M39" s="66">
        <f>SUMIF(Inputs_FY23_FY24!$V$25:$V$71,$D39,Inputs_FY23_FY24!S$25:S$71)/Dollars_to_Thousands/M$19</f>
        <v>0</v>
      </c>
      <c r="N39" s="66">
        <f>SUMIF(Inputs_FY23_FY24!$V$25:$V$71,$D39,Inputs_FY23_FY24!T$25:T$71)/Dollars_to_Thousands/N$19</f>
        <v>0</v>
      </c>
      <c r="O39" s="97">
        <f>SUMIF(Calc_Revenue!$U$30:$U$77,$D39,Calc_Revenue!O$30:O$77)/Dollars_to_Thousands/O$18</f>
        <v>0</v>
      </c>
      <c r="P39" s="66">
        <f>SUMIF(Calc_Revenue!$U$30:$U$77,$D39,Calc_Revenue!P$30:P$77)/Dollars_to_Thousands/P$18</f>
        <v>0</v>
      </c>
      <c r="Q39" s="66">
        <f>SUMIF(Calc_Revenue!$U$30:$U$77,$D39,Calc_Revenue!Q$30:Q$77)/Dollars_to_Thousands/Q$18</f>
        <v>0</v>
      </c>
      <c r="R39" s="66">
        <f>SUMIF(Calc_Revenue!$U$30:$U$77,$D39,Calc_Revenue!R$30:R$77)/Dollars_to_Thousands/R$18</f>
        <v>0</v>
      </c>
      <c r="S39" s="66">
        <f>SUMIF(Calc_Revenue!$U$30:$U$77,$D39,Calc_Revenue!S$30:S$77)/Dollars_to_Thousands/S$18</f>
        <v>0</v>
      </c>
    </row>
    <row r="40" spans="1:19" ht="12.75" x14ac:dyDescent="0.2">
      <c r="D40" s="7" t="s">
        <v>507</v>
      </c>
      <c r="H40" s="243" t="s">
        <v>52</v>
      </c>
      <c r="I40" s="243" t="s">
        <v>44</v>
      </c>
      <c r="J40" s="243" t="s">
        <v>238</v>
      </c>
      <c r="M40" s="66">
        <f>SUMIF(Inputs_FY23_FY24!$V$25:$V$71,$D40,Inputs_FY23_FY24!S$25:S$71)/Dollars_to_Thousands/M$19</f>
        <v>0</v>
      </c>
      <c r="N40" s="66">
        <f>SUMIF(Inputs_FY23_FY24!$V$25:$V$71,$D40,Inputs_FY23_FY24!T$25:T$71)/Dollars_to_Thousands/N$19</f>
        <v>0</v>
      </c>
      <c r="O40" s="97">
        <f>SUMIF(Calc_Revenue!$U$30:$U$77,$D40,Calc_Revenue!O$30:O$77)/Dollars_to_Thousands/O$18</f>
        <v>0</v>
      </c>
      <c r="P40" s="66">
        <f>SUMIF(Calc_Revenue!$U$30:$U$77,$D40,Calc_Revenue!P$30:P$77)/Dollars_to_Thousands/P$18</f>
        <v>0</v>
      </c>
      <c r="Q40" s="66">
        <f>SUMIF(Calc_Revenue!$U$30:$U$77,$D40,Calc_Revenue!Q$30:Q$77)/Dollars_to_Thousands/Q$18</f>
        <v>0</v>
      </c>
      <c r="R40" s="66">
        <f>SUMIF(Calc_Revenue!$U$30:$U$77,$D40,Calc_Revenue!R$30:R$77)/Dollars_to_Thousands/R$18</f>
        <v>0</v>
      </c>
      <c r="S40" s="66">
        <f>SUMIF(Calc_Revenue!$U$30:$U$77,$D40,Calc_Revenue!S$30:S$77)/Dollars_to_Thousands/S$18</f>
        <v>0</v>
      </c>
    </row>
    <row r="42" spans="1:19" ht="11.25" customHeight="1" x14ac:dyDescent="0.2">
      <c r="D42" s="62" t="s">
        <v>102</v>
      </c>
      <c r="H42" s="56" t="s">
        <v>52</v>
      </c>
      <c r="I42" s="56" t="str">
        <f>I$28</f>
        <v>Dollars</v>
      </c>
      <c r="J42" s="56" t="str">
        <f>J$28</f>
        <v>Real $2024</v>
      </c>
      <c r="M42" s="68">
        <f t="shared" ref="M42:N42" si="2">SUM(M28:M40)</f>
        <v>155023623.94220886</v>
      </c>
      <c r="N42" s="68">
        <f t="shared" si="2"/>
        <v>160305005.19792429</v>
      </c>
      <c r="O42" s="68">
        <f>SUM(O28:O40)</f>
        <v>168726268.05954123</v>
      </c>
      <c r="P42" s="68">
        <f>SUM(P28:P40)</f>
        <v>180489971.4453516</v>
      </c>
      <c r="Q42" s="68">
        <f>SUM(Q28:Q40)</f>
        <v>193073829.48134571</v>
      </c>
      <c r="R42" s="68">
        <f>SUM(R28:R40)</f>
        <v>206535063.84955832</v>
      </c>
      <c r="S42" s="68">
        <f>SUM(S28:S40)</f>
        <v>212388986.16287544</v>
      </c>
    </row>
    <row r="43" spans="1:19" ht="11.25" customHeight="1" x14ac:dyDescent="0.2">
      <c r="P43" s="145"/>
      <c r="Q43" s="145"/>
      <c r="R43" s="145"/>
    </row>
    <row r="44" spans="1:19" ht="12.75" hidden="1" outlineLevel="1" x14ac:dyDescent="0.2">
      <c r="D44" s="10" t="s">
        <v>90</v>
      </c>
      <c r="H44" s="243" t="s">
        <v>52</v>
      </c>
      <c r="I44" s="243" t="s">
        <v>44</v>
      </c>
      <c r="J44" s="243" t="s">
        <v>238</v>
      </c>
      <c r="K44" s="63"/>
      <c r="M44" s="66">
        <f>(Inputs_FY23_FY24!S35+Inputs_FY23_FY24!S54+Inputs_FY23_FY24!S71)/Dollars_to_Thousands/M$19</f>
        <v>155023623.94220889</v>
      </c>
      <c r="N44" s="66">
        <f>(Inputs_FY23_FY24!T35+Inputs_FY23_FY24!T54+Inputs_FY23_FY24!T71)/Dollars_to_Thousands/N$19</f>
        <v>160305005.19792432</v>
      </c>
      <c r="O44" s="97">
        <f>Output_Revenue!O26/Dollars_to_Thousands/O$18</f>
        <v>168726268.05954126</v>
      </c>
      <c r="P44" s="66">
        <f>Output_Revenue!P26/Dollars_to_Thousands/P$18</f>
        <v>180489971.4453516</v>
      </c>
      <c r="Q44" s="66">
        <f>Output_Revenue!Q26/Dollars_to_Thousands/Q$18</f>
        <v>193073829.48134571</v>
      </c>
      <c r="R44" s="66">
        <f>Output_Revenue!R26/Dollars_to_Thousands/R$18</f>
        <v>206535063.84955832</v>
      </c>
      <c r="S44" s="66">
        <f>Output_Revenue!S26/Dollars_to_Thousands/S$18</f>
        <v>212388986.16287547</v>
      </c>
    </row>
    <row r="45" spans="1:19" ht="12.75" hidden="1" outlineLevel="1" x14ac:dyDescent="0.2">
      <c r="A45" s="59">
        <f>IF(SUM($M45:$S45)=0,0,1)</f>
        <v>0</v>
      </c>
      <c r="D45" s="10" t="s">
        <v>55</v>
      </c>
      <c r="F45" s="63"/>
      <c r="H45" s="63"/>
      <c r="I45" s="63"/>
      <c r="J45" s="63"/>
      <c r="K45" s="63"/>
      <c r="M45" s="59">
        <f t="shared" ref="M45:N45" si="3">IF(ROUND(M44-M42,2)=0,0,1)</f>
        <v>0</v>
      </c>
      <c r="N45" s="59">
        <f t="shared" si="3"/>
        <v>0</v>
      </c>
      <c r="O45" s="59">
        <f>IF(ROUND(O44-O42,2)=0,0,1)</f>
        <v>0</v>
      </c>
      <c r="P45" s="59">
        <f>IF(ROUND(P44-P42,2)=0,0,1)</f>
        <v>0</v>
      </c>
      <c r="Q45" s="59">
        <f>IF(ROUND(Q44-Q42,2)=0,0,1)</f>
        <v>0</v>
      </c>
      <c r="R45" s="59">
        <f>IF(ROUND(R44-R42,2)=0,0,1)</f>
        <v>0</v>
      </c>
      <c r="S45" s="59">
        <f>IF(ROUND(S44-S42,2)=0,0,1)</f>
        <v>0</v>
      </c>
    </row>
    <row r="46" spans="1:19" collapsed="1" x14ac:dyDescent="0.2">
      <c r="P46" s="151"/>
      <c r="Q46" s="151"/>
      <c r="R46" s="151"/>
      <c r="S46" s="145"/>
    </row>
    <row r="47" spans="1:19" s="8" customFormat="1" ht="15" x14ac:dyDescent="0.2">
      <c r="C47" s="8" t="s">
        <v>511</v>
      </c>
    </row>
    <row r="48" spans="1:19" ht="11.25" customHeight="1" x14ac:dyDescent="0.2"/>
    <row r="49" spans="1:19" ht="11.25" customHeight="1" x14ac:dyDescent="0.2">
      <c r="D49" s="70" t="s">
        <v>518</v>
      </c>
      <c r="H49" s="54" t="str">
        <f>Lookup!E$19</f>
        <v>Source</v>
      </c>
      <c r="I49" s="54" t="str">
        <f>Lookup!F$19</f>
        <v>Unit</v>
      </c>
      <c r="J49" s="54" t="str">
        <f>Lookup!G$19</f>
        <v>Basis</v>
      </c>
      <c r="M49" s="54" t="str">
        <f t="shared" ref="M49:N49" si="4">M$9</f>
        <v>FY23</v>
      </c>
      <c r="N49" s="54" t="str">
        <f t="shared" si="4"/>
        <v>FY24</v>
      </c>
      <c r="O49" s="54" t="str">
        <f>O$9</f>
        <v>FY25</v>
      </c>
      <c r="P49" s="54" t="str">
        <f>P$9</f>
        <v>FY26</v>
      </c>
      <c r="Q49" s="54" t="str">
        <f>Q$9</f>
        <v>FY27</v>
      </c>
      <c r="R49" s="54" t="str">
        <f>R$9</f>
        <v>FY28</v>
      </c>
      <c r="S49" s="54" t="str">
        <f>S$9</f>
        <v>FY29</v>
      </c>
    </row>
    <row r="51" spans="1:19" ht="12.75" x14ac:dyDescent="0.2">
      <c r="D51" s="7" t="s">
        <v>512</v>
      </c>
      <c r="H51" s="243" t="s">
        <v>52</v>
      </c>
      <c r="I51" s="243" t="s">
        <v>44</v>
      </c>
      <c r="J51" s="243" t="s">
        <v>238</v>
      </c>
      <c r="M51" s="175">
        <f>(SUMIF(Inputs_FY23_FY24!$X$25:$X$71,$D51,Inputs_FY23_FY24!S$25:S$71)+Inputs_FY23_FY24!S$30*Inputs_FY23_FY24!M87+Inputs_FY23_FY24!S$49*Inputs_FY23_FY24!P87+Inputs_FY23_FY24!S$66*Inputs_FY23_FY24!S87)/Dollars_to_Thousands/M$19</f>
        <v>93010382.702168062</v>
      </c>
      <c r="N51" s="96">
        <f>(SUMIF(Inputs_FY23_FY24!$X$25:$X$71,$D51,Inputs_FY23_FY24!T$25:T$71)+Inputs_FY23_FY24!T$30*Inputs_FY23_FY24!N87+Inputs_FY23_FY24!T$49*Inputs_FY23_FY24!Q87+Inputs_FY23_FY24!T$66*Inputs_FY23_FY24!T87)/Dollars_to_Thousands/N$19</f>
        <v>102098558.65812957</v>
      </c>
      <c r="O51" s="97">
        <f>SUMIF(Calc_Revenue!$W$30:$W$77,$D51,Calc_Revenue!O$30:O$77)/Dollars_to_Thousands/O$18</f>
        <v>87069360.466685027</v>
      </c>
      <c r="P51" s="66">
        <f>SUMIF(Calc_Revenue!$W$30:$W$77,$D51,Calc_Revenue!P$30:P$77)/Dollars_to_Thousands/P$18</f>
        <v>91257268.834007204</v>
      </c>
      <c r="Q51" s="66">
        <f>SUMIF(Calc_Revenue!$W$30:$W$77,$D51,Calc_Revenue!Q$30:Q$77)/Dollars_to_Thousands/Q$18</f>
        <v>98731352.941019118</v>
      </c>
      <c r="R51" s="66">
        <f>SUMIF(Calc_Revenue!$W$30:$W$77,$D51,Calc_Revenue!R$30:R$77)/Dollars_to_Thousands/R$18</f>
        <v>106160509.49673179</v>
      </c>
      <c r="S51" s="66">
        <f>SUMIF(Calc_Revenue!$W$30:$W$77,$D51,Calc_Revenue!S$30:S$77)/Dollars_to_Thousands/S$18</f>
        <v>105487795.6984577</v>
      </c>
    </row>
    <row r="52" spans="1:19" ht="12.75" x14ac:dyDescent="0.2">
      <c r="D52" s="7" t="s">
        <v>513</v>
      </c>
      <c r="H52" s="243" t="s">
        <v>52</v>
      </c>
      <c r="I52" s="243" t="s">
        <v>44</v>
      </c>
      <c r="J52" s="243" t="s">
        <v>238</v>
      </c>
      <c r="M52" s="176">
        <f>(SUMIF(Inputs_FY23_FY24!$X$25:$X$71,$D52,Inputs_FY23_FY24!S$25:S$71)+Inputs_FY23_FY24!S$30*Inputs_FY23_FY24!M88+Inputs_FY23_FY24!S$49*Inputs_FY23_FY24!P88+Inputs_FY23_FY24!S$66*Inputs_FY23_FY24!S88)/Dollars_to_Thousands/M$19</f>
        <v>32729145.783913512</v>
      </c>
      <c r="N52" s="177">
        <f>(SUMIF(Inputs_FY23_FY24!$X$25:$X$71,$D52,Inputs_FY23_FY24!T$25:T$71)+Inputs_FY23_FY24!T$30*Inputs_FY23_FY24!N88+Inputs_FY23_FY24!T$49*Inputs_FY23_FY24!Q88+Inputs_FY23_FY24!T$66*Inputs_FY23_FY24!T88)/Dollars_to_Thousands/N$19</f>
        <v>25136449.794184256</v>
      </c>
      <c r="O52" s="97">
        <f>SUMIF(Calc_Revenue!$W$30:$W$77,$D52,Calc_Revenue!O$30:O$77)/Dollars_to_Thousands/O$18</f>
        <v>46575204.944281749</v>
      </c>
      <c r="P52" s="66">
        <f>SUMIF(Calc_Revenue!$W$30:$W$77,$D52,Calc_Revenue!P$30:P$77)/Dollars_to_Thousands/P$18</f>
        <v>50737854.760339521</v>
      </c>
      <c r="Q52" s="66">
        <f>SUMIF(Calc_Revenue!$W$30:$W$77,$D52,Calc_Revenue!Q$30:Q$77)/Dollars_to_Thousands/Q$18</f>
        <v>53554601.517238848</v>
      </c>
      <c r="R52" s="66">
        <f>SUMIF(Calc_Revenue!$W$30:$W$77,$D52,Calc_Revenue!R$30:R$77)/Dollars_to_Thousands/R$18</f>
        <v>56644029.000396147</v>
      </c>
      <c r="S52" s="66">
        <f>SUMIF(Calc_Revenue!$W$30:$W$77,$D52,Calc_Revenue!S$30:S$77)/Dollars_to_Thousands/S$18</f>
        <v>61426666.827111788</v>
      </c>
    </row>
    <row r="53" spans="1:19" ht="12.75" x14ac:dyDescent="0.2">
      <c r="D53" s="7" t="s">
        <v>514</v>
      </c>
      <c r="H53" s="243" t="s">
        <v>52</v>
      </c>
      <c r="I53" s="243" t="s">
        <v>44</v>
      </c>
      <c r="J53" s="243" t="s">
        <v>238</v>
      </c>
      <c r="M53" s="66">
        <f>SUMIF(Inputs_FY23_FY24!$X$25:$X$71,$D53,Inputs_FY23_FY24!S$25:S$71)/Dollars_to_Thousands/M$19</f>
        <v>15599217.102435829</v>
      </c>
      <c r="N53" s="66">
        <f>SUMIF(Inputs_FY23_FY24!$X$25:$X$71,$D53,Inputs_FY23_FY24!T$25:T$71)/Dollars_to_Thousands/N$19</f>
        <v>16944039.796509773</v>
      </c>
      <c r="O53" s="97">
        <f>SUMIF(Calc_Revenue!$W$30:$W$77,$D53,Calc_Revenue!O$30:O$77)/Dollars_to_Thousands/O$18</f>
        <v>17373566.477052484</v>
      </c>
      <c r="P53" s="66">
        <f>SUMIF(Calc_Revenue!$W$30:$W$77,$D53,Calc_Revenue!P$30:P$77)/Dollars_to_Thousands/P$18</f>
        <v>18292815.192514993</v>
      </c>
      <c r="Q53" s="66">
        <f>SUMIF(Calc_Revenue!$W$30:$W$77,$D53,Calc_Revenue!Q$30:Q$77)/Dollars_to_Thousands/Q$18</f>
        <v>19524238.980636444</v>
      </c>
      <c r="R53" s="66">
        <f>SUMIF(Calc_Revenue!$W$30:$W$77,$D53,Calc_Revenue!R$30:R$77)/Dollars_to_Thousands/R$18</f>
        <v>21030152.008696031</v>
      </c>
      <c r="S53" s="66">
        <f>SUMIF(Calc_Revenue!$W$30:$W$77,$D53,Calc_Revenue!S$30:S$77)/Dollars_to_Thousands/S$18</f>
        <v>21815932.907832421</v>
      </c>
    </row>
    <row r="54" spans="1:19" ht="12.75" x14ac:dyDescent="0.2">
      <c r="D54" s="7" t="s">
        <v>515</v>
      </c>
      <c r="H54" s="243" t="s">
        <v>52</v>
      </c>
      <c r="I54" s="243" t="s">
        <v>44</v>
      </c>
      <c r="J54" s="243" t="s">
        <v>238</v>
      </c>
      <c r="M54" s="66">
        <f>SUMIF(Inputs_FY23_FY24!$X$25:$X$71,$D54,Inputs_FY23_FY24!S$25:S$71)/Dollars_to_Thousands/M$19</f>
        <v>12714824.232197067</v>
      </c>
      <c r="N54" s="66">
        <f>SUMIF(Inputs_FY23_FY24!$X$25:$X$71,$D54,Inputs_FY23_FY24!T$25:T$71)/Dollars_to_Thousands/N$19</f>
        <v>14854255.48238802</v>
      </c>
      <c r="O54" s="97">
        <f>SUMIF(Calc_Revenue!$W$30:$W$77,$D54,Calc_Revenue!O$30:O$77)/Dollars_to_Thousands/O$18</f>
        <v>16205406.765589995</v>
      </c>
      <c r="P54" s="66">
        <f>SUMIF(Calc_Revenue!$W$30:$W$77,$D54,Calc_Revenue!P$30:P$77)/Dollars_to_Thousands/P$18</f>
        <v>17958910.863503139</v>
      </c>
      <c r="Q54" s="66">
        <f>SUMIF(Calc_Revenue!$W$30:$W$77,$D54,Calc_Revenue!Q$30:Q$77)/Dollars_to_Thousands/Q$18</f>
        <v>18933280.385350607</v>
      </c>
      <c r="R54" s="66">
        <f>SUMIF(Calc_Revenue!$W$30:$W$77,$D54,Calc_Revenue!R$30:R$77)/Dollars_to_Thousands/R$18</f>
        <v>20397012.092687674</v>
      </c>
      <c r="S54" s="66">
        <f>SUMIF(Calc_Revenue!$W$30:$W$77,$D54,Calc_Revenue!S$30:S$77)/Dollars_to_Thousands/S$18</f>
        <v>21284240.774145331</v>
      </c>
    </row>
    <row r="55" spans="1:19" ht="12.75" x14ac:dyDescent="0.2">
      <c r="D55" s="7" t="s">
        <v>501</v>
      </c>
      <c r="H55" s="243" t="s">
        <v>52</v>
      </c>
      <c r="I55" s="243" t="s">
        <v>44</v>
      </c>
      <c r="J55" s="243" t="s">
        <v>238</v>
      </c>
      <c r="M55" s="66">
        <f>SUMIF(Inputs_FY23_FY24!$X$25:$X$71,$D55,Inputs_FY23_FY24!S$25:S$71)/Dollars_to_Thousands/M$19</f>
        <v>970054.12149441987</v>
      </c>
      <c r="N55" s="66">
        <f>SUMIF(Inputs_FY23_FY24!$X$25:$X$71,$D55,Inputs_FY23_FY24!T$25:T$71)/Dollars_to_Thousands/N$19</f>
        <v>1271701.4667126869</v>
      </c>
      <c r="O55" s="97">
        <f>SUMIF(Calc_Revenue!$W$30:$W$77,$D55,Calc_Revenue!O$30:O$77)/Dollars_to_Thousands/O$18</f>
        <v>1502729.4059319936</v>
      </c>
      <c r="P55" s="66">
        <f>SUMIF(Calc_Revenue!$W$30:$W$77,$D55,Calc_Revenue!P$30:P$77)/Dollars_to_Thousands/P$18</f>
        <v>2243121.7949867598</v>
      </c>
      <c r="Q55" s="66">
        <f>SUMIF(Calc_Revenue!$W$30:$W$77,$D55,Calc_Revenue!Q$30:Q$77)/Dollars_to_Thousands/Q$18</f>
        <v>2330355.6571007208</v>
      </c>
      <c r="R55" s="66">
        <f>SUMIF(Calc_Revenue!$W$30:$W$77,$D55,Calc_Revenue!R$30:R$77)/Dollars_to_Thousands/R$18</f>
        <v>2303361.2510466743</v>
      </c>
      <c r="S55" s="66">
        <f>SUMIF(Calc_Revenue!$W$30:$W$77,$D55,Calc_Revenue!S$30:S$77)/Dollars_to_Thousands/S$18</f>
        <v>2374349.9553282009</v>
      </c>
    </row>
    <row r="56" spans="1:19" ht="12.75" x14ac:dyDescent="0.2">
      <c r="D56" s="7" t="s">
        <v>516</v>
      </c>
      <c r="H56" s="243" t="s">
        <v>52</v>
      </c>
      <c r="I56" s="243" t="s">
        <v>44</v>
      </c>
      <c r="J56" s="243" t="s">
        <v>238</v>
      </c>
      <c r="M56" s="66">
        <f>SUMIF(Inputs_FY23_FY24!$X$25:$X$71,$D56,Inputs_FY23_FY24!S$25:S$71)/Dollars_to_Thousands/M$19</f>
        <v>0</v>
      </c>
      <c r="N56" s="66">
        <f>SUMIF(Inputs_FY23_FY24!$X$25:$X$71,$D56,Inputs_FY23_FY24!T$25:T$71)/Dollars_to_Thousands/N$19</f>
        <v>0</v>
      </c>
      <c r="O56" s="97">
        <f>SUMIF(Calc_Revenue!$W$30:$W$77,$D56,Calc_Revenue!O$30:O$77)/Dollars_to_Thousands/O$18</f>
        <v>0</v>
      </c>
      <c r="P56" s="66">
        <f>SUMIF(Calc_Revenue!$W$30:$W$77,$D56,Calc_Revenue!P$30:P$77)/Dollars_to_Thousands/P$18</f>
        <v>0</v>
      </c>
      <c r="Q56" s="66">
        <f>SUMIF(Calc_Revenue!$W$30:$W$77,$D56,Calc_Revenue!Q$30:Q$77)/Dollars_to_Thousands/Q$18</f>
        <v>0</v>
      </c>
      <c r="R56" s="66">
        <f>SUMIF(Calc_Revenue!$W$30:$W$77,$D56,Calc_Revenue!R$30:R$77)/Dollars_to_Thousands/R$18</f>
        <v>0</v>
      </c>
      <c r="S56" s="66">
        <f>SUMIF(Calc_Revenue!$W$30:$W$77,$D56,Calc_Revenue!S$30:S$77)/Dollars_to_Thousands/S$18</f>
        <v>0</v>
      </c>
    </row>
    <row r="58" spans="1:19" ht="11.25" customHeight="1" x14ac:dyDescent="0.2">
      <c r="D58" s="62" t="s">
        <v>134</v>
      </c>
      <c r="H58" s="56" t="s">
        <v>52</v>
      </c>
      <c r="I58" s="56" t="str">
        <f>I$28</f>
        <v>Dollars</v>
      </c>
      <c r="J58" s="56" t="str">
        <f>J$28</f>
        <v>Real $2024</v>
      </c>
      <c r="M58" s="68">
        <f t="shared" ref="M58:N58" si="5">SUM(M51:M56)</f>
        <v>155023623.94220889</v>
      </c>
      <c r="N58" s="68">
        <f t="shared" si="5"/>
        <v>160305005.19792429</v>
      </c>
      <c r="O58" s="68">
        <f>SUM(O51:O56)</f>
        <v>168726268.05954123</v>
      </c>
      <c r="P58" s="68">
        <f>SUM(P51:P56)</f>
        <v>180489971.4453516</v>
      </c>
      <c r="Q58" s="68">
        <f>SUM(Q51:Q56)</f>
        <v>193073829.48134574</v>
      </c>
      <c r="R58" s="68">
        <f>SUM(R51:R56)</f>
        <v>206535063.84955832</v>
      </c>
      <c r="S58" s="68">
        <f>SUM(S51:S56)</f>
        <v>212388986.16287544</v>
      </c>
    </row>
    <row r="59" spans="1:19" ht="11.25" customHeight="1" x14ac:dyDescent="0.2">
      <c r="P59" s="145"/>
      <c r="Q59" s="145"/>
      <c r="R59" s="145"/>
    </row>
    <row r="60" spans="1:19" ht="11.25" hidden="1" customHeight="1" outlineLevel="1" x14ac:dyDescent="0.2">
      <c r="D60" s="10" t="s">
        <v>90</v>
      </c>
      <c r="H60" s="243" t="s">
        <v>52</v>
      </c>
      <c r="I60" s="243" t="s">
        <v>44</v>
      </c>
      <c r="J60" s="243" t="s">
        <v>238</v>
      </c>
      <c r="K60" s="63"/>
      <c r="M60" s="66">
        <f t="shared" ref="M60:N60" si="6">M42</f>
        <v>155023623.94220886</v>
      </c>
      <c r="N60" s="66">
        <f t="shared" si="6"/>
        <v>160305005.19792429</v>
      </c>
      <c r="O60" s="66">
        <f>O42</f>
        <v>168726268.05954123</v>
      </c>
      <c r="P60" s="66">
        <f t="shared" ref="P60:S60" si="7">P42</f>
        <v>180489971.4453516</v>
      </c>
      <c r="Q60" s="66">
        <f t="shared" si="7"/>
        <v>193073829.48134571</v>
      </c>
      <c r="R60" s="66">
        <f t="shared" si="7"/>
        <v>206535063.84955832</v>
      </c>
      <c r="S60" s="66">
        <f t="shared" si="7"/>
        <v>212388986.16287544</v>
      </c>
    </row>
    <row r="61" spans="1:19" ht="11.25" hidden="1" customHeight="1" outlineLevel="1" x14ac:dyDescent="0.2">
      <c r="A61" s="59">
        <f>IF(SUM($M61:$S61)=0,0,1)</f>
        <v>0</v>
      </c>
      <c r="D61" s="10" t="s">
        <v>55</v>
      </c>
      <c r="F61" s="63"/>
      <c r="H61" s="63"/>
      <c r="I61" s="63"/>
      <c r="J61" s="63"/>
      <c r="K61" s="63"/>
      <c r="M61" s="59">
        <f t="shared" ref="M61:N61" si="8">IF(ROUND(M60-M58,2)=0,0,1)</f>
        <v>0</v>
      </c>
      <c r="N61" s="59">
        <f t="shared" si="8"/>
        <v>0</v>
      </c>
      <c r="O61" s="59">
        <f>IF(ROUND(O60-O58,2)=0,0,1)</f>
        <v>0</v>
      </c>
      <c r="P61" s="59">
        <f>IF(ROUND(P60-P58,2)=0,0,1)</f>
        <v>0</v>
      </c>
      <c r="Q61" s="59">
        <f>IF(ROUND(Q60-Q58,2)=0,0,1)</f>
        <v>0</v>
      </c>
      <c r="R61" s="59">
        <f>IF(ROUND(R60-R58,2)=0,0,1)</f>
        <v>0</v>
      </c>
      <c r="S61" s="59">
        <f>IF(ROUND(S60-S58,2)=0,0,1)</f>
        <v>0</v>
      </c>
    </row>
    <row r="62" spans="1:19" collapsed="1" x14ac:dyDescent="0.2">
      <c r="P62" s="151"/>
      <c r="Q62" s="151"/>
      <c r="R62" s="151"/>
      <c r="S62" s="145"/>
    </row>
    <row r="63" spans="1:19" s="2" customFormat="1" ht="15.75" x14ac:dyDescent="0.2">
      <c r="B63" s="2" t="s">
        <v>782</v>
      </c>
    </row>
    <row r="64" spans="1:19" ht="11.25" customHeight="1" x14ac:dyDescent="0.2"/>
    <row r="65" spans="1:35" s="8" customFormat="1" ht="15" x14ac:dyDescent="0.2">
      <c r="C65" s="8" t="s">
        <v>529</v>
      </c>
    </row>
    <row r="66" spans="1:35" ht="11.25" customHeight="1" x14ac:dyDescent="0.2"/>
    <row r="67" spans="1:35" ht="11.25" customHeight="1" x14ac:dyDescent="0.2">
      <c r="D67" s="70" t="s">
        <v>518</v>
      </c>
      <c r="H67" s="54" t="str">
        <f>Lookup!E$19</f>
        <v>Source</v>
      </c>
      <c r="I67" s="54" t="str">
        <f>Lookup!F$19</f>
        <v>Unit</v>
      </c>
      <c r="J67" s="54" t="str">
        <f>Lookup!G$19</f>
        <v>Basis</v>
      </c>
      <c r="M67" s="54" t="str">
        <f t="shared" ref="M67:N67" si="9">M$9</f>
        <v>FY23</v>
      </c>
      <c r="N67" s="54" t="str">
        <f t="shared" si="9"/>
        <v>FY24</v>
      </c>
      <c r="O67" s="54" t="str">
        <f>O$9</f>
        <v>FY25</v>
      </c>
      <c r="P67" s="54" t="str">
        <f>P$9</f>
        <v>FY26</v>
      </c>
      <c r="Q67" s="54" t="str">
        <f>Q$9</f>
        <v>FY27</v>
      </c>
      <c r="R67" s="54" t="str">
        <f>R$9</f>
        <v>FY28</v>
      </c>
      <c r="S67" s="54" t="str">
        <f>S$9</f>
        <v>FY29</v>
      </c>
    </row>
    <row r="68" spans="1:35" ht="11.25" customHeight="1" x14ac:dyDescent="0.2">
      <c r="D68" s="1"/>
    </row>
    <row r="69" spans="1:35" ht="12.75" x14ac:dyDescent="0.2">
      <c r="D69" s="7" t="s">
        <v>519</v>
      </c>
      <c r="H69" s="243" t="s">
        <v>52</v>
      </c>
      <c r="I69" s="243" t="s">
        <v>525</v>
      </c>
      <c r="J69" s="243" t="s">
        <v>21</v>
      </c>
      <c r="M69" s="178">
        <f>(SUMIF(Inputs_FY23_FY24!$Z$46:$Z$52,$D69,Inputs_FY23_FY24!P$46:P$52)+Inputs_FY23_FY24!P100)/MWh_to_kWh/GWh_to_MWh</f>
        <v>1655.7290757980993</v>
      </c>
      <c r="N69" s="179">
        <f>(SUMIF(Inputs_FY23_FY24!$Z$46:$Z$52,$D69,Inputs_FY23_FY24!Q$46:Q$52)+Inputs_FY23_FY24!Q100)/MWh_to_kWh/GWh_to_MWh</f>
        <v>1720.2358925160652</v>
      </c>
      <c r="O69" s="174">
        <f>SUMIF(Inputs_Volumes!$U$34:$U$47,$D69,Inputs_Volumes!O$34:O$47)/MWh_to_kWh/GWh_to_MWh</f>
        <v>1031.104511624143</v>
      </c>
      <c r="P69" s="140">
        <f>SUMIF(Inputs_Volumes!$U$34:$U$47,$D69,Inputs_Volumes!P$34:P$47)/MWh_to_kWh/GWh_to_MWh</f>
        <v>936.01586434369426</v>
      </c>
      <c r="Q69" s="140">
        <f>SUMIF(Inputs_Volumes!$U$34:$U$47,$D69,Inputs_Volumes!Q$34:Q$47)/MWh_to_kWh/GWh_to_MWh</f>
        <v>829.05280626720457</v>
      </c>
      <c r="R69" s="140">
        <f>SUMIF(Inputs_Volumes!$U$34:$U$47,$D69,Inputs_Volumes!R$34:R$47)/MWh_to_kWh/GWh_to_MWh</f>
        <v>814.28539836725417</v>
      </c>
      <c r="S69" s="140">
        <f>SUMIF(Inputs_Volumes!$U$34:$U$47,$D69,Inputs_Volumes!S$34:S$47)/MWh_to_kWh/GWh_to_MWh</f>
        <v>698.62915535561524</v>
      </c>
    </row>
    <row r="70" spans="1:35" ht="12.75" x14ac:dyDescent="0.2">
      <c r="D70" s="7" t="s">
        <v>520</v>
      </c>
      <c r="H70" s="243" t="s">
        <v>52</v>
      </c>
      <c r="I70" s="243" t="s">
        <v>525</v>
      </c>
      <c r="J70" s="243" t="s">
        <v>21</v>
      </c>
      <c r="M70" s="140">
        <f>SUMIF(Inputs_FY23_FY24!$Z$46:$Z$52,$D70,Inputs_FY23_FY24!P$46:P$52)/MWh_to_kWh/GWh_to_MWh</f>
        <v>0</v>
      </c>
      <c r="N70" s="140">
        <f>SUMIF(Inputs_FY23_FY24!$Z$46:$Z$52,$D70,Inputs_FY23_FY24!Q$46:Q$52)/MWh_to_kWh/GWh_to_MWh</f>
        <v>0</v>
      </c>
      <c r="O70" s="174">
        <f>SUMIF(Inputs_Volumes!$U$34:$U$47,$D70,Inputs_Volumes!O$34:O$47)/MWh_to_kWh/GWh_to_MWh</f>
        <v>87.203072013529919</v>
      </c>
      <c r="P70" s="140">
        <f>SUMIF(Inputs_Volumes!$U$34:$U$47,$D70,Inputs_Volumes!P$34:P$47)/MWh_to_kWh/GWh_to_MWh</f>
        <v>101.87864831709435</v>
      </c>
      <c r="Q70" s="140">
        <f>SUMIF(Inputs_Volumes!$U$34:$U$47,$D70,Inputs_Volumes!Q$34:Q$47)/MWh_to_kWh/GWh_to_MWh</f>
        <v>117.17626075689687</v>
      </c>
      <c r="R70" s="140">
        <f>SUMIF(Inputs_Volumes!$U$34:$U$47,$D70,Inputs_Volumes!R$34:R$47)/MWh_to_kWh/GWh_to_MWh</f>
        <v>118.99968532893577</v>
      </c>
      <c r="S70" s="140">
        <f>SUMIF(Inputs_Volumes!$U$34:$U$47,$D70,Inputs_Volumes!S$34:S$47)/MWh_to_kWh/GWh_to_MWh</f>
        <v>135.52711488475671</v>
      </c>
    </row>
    <row r="71" spans="1:35" ht="12.75" x14ac:dyDescent="0.2">
      <c r="D71" s="7" t="s">
        <v>521</v>
      </c>
      <c r="H71" s="243" t="s">
        <v>52</v>
      </c>
      <c r="I71" s="243" t="s">
        <v>525</v>
      </c>
      <c r="J71" s="243" t="s">
        <v>21</v>
      </c>
      <c r="M71" s="140">
        <f>SUMIF(Inputs_FY23_FY24!$Z$46:$Z$52,$D71,Inputs_FY23_FY24!P$46:P$52)/MWh_to_kWh/GWh_to_MWh</f>
        <v>0</v>
      </c>
      <c r="N71" s="140">
        <f>SUMIF(Inputs_FY23_FY24!$Z$46:$Z$52,$D71,Inputs_FY23_FY24!Q$46:Q$52)/MWh_to_kWh/GWh_to_MWh</f>
        <v>0</v>
      </c>
      <c r="O71" s="174">
        <f>SUMIF(Inputs_Volumes!$U$34:$U$47,$D71,Inputs_Volumes!O$34:O$47)/MWh_to_kWh/GWh_to_MWh</f>
        <v>390.91216353140999</v>
      </c>
      <c r="P71" s="140">
        <f>SUMIF(Inputs_Volumes!$U$34:$U$47,$D71,Inputs_Volumes!P$34:P$47)/MWh_to_kWh/GWh_to_MWh</f>
        <v>459.47104079383087</v>
      </c>
      <c r="Q71" s="140">
        <f>SUMIF(Inputs_Volumes!$U$34:$U$47,$D71,Inputs_Volumes!Q$34:Q$47)/MWh_to_kWh/GWh_to_MWh</f>
        <v>530.79059724867159</v>
      </c>
      <c r="R71" s="140">
        <f>SUMIF(Inputs_Volumes!$U$34:$U$47,$D71,Inputs_Volumes!R$34:R$47)/MWh_to_kWh/GWh_to_MWh</f>
        <v>538.55863311890107</v>
      </c>
      <c r="S71" s="140">
        <f>SUMIF(Inputs_Volumes!$U$34:$U$47,$D71,Inputs_Volumes!S$34:S$47)/MWh_to_kWh/GWh_to_MWh</f>
        <v>615.70607300920437</v>
      </c>
    </row>
    <row r="72" spans="1:35" ht="12.75" x14ac:dyDescent="0.2">
      <c r="D72" s="7" t="s">
        <v>522</v>
      </c>
      <c r="H72" s="243" t="s">
        <v>52</v>
      </c>
      <c r="I72" s="243" t="s">
        <v>525</v>
      </c>
      <c r="J72" s="243" t="s">
        <v>21</v>
      </c>
      <c r="M72" s="140">
        <f>SUMIF(Inputs_FY23_FY24!$Z$46:$Z$52,$D72,Inputs_FY23_FY24!P$46:P$52)/MWh_to_kWh/GWh_to_MWh</f>
        <v>0</v>
      </c>
      <c r="N72" s="140">
        <f>SUMIF(Inputs_FY23_FY24!$Z$46:$Z$52,$D72,Inputs_FY23_FY24!Q$46:Q$52)/MWh_to_kWh/GWh_to_MWh</f>
        <v>0</v>
      </c>
      <c r="O72" s="174">
        <f>SUMIF(Inputs_Volumes!$U$34:$U$47,$D72,Inputs_Volumes!O$34:O$47)/MWh_to_kWh/GWh_to_MWh</f>
        <v>179.88003978962666</v>
      </c>
      <c r="P72" s="140">
        <f>SUMIF(Inputs_Volumes!$U$34:$U$47,$D72,Inputs_Volumes!P$34:P$47)/MWh_to_kWh/GWh_to_MWh</f>
        <v>203.70119448823164</v>
      </c>
      <c r="Q72" s="140">
        <f>SUMIF(Inputs_Volumes!$U$34:$U$47,$D72,Inputs_Volumes!Q$34:Q$47)/MWh_to_kWh/GWh_to_MWh</f>
        <v>228.86570244980621</v>
      </c>
      <c r="R72" s="140">
        <f>SUMIF(Inputs_Volumes!$U$34:$U$47,$D72,Inputs_Volumes!R$34:R$47)/MWh_to_kWh/GWh_to_MWh</f>
        <v>233.58322141928574</v>
      </c>
      <c r="S72" s="140">
        <f>SUMIF(Inputs_Volumes!$U$34:$U$47,$D72,Inputs_Volumes!S$34:S$47)/MWh_to_kWh/GWh_to_MWh</f>
        <v>260.54584479536288</v>
      </c>
    </row>
    <row r="73" spans="1:35" ht="12.75" x14ac:dyDescent="0.2">
      <c r="D73" s="7" t="s">
        <v>523</v>
      </c>
      <c r="H73" s="243" t="s">
        <v>52</v>
      </c>
      <c r="I73" s="243" t="s">
        <v>525</v>
      </c>
      <c r="J73" s="243" t="s">
        <v>21</v>
      </c>
      <c r="M73" s="140">
        <f>SUMIF(Inputs_FY23_FY24!$Z$46:$Z$52,$D73,Inputs_FY23_FY24!P$46:P$52)/MWh_to_kWh/GWh_to_MWh</f>
        <v>0</v>
      </c>
      <c r="N73" s="140">
        <f>SUMIF(Inputs_FY23_FY24!$Z$46:$Z$52,$D73,Inputs_FY23_FY24!Q$46:Q$52)/MWh_to_kWh/GWh_to_MWh</f>
        <v>0</v>
      </c>
      <c r="O73" s="174">
        <f>SUMIF(Inputs_Volumes!$U$34:$U$47,$D73,Inputs_Volumes!O$34:O$47)/MWh_to_kWh/GWh_to_MWh</f>
        <v>0</v>
      </c>
      <c r="P73" s="140">
        <f>SUMIF(Inputs_Volumes!$U$34:$U$47,$D73,Inputs_Volumes!P$34:P$47)/MWh_to_kWh/GWh_to_MWh</f>
        <v>0</v>
      </c>
      <c r="Q73" s="140">
        <f>SUMIF(Inputs_Volumes!$U$34:$U$47,$D73,Inputs_Volumes!Q$34:Q$47)/MWh_to_kWh/GWh_to_MWh</f>
        <v>0</v>
      </c>
      <c r="R73" s="140">
        <f>SUMIF(Inputs_Volumes!$U$34:$U$47,$D73,Inputs_Volumes!R$34:R$47)/MWh_to_kWh/GWh_to_MWh</f>
        <v>0</v>
      </c>
      <c r="S73" s="140">
        <f>SUMIF(Inputs_Volumes!$U$34:$U$47,$D73,Inputs_Volumes!S$34:S$47)/MWh_to_kWh/GWh_to_MWh</f>
        <v>0</v>
      </c>
    </row>
    <row r="74" spans="1:35" ht="12.75" x14ac:dyDescent="0.2">
      <c r="D74" s="7" t="s">
        <v>524</v>
      </c>
      <c r="H74" s="243" t="s">
        <v>52</v>
      </c>
      <c r="I74" s="243" t="s">
        <v>525</v>
      </c>
      <c r="J74" s="243" t="s">
        <v>21</v>
      </c>
      <c r="M74" s="140">
        <f>SUMIF(Inputs_FY23_FY24!$Z$46:$Z$52,$D74,Inputs_FY23_FY24!P$46:P$52)/MWh_to_kWh/GWh_to_MWh</f>
        <v>14.95069224000005</v>
      </c>
      <c r="N74" s="140">
        <f>SUMIF(Inputs_FY23_FY24!$Z$46:$Z$52,$D74,Inputs_FY23_FY24!Q$46:Q$52)/MWh_to_kWh/GWh_to_MWh</f>
        <v>15.580084918104758</v>
      </c>
      <c r="O74" s="174">
        <f>SUMIF(Inputs_Volumes!$U$34:$U$47,$D74,Inputs_Volumes!O$34:O$47)/MWh_to_kWh/GWh_to_MWh</f>
        <v>15.740002447825788</v>
      </c>
      <c r="P74" s="140">
        <f>SUMIF(Inputs_Volumes!$U$34:$U$47,$D74,Inputs_Volumes!P$34:P$47)/MWh_to_kWh/GWh_to_MWh</f>
        <v>15.824967147750689</v>
      </c>
      <c r="Q74" s="140">
        <f>SUMIF(Inputs_Volumes!$U$34:$U$47,$D74,Inputs_Volumes!Q$34:Q$47)/MWh_to_kWh/GWh_to_MWh</f>
        <v>15.835500809565751</v>
      </c>
      <c r="R74" s="140">
        <f>SUMIF(Inputs_Volumes!$U$34:$U$47,$D74,Inputs_Volumes!R$34:R$47)/MWh_to_kWh/GWh_to_MWh</f>
        <v>15.719594747155442</v>
      </c>
      <c r="S74" s="140">
        <f>SUMIF(Inputs_Volumes!$U$34:$U$47,$D74,Inputs_Volumes!S$34:S$47)/MWh_to_kWh/GWh_to_MWh</f>
        <v>15.527883640118233</v>
      </c>
    </row>
    <row r="75" spans="1:35" ht="11.25" customHeight="1" x14ac:dyDescent="0.2">
      <c r="W75" s="153"/>
      <c r="X75" s="153"/>
      <c r="Y75" s="153"/>
      <c r="Z75" s="153"/>
      <c r="AA75" s="153"/>
      <c r="AB75" s="153"/>
      <c r="AC75" s="153"/>
      <c r="AD75" s="153"/>
      <c r="AE75" s="153"/>
      <c r="AF75" s="153"/>
      <c r="AG75" s="153"/>
      <c r="AH75" s="153"/>
      <c r="AI75" s="153"/>
    </row>
    <row r="76" spans="1:35" ht="12.75" x14ac:dyDescent="0.2">
      <c r="D76" s="62" t="s">
        <v>783</v>
      </c>
      <c r="H76" s="56" t="s">
        <v>52</v>
      </c>
      <c r="I76" s="56" t="s">
        <v>525</v>
      </c>
      <c r="J76" s="56" t="s">
        <v>21</v>
      </c>
      <c r="M76" s="173">
        <f t="shared" ref="M76:N76" si="10">SUM(M69:M74)</f>
        <v>1670.6797680380994</v>
      </c>
      <c r="N76" s="173">
        <f t="shared" si="10"/>
        <v>1735.81597743417</v>
      </c>
      <c r="O76" s="173">
        <f>SUM(O69:O74)</f>
        <v>1704.8397894065354</v>
      </c>
      <c r="P76" s="173">
        <f>SUM(P69:P74)</f>
        <v>1716.8917150906018</v>
      </c>
      <c r="Q76" s="173">
        <f>SUM(Q69:Q74)</f>
        <v>1721.7208675321449</v>
      </c>
      <c r="R76" s="173">
        <f>SUM(R69:R74)</f>
        <v>1721.1465329815323</v>
      </c>
      <c r="S76" s="173">
        <f>SUM(S69:S74)</f>
        <v>1725.9360716850574</v>
      </c>
    </row>
    <row r="77" spans="1:35" ht="11.25" customHeight="1" x14ac:dyDescent="0.2">
      <c r="M77" s="151"/>
      <c r="N77" s="151"/>
      <c r="O77" s="151"/>
      <c r="P77" s="151"/>
      <c r="Q77" s="151"/>
      <c r="R77" s="151"/>
      <c r="S77" s="151"/>
    </row>
    <row r="78" spans="1:35" ht="12.75" hidden="1" outlineLevel="1" x14ac:dyDescent="0.2">
      <c r="D78" s="10" t="s">
        <v>90</v>
      </c>
      <c r="H78" s="243" t="s">
        <v>52</v>
      </c>
      <c r="I78" s="243" t="s">
        <v>525</v>
      </c>
      <c r="J78" s="243" t="s">
        <v>21</v>
      </c>
      <c r="K78" s="63"/>
      <c r="M78" s="140">
        <f>(Inputs_FY23_FY24!P54+Inputs_FY23_FY24!P100)/MWh_to_kWh/GWh_to_MWh</f>
        <v>1670.6797680380994</v>
      </c>
      <c r="N78" s="140">
        <f>(Inputs_FY23_FY24!Q54+Inputs_FY23_FY24!Q100)/MWh_to_kWh/GWh_to_MWh</f>
        <v>1735.8159774341698</v>
      </c>
      <c r="O78" s="174">
        <f>SUM(Inputs_Volumes!O34:O47)/MWh_to_kWh/GWh_to_MWh</f>
        <v>1704.8397894065354</v>
      </c>
      <c r="P78" s="140">
        <f>SUM(Inputs_Volumes!P34:P47)/MWh_to_kWh/GWh_to_MWh</f>
        <v>1716.8917150906016</v>
      </c>
      <c r="Q78" s="140">
        <f>SUM(Inputs_Volumes!Q34:Q47)/MWh_to_kWh/GWh_to_MWh</f>
        <v>1721.7208675321449</v>
      </c>
      <c r="R78" s="140">
        <f>SUM(Inputs_Volumes!R34:R47)/MWh_to_kWh/GWh_to_MWh</f>
        <v>1721.1465329815321</v>
      </c>
      <c r="S78" s="140">
        <f>SUM(Inputs_Volumes!S34:S47)/MWh_to_kWh/GWh_to_MWh</f>
        <v>1725.9360716850572</v>
      </c>
    </row>
    <row r="79" spans="1:35" ht="12.75" hidden="1" outlineLevel="1" x14ac:dyDescent="0.2">
      <c r="A79" s="59">
        <f>IF(SUM($M79:$S79)=0,0,1)</f>
        <v>0</v>
      </c>
      <c r="D79" s="10" t="s">
        <v>55</v>
      </c>
      <c r="F79" s="63"/>
      <c r="H79" s="63"/>
      <c r="I79" s="63"/>
      <c r="J79" s="63"/>
      <c r="K79" s="63"/>
      <c r="M79" s="59">
        <f t="shared" ref="M79:N79" si="11">IF(ROUND(M78-M76,2)=0,0,1)</f>
        <v>0</v>
      </c>
      <c r="N79" s="59">
        <f t="shared" si="11"/>
        <v>0</v>
      </c>
      <c r="O79" s="59">
        <f>IF(ROUND(O78-O76,2)=0,0,1)</f>
        <v>0</v>
      </c>
      <c r="P79" s="59">
        <f>IF(ROUND(P78-P76,2)=0,0,1)</f>
        <v>0</v>
      </c>
      <c r="Q79" s="59">
        <f>IF(ROUND(Q78-Q76,2)=0,0,1)</f>
        <v>0</v>
      </c>
      <c r="R79" s="59">
        <f>IF(ROUND(R78-R76,2)=0,0,1)</f>
        <v>0</v>
      </c>
      <c r="S79" s="59">
        <f>IF(ROUND(S78-S76,2)=0,0,1)</f>
        <v>0</v>
      </c>
    </row>
    <row r="80" spans="1:35" ht="11.25" customHeight="1" collapsed="1" x14ac:dyDescent="0.2">
      <c r="M80" s="152"/>
      <c r="N80" s="152"/>
      <c r="O80" s="152"/>
      <c r="P80" s="152"/>
      <c r="Q80" s="152"/>
      <c r="R80" s="152"/>
      <c r="S80" s="152"/>
    </row>
    <row r="81" spans="1:35" s="8" customFormat="1" ht="15" x14ac:dyDescent="0.2">
      <c r="C81" s="8" t="s">
        <v>528</v>
      </c>
    </row>
    <row r="82" spans="1:35" ht="11.25" customHeight="1" x14ac:dyDescent="0.2"/>
    <row r="83" spans="1:35" ht="11.25" customHeight="1" x14ac:dyDescent="0.2">
      <c r="D83" s="70" t="s">
        <v>518</v>
      </c>
      <c r="H83" s="54" t="str">
        <f>Lookup!E$19</f>
        <v>Source</v>
      </c>
      <c r="I83" s="54" t="str">
        <f>Lookup!F$19</f>
        <v>Unit</v>
      </c>
      <c r="J83" s="54" t="str">
        <f>Lookup!G$19</f>
        <v>Basis</v>
      </c>
      <c r="M83" s="54" t="str">
        <f t="shared" ref="M83:N83" si="12">M$9</f>
        <v>FY23</v>
      </c>
      <c r="N83" s="54" t="str">
        <f t="shared" si="12"/>
        <v>FY24</v>
      </c>
      <c r="O83" s="54" t="str">
        <f>O$9</f>
        <v>FY25</v>
      </c>
      <c r="P83" s="54" t="str">
        <f>P$9</f>
        <v>FY26</v>
      </c>
      <c r="Q83" s="54" t="str">
        <f>Q$9</f>
        <v>FY27</v>
      </c>
      <c r="R83" s="54" t="str">
        <f>R$9</f>
        <v>FY28</v>
      </c>
      <c r="S83" s="54" t="str">
        <f>S$9</f>
        <v>FY29</v>
      </c>
    </row>
    <row r="84" spans="1:35" ht="11.25" customHeight="1" x14ac:dyDescent="0.2">
      <c r="D84" s="1"/>
    </row>
    <row r="85" spans="1:35" ht="12.75" x14ac:dyDescent="0.2">
      <c r="D85" s="7" t="s">
        <v>530</v>
      </c>
      <c r="H85" s="243" t="s">
        <v>52</v>
      </c>
      <c r="I85" s="243" t="s">
        <v>525</v>
      </c>
      <c r="J85" s="243" t="s">
        <v>21</v>
      </c>
      <c r="M85" s="178">
        <f>(SUMIF(Inputs_FY23_FY24!$AB$46:$AB$52,$D85,Inputs_FY23_FY24!P$46:P$52)+Inputs_FY23_FY24!P$49*Inputs_FY23_FY24!P87)/MWh_to_kWh/GWh_to_MWh</f>
        <v>613.74379273504894</v>
      </c>
      <c r="N85" s="179">
        <f>(SUMIF(Inputs_FY23_FY24!$AB$46:$AB$52,$D85,Inputs_FY23_FY24!Q$46:Q$52)+Inputs_FY23_FY24!Q$49*Inputs_FY23_FY24!Q87)/MWh_to_kWh/GWh_to_MWh</f>
        <v>653.81957688201828</v>
      </c>
      <c r="O85" s="174">
        <f>SUMIF(Inputs_Volumes!$W$34:$W$47,$D85,Inputs_Volumes!O$34:O$47)/MWh_to_kWh/GWh_to_MWh</f>
        <v>603.89106372804338</v>
      </c>
      <c r="P85" s="140">
        <f>SUMIF(Inputs_Volumes!$W$34:$W$47,$D85,Inputs_Volumes!P$34:P$47)/MWh_to_kWh/GWh_to_MWh</f>
        <v>593.29504744779626</v>
      </c>
      <c r="Q85" s="140">
        <f>SUMIF(Inputs_Volumes!$W$34:$W$47,$D85,Inputs_Volumes!Q$34:Q$47)/MWh_to_kWh/GWh_to_MWh</f>
        <v>587.97400812031003</v>
      </c>
      <c r="R85" s="140">
        <f>SUMIF(Inputs_Volumes!$W$34:$W$47,$D85,Inputs_Volumes!R$34:R$47)/MWh_to_kWh/GWh_to_MWh</f>
        <v>580.75601242346067</v>
      </c>
      <c r="S85" s="140">
        <f>SUMIF(Inputs_Volumes!$W$34:$W$47,$D85,Inputs_Volumes!S$34:S$47)/MWh_to_kWh/GWh_to_MWh</f>
        <v>574.44163498790067</v>
      </c>
    </row>
    <row r="86" spans="1:35" ht="12.75" x14ac:dyDescent="0.2">
      <c r="D86" s="7" t="s">
        <v>531</v>
      </c>
      <c r="H86" s="243" t="s">
        <v>52</v>
      </c>
      <c r="I86" s="243" t="s">
        <v>525</v>
      </c>
      <c r="J86" s="243" t="s">
        <v>21</v>
      </c>
      <c r="M86" s="178">
        <f>SUMIF(Inputs_FY23_FY24!$AB$46:$AB$52,$D86,Inputs_FY23_FY24!P$46:P$52)/MWh_to_kWh/GWh_to_MWh</f>
        <v>117.997201</v>
      </c>
      <c r="N86" s="179">
        <f>SUMIF(Inputs_FY23_FY24!$AB$46:$AB$52,$D86,Inputs_FY23_FY24!Q$46:Q$52)/MWh_to_kWh/GWh_to_MWh</f>
        <v>51.904734878643183</v>
      </c>
      <c r="O86" s="174">
        <f>SUMIF(Inputs_Volumes!$W$34:$W$47,$D86,Inputs_Volumes!O$34:O$47)/MWh_to_kWh/GWh_to_MWh</f>
        <v>30.798387472991212</v>
      </c>
      <c r="P86" s="140">
        <f>SUMIF(Inputs_Volumes!$W$34:$W$47,$D86,Inputs_Volumes!P$34:P$47)/MWh_to_kWh/GWh_to_MWh</f>
        <v>22.418950006148254</v>
      </c>
      <c r="Q86" s="140">
        <f>SUMIF(Inputs_Volumes!$W$34:$W$47,$D86,Inputs_Volumes!Q$34:Q$47)/MWh_to_kWh/GWh_to_MWh</f>
        <v>14.35597555290366</v>
      </c>
      <c r="R86" s="140">
        <f>SUMIF(Inputs_Volumes!$W$34:$W$47,$D86,Inputs_Volumes!R$34:R$47)/MWh_to_kWh/GWh_to_MWh</f>
        <v>6.3209651115470056</v>
      </c>
      <c r="S86" s="140">
        <f>SUMIF(Inputs_Volumes!$W$34:$W$47,$D86,Inputs_Volumes!S$34:S$47)/MWh_to_kWh/GWh_to_MWh</f>
        <v>0</v>
      </c>
    </row>
    <row r="87" spans="1:35" ht="12.75" x14ac:dyDescent="0.2">
      <c r="D87" s="7" t="s">
        <v>532</v>
      </c>
      <c r="H87" s="243" t="s">
        <v>52</v>
      </c>
      <c r="I87" s="243" t="s">
        <v>525</v>
      </c>
      <c r="J87" s="243" t="s">
        <v>21</v>
      </c>
      <c r="M87" s="178">
        <f>(SUMIF(Inputs_FY23_FY24!$AB$46:$AB$52,$D87,Inputs_FY23_FY24!P$46:P$52)+Inputs_FY23_FY24!P$49*Inputs_FY23_FY24!P88)/MWh_to_kWh/GWh_to_MWh</f>
        <v>614.98238351495127</v>
      </c>
      <c r="N87" s="179">
        <f>(SUMIF(Inputs_FY23_FY24!$AB$46:$AB$52,$D87,Inputs_FY23_FY24!Q$46:Q$52)+Inputs_FY23_FY24!Q$49*Inputs_FY23_FY24!Q88)/MWh_to_kWh/GWh_to_MWh</f>
        <v>676.99352745252065</v>
      </c>
      <c r="O87" s="174">
        <f>SUMIF(Inputs_Volumes!$W$34:$W$47,$D87,Inputs_Volumes!O$34:O$47)/MWh_to_kWh/GWh_to_MWh</f>
        <v>693.26604279887295</v>
      </c>
      <c r="P87" s="140">
        <f>SUMIF(Inputs_Volumes!$W$34:$W$47,$D87,Inputs_Volumes!P$34:P$47)/MWh_to_kWh/GWh_to_MWh</f>
        <v>706.8242307831481</v>
      </c>
      <c r="Q87" s="140">
        <f>SUMIF(Inputs_Volumes!$W$34:$W$47,$D87,Inputs_Volumes!Q$34:Q$47)/MWh_to_kWh/GWh_to_MWh</f>
        <v>726.2552203374189</v>
      </c>
      <c r="R87" s="140">
        <f>SUMIF(Inputs_Volumes!$W$34:$W$47,$D87,Inputs_Volumes!R$34:R$47)/MWh_to_kWh/GWh_to_MWh</f>
        <v>743.30396100472115</v>
      </c>
      <c r="S87" s="140">
        <f>SUMIF(Inputs_Volumes!$W$34:$W$47,$D87,Inputs_Volumes!S$34:S$47)/MWh_to_kWh/GWh_to_MWh</f>
        <v>762.19829826615489</v>
      </c>
    </row>
    <row r="88" spans="1:35" ht="12.75" x14ac:dyDescent="0.2">
      <c r="D88" s="7" t="s">
        <v>533</v>
      </c>
      <c r="H88" s="243" t="s">
        <v>52</v>
      </c>
      <c r="I88" s="243" t="s">
        <v>525</v>
      </c>
      <c r="J88" s="243" t="s">
        <v>21</v>
      </c>
      <c r="M88" s="178">
        <f>(SUMIF(Inputs_FY23_FY24!$AB$46:$AB$52,$D88,Inputs_FY23_FY24!P$46:P$52)+Inputs_FY23_FY24!P100)/MWh_to_kWh/GWh_to_MWh</f>
        <v>309.00569854809919</v>
      </c>
      <c r="N88" s="179">
        <f>(SUMIF(Inputs_FY23_FY24!$AB$46:$AB$52,$D88,Inputs_FY23_FY24!Q$46:Q$52)+Inputs_FY23_FY24!Q100)/MWh_to_kWh/GWh_to_MWh</f>
        <v>337.51805330288295</v>
      </c>
      <c r="O88" s="174">
        <f>SUMIF(Inputs_Volumes!$W$34:$W$47,$D88,Inputs_Volumes!O$34:O$47)/MWh_to_kWh/GWh_to_MWh</f>
        <v>361.14429295880217</v>
      </c>
      <c r="P88" s="140">
        <f>SUMIF(Inputs_Volumes!$W$34:$W$47,$D88,Inputs_Volumes!P$34:P$47)/MWh_to_kWh/GWh_to_MWh</f>
        <v>378.52851970575864</v>
      </c>
      <c r="Q88" s="140">
        <f>SUMIF(Inputs_Volumes!$W$34:$W$47,$D88,Inputs_Volumes!Q$34:Q$47)/MWh_to_kWh/GWh_to_MWh</f>
        <v>377.30016271194648</v>
      </c>
      <c r="R88" s="140">
        <f>SUMIF(Inputs_Volumes!$W$34:$W$47,$D88,Inputs_Volumes!R$34:R$47)/MWh_to_kWh/GWh_to_MWh</f>
        <v>375.04599969464789</v>
      </c>
      <c r="S88" s="140">
        <f>SUMIF(Inputs_Volumes!$W$34:$W$47,$D88,Inputs_Volumes!S$34:S$47)/MWh_to_kWh/GWh_to_MWh</f>
        <v>373.76825479088336</v>
      </c>
    </row>
    <row r="89" spans="1:35" ht="12.75" x14ac:dyDescent="0.2">
      <c r="D89" s="7" t="s">
        <v>534</v>
      </c>
      <c r="H89" s="243" t="s">
        <v>52</v>
      </c>
      <c r="I89" s="243" t="s">
        <v>525</v>
      </c>
      <c r="J89" s="243" t="s">
        <v>21</v>
      </c>
      <c r="M89" s="140">
        <f>SUMIF(Inputs_FY23_FY24!$AB$46:$AB$52,$D89,Inputs_FY23_FY24!P$46:P$52)/MWh_to_kWh/GWh_to_MWh</f>
        <v>14.95069224000005</v>
      </c>
      <c r="N89" s="140">
        <f>SUMIF(Inputs_FY23_FY24!$AB$46:$AB$52,$D89,Inputs_FY23_FY24!Q$46:Q$52)/MWh_to_kWh/GWh_to_MWh</f>
        <v>15.580084918104758</v>
      </c>
      <c r="O89" s="174">
        <f>SUMIF(Inputs_Volumes!$W$34:$W$47,$D89,Inputs_Volumes!O$34:O$47)/MWh_to_kWh/GWh_to_MWh</f>
        <v>15.740002447825788</v>
      </c>
      <c r="P89" s="140">
        <f>SUMIF(Inputs_Volumes!$W$34:$W$47,$D89,Inputs_Volumes!P$34:P$47)/MWh_to_kWh/GWh_to_MWh</f>
        <v>15.824967147750689</v>
      </c>
      <c r="Q89" s="140">
        <f>SUMIF(Inputs_Volumes!$W$34:$W$47,$D89,Inputs_Volumes!Q$34:Q$47)/MWh_to_kWh/GWh_to_MWh</f>
        <v>15.835500809565751</v>
      </c>
      <c r="R89" s="140">
        <f>SUMIF(Inputs_Volumes!$W$34:$W$47,$D89,Inputs_Volumes!R$34:R$47)/MWh_to_kWh/GWh_to_MWh</f>
        <v>15.719594747155442</v>
      </c>
      <c r="S89" s="140">
        <f>SUMIF(Inputs_Volumes!$W$34:$W$47,$D89,Inputs_Volumes!S$34:S$47)/MWh_to_kWh/GWh_to_MWh</f>
        <v>15.527883640118233</v>
      </c>
    </row>
    <row r="90" spans="1:35" ht="11.25" customHeight="1" x14ac:dyDescent="0.2">
      <c r="W90" s="153"/>
      <c r="X90" s="153"/>
      <c r="Y90" s="153"/>
      <c r="Z90" s="153"/>
      <c r="AA90" s="153"/>
      <c r="AB90" s="153"/>
      <c r="AC90" s="153"/>
      <c r="AD90" s="153"/>
      <c r="AE90" s="153"/>
      <c r="AF90" s="153"/>
      <c r="AG90" s="153"/>
      <c r="AH90" s="153"/>
      <c r="AI90" s="153"/>
    </row>
    <row r="91" spans="1:35" ht="12.75" x14ac:dyDescent="0.2">
      <c r="D91" s="62" t="s">
        <v>783</v>
      </c>
      <c r="H91" s="56" t="s">
        <v>52</v>
      </c>
      <c r="I91" s="56" t="s">
        <v>525</v>
      </c>
      <c r="J91" s="56" t="s">
        <v>21</v>
      </c>
      <c r="M91" s="173">
        <f t="shared" ref="M91:N91" si="13">SUM(M85:M89)</f>
        <v>1670.6797680380996</v>
      </c>
      <c r="N91" s="173">
        <f t="shared" si="13"/>
        <v>1735.81597743417</v>
      </c>
      <c r="O91" s="173">
        <f>SUM(O85:O89)</f>
        <v>1704.8397894065356</v>
      </c>
      <c r="P91" s="173">
        <f>SUM(P85:P89)</f>
        <v>1716.8917150906018</v>
      </c>
      <c r="Q91" s="173">
        <f>SUM(Q85:Q89)</f>
        <v>1721.7208675321449</v>
      </c>
      <c r="R91" s="173">
        <f>SUM(R85:R89)</f>
        <v>1721.1465329815323</v>
      </c>
      <c r="S91" s="173">
        <f>SUM(S85:S89)</f>
        <v>1725.9360716850572</v>
      </c>
    </row>
    <row r="92" spans="1:35" ht="11.25" customHeight="1" x14ac:dyDescent="0.2">
      <c r="M92" s="151"/>
      <c r="N92" s="151"/>
      <c r="O92" s="151"/>
      <c r="P92" s="151"/>
      <c r="Q92" s="151"/>
      <c r="R92" s="151"/>
      <c r="S92" s="151"/>
    </row>
    <row r="93" spans="1:35" ht="11.25" hidden="1" customHeight="1" outlineLevel="1" x14ac:dyDescent="0.2">
      <c r="D93" s="10" t="s">
        <v>90</v>
      </c>
      <c r="H93" s="243" t="s">
        <v>52</v>
      </c>
      <c r="I93" s="243" t="s">
        <v>525</v>
      </c>
      <c r="J93" s="243" t="s">
        <v>21</v>
      </c>
      <c r="K93" s="63"/>
      <c r="M93" s="140">
        <f t="shared" ref="M93:N93" si="14">M78</f>
        <v>1670.6797680380994</v>
      </c>
      <c r="N93" s="140">
        <f t="shared" si="14"/>
        <v>1735.8159774341698</v>
      </c>
      <c r="O93" s="174">
        <f>O78</f>
        <v>1704.8397894065354</v>
      </c>
      <c r="P93" s="140">
        <f t="shared" ref="P93:S93" si="15">P78</f>
        <v>1716.8917150906016</v>
      </c>
      <c r="Q93" s="140">
        <f t="shared" si="15"/>
        <v>1721.7208675321449</v>
      </c>
      <c r="R93" s="140">
        <f t="shared" si="15"/>
        <v>1721.1465329815321</v>
      </c>
      <c r="S93" s="140">
        <f t="shared" si="15"/>
        <v>1725.9360716850572</v>
      </c>
    </row>
    <row r="94" spans="1:35" ht="11.25" hidden="1" customHeight="1" outlineLevel="1" x14ac:dyDescent="0.2">
      <c r="A94" s="59">
        <f>IF(SUM($M94:$S94)=0,0,1)</f>
        <v>0</v>
      </c>
      <c r="D94" s="10" t="s">
        <v>55</v>
      </c>
      <c r="F94" s="63"/>
      <c r="H94" s="63"/>
      <c r="I94" s="63"/>
      <c r="J94" s="63"/>
      <c r="K94" s="63"/>
      <c r="M94" s="59">
        <f t="shared" ref="M94:N94" si="16">IF(ROUND(M93-M91,2)=0,0,1)</f>
        <v>0</v>
      </c>
      <c r="N94" s="59">
        <f t="shared" si="16"/>
        <v>0</v>
      </c>
      <c r="O94" s="59">
        <f>IF(ROUND(O93-O91,2)=0,0,1)</f>
        <v>0</v>
      </c>
      <c r="P94" s="59">
        <f>IF(ROUND(P93-P91,2)=0,0,1)</f>
        <v>0</v>
      </c>
      <c r="Q94" s="59">
        <f>IF(ROUND(Q93-Q91,2)=0,0,1)</f>
        <v>0</v>
      </c>
      <c r="R94" s="59">
        <f>IF(ROUND(R93-R91,2)=0,0,1)</f>
        <v>0</v>
      </c>
      <c r="S94" s="59">
        <f>IF(ROUND(S93-S91,2)=0,0,1)</f>
        <v>0</v>
      </c>
    </row>
    <row r="95" spans="1:35" ht="11.25" customHeight="1" collapsed="1" x14ac:dyDescent="0.2">
      <c r="M95" s="152"/>
      <c r="N95" s="152"/>
      <c r="O95" s="152"/>
      <c r="P95" s="152"/>
      <c r="Q95" s="152"/>
      <c r="R95" s="152"/>
      <c r="S95" s="152"/>
    </row>
    <row r="96" spans="1:35" s="2" customFormat="1" ht="15.75" x14ac:dyDescent="0.2">
      <c r="B96" s="2" t="s">
        <v>784</v>
      </c>
    </row>
    <row r="97" spans="3:35" ht="11.25" customHeight="1" x14ac:dyDescent="0.2"/>
    <row r="98" spans="3:35" s="8" customFormat="1" ht="15" x14ac:dyDescent="0.2">
      <c r="C98" s="8" t="s">
        <v>638</v>
      </c>
    </row>
    <row r="99" spans="3:35" ht="11.25" customHeight="1" x14ac:dyDescent="0.2"/>
    <row r="100" spans="3:35" ht="11.25" customHeight="1" x14ac:dyDescent="0.2">
      <c r="D100" s="70" t="s">
        <v>518</v>
      </c>
      <c r="H100" s="54" t="str">
        <f>Lookup!E$19</f>
        <v>Source</v>
      </c>
      <c r="I100" s="54" t="str">
        <f>Lookup!F$19</f>
        <v>Unit</v>
      </c>
      <c r="J100" s="54" t="str">
        <f>Lookup!G$19</f>
        <v>Basis</v>
      </c>
      <c r="M100" s="54" t="str">
        <f t="shared" ref="M100:AI100" si="17">M$9</f>
        <v>FY23</v>
      </c>
      <c r="N100" s="54" t="str">
        <f t="shared" si="17"/>
        <v>FY24</v>
      </c>
      <c r="O100" s="54" t="str">
        <f t="shared" si="17"/>
        <v>FY25</v>
      </c>
      <c r="P100" s="54" t="str">
        <f t="shared" si="17"/>
        <v>FY26</v>
      </c>
      <c r="Q100" s="54" t="str">
        <f t="shared" si="17"/>
        <v>FY27</v>
      </c>
      <c r="R100" s="54" t="str">
        <f t="shared" si="17"/>
        <v>FY28</v>
      </c>
      <c r="S100" s="54" t="str">
        <f t="shared" si="17"/>
        <v>FY29</v>
      </c>
      <c r="T100" s="54" t="str">
        <f t="shared" si="17"/>
        <v>FY30</v>
      </c>
      <c r="U100" s="54" t="str">
        <f t="shared" si="17"/>
        <v>FY31</v>
      </c>
      <c r="V100" s="54" t="str">
        <f t="shared" si="17"/>
        <v>FY32</v>
      </c>
      <c r="W100" s="54" t="str">
        <f t="shared" si="17"/>
        <v>FY33</v>
      </c>
      <c r="X100" s="54" t="str">
        <f t="shared" si="17"/>
        <v>FY34</v>
      </c>
      <c r="Y100" s="54" t="str">
        <f t="shared" si="17"/>
        <v>FY35</v>
      </c>
      <c r="Z100" s="54" t="str">
        <f t="shared" si="17"/>
        <v>FY36</v>
      </c>
      <c r="AA100" s="54" t="str">
        <f t="shared" si="17"/>
        <v>FY37</v>
      </c>
      <c r="AB100" s="54" t="str">
        <f t="shared" si="17"/>
        <v>FY38</v>
      </c>
      <c r="AC100" s="54" t="str">
        <f t="shared" si="17"/>
        <v>FY39</v>
      </c>
      <c r="AD100" s="54" t="str">
        <f t="shared" si="17"/>
        <v>FY40</v>
      </c>
      <c r="AE100" s="54" t="str">
        <f t="shared" si="17"/>
        <v>FY41</v>
      </c>
      <c r="AF100" s="54" t="str">
        <f t="shared" si="17"/>
        <v>FY42</v>
      </c>
      <c r="AG100" s="54" t="str">
        <f t="shared" si="17"/>
        <v>FY43</v>
      </c>
      <c r="AH100" s="54" t="str">
        <f t="shared" si="17"/>
        <v>FY44</v>
      </c>
      <c r="AI100" s="54" t="str">
        <f t="shared" si="17"/>
        <v>FY45</v>
      </c>
    </row>
    <row r="102" spans="3:35" ht="12.75" x14ac:dyDescent="0.2">
      <c r="D102" s="124" t="s">
        <v>649</v>
      </c>
    </row>
    <row r="103" spans="3:35" ht="12.75" x14ac:dyDescent="0.2">
      <c r="D103" s="19" t="s">
        <v>641</v>
      </c>
      <c r="H103" s="243" t="s">
        <v>52</v>
      </c>
      <c r="I103" s="243" t="s">
        <v>44</v>
      </c>
      <c r="J103" s="243" t="s">
        <v>238</v>
      </c>
      <c r="M103" s="66">
        <f>Calc_LRMC!M$142/Dollars_to_Thousands</f>
        <v>2296239.2367643695</v>
      </c>
      <c r="N103" s="66">
        <f>Calc_LRMC!N$142/Dollars_to_Thousands</f>
        <v>6386955.8833115809</v>
      </c>
      <c r="O103" s="66">
        <f>Calc_LRMC!O$142/Dollars_to_Thousands</f>
        <v>3764134.2826291937</v>
      </c>
      <c r="P103" s="66">
        <f>Calc_LRMC!P$142/Dollars_to_Thousands</f>
        <v>4232452.3063301556</v>
      </c>
      <c r="Q103" s="66">
        <f>Calc_LRMC!Q$142/Dollars_to_Thousands</f>
        <v>2440103.1743143182</v>
      </c>
      <c r="R103" s="66">
        <f>Calc_LRMC!R$142/Dollars_to_Thousands</f>
        <v>1380883.2593165117</v>
      </c>
      <c r="S103" s="66">
        <f>Calc_LRMC!S$142/Dollars_to_Thousands</f>
        <v>1358595.1748719364</v>
      </c>
      <c r="T103" s="66">
        <f>Calc_LRMC!T$142/Dollars_to_Thousands</f>
        <v>3122766.1882197233</v>
      </c>
      <c r="U103" s="66">
        <f>Calc_LRMC!U$142/Dollars_to_Thousands</f>
        <v>3122766.1882197233</v>
      </c>
      <c r="V103" s="66">
        <f>Calc_LRMC!V$142/Dollars_to_Thousands</f>
        <v>2231199.5156009574</v>
      </c>
      <c r="W103" s="66">
        <f>Calc_LRMC!W$142/Dollars_to_Thousands</f>
        <v>2234275.3816355094</v>
      </c>
      <c r="X103" s="66">
        <f>Calc_LRMC!X$142/Dollars_to_Thousands</f>
        <v>2234275.3816355094</v>
      </c>
      <c r="Y103" s="66">
        <f>Calc_LRMC!Y$142/Dollars_to_Thousands</f>
        <v>2234275.3816355094</v>
      </c>
      <c r="Z103" s="66">
        <f>Calc_LRMC!Z$142/Dollars_to_Thousands</f>
        <v>2234275.3816355094</v>
      </c>
      <c r="AA103" s="66">
        <f>Calc_LRMC!AA$142/Dollars_to_Thousands</f>
        <v>2234275.3816355006</v>
      </c>
      <c r="AB103" s="66">
        <f>Calc_LRMC!AB$142/Dollars_to_Thousands</f>
        <v>2234275.3816355094</v>
      </c>
      <c r="AC103" s="66">
        <f>Calc_LRMC!AC$142/Dollars_to_Thousands</f>
        <v>2234275.3816355094</v>
      </c>
      <c r="AD103" s="66">
        <f>Calc_LRMC!AD$142/Dollars_to_Thousands</f>
        <v>2234275.3816355267</v>
      </c>
      <c r="AE103" s="66">
        <f>Calc_LRMC!AE$142/Dollars_to_Thousands</f>
        <v>2234275.3816355094</v>
      </c>
      <c r="AF103" s="66">
        <f>Calc_LRMC!AF$142/Dollars_to_Thousands</f>
        <v>2234275.3816355006</v>
      </c>
      <c r="AG103" s="66">
        <f>Calc_LRMC!AG$142/Dollars_to_Thousands</f>
        <v>2234275.3816355094</v>
      </c>
      <c r="AH103" s="66">
        <f>Calc_LRMC!AH$142/Dollars_to_Thousands</f>
        <v>2234275.3816355094</v>
      </c>
      <c r="AI103" s="66">
        <f>Calc_LRMC!AI$142/Dollars_to_Thousands</f>
        <v>2234275.3816355094</v>
      </c>
    </row>
    <row r="104" spans="3:35" ht="12.75" x14ac:dyDescent="0.2">
      <c r="D104" s="19" t="s">
        <v>642</v>
      </c>
      <c r="H104" s="243" t="s">
        <v>52</v>
      </c>
      <c r="I104" s="243" t="s">
        <v>44</v>
      </c>
      <c r="J104" s="243" t="s">
        <v>238</v>
      </c>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row>
    <row r="105" spans="3:35" ht="12.75" x14ac:dyDescent="0.2">
      <c r="D105" s="19" t="s">
        <v>643</v>
      </c>
      <c r="H105" s="243" t="s">
        <v>52</v>
      </c>
      <c r="I105" s="243" t="s">
        <v>44</v>
      </c>
      <c r="J105" s="243" t="s">
        <v>238</v>
      </c>
      <c r="M105" s="66">
        <f>Calc_LRMC!M$91/Dollars_to_Thousands</f>
        <v>2207400.7706661788</v>
      </c>
      <c r="N105" s="66">
        <f>Calc_LRMC!N$91/Dollars_to_Thousands</f>
        <v>3465751.0648533488</v>
      </c>
      <c r="O105" s="66">
        <f>Calc_LRMC!O$91/Dollars_to_Thousands</f>
        <v>1653489.0976718317</v>
      </c>
      <c r="P105" s="66">
        <f>Calc_LRMC!P$91/Dollars_to_Thousands</f>
        <v>1637039.832667907</v>
      </c>
      <c r="Q105" s="66">
        <f>Calc_LRMC!Q$91/Dollars_to_Thousands</f>
        <v>2227224.1554842326</v>
      </c>
      <c r="R105" s="66">
        <f>Calc_LRMC!R$91/Dollars_to_Thousands</f>
        <v>1732318.2191128656</v>
      </c>
      <c r="S105" s="66">
        <f>Calc_LRMC!S$91/Dollars_to_Thousands</f>
        <v>1621343.3936011747</v>
      </c>
      <c r="T105" s="66">
        <f>Calc_LRMC!T$91/Dollars_to_Thousands</f>
        <v>2077795.2191510771</v>
      </c>
      <c r="U105" s="66">
        <f>Calc_LRMC!U$91/Dollars_to_Thousands</f>
        <v>2077795.2191510771</v>
      </c>
      <c r="V105" s="66">
        <f>Calc_LRMC!V$91/Dollars_to_Thousands</f>
        <v>1484573.4221077946</v>
      </c>
      <c r="W105" s="66">
        <f>Calc_LRMC!W$91/Dollars_to_Thousands</f>
        <v>1486620.011367487</v>
      </c>
      <c r="X105" s="66">
        <f>Calc_LRMC!X$91/Dollars_to_Thousands</f>
        <v>1486620.011367487</v>
      </c>
      <c r="Y105" s="66">
        <f>Calc_LRMC!Y$91/Dollars_to_Thousands</f>
        <v>1486620.011367487</v>
      </c>
      <c r="Z105" s="66">
        <f>Calc_LRMC!Z$91/Dollars_to_Thousands</f>
        <v>1486620.011367487</v>
      </c>
      <c r="AA105" s="66">
        <f>Calc_LRMC!AA$91/Dollars_to_Thousands</f>
        <v>1486620.0113674812</v>
      </c>
      <c r="AB105" s="66">
        <f>Calc_LRMC!AB$91/Dollars_to_Thousands</f>
        <v>1486620.011367487</v>
      </c>
      <c r="AC105" s="66">
        <f>Calc_LRMC!AC$91/Dollars_to_Thousands</f>
        <v>1486620.011367487</v>
      </c>
      <c r="AD105" s="66">
        <f>Calc_LRMC!AD$91/Dollars_to_Thousands</f>
        <v>1486620.0113674984</v>
      </c>
      <c r="AE105" s="66">
        <f>Calc_LRMC!AE$91/Dollars_to_Thousands</f>
        <v>1486620.011367487</v>
      </c>
      <c r="AF105" s="66">
        <f>Calc_LRMC!AF$91/Dollars_to_Thousands</f>
        <v>1486620.0113674812</v>
      </c>
      <c r="AG105" s="66">
        <f>Calc_LRMC!AG$91/Dollars_to_Thousands</f>
        <v>1486620.011367487</v>
      </c>
      <c r="AH105" s="66">
        <f>Calc_LRMC!AH$91/Dollars_to_Thousands</f>
        <v>1486620.011367487</v>
      </c>
      <c r="AI105" s="66">
        <f>Calc_LRMC!AI$91/Dollars_to_Thousands</f>
        <v>1486620.011367487</v>
      </c>
    </row>
    <row r="106" spans="3:35" ht="12.75" x14ac:dyDescent="0.2">
      <c r="D106" s="19" t="s">
        <v>644</v>
      </c>
      <c r="H106" s="243" t="s">
        <v>52</v>
      </c>
      <c r="I106" s="243" t="s">
        <v>44</v>
      </c>
      <c r="J106" s="243" t="s">
        <v>238</v>
      </c>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row>
    <row r="107" spans="3:35" ht="12.75" x14ac:dyDescent="0.2">
      <c r="D107" s="19" t="s">
        <v>645</v>
      </c>
      <c r="H107" s="243" t="s">
        <v>52</v>
      </c>
      <c r="I107" s="243" t="s">
        <v>44</v>
      </c>
      <c r="J107" s="243" t="s">
        <v>238</v>
      </c>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row>
    <row r="108" spans="3:35" ht="12.75" x14ac:dyDescent="0.2">
      <c r="D108" s="19" t="s">
        <v>646</v>
      </c>
      <c r="H108" s="243" t="s">
        <v>52</v>
      </c>
      <c r="I108" s="243" t="s">
        <v>44</v>
      </c>
      <c r="J108" s="243" t="s">
        <v>238</v>
      </c>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row>
    <row r="109" spans="3:35" ht="12.75" x14ac:dyDescent="0.2">
      <c r="D109" s="19" t="s">
        <v>647</v>
      </c>
      <c r="H109" s="243" t="s">
        <v>52</v>
      </c>
      <c r="I109" s="243" t="s">
        <v>44</v>
      </c>
      <c r="J109" s="243" t="s">
        <v>238</v>
      </c>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row>
    <row r="110" spans="3:35" ht="12.75" x14ac:dyDescent="0.2">
      <c r="D110" s="124" t="s">
        <v>648</v>
      </c>
    </row>
    <row r="111" spans="3:35" ht="12.75" x14ac:dyDescent="0.2">
      <c r="D111" s="19" t="s">
        <v>641</v>
      </c>
      <c r="H111" s="243" t="s">
        <v>52</v>
      </c>
      <c r="I111" s="243" t="s">
        <v>44</v>
      </c>
      <c r="J111" s="243" t="s">
        <v>238</v>
      </c>
      <c r="M111" s="66">
        <f>Calc_LRMC!M$143/Dollars_to_Thousands</f>
        <v>2034419.6685872686</v>
      </c>
      <c r="N111" s="66">
        <f>Calc_LRMC!N$143/Dollars_to_Thousands</f>
        <v>5017832.4547444843</v>
      </c>
      <c r="O111" s="66">
        <f>Calc_LRMC!O$143/Dollars_to_Thousands</f>
        <v>6177488.0686092144</v>
      </c>
      <c r="P111" s="66">
        <f>Calc_LRMC!P$143/Dollars_to_Thousands</f>
        <v>5739492.4212252731</v>
      </c>
      <c r="Q111" s="66">
        <f>Calc_LRMC!Q$143/Dollars_to_Thousands</f>
        <v>3591713.8747466584</v>
      </c>
      <c r="R111" s="66">
        <f>Calc_LRMC!R$143/Dollars_to_Thousands</f>
        <v>3586898.0156989875</v>
      </c>
      <c r="S111" s="66">
        <f>Calc_LRMC!S$143/Dollars_to_Thousands</f>
        <v>3548680.4343798691</v>
      </c>
      <c r="T111" s="66">
        <f>Calc_LRMC!T$143/Dollars_to_Thousands</f>
        <v>4242360.7054273933</v>
      </c>
      <c r="U111" s="66">
        <f>Calc_LRMC!U$143/Dollars_to_Thousands</f>
        <v>4242360.7054273933</v>
      </c>
      <c r="V111" s="66">
        <f>Calc_LRMC!V$143/Dollars_to_Thousands</f>
        <v>3031143.7297681291</v>
      </c>
      <c r="W111" s="66">
        <f>Calc_LRMC!W$143/Dollars_to_Thousands</f>
        <v>3035322.3753706613</v>
      </c>
      <c r="X111" s="66">
        <f>Calc_LRMC!X$143/Dollars_to_Thousands</f>
        <v>3035322.3753706613</v>
      </c>
      <c r="Y111" s="66">
        <f>Calc_LRMC!Y$143/Dollars_to_Thousands</f>
        <v>3035322.3753706613</v>
      </c>
      <c r="Z111" s="66">
        <f>Calc_LRMC!Z$143/Dollars_to_Thousands</f>
        <v>3035322.3753706613</v>
      </c>
      <c r="AA111" s="66">
        <f>Calc_LRMC!AA$143/Dollars_to_Thousands</f>
        <v>3035322.3753706492</v>
      </c>
      <c r="AB111" s="66">
        <f>Calc_LRMC!AB$143/Dollars_to_Thousands</f>
        <v>3035322.3753706613</v>
      </c>
      <c r="AC111" s="66">
        <f>Calc_LRMC!AC$143/Dollars_to_Thousands</f>
        <v>3035322.3753706613</v>
      </c>
      <c r="AD111" s="66">
        <f>Calc_LRMC!AD$143/Dollars_to_Thousands</f>
        <v>3035322.3753706845</v>
      </c>
      <c r="AE111" s="66">
        <f>Calc_LRMC!AE$143/Dollars_to_Thousands</f>
        <v>3035322.3753706613</v>
      </c>
      <c r="AF111" s="66">
        <f>Calc_LRMC!AF$143/Dollars_to_Thousands</f>
        <v>3035322.3753706492</v>
      </c>
      <c r="AG111" s="66">
        <f>Calc_LRMC!AG$143/Dollars_to_Thousands</f>
        <v>3035322.3753706613</v>
      </c>
      <c r="AH111" s="66">
        <f>Calc_LRMC!AH$143/Dollars_to_Thousands</f>
        <v>3035322.3753706613</v>
      </c>
      <c r="AI111" s="66">
        <f>Calc_LRMC!AI$143/Dollars_to_Thousands</f>
        <v>3035322.3753706613</v>
      </c>
    </row>
    <row r="112" spans="3:35" ht="12.75" x14ac:dyDescent="0.2">
      <c r="D112" s="19" t="s">
        <v>642</v>
      </c>
      <c r="H112" s="243" t="s">
        <v>52</v>
      </c>
      <c r="I112" s="243" t="s">
        <v>44</v>
      </c>
      <c r="J112" s="243" t="s">
        <v>238</v>
      </c>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row>
    <row r="113" spans="4:35" ht="12.75" x14ac:dyDescent="0.2">
      <c r="D113" s="19" t="s">
        <v>643</v>
      </c>
      <c r="H113" s="243" t="s">
        <v>52</v>
      </c>
      <c r="I113" s="243" t="s">
        <v>44</v>
      </c>
      <c r="J113" s="243" t="s">
        <v>238</v>
      </c>
      <c r="M113" s="66">
        <f>Calc_LRMC!M$92/Dollars_to_Thousands</f>
        <v>6403528.8061833056</v>
      </c>
      <c r="N113" s="66">
        <f>Calc_LRMC!N$92/Dollars_to_Thousands</f>
        <v>8791351.2426719069</v>
      </c>
      <c r="O113" s="66">
        <f>Calc_LRMC!O$92/Dollars_to_Thousands</f>
        <v>6368621.015944032</v>
      </c>
      <c r="P113" s="66">
        <f>Calc_LRMC!P$92/Dollars_to_Thousands</f>
        <v>2981551.2779959454</v>
      </c>
      <c r="Q113" s="66">
        <f>Calc_LRMC!Q$92/Dollars_to_Thousands</f>
        <v>3090085.1322892844</v>
      </c>
      <c r="R113" s="66">
        <f>Calc_LRMC!R$92/Dollars_to_Thousands</f>
        <v>2136348.338154308</v>
      </c>
      <c r="S113" s="66">
        <f>Calc_LRMC!S$92/Dollars_to_Thousands</f>
        <v>1916724.3580751147</v>
      </c>
      <c r="T113" s="66">
        <f>Calc_LRMC!T$92/Dollars_to_Thousands</f>
        <v>4526887.1673305565</v>
      </c>
      <c r="U113" s="66">
        <f>Calc_LRMC!U$92/Dollars_to_Thousands</f>
        <v>4526887.1673305565</v>
      </c>
      <c r="V113" s="66">
        <f>Calc_LRMC!V$92/Dollars_to_Thousands</f>
        <v>3234436.344619934</v>
      </c>
      <c r="W113" s="66">
        <f>Calc_LRMC!W$92/Dollars_to_Thousands</f>
        <v>3238895.2434426406</v>
      </c>
      <c r="X113" s="66">
        <f>Calc_LRMC!X$92/Dollars_to_Thousands</f>
        <v>3238895.2434426406</v>
      </c>
      <c r="Y113" s="66">
        <f>Calc_LRMC!Y$92/Dollars_to_Thousands</f>
        <v>3238895.2434426406</v>
      </c>
      <c r="Z113" s="66">
        <f>Calc_LRMC!Z$92/Dollars_to_Thousands</f>
        <v>3238895.2434426406</v>
      </c>
      <c r="AA113" s="66">
        <f>Calc_LRMC!AA$92/Dollars_to_Thousands</f>
        <v>3238895.2434426276</v>
      </c>
      <c r="AB113" s="66">
        <f>Calc_LRMC!AB$92/Dollars_to_Thousands</f>
        <v>3238895.2434426406</v>
      </c>
      <c r="AC113" s="66">
        <f>Calc_LRMC!AC$92/Dollars_to_Thousands</f>
        <v>3238895.2434426406</v>
      </c>
      <c r="AD113" s="66">
        <f>Calc_LRMC!AD$92/Dollars_to_Thousands</f>
        <v>3238895.2434426649</v>
      </c>
      <c r="AE113" s="66">
        <f>Calc_LRMC!AE$92/Dollars_to_Thousands</f>
        <v>3238895.2434426406</v>
      </c>
      <c r="AF113" s="66">
        <f>Calc_LRMC!AF$92/Dollars_to_Thousands</f>
        <v>3238895.2434426276</v>
      </c>
      <c r="AG113" s="66">
        <f>Calc_LRMC!AG$92/Dollars_to_Thousands</f>
        <v>3238895.2434426406</v>
      </c>
      <c r="AH113" s="66">
        <f>Calc_LRMC!AH$92/Dollars_to_Thousands</f>
        <v>3238895.2434426406</v>
      </c>
      <c r="AI113" s="66">
        <f>Calc_LRMC!AI$92/Dollars_to_Thousands</f>
        <v>3238895.2434426406</v>
      </c>
    </row>
    <row r="114" spans="4:35" ht="12.75" x14ac:dyDescent="0.2">
      <c r="D114" s="19" t="s">
        <v>644</v>
      </c>
      <c r="H114" s="243" t="s">
        <v>52</v>
      </c>
      <c r="I114" s="243" t="s">
        <v>44</v>
      </c>
      <c r="J114" s="243" t="s">
        <v>238</v>
      </c>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row>
    <row r="115" spans="4:35" ht="12.75" x14ac:dyDescent="0.2">
      <c r="D115" s="19" t="s">
        <v>645</v>
      </c>
      <c r="H115" s="243" t="s">
        <v>52</v>
      </c>
      <c r="I115" s="243" t="s">
        <v>44</v>
      </c>
      <c r="J115" s="243" t="s">
        <v>238</v>
      </c>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row>
    <row r="116" spans="4:35" ht="12.75" x14ac:dyDescent="0.2">
      <c r="D116" s="19" t="s">
        <v>646</v>
      </c>
      <c r="H116" s="243" t="s">
        <v>52</v>
      </c>
      <c r="I116" s="243" t="s">
        <v>44</v>
      </c>
      <c r="J116" s="243" t="s">
        <v>238</v>
      </c>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row>
    <row r="117" spans="4:35" ht="12.75" x14ac:dyDescent="0.2">
      <c r="D117" s="19" t="s">
        <v>647</v>
      </c>
      <c r="H117" s="243" t="s">
        <v>52</v>
      </c>
      <c r="I117" s="243" t="s">
        <v>44</v>
      </c>
      <c r="J117" s="243" t="s">
        <v>238</v>
      </c>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row>
    <row r="118" spans="4:35" ht="12.75" x14ac:dyDescent="0.2">
      <c r="D118" s="124" t="s">
        <v>650</v>
      </c>
    </row>
    <row r="119" spans="4:35" ht="12.75" x14ac:dyDescent="0.2">
      <c r="D119" s="19" t="s">
        <v>641</v>
      </c>
      <c r="H119" s="243" t="s">
        <v>52</v>
      </c>
      <c r="I119" s="243" t="s">
        <v>44</v>
      </c>
      <c r="J119" s="243" t="s">
        <v>238</v>
      </c>
      <c r="M119" s="66">
        <f>Calc_LRMC!M$144/Dollars_to_Thousands</f>
        <v>7140709.0796443224</v>
      </c>
      <c r="N119" s="66">
        <f>Calc_LRMC!N$144/Dollars_to_Thousands</f>
        <v>5234704.2376551842</v>
      </c>
      <c r="O119" s="66">
        <f>Calc_LRMC!O$144/Dollars_to_Thousands</f>
        <v>6686668.3276153458</v>
      </c>
      <c r="P119" s="66">
        <f>Calc_LRMC!P$144/Dollars_to_Thousands</f>
        <v>5436383.2237624209</v>
      </c>
      <c r="Q119" s="66">
        <f>Calc_LRMC!Q$144/Dollars_to_Thousands</f>
        <v>4619074.5757074412</v>
      </c>
      <c r="R119" s="66">
        <f>Calc_LRMC!R$144/Dollars_to_Thousands</f>
        <v>4639799.4736446468</v>
      </c>
      <c r="S119" s="66">
        <f>Calc_LRMC!S$144/Dollars_to_Thousands</f>
        <v>4617278.9037747337</v>
      </c>
      <c r="T119" s="66">
        <f>Calc_LRMC!T$144/Dollars_to_Thousands</f>
        <v>5482088.2602577284</v>
      </c>
      <c r="U119" s="66">
        <f>Calc_LRMC!U$144/Dollars_to_Thousands</f>
        <v>5482088.2602577284</v>
      </c>
      <c r="V119" s="66">
        <f>Calc_LRMC!V$144/Dollars_to_Thousands</f>
        <v>3916922.3481768128</v>
      </c>
      <c r="W119" s="66">
        <f>Calc_LRMC!W$144/Dollars_to_Thousands</f>
        <v>3922322.1021326864</v>
      </c>
      <c r="X119" s="66">
        <f>Calc_LRMC!X$144/Dollars_to_Thousands</f>
        <v>3922322.1021326864</v>
      </c>
      <c r="Y119" s="66">
        <f>Calc_LRMC!Y$144/Dollars_to_Thousands</f>
        <v>3922322.1021326864</v>
      </c>
      <c r="Z119" s="66">
        <f>Calc_LRMC!Z$144/Dollars_to_Thousands</f>
        <v>3922322.1021326864</v>
      </c>
      <c r="AA119" s="66">
        <f>Calc_LRMC!AA$144/Dollars_to_Thousands</f>
        <v>3922322.1021326864</v>
      </c>
      <c r="AB119" s="66">
        <f>Calc_LRMC!AB$144/Dollars_to_Thousands</f>
        <v>3922322.1021326864</v>
      </c>
      <c r="AC119" s="66">
        <f>Calc_LRMC!AC$144/Dollars_to_Thousands</f>
        <v>3922322.1021326864</v>
      </c>
      <c r="AD119" s="66">
        <f>Calc_LRMC!AD$144/Dollars_to_Thousands</f>
        <v>3922322.1021327302</v>
      </c>
      <c r="AE119" s="66">
        <f>Calc_LRMC!AE$144/Dollars_to_Thousands</f>
        <v>3922322.1021326864</v>
      </c>
      <c r="AF119" s="66">
        <f>Calc_LRMC!AF$144/Dollars_to_Thousands</f>
        <v>3922322.1021326864</v>
      </c>
      <c r="AG119" s="66">
        <f>Calc_LRMC!AG$144/Dollars_to_Thousands</f>
        <v>3922322.1021326864</v>
      </c>
      <c r="AH119" s="66">
        <f>Calc_LRMC!AH$144/Dollars_to_Thousands</f>
        <v>3922322.1021326864</v>
      </c>
      <c r="AI119" s="66">
        <f>Calc_LRMC!AI$144/Dollars_to_Thousands</f>
        <v>3922322.1021326864</v>
      </c>
    </row>
    <row r="120" spans="4:35" ht="12.75" x14ac:dyDescent="0.2">
      <c r="D120" s="19" t="s">
        <v>642</v>
      </c>
      <c r="H120" s="243" t="s">
        <v>52</v>
      </c>
      <c r="I120" s="243" t="s">
        <v>44</v>
      </c>
      <c r="J120" s="243" t="s">
        <v>238</v>
      </c>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row>
    <row r="121" spans="4:35" ht="12.75" x14ac:dyDescent="0.2">
      <c r="D121" s="19" t="s">
        <v>643</v>
      </c>
      <c r="H121" s="243" t="s">
        <v>52</v>
      </c>
      <c r="I121" s="243" t="s">
        <v>44</v>
      </c>
      <c r="J121" s="243" t="s">
        <v>238</v>
      </c>
      <c r="M121" s="66">
        <f>Calc_LRMC!M$93/Dollars_to_Thousands</f>
        <v>3056946.5069011445</v>
      </c>
      <c r="N121" s="66">
        <f>Calc_LRMC!N$93/Dollars_to_Thousands</f>
        <v>1196832.4089316768</v>
      </c>
      <c r="O121" s="66">
        <f>Calc_LRMC!O$93/Dollars_to_Thousands</f>
        <v>1463066.1426947066</v>
      </c>
      <c r="P121" s="66">
        <f>Calc_LRMC!P$93/Dollars_to_Thousands</f>
        <v>1448469.5350736571</v>
      </c>
      <c r="Q121" s="66">
        <f>Calc_LRMC!Q$93/Dollars_to_Thousands</f>
        <v>1971364.9750692132</v>
      </c>
      <c r="R121" s="66">
        <f>Calc_LRMC!R$93/Dollars_to_Thousands</f>
        <v>1532869.5573873834</v>
      </c>
      <c r="S121" s="66">
        <f>Calc_LRMC!S$93/Dollars_to_Thousands</f>
        <v>1434534.3320172338</v>
      </c>
      <c r="T121" s="66">
        <f>Calc_LRMC!T$93/Dollars_to_Thousands</f>
        <v>1729154.7797250021</v>
      </c>
      <c r="U121" s="66">
        <f>Calc_LRMC!U$93/Dollars_to_Thousands</f>
        <v>1729154.7797250021</v>
      </c>
      <c r="V121" s="66">
        <f>Calc_LRMC!V$93/Dollars_to_Thousands</f>
        <v>1235471.7178236747</v>
      </c>
      <c r="W121" s="66">
        <f>Calc_LRMC!W$93/Dollars_to_Thousands</f>
        <v>1237174.9027997043</v>
      </c>
      <c r="X121" s="66">
        <f>Calc_LRMC!X$93/Dollars_to_Thousands</f>
        <v>1237174.9027997043</v>
      </c>
      <c r="Y121" s="66">
        <f>Calc_LRMC!Y$93/Dollars_to_Thousands</f>
        <v>1237174.9027997043</v>
      </c>
      <c r="Z121" s="66">
        <f>Calc_LRMC!Z$93/Dollars_to_Thousands</f>
        <v>1237174.9027997043</v>
      </c>
      <c r="AA121" s="66">
        <f>Calc_LRMC!AA$93/Dollars_to_Thousands</f>
        <v>1237174.9027997043</v>
      </c>
      <c r="AB121" s="66">
        <f>Calc_LRMC!AB$93/Dollars_to_Thousands</f>
        <v>1237174.9027997043</v>
      </c>
      <c r="AC121" s="66">
        <f>Calc_LRMC!AC$93/Dollars_to_Thousands</f>
        <v>1237174.9027997043</v>
      </c>
      <c r="AD121" s="66">
        <f>Calc_LRMC!AD$93/Dollars_to_Thousands</f>
        <v>1237174.9027997176</v>
      </c>
      <c r="AE121" s="66">
        <f>Calc_LRMC!AE$93/Dollars_to_Thousands</f>
        <v>1237174.9027997043</v>
      </c>
      <c r="AF121" s="66">
        <f>Calc_LRMC!AF$93/Dollars_to_Thousands</f>
        <v>1237174.9027997043</v>
      </c>
      <c r="AG121" s="66">
        <f>Calc_LRMC!AG$93/Dollars_to_Thousands</f>
        <v>1237174.9027997043</v>
      </c>
      <c r="AH121" s="66">
        <f>Calc_LRMC!AH$93/Dollars_to_Thousands</f>
        <v>1237174.9027997043</v>
      </c>
      <c r="AI121" s="66">
        <f>Calc_LRMC!AI$93/Dollars_to_Thousands</f>
        <v>1237174.9027997043</v>
      </c>
    </row>
    <row r="122" spans="4:35" ht="12.75" x14ac:dyDescent="0.2">
      <c r="D122" s="19" t="s">
        <v>644</v>
      </c>
      <c r="H122" s="243" t="s">
        <v>52</v>
      </c>
      <c r="I122" s="243" t="s">
        <v>44</v>
      </c>
      <c r="J122" s="243" t="s">
        <v>238</v>
      </c>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row>
    <row r="123" spans="4:35" ht="12.75" x14ac:dyDescent="0.2">
      <c r="D123" s="19" t="s">
        <v>645</v>
      </c>
      <c r="H123" s="243" t="s">
        <v>52</v>
      </c>
      <c r="I123" s="243" t="s">
        <v>44</v>
      </c>
      <c r="J123" s="243" t="s">
        <v>238</v>
      </c>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row>
    <row r="124" spans="4:35" ht="12.75" x14ac:dyDescent="0.2">
      <c r="D124" s="19" t="s">
        <v>646</v>
      </c>
      <c r="H124" s="243" t="s">
        <v>52</v>
      </c>
      <c r="I124" s="243" t="s">
        <v>44</v>
      </c>
      <c r="J124" s="243" t="s">
        <v>238</v>
      </c>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row>
    <row r="125" spans="4:35" ht="12.75" x14ac:dyDescent="0.2">
      <c r="D125" s="19" t="s">
        <v>647</v>
      </c>
      <c r="H125" s="243" t="s">
        <v>52</v>
      </c>
      <c r="I125" s="243" t="s">
        <v>44</v>
      </c>
      <c r="J125" s="243" t="s">
        <v>238</v>
      </c>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row>
    <row r="126" spans="4:35" ht="11.25" customHeight="1" x14ac:dyDescent="0.2">
      <c r="W126" s="153"/>
      <c r="X126" s="153"/>
      <c r="Y126" s="153"/>
      <c r="Z126" s="153"/>
      <c r="AA126" s="153"/>
      <c r="AB126" s="153"/>
      <c r="AC126" s="153"/>
      <c r="AD126" s="153"/>
      <c r="AE126" s="153"/>
      <c r="AF126" s="153"/>
      <c r="AG126" s="153"/>
      <c r="AH126" s="153"/>
      <c r="AI126" s="153"/>
    </row>
    <row r="127" spans="4:35" ht="12.75" x14ac:dyDescent="0.2">
      <c r="D127" s="62" t="s">
        <v>651</v>
      </c>
      <c r="H127" s="56" t="s">
        <v>52</v>
      </c>
      <c r="I127" s="56" t="s">
        <v>44</v>
      </c>
      <c r="J127" s="56" t="s">
        <v>238</v>
      </c>
      <c r="M127" s="68">
        <f>SUM(M103:M125)</f>
        <v>23139244.068746589</v>
      </c>
      <c r="N127" s="68">
        <f t="shared" ref="N127:AF127" si="18">SUM(N103:N125)</f>
        <v>30093427.292168181</v>
      </c>
      <c r="O127" s="68">
        <f t="shared" si="18"/>
        <v>26113466.935164325</v>
      </c>
      <c r="P127" s="68">
        <f t="shared" si="18"/>
        <v>21475388.597055357</v>
      </c>
      <c r="Q127" s="68">
        <f t="shared" si="18"/>
        <v>17939565.887611147</v>
      </c>
      <c r="R127" s="68">
        <f t="shared" si="18"/>
        <v>15009116.863314705</v>
      </c>
      <c r="S127" s="68">
        <f t="shared" si="18"/>
        <v>14497156.59672006</v>
      </c>
      <c r="T127" s="68">
        <f t="shared" si="18"/>
        <v>21181052.320111483</v>
      </c>
      <c r="U127" s="68">
        <f t="shared" si="18"/>
        <v>21181052.320111483</v>
      </c>
      <c r="V127" s="68">
        <f t="shared" si="18"/>
        <v>15133747.078097302</v>
      </c>
      <c r="W127" s="68">
        <f t="shared" si="18"/>
        <v>15154610.016748687</v>
      </c>
      <c r="X127" s="68">
        <f t="shared" si="18"/>
        <v>15154610.016748687</v>
      </c>
      <c r="Y127" s="68">
        <f t="shared" si="18"/>
        <v>15154610.016748687</v>
      </c>
      <c r="Z127" s="68">
        <f t="shared" si="18"/>
        <v>15154610.016748687</v>
      </c>
      <c r="AA127" s="68">
        <f t="shared" si="18"/>
        <v>15154610.01674865</v>
      </c>
      <c r="AB127" s="68">
        <f t="shared" si="18"/>
        <v>15154610.016748687</v>
      </c>
      <c r="AC127" s="68">
        <f t="shared" si="18"/>
        <v>15154610.016748687</v>
      </c>
      <c r="AD127" s="68">
        <f t="shared" si="18"/>
        <v>15154610.016748823</v>
      </c>
      <c r="AE127" s="68">
        <f t="shared" si="18"/>
        <v>15154610.016748687</v>
      </c>
      <c r="AF127" s="68">
        <f t="shared" si="18"/>
        <v>15154610.01674865</v>
      </c>
      <c r="AG127" s="68">
        <f t="shared" ref="AG127:AI127" si="19">SUM(AG103:AG125)</f>
        <v>15154610.016748687</v>
      </c>
      <c r="AH127" s="68">
        <f t="shared" si="19"/>
        <v>15154610.016748687</v>
      </c>
      <c r="AI127" s="68">
        <f t="shared" si="19"/>
        <v>15154610.016748687</v>
      </c>
    </row>
    <row r="128" spans="4:35" ht="11.25" customHeight="1" x14ac:dyDescent="0.2"/>
    <row r="129" spans="1:35" ht="12.75" hidden="1" outlineLevel="1" x14ac:dyDescent="0.2">
      <c r="D129" s="10" t="s">
        <v>90</v>
      </c>
      <c r="H129" s="243" t="s">
        <v>52</v>
      </c>
      <c r="I129" s="243" t="s">
        <v>44</v>
      </c>
      <c r="J129" s="243" t="s">
        <v>238</v>
      </c>
      <c r="K129" s="63"/>
      <c r="M129" s="66">
        <f>(Calc_LRMC!M$95+Calc_LRMC!M$146)/Dollars_to_Thousands</f>
        <v>23139244.068746589</v>
      </c>
      <c r="N129" s="66">
        <f>(Calc_LRMC!N$95+Calc_LRMC!N$146)/Dollars_to_Thousands</f>
        <v>30093427.292168185</v>
      </c>
      <c r="O129" s="66">
        <f>(Calc_LRMC!O$95+Calc_LRMC!O$146)/Dollars_to_Thousands</f>
        <v>26113466.935164325</v>
      </c>
      <c r="P129" s="66">
        <f>(Calc_LRMC!P$95+Calc_LRMC!P$146)/Dollars_to_Thousands</f>
        <v>21475388.597055361</v>
      </c>
      <c r="Q129" s="66">
        <f>(Calc_LRMC!Q$95+Calc_LRMC!Q$146)/Dollars_to_Thousands</f>
        <v>17939565.887611147</v>
      </c>
      <c r="R129" s="66">
        <f>(Calc_LRMC!R$95+Calc_LRMC!R$146)/Dollars_to_Thousands</f>
        <v>15009116.863314703</v>
      </c>
      <c r="S129" s="66">
        <f>(Calc_LRMC!S$95+Calc_LRMC!S$146)/Dollars_to_Thousands</f>
        <v>14497156.596720062</v>
      </c>
      <c r="T129" s="66">
        <f>(Calc_LRMC!T$95+Calc_LRMC!T$146)/Dollars_to_Thousands</f>
        <v>21181052.320111483</v>
      </c>
      <c r="U129" s="66">
        <f>(Calc_LRMC!U$95+Calc_LRMC!U$146)/Dollars_to_Thousands</f>
        <v>21181052.320111483</v>
      </c>
      <c r="V129" s="66">
        <f>(Calc_LRMC!V$95+Calc_LRMC!V$146)/Dollars_to_Thousands</f>
        <v>15133747.078097301</v>
      </c>
      <c r="W129" s="66">
        <f>(Calc_LRMC!W$95+Calc_LRMC!W$146)/Dollars_to_Thousands</f>
        <v>15154610.016748689</v>
      </c>
      <c r="X129" s="66">
        <f>(Calc_LRMC!X$95+Calc_LRMC!X$146)/Dollars_to_Thousands</f>
        <v>15154610.016748689</v>
      </c>
      <c r="Y129" s="66">
        <f>(Calc_LRMC!Y$95+Calc_LRMC!Y$146)/Dollars_to_Thousands</f>
        <v>15154610.016748689</v>
      </c>
      <c r="Z129" s="66">
        <f>(Calc_LRMC!Z$95+Calc_LRMC!Z$146)/Dollars_to_Thousands</f>
        <v>15154610.016748689</v>
      </c>
      <c r="AA129" s="66">
        <f>(Calc_LRMC!AA$95+Calc_LRMC!AA$146)/Dollars_to_Thousands</f>
        <v>15154610.016748648</v>
      </c>
      <c r="AB129" s="66">
        <f>(Calc_LRMC!AB$95+Calc_LRMC!AB$146)/Dollars_to_Thousands</f>
        <v>15154610.016748689</v>
      </c>
      <c r="AC129" s="66">
        <f>(Calc_LRMC!AC$95+Calc_LRMC!AC$146)/Dollars_to_Thousands</f>
        <v>15154610.016748689</v>
      </c>
      <c r="AD129" s="66">
        <f>(Calc_LRMC!AD$95+Calc_LRMC!AD$146)/Dollars_to_Thousands</f>
        <v>15154610.016748821</v>
      </c>
      <c r="AE129" s="66">
        <f>(Calc_LRMC!AE$95+Calc_LRMC!AE$146)/Dollars_to_Thousands</f>
        <v>15154610.016748689</v>
      </c>
      <c r="AF129" s="66">
        <f>(Calc_LRMC!AF$95+Calc_LRMC!AF$146)/Dollars_to_Thousands</f>
        <v>15154610.016748648</v>
      </c>
      <c r="AG129" s="66">
        <f>(Calc_LRMC!AG$95+Calc_LRMC!AG$146)/Dollars_to_Thousands</f>
        <v>15154610.016748689</v>
      </c>
      <c r="AH129" s="66">
        <f>(Calc_LRMC!AH$95+Calc_LRMC!AH$146)/Dollars_to_Thousands</f>
        <v>15154610.016748689</v>
      </c>
      <c r="AI129" s="66">
        <f>(Calc_LRMC!AI$95+Calc_LRMC!AI$146)/Dollars_to_Thousands</f>
        <v>15154610.016748689</v>
      </c>
    </row>
    <row r="130" spans="1:35" ht="12.75" hidden="1" outlineLevel="1" x14ac:dyDescent="0.2">
      <c r="A130" s="59">
        <f>IF(SUM($M130:$S130)=0,0,1)</f>
        <v>0</v>
      </c>
      <c r="D130" s="10" t="s">
        <v>55</v>
      </c>
      <c r="F130" s="63"/>
      <c r="H130" s="63"/>
      <c r="I130" s="63"/>
      <c r="J130" s="63"/>
      <c r="K130" s="63"/>
      <c r="M130" s="59">
        <f t="shared" ref="M130:N130" si="20">IF(ROUND(M129-M127,2)=0,0,1)</f>
        <v>0</v>
      </c>
      <c r="N130" s="59">
        <f t="shared" si="20"/>
        <v>0</v>
      </c>
      <c r="O130" s="59">
        <f>IF(ROUND(O129-O127,2)=0,0,1)</f>
        <v>0</v>
      </c>
      <c r="P130" s="59">
        <f>IF(ROUND(P129-P127,2)=0,0,1)</f>
        <v>0</v>
      </c>
      <c r="Q130" s="59">
        <f>IF(ROUND(Q129-Q127,2)=0,0,1)</f>
        <v>0</v>
      </c>
      <c r="R130" s="59">
        <f>IF(ROUND(R129-R127,2)=0,0,1)</f>
        <v>0</v>
      </c>
      <c r="S130" s="59">
        <f t="shared" ref="S130:AE130" si="21">IF(ROUND(S129-S127,2)=0,0,1)</f>
        <v>0</v>
      </c>
      <c r="T130" s="59">
        <f t="shared" si="21"/>
        <v>0</v>
      </c>
      <c r="U130" s="59">
        <f t="shared" si="21"/>
        <v>0</v>
      </c>
      <c r="V130" s="59">
        <f t="shared" si="21"/>
        <v>0</v>
      </c>
      <c r="W130" s="59">
        <f t="shared" si="21"/>
        <v>0</v>
      </c>
      <c r="X130" s="59">
        <f t="shared" si="21"/>
        <v>0</v>
      </c>
      <c r="Y130" s="59">
        <f t="shared" si="21"/>
        <v>0</v>
      </c>
      <c r="Z130" s="59">
        <f t="shared" si="21"/>
        <v>0</v>
      </c>
      <c r="AA130" s="59">
        <f t="shared" si="21"/>
        <v>0</v>
      </c>
      <c r="AB130" s="59">
        <f t="shared" si="21"/>
        <v>0</v>
      </c>
      <c r="AC130" s="59">
        <f t="shared" si="21"/>
        <v>0</v>
      </c>
      <c r="AD130" s="59">
        <f t="shared" si="21"/>
        <v>0</v>
      </c>
      <c r="AE130" s="59">
        <f t="shared" si="21"/>
        <v>0</v>
      </c>
      <c r="AF130" s="59">
        <f>IF(ROUND(AF129-AF127,2)=0,0,1)</f>
        <v>0</v>
      </c>
      <c r="AG130" s="59">
        <f t="shared" ref="AG130:AI130" si="22">IF(ROUND(AG129-AG127,2)=0,0,1)</f>
        <v>0</v>
      </c>
      <c r="AH130" s="59">
        <f t="shared" si="22"/>
        <v>0</v>
      </c>
      <c r="AI130" s="59">
        <f t="shared" si="22"/>
        <v>0</v>
      </c>
    </row>
    <row r="131" spans="1:35" ht="11.25" customHeight="1" collapsed="1" x14ac:dyDescent="0.2"/>
    <row r="132" spans="1:35" s="8" customFormat="1" ht="15" x14ac:dyDescent="0.2">
      <c r="C132" s="8" t="s">
        <v>639</v>
      </c>
    </row>
    <row r="133" spans="1:35" ht="11.25" customHeight="1" x14ac:dyDescent="0.2"/>
    <row r="134" spans="1:35" ht="12.75" x14ac:dyDescent="0.2">
      <c r="D134" s="70" t="s">
        <v>518</v>
      </c>
      <c r="H134" s="54" t="str">
        <f>Lookup!E$19</f>
        <v>Source</v>
      </c>
      <c r="I134" s="54" t="str">
        <f>Lookup!F$19</f>
        <v>Unit</v>
      </c>
      <c r="J134" s="54" t="str">
        <f>Lookup!G$19</f>
        <v>Basis</v>
      </c>
      <c r="M134" s="54" t="str">
        <f t="shared" ref="M134:AI134" si="23">M$9</f>
        <v>FY23</v>
      </c>
      <c r="N134" s="54" t="str">
        <f t="shared" si="23"/>
        <v>FY24</v>
      </c>
      <c r="O134" s="54" t="str">
        <f t="shared" si="23"/>
        <v>FY25</v>
      </c>
      <c r="P134" s="54" t="str">
        <f t="shared" si="23"/>
        <v>FY26</v>
      </c>
      <c r="Q134" s="54" t="str">
        <f t="shared" si="23"/>
        <v>FY27</v>
      </c>
      <c r="R134" s="54" t="str">
        <f t="shared" si="23"/>
        <v>FY28</v>
      </c>
      <c r="S134" s="54" t="str">
        <f t="shared" si="23"/>
        <v>FY29</v>
      </c>
      <c r="T134" s="54" t="str">
        <f t="shared" si="23"/>
        <v>FY30</v>
      </c>
      <c r="U134" s="54" t="str">
        <f t="shared" si="23"/>
        <v>FY31</v>
      </c>
      <c r="V134" s="54" t="str">
        <f t="shared" si="23"/>
        <v>FY32</v>
      </c>
      <c r="W134" s="54" t="str">
        <f t="shared" si="23"/>
        <v>FY33</v>
      </c>
      <c r="X134" s="54" t="str">
        <f t="shared" si="23"/>
        <v>FY34</v>
      </c>
      <c r="Y134" s="54" t="str">
        <f t="shared" si="23"/>
        <v>FY35</v>
      </c>
      <c r="Z134" s="54" t="str">
        <f t="shared" si="23"/>
        <v>FY36</v>
      </c>
      <c r="AA134" s="54" t="str">
        <f t="shared" si="23"/>
        <v>FY37</v>
      </c>
      <c r="AB134" s="54" t="str">
        <f t="shared" si="23"/>
        <v>FY38</v>
      </c>
      <c r="AC134" s="54" t="str">
        <f t="shared" si="23"/>
        <v>FY39</v>
      </c>
      <c r="AD134" s="54" t="str">
        <f t="shared" si="23"/>
        <v>FY40</v>
      </c>
      <c r="AE134" s="54" t="str">
        <f t="shared" si="23"/>
        <v>FY41</v>
      </c>
      <c r="AF134" s="54" t="str">
        <f t="shared" si="23"/>
        <v>FY42</v>
      </c>
      <c r="AG134" s="54" t="str">
        <f t="shared" si="23"/>
        <v>FY43</v>
      </c>
      <c r="AH134" s="54" t="str">
        <f t="shared" si="23"/>
        <v>FY44</v>
      </c>
      <c r="AI134" s="54" t="str">
        <f t="shared" si="23"/>
        <v>FY45</v>
      </c>
    </row>
    <row r="136" spans="1:35" ht="12.75" x14ac:dyDescent="0.2">
      <c r="D136" s="75" t="s">
        <v>649</v>
      </c>
      <c r="H136" s="243" t="s">
        <v>52</v>
      </c>
      <c r="I136" s="243" t="s">
        <v>44</v>
      </c>
      <c r="J136" s="243" t="s">
        <v>238</v>
      </c>
      <c r="M136" s="66">
        <f>Calc_LRMC!M52/Dollars_to_Thousands</f>
        <v>103583.72017090261</v>
      </c>
      <c r="N136" s="66">
        <f>Calc_LRMC!N52/Dollars_to_Thousands</f>
        <v>226612.25980779339</v>
      </c>
      <c r="O136" s="66">
        <f>Calc_LRMC!O52/Dollars_to_Thousands</f>
        <v>124605.33774692359</v>
      </c>
      <c r="P136" s="66">
        <f>Calc_LRMC!P52/Dollars_to_Thousands</f>
        <v>134998.31919695545</v>
      </c>
      <c r="Q136" s="66">
        <f>Calc_LRMC!Q52/Dollars_to_Thousands</f>
        <v>107348.52858536666</v>
      </c>
      <c r="R136" s="66">
        <f>Calc_LRMC!R52/Dollars_to_Thousands</f>
        <v>71603.634003875661</v>
      </c>
      <c r="S136" s="66">
        <f>Calc_LRMC!S52/Dollars_to_Thousands</f>
        <v>68538.587074881565</v>
      </c>
      <c r="T136" s="66">
        <f>Calc_LRMC!T52/Dollars_to_Thousands</f>
        <v>119612.91236952841</v>
      </c>
      <c r="U136" s="66">
        <f>Calc_LRMC!U52/Dollars_to_Thousands</f>
        <v>119612.91236952841</v>
      </c>
      <c r="V136" s="66">
        <f>Calc_LRMC!V52/Dollars_to_Thousands</f>
        <v>85462.777567301295</v>
      </c>
      <c r="W136" s="66">
        <f>Calc_LRMC!W52/Dollars_to_Thousands</f>
        <v>85580.594039068907</v>
      </c>
      <c r="X136" s="66">
        <f>Calc_LRMC!X52/Dollars_to_Thousands</f>
        <v>85580.594039068907</v>
      </c>
      <c r="Y136" s="66">
        <f>Calc_LRMC!Y52/Dollars_to_Thousands</f>
        <v>85580.594039068907</v>
      </c>
      <c r="Z136" s="66">
        <f>Calc_LRMC!Z52/Dollars_to_Thousands</f>
        <v>85580.594039068907</v>
      </c>
      <c r="AA136" s="66">
        <f>Calc_LRMC!AA52/Dollars_to_Thousands</f>
        <v>85580.594039068586</v>
      </c>
      <c r="AB136" s="66">
        <f>Calc_LRMC!AB52/Dollars_to_Thousands</f>
        <v>85580.594039068907</v>
      </c>
      <c r="AC136" s="66">
        <f>Calc_LRMC!AC52/Dollars_to_Thousands</f>
        <v>85580.594039068907</v>
      </c>
      <c r="AD136" s="66">
        <f>Calc_LRMC!AD52/Dollars_to_Thousands</f>
        <v>85580.594039069561</v>
      </c>
      <c r="AE136" s="66">
        <f>Calc_LRMC!AE52/Dollars_to_Thousands</f>
        <v>85580.594039068907</v>
      </c>
      <c r="AF136" s="66">
        <f>Calc_LRMC!AF52/Dollars_to_Thousands</f>
        <v>85580.594039068586</v>
      </c>
      <c r="AG136" s="66">
        <f>Calc_LRMC!AG52/Dollars_to_Thousands</f>
        <v>85580.594039068907</v>
      </c>
      <c r="AH136" s="66">
        <f>Calc_LRMC!AH52/Dollars_to_Thousands</f>
        <v>85580.594039068907</v>
      </c>
      <c r="AI136" s="66">
        <f>Calc_LRMC!AI52/Dollars_to_Thousands</f>
        <v>85580.594039068907</v>
      </c>
    </row>
    <row r="137" spans="1:35" ht="12.75" x14ac:dyDescent="0.2">
      <c r="D137" s="75" t="s">
        <v>648</v>
      </c>
      <c r="H137" s="243" t="s">
        <v>52</v>
      </c>
      <c r="I137" s="243" t="s">
        <v>44</v>
      </c>
      <c r="J137" s="243" t="s">
        <v>238</v>
      </c>
      <c r="M137" s="66">
        <f>Calc_LRMC!M53/Dollars_to_Thousands</f>
        <v>194072.81491972317</v>
      </c>
      <c r="N137" s="66">
        <f>Calc_LRMC!N53/Dollars_to_Thousands</f>
        <v>317611.22504057706</v>
      </c>
      <c r="O137" s="66">
        <f>Calc_LRMC!O53/Dollars_to_Thousands</f>
        <v>288560.50894472469</v>
      </c>
      <c r="P137" s="66">
        <f>Calc_LRMC!P53/Dollars_to_Thousands</f>
        <v>200584.00508208806</v>
      </c>
      <c r="Q137" s="66">
        <f>Calc_LRMC!Q53/Dollars_to_Thousands</f>
        <v>153681.37716182668</v>
      </c>
      <c r="R137" s="66">
        <f>Calc_LRMC!R53/Dollars_to_Thousands</f>
        <v>131634.66613862579</v>
      </c>
      <c r="S137" s="66">
        <f>Calc_LRMC!S53/Dollars_to_Thousands</f>
        <v>125704.31022646461</v>
      </c>
      <c r="T137" s="66">
        <f>Calc_LRMC!T53/Dollars_to_Thousands</f>
        <v>201692.70107343287</v>
      </c>
      <c r="U137" s="66">
        <f>Calc_LRMC!U53/Dollars_to_Thousands</f>
        <v>201692.70107343287</v>
      </c>
      <c r="V137" s="66">
        <f>Calc_LRMC!V53/Dollars_to_Thousands</f>
        <v>144108.34171092542</v>
      </c>
      <c r="W137" s="66">
        <f>Calc_LRMC!W53/Dollars_to_Thousands</f>
        <v>144307.00523270594</v>
      </c>
      <c r="X137" s="66">
        <f>Calc_LRMC!X53/Dollars_to_Thousands</f>
        <v>144307.00523270594</v>
      </c>
      <c r="Y137" s="66">
        <f>Calc_LRMC!Y53/Dollars_to_Thousands</f>
        <v>144307.00523270594</v>
      </c>
      <c r="Z137" s="66">
        <f>Calc_LRMC!Z53/Dollars_to_Thousands</f>
        <v>144307.00523270594</v>
      </c>
      <c r="AA137" s="66">
        <f>Calc_LRMC!AA53/Dollars_to_Thousands</f>
        <v>144307.00523270536</v>
      </c>
      <c r="AB137" s="66">
        <f>Calc_LRMC!AB53/Dollars_to_Thousands</f>
        <v>144307.00523270594</v>
      </c>
      <c r="AC137" s="66">
        <f>Calc_LRMC!AC53/Dollars_to_Thousands</f>
        <v>144307.00523270594</v>
      </c>
      <c r="AD137" s="66">
        <f>Calc_LRMC!AD53/Dollars_to_Thousands</f>
        <v>144307.00523270704</v>
      </c>
      <c r="AE137" s="66">
        <f>Calc_LRMC!AE53/Dollars_to_Thousands</f>
        <v>144307.00523270594</v>
      </c>
      <c r="AF137" s="66">
        <f>Calc_LRMC!AF53/Dollars_to_Thousands</f>
        <v>144307.00523270536</v>
      </c>
      <c r="AG137" s="66">
        <f>Calc_LRMC!AG53/Dollars_to_Thousands</f>
        <v>144307.00523270594</v>
      </c>
      <c r="AH137" s="66">
        <f>Calc_LRMC!AH53/Dollars_to_Thousands</f>
        <v>144307.00523270594</v>
      </c>
      <c r="AI137" s="66">
        <f>Calc_LRMC!AI53/Dollars_to_Thousands</f>
        <v>144307.00523270594</v>
      </c>
    </row>
    <row r="138" spans="1:35" ht="12.75" x14ac:dyDescent="0.2">
      <c r="D138" s="75" t="s">
        <v>650</v>
      </c>
      <c r="H138" s="243" t="s">
        <v>52</v>
      </c>
      <c r="I138" s="243" t="s">
        <v>44</v>
      </c>
      <c r="J138" s="243" t="s">
        <v>238</v>
      </c>
      <c r="M138" s="66">
        <f>Calc_LRMC!M54/Dollars_to_Thousands</f>
        <v>234546.07849054574</v>
      </c>
      <c r="N138" s="66">
        <f>Calc_LRMC!N54/Dollars_to_Thousands</f>
        <v>147925.34287149779</v>
      </c>
      <c r="O138" s="66">
        <f>Calc_LRMC!O54/Dollars_to_Thousands</f>
        <v>187443.89281713119</v>
      </c>
      <c r="P138" s="66">
        <f>Calc_LRMC!P54/Dollars_to_Thousands</f>
        <v>158351.61345322977</v>
      </c>
      <c r="Q138" s="66">
        <f>Calc_LRMC!Q54/Dollars_to_Thousands</f>
        <v>151580.10966786303</v>
      </c>
      <c r="R138" s="66">
        <f>Calc_LRMC!R54/Dollars_to_Thousands</f>
        <v>141971.38771373668</v>
      </c>
      <c r="S138" s="66">
        <f>Calc_LRMC!S54/Dollars_to_Thousands</f>
        <v>139191.70442321524</v>
      </c>
      <c r="T138" s="66">
        <f>Calc_LRMC!T54/Dollars_to_Thousands</f>
        <v>165858.58991960279</v>
      </c>
      <c r="U138" s="66">
        <f>Calc_LRMC!U54/Dollars_to_Thousands</f>
        <v>165858.58991960279</v>
      </c>
      <c r="V138" s="66">
        <f>Calc_LRMC!V54/Dollars_to_Thousands</f>
        <v>118505.06351801121</v>
      </c>
      <c r="W138" s="66">
        <f>Calc_LRMC!W54/Dollars_to_Thousands</f>
        <v>118668.431113445</v>
      </c>
      <c r="X138" s="66">
        <f>Calc_LRMC!X54/Dollars_to_Thousands</f>
        <v>118668.431113445</v>
      </c>
      <c r="Y138" s="66">
        <f>Calc_LRMC!Y54/Dollars_to_Thousands</f>
        <v>118668.431113445</v>
      </c>
      <c r="Z138" s="66">
        <f>Calc_LRMC!Z54/Dollars_to_Thousands</f>
        <v>118668.431113445</v>
      </c>
      <c r="AA138" s="66">
        <f>Calc_LRMC!AA54/Dollars_to_Thousands</f>
        <v>118668.431113445</v>
      </c>
      <c r="AB138" s="66">
        <f>Calc_LRMC!AB54/Dollars_to_Thousands</f>
        <v>118668.431113445</v>
      </c>
      <c r="AC138" s="66">
        <f>Calc_LRMC!AC54/Dollars_to_Thousands</f>
        <v>118668.431113445</v>
      </c>
      <c r="AD138" s="66">
        <f>Calc_LRMC!AD54/Dollars_to_Thousands</f>
        <v>118668.43111344632</v>
      </c>
      <c r="AE138" s="66">
        <f>Calc_LRMC!AE54/Dollars_to_Thousands</f>
        <v>118668.431113445</v>
      </c>
      <c r="AF138" s="66">
        <f>Calc_LRMC!AF54/Dollars_to_Thousands</f>
        <v>118668.431113445</v>
      </c>
      <c r="AG138" s="66">
        <f>Calc_LRMC!AG54/Dollars_to_Thousands</f>
        <v>118668.431113445</v>
      </c>
      <c r="AH138" s="66">
        <f>Calc_LRMC!AH54/Dollars_to_Thousands</f>
        <v>118668.431113445</v>
      </c>
      <c r="AI138" s="66">
        <f>Calc_LRMC!AI54/Dollars_to_Thousands</f>
        <v>118668.431113445</v>
      </c>
    </row>
    <row r="139" spans="1:35" ht="11.25" customHeight="1" x14ac:dyDescent="0.2">
      <c r="W139" s="153"/>
      <c r="X139" s="153"/>
      <c r="Y139" s="153"/>
      <c r="Z139" s="153"/>
      <c r="AA139" s="153"/>
      <c r="AB139" s="153"/>
      <c r="AC139" s="153"/>
      <c r="AD139" s="153"/>
      <c r="AE139" s="153"/>
      <c r="AF139" s="153"/>
      <c r="AG139" s="153"/>
      <c r="AH139" s="153"/>
      <c r="AI139" s="153"/>
    </row>
    <row r="140" spans="1:35" ht="12.75" x14ac:dyDescent="0.2">
      <c r="D140" s="62" t="s">
        <v>652</v>
      </c>
      <c r="H140" s="56" t="s">
        <v>52</v>
      </c>
      <c r="I140" s="56" t="s">
        <v>44</v>
      </c>
      <c r="J140" s="56" t="s">
        <v>238</v>
      </c>
      <c r="M140" s="68">
        <f>SUM(M136:M138)</f>
        <v>532202.61358117149</v>
      </c>
      <c r="N140" s="68">
        <f t="shared" ref="N140:AF140" si="24">SUM(N136:N138)</f>
        <v>692148.82771986816</v>
      </c>
      <c r="O140" s="68">
        <f t="shared" si="24"/>
        <v>600609.73950877949</v>
      </c>
      <c r="P140" s="68">
        <f t="shared" si="24"/>
        <v>493933.93773227325</v>
      </c>
      <c r="Q140" s="68">
        <f t="shared" si="24"/>
        <v>412610.01541505638</v>
      </c>
      <c r="R140" s="68">
        <f t="shared" si="24"/>
        <v>345209.6878562381</v>
      </c>
      <c r="S140" s="68">
        <f t="shared" si="24"/>
        <v>333434.60172456142</v>
      </c>
      <c r="T140" s="68">
        <f t="shared" si="24"/>
        <v>487164.20336256403</v>
      </c>
      <c r="U140" s="68">
        <f t="shared" si="24"/>
        <v>487164.20336256403</v>
      </c>
      <c r="V140" s="68">
        <f t="shared" si="24"/>
        <v>348076.18279623793</v>
      </c>
      <c r="W140" s="68">
        <f t="shared" si="24"/>
        <v>348556.03038521984</v>
      </c>
      <c r="X140" s="68">
        <f t="shared" si="24"/>
        <v>348556.03038521984</v>
      </c>
      <c r="Y140" s="68">
        <f t="shared" si="24"/>
        <v>348556.03038521984</v>
      </c>
      <c r="Z140" s="68">
        <f t="shared" si="24"/>
        <v>348556.03038521984</v>
      </c>
      <c r="AA140" s="68">
        <f t="shared" si="24"/>
        <v>348556.03038521891</v>
      </c>
      <c r="AB140" s="68">
        <f t="shared" si="24"/>
        <v>348556.03038521984</v>
      </c>
      <c r="AC140" s="68">
        <f t="shared" si="24"/>
        <v>348556.03038521984</v>
      </c>
      <c r="AD140" s="68">
        <f t="shared" si="24"/>
        <v>348556.03038522293</v>
      </c>
      <c r="AE140" s="68">
        <f t="shared" si="24"/>
        <v>348556.03038521984</v>
      </c>
      <c r="AF140" s="68">
        <f t="shared" si="24"/>
        <v>348556.03038521891</v>
      </c>
      <c r="AG140" s="68">
        <f t="shared" ref="AG140:AI140" si="25">SUM(AG136:AG138)</f>
        <v>348556.03038521984</v>
      </c>
      <c r="AH140" s="68">
        <f t="shared" si="25"/>
        <v>348556.03038521984</v>
      </c>
      <c r="AI140" s="68">
        <f t="shared" si="25"/>
        <v>348556.03038521984</v>
      </c>
    </row>
    <row r="141" spans="1:35" ht="11.25" customHeight="1" x14ac:dyDescent="0.2"/>
    <row r="142" spans="1:35" ht="12.75" hidden="1" outlineLevel="1" x14ac:dyDescent="0.2">
      <c r="D142" s="10" t="s">
        <v>90</v>
      </c>
      <c r="H142" s="243" t="s">
        <v>52</v>
      </c>
      <c r="I142" s="243" t="s">
        <v>44</v>
      </c>
      <c r="J142" s="243" t="s">
        <v>238</v>
      </c>
      <c r="K142" s="63"/>
      <c r="M142" s="66">
        <f>Calc_LRMC!M56/Dollars_to_Thousands</f>
        <v>532202.61358117149</v>
      </c>
      <c r="N142" s="66">
        <f>Calc_LRMC!N56/Dollars_to_Thousands</f>
        <v>692148.82771986816</v>
      </c>
      <c r="O142" s="66">
        <f>Calc_LRMC!O56/Dollars_to_Thousands</f>
        <v>600609.73950877949</v>
      </c>
      <c r="P142" s="66">
        <f>Calc_LRMC!P56/Dollars_to_Thousands</f>
        <v>493933.93773227331</v>
      </c>
      <c r="Q142" s="66">
        <f>Calc_LRMC!Q56/Dollars_to_Thousands</f>
        <v>412610.01541505632</v>
      </c>
      <c r="R142" s="66">
        <f>Calc_LRMC!R56/Dollars_to_Thousands</f>
        <v>345209.6878562381</v>
      </c>
      <c r="S142" s="66">
        <f>Calc_LRMC!S56/Dollars_to_Thousands</f>
        <v>333434.60172456136</v>
      </c>
      <c r="T142" s="66">
        <f>Calc_LRMC!T56/Dollars_to_Thousands</f>
        <v>487164.20336256409</v>
      </c>
      <c r="U142" s="66">
        <f>Calc_LRMC!U56/Dollars_to_Thousands</f>
        <v>487164.20336256409</v>
      </c>
      <c r="V142" s="66">
        <f>Calc_LRMC!V56/Dollars_to_Thousands</f>
        <v>348076.18279623793</v>
      </c>
      <c r="W142" s="66">
        <f>Calc_LRMC!W56/Dollars_to_Thousands</f>
        <v>348556.03038521984</v>
      </c>
      <c r="X142" s="66">
        <f>Calc_LRMC!X56/Dollars_to_Thousands</f>
        <v>348556.03038521984</v>
      </c>
      <c r="Y142" s="66">
        <f>Calc_LRMC!Y56/Dollars_to_Thousands</f>
        <v>348556.03038521984</v>
      </c>
      <c r="Z142" s="66">
        <f>Calc_LRMC!Z56/Dollars_to_Thousands</f>
        <v>348556.03038521984</v>
      </c>
      <c r="AA142" s="66">
        <f>Calc_LRMC!AA56/Dollars_to_Thousands</f>
        <v>348556.03038521897</v>
      </c>
      <c r="AB142" s="66">
        <f>Calc_LRMC!AB56/Dollars_to_Thousands</f>
        <v>348556.03038521984</v>
      </c>
      <c r="AC142" s="66">
        <f>Calc_LRMC!AC56/Dollars_to_Thousands</f>
        <v>348556.03038521984</v>
      </c>
      <c r="AD142" s="66">
        <f>Calc_LRMC!AD56/Dollars_to_Thousands</f>
        <v>348556.03038522293</v>
      </c>
      <c r="AE142" s="66">
        <f>Calc_LRMC!AE56/Dollars_to_Thousands</f>
        <v>348556.03038521984</v>
      </c>
      <c r="AF142" s="66">
        <f>Calc_LRMC!AF56/Dollars_to_Thousands</f>
        <v>348556.03038521897</v>
      </c>
      <c r="AG142" s="66">
        <f>Calc_LRMC!AG56/Dollars_to_Thousands</f>
        <v>348556.03038521984</v>
      </c>
      <c r="AH142" s="66">
        <f>Calc_LRMC!AH56/Dollars_to_Thousands</f>
        <v>348556.03038521984</v>
      </c>
      <c r="AI142" s="66">
        <f>Calc_LRMC!AI56/Dollars_to_Thousands</f>
        <v>348556.03038521984</v>
      </c>
    </row>
    <row r="143" spans="1:35" ht="12.75" hidden="1" outlineLevel="1" x14ac:dyDescent="0.2">
      <c r="A143" s="59">
        <f>IF(SUM($M143:$AI143)=0,0,1)</f>
        <v>0</v>
      </c>
      <c r="D143" s="10" t="s">
        <v>55</v>
      </c>
      <c r="F143" s="63"/>
      <c r="H143" s="63"/>
      <c r="I143" s="63"/>
      <c r="J143" s="63"/>
      <c r="K143" s="63"/>
      <c r="M143" s="59">
        <f t="shared" ref="M143:N143" si="26">IF(ROUND(M142-M140,2)=0,0,1)</f>
        <v>0</v>
      </c>
      <c r="N143" s="59">
        <f t="shared" si="26"/>
        <v>0</v>
      </c>
      <c r="O143" s="59">
        <f>IF(ROUND(O142-O140,2)=0,0,1)</f>
        <v>0</v>
      </c>
      <c r="P143" s="59">
        <f>IF(ROUND(P142-P140,2)=0,0,1)</f>
        <v>0</v>
      </c>
      <c r="Q143" s="59">
        <f>IF(ROUND(Q142-Q140,2)=0,0,1)</f>
        <v>0</v>
      </c>
      <c r="R143" s="59">
        <f>IF(ROUND(R142-R140,2)=0,0,1)</f>
        <v>0</v>
      </c>
      <c r="S143" s="59">
        <f t="shared" ref="S143" si="27">IF(ROUND(S142-S140,2)=0,0,1)</f>
        <v>0</v>
      </c>
      <c r="T143" s="59">
        <f t="shared" ref="T143" si="28">IF(ROUND(T142-T140,2)=0,0,1)</f>
        <v>0</v>
      </c>
      <c r="U143" s="59">
        <f t="shared" ref="U143" si="29">IF(ROUND(U142-U140,2)=0,0,1)</f>
        <v>0</v>
      </c>
      <c r="V143" s="59">
        <f t="shared" ref="V143" si="30">IF(ROUND(V142-V140,2)=0,0,1)</f>
        <v>0</v>
      </c>
      <c r="W143" s="59">
        <f t="shared" ref="W143" si="31">IF(ROUND(W142-W140,2)=0,0,1)</f>
        <v>0</v>
      </c>
      <c r="X143" s="59">
        <f t="shared" ref="X143" si="32">IF(ROUND(X142-X140,2)=0,0,1)</f>
        <v>0</v>
      </c>
      <c r="Y143" s="59">
        <f t="shared" ref="Y143" si="33">IF(ROUND(Y142-Y140,2)=0,0,1)</f>
        <v>0</v>
      </c>
      <c r="Z143" s="59">
        <f t="shared" ref="Z143" si="34">IF(ROUND(Z142-Z140,2)=0,0,1)</f>
        <v>0</v>
      </c>
      <c r="AA143" s="59">
        <f t="shared" ref="AA143" si="35">IF(ROUND(AA142-AA140,2)=0,0,1)</f>
        <v>0</v>
      </c>
      <c r="AB143" s="59">
        <f t="shared" ref="AB143" si="36">IF(ROUND(AB142-AB140,2)=0,0,1)</f>
        <v>0</v>
      </c>
      <c r="AC143" s="59">
        <f t="shared" ref="AC143" si="37">IF(ROUND(AC142-AC140,2)=0,0,1)</f>
        <v>0</v>
      </c>
      <c r="AD143" s="59">
        <f t="shared" ref="AD143" si="38">IF(ROUND(AD142-AD140,2)=0,0,1)</f>
        <v>0</v>
      </c>
      <c r="AE143" s="59">
        <f t="shared" ref="AE143" si="39">IF(ROUND(AE142-AE140,2)=0,0,1)</f>
        <v>0</v>
      </c>
      <c r="AF143" s="59">
        <f>IF(ROUND(AF142-AF140,2)=0,0,1)</f>
        <v>0</v>
      </c>
      <c r="AG143" s="59">
        <f t="shared" ref="AG143:AI143" si="40">IF(ROUND(AG142-AG140,2)=0,0,1)</f>
        <v>0</v>
      </c>
      <c r="AH143" s="59">
        <f t="shared" si="40"/>
        <v>0</v>
      </c>
      <c r="AI143" s="59">
        <f t="shared" si="40"/>
        <v>0</v>
      </c>
    </row>
    <row r="144" spans="1:35" ht="11.25" customHeight="1" collapsed="1" x14ac:dyDescent="0.2"/>
    <row r="145" spans="1:35" s="8" customFormat="1" ht="15" x14ac:dyDescent="0.2">
      <c r="C145" s="8" t="s">
        <v>640</v>
      </c>
    </row>
    <row r="146" spans="1:35" ht="11.25" customHeight="1" x14ac:dyDescent="0.2"/>
    <row r="147" spans="1:35" ht="12.75" x14ac:dyDescent="0.2">
      <c r="D147" s="70" t="s">
        <v>518</v>
      </c>
      <c r="H147" s="54" t="str">
        <f>Lookup!E$19</f>
        <v>Source</v>
      </c>
      <c r="I147" s="54" t="str">
        <f>Lookup!F$19</f>
        <v>Unit</v>
      </c>
      <c r="J147" s="54" t="str">
        <f>Lookup!G$19</f>
        <v>Basis</v>
      </c>
      <c r="M147" s="54" t="str">
        <f t="shared" ref="M147:AI147" si="41">M$9</f>
        <v>FY23</v>
      </c>
      <c r="N147" s="54" t="str">
        <f t="shared" si="41"/>
        <v>FY24</v>
      </c>
      <c r="O147" s="54" t="str">
        <f t="shared" si="41"/>
        <v>FY25</v>
      </c>
      <c r="P147" s="54" t="str">
        <f t="shared" si="41"/>
        <v>FY26</v>
      </c>
      <c r="Q147" s="54" t="str">
        <f t="shared" si="41"/>
        <v>FY27</v>
      </c>
      <c r="R147" s="54" t="str">
        <f t="shared" si="41"/>
        <v>FY28</v>
      </c>
      <c r="S147" s="54" t="str">
        <f t="shared" si="41"/>
        <v>FY29</v>
      </c>
      <c r="T147" s="54" t="str">
        <f t="shared" si="41"/>
        <v>FY30</v>
      </c>
      <c r="U147" s="54" t="str">
        <f t="shared" si="41"/>
        <v>FY31</v>
      </c>
      <c r="V147" s="54" t="str">
        <f t="shared" si="41"/>
        <v>FY32</v>
      </c>
      <c r="W147" s="54" t="str">
        <f t="shared" si="41"/>
        <v>FY33</v>
      </c>
      <c r="X147" s="54" t="str">
        <f t="shared" si="41"/>
        <v>FY34</v>
      </c>
      <c r="Y147" s="54" t="str">
        <f t="shared" si="41"/>
        <v>FY35</v>
      </c>
      <c r="Z147" s="54" t="str">
        <f t="shared" si="41"/>
        <v>FY36</v>
      </c>
      <c r="AA147" s="54" t="str">
        <f t="shared" si="41"/>
        <v>FY37</v>
      </c>
      <c r="AB147" s="54" t="str">
        <f t="shared" si="41"/>
        <v>FY38</v>
      </c>
      <c r="AC147" s="54" t="str">
        <f t="shared" si="41"/>
        <v>FY39</v>
      </c>
      <c r="AD147" s="54" t="str">
        <f t="shared" si="41"/>
        <v>FY40</v>
      </c>
      <c r="AE147" s="54" t="str">
        <f t="shared" si="41"/>
        <v>FY41</v>
      </c>
      <c r="AF147" s="54" t="str">
        <f t="shared" si="41"/>
        <v>FY42</v>
      </c>
      <c r="AG147" s="54" t="str">
        <f t="shared" si="41"/>
        <v>FY43</v>
      </c>
      <c r="AH147" s="54" t="str">
        <f t="shared" si="41"/>
        <v>FY44</v>
      </c>
      <c r="AI147" s="54" t="str">
        <f t="shared" si="41"/>
        <v>FY45</v>
      </c>
    </row>
    <row r="149" spans="1:35" ht="12.75" x14ac:dyDescent="0.2">
      <c r="D149" s="75" t="s">
        <v>649</v>
      </c>
      <c r="H149" s="243" t="s">
        <v>52</v>
      </c>
      <c r="I149" s="243" t="s">
        <v>262</v>
      </c>
      <c r="J149" s="243" t="s">
        <v>21</v>
      </c>
      <c r="M149" s="140">
        <f>Calc_LRMC!M181</f>
        <v>0</v>
      </c>
      <c r="N149" s="140">
        <f>Calc_LRMC!N181</f>
        <v>0</v>
      </c>
      <c r="O149" s="140">
        <f>Calc_LRMC!O181</f>
        <v>0</v>
      </c>
      <c r="P149" s="140">
        <f>Calc_LRMC!P181</f>
        <v>0</v>
      </c>
      <c r="Q149" s="140">
        <f>Calc_LRMC!Q181</f>
        <v>0</v>
      </c>
      <c r="R149" s="140">
        <f>Calc_LRMC!R181</f>
        <v>0</v>
      </c>
      <c r="S149" s="140">
        <f>Calc_LRMC!S181</f>
        <v>0</v>
      </c>
      <c r="T149" s="140">
        <f>Calc_LRMC!T181</f>
        <v>0</v>
      </c>
      <c r="U149" s="140">
        <f>Calc_LRMC!U181</f>
        <v>0</v>
      </c>
      <c r="V149" s="140">
        <f>Calc_LRMC!V181</f>
        <v>0</v>
      </c>
      <c r="W149" s="140">
        <f>Calc_LRMC!W181</f>
        <v>0</v>
      </c>
      <c r="X149" s="140">
        <f>Calc_LRMC!X181</f>
        <v>0</v>
      </c>
      <c r="Y149" s="140">
        <f>Calc_LRMC!Y181</f>
        <v>0</v>
      </c>
      <c r="Z149" s="140">
        <f>Calc_LRMC!Z181</f>
        <v>0</v>
      </c>
      <c r="AA149" s="140">
        <f>Calc_LRMC!AA181</f>
        <v>0</v>
      </c>
      <c r="AB149" s="140">
        <f>Calc_LRMC!AB181</f>
        <v>0</v>
      </c>
      <c r="AC149" s="140">
        <f>Calc_LRMC!AC181</f>
        <v>0</v>
      </c>
      <c r="AD149" s="140">
        <f>Calc_LRMC!AD181</f>
        <v>0</v>
      </c>
      <c r="AE149" s="140">
        <f>Calc_LRMC!AE181</f>
        <v>0</v>
      </c>
      <c r="AF149" s="140">
        <f>Calc_LRMC!AF181</f>
        <v>0</v>
      </c>
      <c r="AG149" s="140">
        <f>Calc_LRMC!AG181</f>
        <v>0</v>
      </c>
      <c r="AH149" s="140">
        <f>Calc_LRMC!AH181</f>
        <v>0</v>
      </c>
      <c r="AI149" s="140">
        <f>Calc_LRMC!AI181</f>
        <v>0</v>
      </c>
    </row>
    <row r="150" spans="1:35" ht="12.75" x14ac:dyDescent="0.2">
      <c r="D150" s="75" t="s">
        <v>648</v>
      </c>
      <c r="H150" s="243" t="s">
        <v>52</v>
      </c>
      <c r="I150" s="243" t="s">
        <v>262</v>
      </c>
      <c r="J150" s="243" t="s">
        <v>21</v>
      </c>
      <c r="M150" s="140">
        <f>Calc_LRMC!M182</f>
        <v>103.45708574202202</v>
      </c>
      <c r="N150" s="140">
        <f>Calc_LRMC!N182</f>
        <v>108.29728244815</v>
      </c>
      <c r="O150" s="140">
        <f>Calc_LRMC!O182</f>
        <v>111.38778852143535</v>
      </c>
      <c r="P150" s="140">
        <f>Calc_LRMC!P182</f>
        <v>115.20332767172945</v>
      </c>
      <c r="Q150" s="140">
        <f>Calc_LRMC!Q182</f>
        <v>118.49595591823483</v>
      </c>
      <c r="R150" s="140">
        <f>Calc_LRMC!R182</f>
        <v>120.90322313439914</v>
      </c>
      <c r="S150" s="140">
        <f>Calc_LRMC!S182</f>
        <v>122.90390410192101</v>
      </c>
      <c r="T150" s="140">
        <f>Calc_LRMC!T182</f>
        <v>125.0465432383868</v>
      </c>
      <c r="U150" s="140">
        <f>Calc_LRMC!U182</f>
        <v>127.25797454534145</v>
      </c>
      <c r="V150" s="140">
        <f>Calc_LRMC!V182</f>
        <v>129.42172739511696</v>
      </c>
      <c r="W150" s="140">
        <f>Calc_LRMC!W182</f>
        <v>131.58846313093707</v>
      </c>
      <c r="X150" s="140">
        <f>Calc_LRMC!X182</f>
        <v>133.75519886675718</v>
      </c>
      <c r="Y150" s="140">
        <f>Calc_LRMC!Y182</f>
        <v>135.92193460257729</v>
      </c>
      <c r="Z150" s="140">
        <f>Calc_LRMC!Z182</f>
        <v>138.08867033839741</v>
      </c>
      <c r="AA150" s="140">
        <f>Calc_LRMC!AA182</f>
        <v>140.25540607421749</v>
      </c>
      <c r="AB150" s="140">
        <f>Calc_LRMC!AB182</f>
        <v>142.4221418100376</v>
      </c>
      <c r="AC150" s="140">
        <f>Calc_LRMC!AC182</f>
        <v>144.58887754585771</v>
      </c>
      <c r="AD150" s="140">
        <f>Calc_LRMC!AD182</f>
        <v>146.75561328167782</v>
      </c>
      <c r="AE150" s="140">
        <f>Calc_LRMC!AE182</f>
        <v>148.92234901749794</v>
      </c>
      <c r="AF150" s="140">
        <f>Calc_LRMC!AF182</f>
        <v>151.08908475331802</v>
      </c>
      <c r="AG150" s="140">
        <f>Calc_LRMC!AG182</f>
        <v>153.25582048913813</v>
      </c>
      <c r="AH150" s="140">
        <f>Calc_LRMC!AH182</f>
        <v>155.42255622495824</v>
      </c>
      <c r="AI150" s="140">
        <f>Calc_LRMC!AI182</f>
        <v>157.58929196077835</v>
      </c>
    </row>
    <row r="151" spans="1:35" ht="12.75" x14ac:dyDescent="0.2">
      <c r="D151" s="75" t="s">
        <v>650</v>
      </c>
      <c r="H151" s="243" t="s">
        <v>52</v>
      </c>
      <c r="I151" s="243" t="s">
        <v>262</v>
      </c>
      <c r="J151" s="243" t="s">
        <v>21</v>
      </c>
      <c r="M151" s="140">
        <f>Calc_LRMC!M183</f>
        <v>248.09517779225632</v>
      </c>
      <c r="N151" s="140">
        <f>Calc_LRMC!N183</f>
        <v>259.70220744850116</v>
      </c>
      <c r="O151" s="140">
        <f>Calc_LRMC!O183</f>
        <v>267.11339294846493</v>
      </c>
      <c r="P151" s="140">
        <f>Calc_LRMC!P183</f>
        <v>276.26324341135143</v>
      </c>
      <c r="Q151" s="140">
        <f>Calc_LRMC!Q183</f>
        <v>284.15912781947708</v>
      </c>
      <c r="R151" s="140">
        <f>Calc_LRMC!R183</f>
        <v>289.93187295050654</v>
      </c>
      <c r="S151" s="140">
        <f>Calc_LRMC!S183</f>
        <v>294.72960426859754</v>
      </c>
      <c r="T151" s="140">
        <f>Calc_LRMC!T183</f>
        <v>299.86775825479873</v>
      </c>
      <c r="U151" s="140">
        <f>Calc_LRMC!U183</f>
        <v>305.17087924780992</v>
      </c>
      <c r="V151" s="140">
        <f>Calc_LRMC!V183</f>
        <v>310.35966495652542</v>
      </c>
      <c r="W151" s="140">
        <f>Calc_LRMC!W183</f>
        <v>315.55560377262123</v>
      </c>
      <c r="X151" s="140">
        <f>Calc_LRMC!X183</f>
        <v>320.75154258871703</v>
      </c>
      <c r="Y151" s="140">
        <f>Calc_LRMC!Y183</f>
        <v>325.94748140481283</v>
      </c>
      <c r="Z151" s="140">
        <f>Calc_LRMC!Z183</f>
        <v>331.14342022090864</v>
      </c>
      <c r="AA151" s="140">
        <f>Calc_LRMC!AA183</f>
        <v>336.33935903700444</v>
      </c>
      <c r="AB151" s="140">
        <f>Calc_LRMC!AB183</f>
        <v>341.53529785310025</v>
      </c>
      <c r="AC151" s="140">
        <f>Calc_LRMC!AC183</f>
        <v>346.73123666919605</v>
      </c>
      <c r="AD151" s="140">
        <f>Calc_LRMC!AD183</f>
        <v>351.92717548529191</v>
      </c>
      <c r="AE151" s="140">
        <f>Calc_LRMC!AE183</f>
        <v>357.12311430138772</v>
      </c>
      <c r="AF151" s="140">
        <f>Calc_LRMC!AF183</f>
        <v>362.31905311748352</v>
      </c>
      <c r="AG151" s="140">
        <f>Calc_LRMC!AG183</f>
        <v>367.51499193357932</v>
      </c>
      <c r="AH151" s="140">
        <f>Calc_LRMC!AH183</f>
        <v>372.71093074967513</v>
      </c>
      <c r="AI151" s="140">
        <f>Calc_LRMC!AI183</f>
        <v>377.90686956577093</v>
      </c>
    </row>
    <row r="152" spans="1:35" ht="11.25" customHeight="1" x14ac:dyDescent="0.2">
      <c r="W152" s="153"/>
      <c r="X152" s="153"/>
      <c r="Y152" s="153"/>
      <c r="Z152" s="153"/>
      <c r="AA152" s="153"/>
      <c r="AB152" s="153"/>
      <c r="AC152" s="153"/>
      <c r="AD152" s="153"/>
      <c r="AE152" s="153"/>
      <c r="AF152" s="153"/>
      <c r="AG152" s="153"/>
      <c r="AH152" s="153"/>
      <c r="AI152" s="153"/>
    </row>
    <row r="153" spans="1:35" ht="12.75" x14ac:dyDescent="0.2">
      <c r="D153" s="62" t="s">
        <v>652</v>
      </c>
      <c r="H153" s="56" t="s">
        <v>52</v>
      </c>
      <c r="I153" s="56" t="s">
        <v>262</v>
      </c>
      <c r="J153" s="56" t="s">
        <v>21</v>
      </c>
      <c r="M153" s="173">
        <f>SUM(M149:M151)</f>
        <v>351.55226353427832</v>
      </c>
      <c r="N153" s="173">
        <f t="shared" ref="N153:AF153" si="42">SUM(N149:N151)</f>
        <v>367.99948989665114</v>
      </c>
      <c r="O153" s="173">
        <f t="shared" si="42"/>
        <v>378.5011814699003</v>
      </c>
      <c r="P153" s="173">
        <f t="shared" si="42"/>
        <v>391.46657108308091</v>
      </c>
      <c r="Q153" s="173">
        <f t="shared" si="42"/>
        <v>402.65508373771189</v>
      </c>
      <c r="R153" s="173">
        <f t="shared" si="42"/>
        <v>410.83509608490567</v>
      </c>
      <c r="S153" s="173">
        <f t="shared" si="42"/>
        <v>417.63350837051854</v>
      </c>
      <c r="T153" s="173">
        <f t="shared" si="42"/>
        <v>424.91430149318552</v>
      </c>
      <c r="U153" s="173">
        <f t="shared" si="42"/>
        <v>432.42885379315135</v>
      </c>
      <c r="V153" s="173">
        <f t="shared" si="42"/>
        <v>439.78139235164235</v>
      </c>
      <c r="W153" s="173">
        <f t="shared" si="42"/>
        <v>447.14406690355827</v>
      </c>
      <c r="X153" s="173">
        <f t="shared" si="42"/>
        <v>454.50674145547418</v>
      </c>
      <c r="Y153" s="173">
        <f t="shared" si="42"/>
        <v>461.8694160073901</v>
      </c>
      <c r="Z153" s="173">
        <f t="shared" si="42"/>
        <v>469.23209055930602</v>
      </c>
      <c r="AA153" s="173">
        <f t="shared" si="42"/>
        <v>476.59476511122193</v>
      </c>
      <c r="AB153" s="173">
        <f t="shared" si="42"/>
        <v>483.95743966313785</v>
      </c>
      <c r="AC153" s="173">
        <f t="shared" si="42"/>
        <v>491.32011421505376</v>
      </c>
      <c r="AD153" s="173">
        <f t="shared" si="42"/>
        <v>498.68278876696974</v>
      </c>
      <c r="AE153" s="173">
        <f t="shared" si="42"/>
        <v>506.04546331888565</v>
      </c>
      <c r="AF153" s="173">
        <f t="shared" si="42"/>
        <v>513.40813787080151</v>
      </c>
      <c r="AG153" s="173">
        <f t="shared" ref="AG153:AI153" si="43">SUM(AG149:AG151)</f>
        <v>520.77081242271743</v>
      </c>
      <c r="AH153" s="173">
        <f t="shared" si="43"/>
        <v>528.13348697463334</v>
      </c>
      <c r="AI153" s="173">
        <f t="shared" si="43"/>
        <v>535.49616152654926</v>
      </c>
    </row>
    <row r="154" spans="1:35" ht="11.25" customHeight="1" x14ac:dyDescent="0.2"/>
    <row r="155" spans="1:35" ht="12.75" hidden="1" outlineLevel="1" x14ac:dyDescent="0.2">
      <c r="D155" s="10" t="s">
        <v>90</v>
      </c>
      <c r="H155" s="243" t="s">
        <v>52</v>
      </c>
      <c r="I155" s="243" t="s">
        <v>262</v>
      </c>
      <c r="J155" s="243" t="s">
        <v>21</v>
      </c>
      <c r="K155" s="63"/>
      <c r="M155" s="140">
        <f>Calc_LRMC!M185</f>
        <v>351.55226353427832</v>
      </c>
      <c r="N155" s="140">
        <f>Calc_LRMC!N185</f>
        <v>367.99948989665114</v>
      </c>
      <c r="O155" s="140">
        <f>Calc_LRMC!O185</f>
        <v>378.5011814699003</v>
      </c>
      <c r="P155" s="140">
        <f>Calc_LRMC!P185</f>
        <v>391.46657108308091</v>
      </c>
      <c r="Q155" s="140">
        <f>Calc_LRMC!Q185</f>
        <v>402.65508373771189</v>
      </c>
      <c r="R155" s="140">
        <f>Calc_LRMC!R185</f>
        <v>410.83509608490567</v>
      </c>
      <c r="S155" s="140">
        <f>Calc_LRMC!S185</f>
        <v>417.63350837051854</v>
      </c>
      <c r="T155" s="140">
        <f>Calc_LRMC!T185</f>
        <v>424.91430149318552</v>
      </c>
      <c r="U155" s="140">
        <f>Calc_LRMC!U185</f>
        <v>432.42885379315135</v>
      </c>
      <c r="V155" s="140">
        <f>Calc_LRMC!V185</f>
        <v>439.78139235164235</v>
      </c>
      <c r="W155" s="140">
        <f>Calc_LRMC!W185</f>
        <v>447.14406690355827</v>
      </c>
      <c r="X155" s="140">
        <f>Calc_LRMC!X185</f>
        <v>454.50674145547418</v>
      </c>
      <c r="Y155" s="140">
        <f>Calc_LRMC!Y185</f>
        <v>461.8694160073901</v>
      </c>
      <c r="Z155" s="140">
        <f>Calc_LRMC!Z185</f>
        <v>469.23209055930602</v>
      </c>
      <c r="AA155" s="140">
        <f>Calc_LRMC!AA185</f>
        <v>476.59476511122193</v>
      </c>
      <c r="AB155" s="140">
        <f>Calc_LRMC!AB185</f>
        <v>483.95743966313785</v>
      </c>
      <c r="AC155" s="140">
        <f>Calc_LRMC!AC185</f>
        <v>491.32011421505376</v>
      </c>
      <c r="AD155" s="140">
        <f>Calc_LRMC!AD185</f>
        <v>498.68278876696974</v>
      </c>
      <c r="AE155" s="140">
        <f>Calc_LRMC!AE185</f>
        <v>506.04546331888565</v>
      </c>
      <c r="AF155" s="140">
        <f>Calc_LRMC!AF185</f>
        <v>513.40813787080151</v>
      </c>
      <c r="AG155" s="140">
        <f>Calc_LRMC!AG185</f>
        <v>520.77081242271743</v>
      </c>
      <c r="AH155" s="140">
        <f>Calc_LRMC!AH185</f>
        <v>528.13348697463334</v>
      </c>
      <c r="AI155" s="140">
        <f>Calc_LRMC!AI185</f>
        <v>535.49616152654926</v>
      </c>
    </row>
    <row r="156" spans="1:35" ht="12.75" hidden="1" outlineLevel="1" x14ac:dyDescent="0.2">
      <c r="A156" s="59">
        <f>IF(SUM($M156:$AI156)=0,0,1)</f>
        <v>0</v>
      </c>
      <c r="D156" s="10" t="s">
        <v>55</v>
      </c>
      <c r="F156" s="63"/>
      <c r="H156" s="63"/>
      <c r="I156" s="63"/>
      <c r="J156" s="63"/>
      <c r="K156" s="63"/>
      <c r="M156" s="59">
        <f t="shared" ref="M156:N156" si="44">IF(ROUND(M155-M153,2)=0,0,1)</f>
        <v>0</v>
      </c>
      <c r="N156" s="59">
        <f t="shared" si="44"/>
        <v>0</v>
      </c>
      <c r="O156" s="59">
        <f>IF(ROUND(O155-O153,2)=0,0,1)</f>
        <v>0</v>
      </c>
      <c r="P156" s="59">
        <f>IF(ROUND(P155-P153,2)=0,0,1)</f>
        <v>0</v>
      </c>
      <c r="Q156" s="59">
        <f>IF(ROUND(Q155-Q153,2)=0,0,1)</f>
        <v>0</v>
      </c>
      <c r="R156" s="59">
        <f>IF(ROUND(R155-R153,2)=0,0,1)</f>
        <v>0</v>
      </c>
      <c r="S156" s="59">
        <f t="shared" ref="S156" si="45">IF(ROUND(S155-S153,2)=0,0,1)</f>
        <v>0</v>
      </c>
      <c r="T156" s="59">
        <f t="shared" ref="T156" si="46">IF(ROUND(T155-T153,2)=0,0,1)</f>
        <v>0</v>
      </c>
      <c r="U156" s="59">
        <f t="shared" ref="U156" si="47">IF(ROUND(U155-U153,2)=0,0,1)</f>
        <v>0</v>
      </c>
      <c r="V156" s="59">
        <f t="shared" ref="V156" si="48">IF(ROUND(V155-V153,2)=0,0,1)</f>
        <v>0</v>
      </c>
      <c r="W156" s="59">
        <f t="shared" ref="W156" si="49">IF(ROUND(W155-W153,2)=0,0,1)</f>
        <v>0</v>
      </c>
      <c r="X156" s="59">
        <f t="shared" ref="X156" si="50">IF(ROUND(X155-X153,2)=0,0,1)</f>
        <v>0</v>
      </c>
      <c r="Y156" s="59">
        <f t="shared" ref="Y156" si="51">IF(ROUND(Y155-Y153,2)=0,0,1)</f>
        <v>0</v>
      </c>
      <c r="Z156" s="59">
        <f t="shared" ref="Z156" si="52">IF(ROUND(Z155-Z153,2)=0,0,1)</f>
        <v>0</v>
      </c>
      <c r="AA156" s="59">
        <f t="shared" ref="AA156" si="53">IF(ROUND(AA155-AA153,2)=0,0,1)</f>
        <v>0</v>
      </c>
      <c r="AB156" s="59">
        <f t="shared" ref="AB156" si="54">IF(ROUND(AB155-AB153,2)=0,0,1)</f>
        <v>0</v>
      </c>
      <c r="AC156" s="59">
        <f t="shared" ref="AC156" si="55">IF(ROUND(AC155-AC153,2)=0,0,1)</f>
        <v>0</v>
      </c>
      <c r="AD156" s="59">
        <f t="shared" ref="AD156" si="56">IF(ROUND(AD155-AD153,2)=0,0,1)</f>
        <v>0</v>
      </c>
      <c r="AE156" s="59">
        <f t="shared" ref="AE156" si="57">IF(ROUND(AE155-AE153,2)=0,0,1)</f>
        <v>0</v>
      </c>
      <c r="AF156" s="59">
        <f>IF(ROUND(AF155-AF153,2)=0,0,1)</f>
        <v>0</v>
      </c>
      <c r="AG156" s="59">
        <f t="shared" ref="AG156:AI156" si="58">IF(ROUND(AG155-AG153,2)=0,0,1)</f>
        <v>0</v>
      </c>
      <c r="AH156" s="59">
        <f t="shared" si="58"/>
        <v>0</v>
      </c>
      <c r="AI156" s="59">
        <f t="shared" si="58"/>
        <v>0</v>
      </c>
    </row>
    <row r="157" spans="1:35" ht="11.25" customHeight="1" collapsed="1" x14ac:dyDescent="0.2"/>
    <row r="158" spans="1:35" s="2" customFormat="1" ht="15.75" x14ac:dyDescent="0.2">
      <c r="B158" s="2" t="s">
        <v>785</v>
      </c>
    </row>
    <row r="159" spans="1:35" ht="11.25" customHeight="1" x14ac:dyDescent="0.2"/>
    <row r="160" spans="1:35" s="8" customFormat="1" ht="15" x14ac:dyDescent="0.2">
      <c r="C160" s="8" t="s">
        <v>786</v>
      </c>
    </row>
    <row r="161" spans="4:15" ht="11.25" customHeight="1" x14ac:dyDescent="0.2"/>
    <row r="162" spans="4:15" ht="25.5" x14ac:dyDescent="0.2">
      <c r="D162" s="70" t="s">
        <v>667</v>
      </c>
      <c r="H162" s="54" t="str">
        <f>Lookup!E$19</f>
        <v>Source</v>
      </c>
      <c r="I162" s="54" t="str">
        <f>Lookup!F$19</f>
        <v>Unit</v>
      </c>
      <c r="J162" s="54" t="str">
        <f>Lookup!G$19</f>
        <v>Basis</v>
      </c>
      <c r="M162" s="61" t="s">
        <v>668</v>
      </c>
      <c r="N162" s="61" t="s">
        <v>669</v>
      </c>
    </row>
    <row r="163" spans="4:15" ht="11.25" customHeight="1" x14ac:dyDescent="0.2"/>
    <row r="164" spans="4:15" ht="11.25" customHeight="1" x14ac:dyDescent="0.2">
      <c r="D164" s="75" t="s">
        <v>670</v>
      </c>
      <c r="H164" s="243" t="s">
        <v>52</v>
      </c>
      <c r="I164" s="243" t="s">
        <v>82</v>
      </c>
      <c r="J164" s="243" t="s">
        <v>21</v>
      </c>
      <c r="M164" s="140">
        <f>Typical_Consumption_Residential</f>
        <v>8500</v>
      </c>
      <c r="N164" s="140">
        <f>Typical_Consumption_Residential</f>
        <v>8500</v>
      </c>
    </row>
    <row r="165" spans="4:15" ht="11.25" customHeight="1" x14ac:dyDescent="0.2">
      <c r="D165" s="75" t="s">
        <v>671</v>
      </c>
      <c r="H165" s="243" t="s">
        <v>52</v>
      </c>
      <c r="I165" s="243" t="s">
        <v>82</v>
      </c>
      <c r="J165" s="243" t="s">
        <v>21</v>
      </c>
      <c r="M165" s="140">
        <f>Typical_Consumption_Small_Business</f>
        <v>30000</v>
      </c>
      <c r="N165" s="140">
        <f>Typical_Consumption_Small_Business</f>
        <v>30000</v>
      </c>
    </row>
    <row r="166" spans="4:15" ht="11.25" customHeight="1" x14ac:dyDescent="0.2"/>
    <row r="167" spans="4:15" ht="11.25" customHeight="1" x14ac:dyDescent="0.2"/>
    <row r="168" spans="4:15" ht="11.25" customHeight="1" x14ac:dyDescent="0.2">
      <c r="D168" s="70" t="s">
        <v>672</v>
      </c>
      <c r="H168" s="54" t="str">
        <f>Lookup!E$19</f>
        <v>Source</v>
      </c>
      <c r="I168" s="54" t="str">
        <f>Lookup!F$19</f>
        <v>Unit</v>
      </c>
      <c r="J168" s="54" t="str">
        <f>Lookup!G$19</f>
        <v>Basis</v>
      </c>
      <c r="M168" s="61" t="s">
        <v>668</v>
      </c>
      <c r="N168" s="61" t="s">
        <v>669</v>
      </c>
    </row>
    <row r="169" spans="4:15" ht="11.25" customHeight="1" x14ac:dyDescent="0.2"/>
    <row r="170" spans="4:15" ht="11.25" customHeight="1" x14ac:dyDescent="0.2">
      <c r="D170" s="75" t="s">
        <v>670</v>
      </c>
      <c r="H170" s="243" t="s">
        <v>52</v>
      </c>
      <c r="I170" s="243" t="s">
        <v>44</v>
      </c>
      <c r="J170" s="243" t="s">
        <v>40</v>
      </c>
      <c r="M170" s="66">
        <f>Output_Pricing_Proposal!$I$180/$M$177</f>
        <v>2014.1210750009225</v>
      </c>
      <c r="N170" s="66">
        <f>Output_Pricing_Proposal!$I$182/$N$177</f>
        <v>2400.3317942654649</v>
      </c>
      <c r="O170" s="107" t="s">
        <v>674</v>
      </c>
    </row>
    <row r="171" spans="4:15" ht="11.25" customHeight="1" x14ac:dyDescent="0.2">
      <c r="D171" s="75" t="s">
        <v>671</v>
      </c>
      <c r="H171" s="243" t="s">
        <v>52</v>
      </c>
      <c r="I171" s="243" t="s">
        <v>44</v>
      </c>
      <c r="J171" s="243" t="s">
        <v>40</v>
      </c>
      <c r="M171" s="66">
        <f>Output_Pricing_Proposal!$I$181/$M$178</f>
        <v>9591.1977928248962</v>
      </c>
      <c r="N171" s="66">
        <f>Output_Pricing_Proposal!$I$183/$N$178</f>
        <v>13715.05774147625</v>
      </c>
    </row>
    <row r="172" spans="4:15" ht="11.25" customHeight="1" x14ac:dyDescent="0.2"/>
    <row r="173" spans="4:15" ht="11.25" customHeight="1" x14ac:dyDescent="0.2"/>
    <row r="174" spans="4:15" ht="11.25" customHeight="1" x14ac:dyDescent="0.2"/>
    <row r="175" spans="4:15" ht="11.25" customHeight="1" x14ac:dyDescent="0.2">
      <c r="D175" s="70" t="s">
        <v>673</v>
      </c>
      <c r="H175" s="54" t="str">
        <f>Lookup!E$19</f>
        <v>Source</v>
      </c>
      <c r="I175" s="54" t="str">
        <f>Lookup!F$19</f>
        <v>Unit</v>
      </c>
      <c r="J175" s="54" t="str">
        <f>Lookup!G$19</f>
        <v>Basis</v>
      </c>
      <c r="M175" s="61" t="s">
        <v>668</v>
      </c>
      <c r="N175" s="61" t="s">
        <v>669</v>
      </c>
    </row>
    <row r="176" spans="4:15" ht="11.25" customHeight="1" x14ac:dyDescent="0.2"/>
    <row r="177" spans="2:14" ht="11.25" customHeight="1" x14ac:dyDescent="0.2">
      <c r="D177" s="75" t="s">
        <v>670</v>
      </c>
      <c r="H177" s="243" t="s">
        <v>52</v>
      </c>
      <c r="I177" s="243" t="s">
        <v>43</v>
      </c>
      <c r="J177" s="243" t="s">
        <v>21</v>
      </c>
      <c r="M177" s="126">
        <f>Output_Pricing_Proposal!$R$180</f>
        <v>0.52256044240017596</v>
      </c>
      <c r="N177" s="126">
        <f>Output_Pricing_Proposal!$R$182</f>
        <v>0.52242777560830567</v>
      </c>
    </row>
    <row r="178" spans="2:14" ht="11.25" customHeight="1" x14ac:dyDescent="0.2">
      <c r="D178" s="75" t="s">
        <v>671</v>
      </c>
      <c r="H178" s="243" t="s">
        <v>52</v>
      </c>
      <c r="I178" s="243" t="s">
        <v>43</v>
      </c>
      <c r="J178" s="243" t="s">
        <v>21</v>
      </c>
      <c r="M178" s="126">
        <f>Output_Pricing_Proposal!$R$181</f>
        <v>0.30937741709589339</v>
      </c>
      <c r="N178" s="126">
        <f>Output_Pricing_Proposal!$R$183</f>
        <v>0.30929508865074623</v>
      </c>
    </row>
    <row r="179" spans="2:14" ht="11.25" customHeight="1" x14ac:dyDescent="0.2"/>
    <row r="180" spans="2:14" ht="11.25" customHeight="1" x14ac:dyDescent="0.2"/>
    <row r="181" spans="2:14" s="2" customFormat="1" ht="15.75" x14ac:dyDescent="0.2">
      <c r="B181" s="2" t="s">
        <v>20</v>
      </c>
    </row>
  </sheetData>
  <conditionalFormatting sqref="B2">
    <cfRule type="cellIs" dxfId="2" priority="1" operator="notEqual">
      <formula>"No Errors Found"</formula>
    </cfRule>
  </conditionalFormatting>
  <dataValidations count="3">
    <dataValidation type="list" allowBlank="1" showInputMessage="1" showErrorMessage="1" sqref="K78:K79 K44:K45 K60:K61 K93:K94 K129:K130 K142:K143 K155:K156" xr:uid="{00000000-0002-0000-1000-000000000000}">
      <formula1>LU_Timing</formula1>
    </dataValidation>
    <dataValidation type="list" allowBlank="1" showInputMessage="1" showErrorMessage="1" sqref="I85:I89 I78:I79 I28:I40 I18:I19 I44:I45 I51:I56 I69:I74 I93:I94 I60:I61 I103:I109 I111:I117 I119:I125 I129:I130 I136:I138 I142:I143 I149:I151 I155:I156 I164:I165 I170:I171 I177:I178" xr:uid="{00000000-0002-0000-1000-000001000000}">
      <formula1>LU_Units</formula1>
    </dataValidation>
    <dataValidation type="list" allowBlank="1" showInputMessage="1" showErrorMessage="1" sqref="J85:J89 J78:J79 J28:J40 J18:J19 J44:J45 J51:J56 J69:J74 J93:J94 J60:J61 J103:J109 J111:J117 J119:J125 J129:J130 J136:J138 J142:J143 J149:J151 J155:J156 J164:J165 J170:J171 J177:J178" xr:uid="{00000000-0002-0000-1000-000002000000}">
      <formula1>LU_Basis</formula1>
    </dataValidation>
  </dataValidations>
  <hyperlinks>
    <hyperlink ref="B3:E3" location="TOC!A1" display="TOC!A1"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dimension ref="A1:XFA106"/>
  <sheetViews>
    <sheetView showGridLines="0" zoomScaleNormal="100" workbookViewId="0">
      <pane ySplit="5" topLeftCell="A6" activePane="bottomLeft" state="frozen"/>
      <selection activeCell="D242" sqref="D242"/>
      <selection pane="bottomLeft" activeCell="A6" sqref="A6"/>
    </sheetView>
  </sheetViews>
  <sheetFormatPr defaultColWidth="9.1640625" defaultRowHeight="11.25" outlineLevelRow="1" x14ac:dyDescent="0.2"/>
  <cols>
    <col min="1" max="3" width="2.83203125" customWidth="1"/>
    <col min="4" max="4" width="34" customWidth="1"/>
    <col min="5" max="6" width="30.83203125" customWidth="1"/>
    <col min="7" max="9" width="10.83203125" customWidth="1"/>
    <col min="10" max="35" width="12.83203125" customWidth="1"/>
    <col min="16380" max="16381" width="34.33203125" bestFit="1" customWidth="1"/>
  </cols>
  <sheetData>
    <row r="1" spans="1:35" ht="19.5" x14ac:dyDescent="0.2">
      <c r="A1" s="59">
        <f>IF(SUM($A6:$A106)&gt;0,1,0)</f>
        <v>0</v>
      </c>
      <c r="B1" s="3" t="s">
        <v>772</v>
      </c>
    </row>
    <row r="2" spans="1:35" x14ac:dyDescent="0.2">
      <c r="B2" s="13" t="str">
        <f ca="1">Title_Msg</f>
        <v>No Errors Found</v>
      </c>
    </row>
    <row r="3" spans="1:35" x14ac:dyDescent="0.2">
      <c r="B3" s="46" t="str">
        <f>TOC!B1</f>
        <v>Table of contents</v>
      </c>
      <c r="C3" s="42"/>
      <c r="D3" s="42"/>
      <c r="E3" s="42"/>
    </row>
    <row r="4" spans="1:35" ht="12.75" x14ac:dyDescent="0.2">
      <c r="B4" s="40" t="str">
        <f>Model_Name</f>
        <v>Pricing Model - Power and Water Corporation</v>
      </c>
    </row>
    <row r="6" spans="1:35" s="2" customFormat="1" ht="15.75" x14ac:dyDescent="0.2">
      <c r="B6" s="2" t="s">
        <v>773</v>
      </c>
    </row>
    <row r="7" spans="1:35" ht="6.75" customHeight="1" x14ac:dyDescent="0.2"/>
    <row r="8" spans="1:35" s="8" customFormat="1" ht="15" x14ac:dyDescent="0.2">
      <c r="C8" s="8" t="s">
        <v>774</v>
      </c>
    </row>
    <row r="9" spans="1:35" x14ac:dyDescent="0.2">
      <c r="D9" s="1"/>
    </row>
    <row r="10" spans="1:35" ht="12.75" x14ac:dyDescent="0.2">
      <c r="D10" s="11" t="s">
        <v>775</v>
      </c>
      <c r="E10" s="47">
        <v>43647</v>
      </c>
    </row>
    <row r="11" spans="1:35" x14ac:dyDescent="0.2">
      <c r="L11" s="17"/>
      <c r="M11" s="18"/>
      <c r="N11" s="18"/>
      <c r="O11" s="18"/>
    </row>
    <row r="12" spans="1:35" s="8" customFormat="1" ht="15" x14ac:dyDescent="0.2">
      <c r="C12" s="8" t="s">
        <v>776</v>
      </c>
    </row>
    <row r="13" spans="1:35" x14ac:dyDescent="0.2">
      <c r="L13" s="17"/>
      <c r="M13" s="18"/>
      <c r="N13" s="18"/>
      <c r="O13" s="18"/>
    </row>
    <row r="14" spans="1:35" ht="12.75" hidden="1" outlineLevel="1" x14ac:dyDescent="0.2">
      <c r="B14" s="11" t="s">
        <v>777</v>
      </c>
      <c r="J14" s="48">
        <f t="shared" ref="J14:S14" si="0">IF(J16=1,Model_Start_Date,I15+1)</f>
        <v>43647</v>
      </c>
      <c r="K14" s="48">
        <f t="shared" si="0"/>
        <v>44013</v>
      </c>
      <c r="L14" s="48">
        <f t="shared" si="0"/>
        <v>44378</v>
      </c>
      <c r="M14" s="48">
        <f t="shared" si="0"/>
        <v>44743</v>
      </c>
      <c r="N14" s="48">
        <f t="shared" si="0"/>
        <v>45108</v>
      </c>
      <c r="O14" s="48">
        <f t="shared" si="0"/>
        <v>45474</v>
      </c>
      <c r="P14" s="48">
        <f t="shared" si="0"/>
        <v>45839</v>
      </c>
      <c r="Q14" s="48">
        <f t="shared" si="0"/>
        <v>46204</v>
      </c>
      <c r="R14" s="48">
        <f t="shared" si="0"/>
        <v>46569</v>
      </c>
      <c r="S14" s="48">
        <f t="shared" si="0"/>
        <v>46935</v>
      </c>
      <c r="T14" s="48">
        <f t="shared" ref="T14:AI14" si="1">IF(T16=1,Model_Start_Date,S15+1)</f>
        <v>47300</v>
      </c>
      <c r="U14" s="48">
        <f t="shared" si="1"/>
        <v>47665</v>
      </c>
      <c r="V14" s="48">
        <f t="shared" si="1"/>
        <v>48030</v>
      </c>
      <c r="W14" s="48">
        <f t="shared" si="1"/>
        <v>48396</v>
      </c>
      <c r="X14" s="48">
        <f t="shared" si="1"/>
        <v>48761</v>
      </c>
      <c r="Y14" s="48">
        <f t="shared" si="1"/>
        <v>49126</v>
      </c>
      <c r="Z14" s="48">
        <f t="shared" si="1"/>
        <v>49491</v>
      </c>
      <c r="AA14" s="48">
        <f t="shared" si="1"/>
        <v>49857</v>
      </c>
      <c r="AB14" s="48">
        <f t="shared" si="1"/>
        <v>50222</v>
      </c>
      <c r="AC14" s="48">
        <f t="shared" si="1"/>
        <v>50587</v>
      </c>
      <c r="AD14" s="48">
        <f t="shared" si="1"/>
        <v>50952</v>
      </c>
      <c r="AE14" s="48">
        <f t="shared" si="1"/>
        <v>51318</v>
      </c>
      <c r="AF14" s="48">
        <f t="shared" si="1"/>
        <v>51683</v>
      </c>
      <c r="AG14" s="48">
        <f t="shared" si="1"/>
        <v>52048</v>
      </c>
      <c r="AH14" s="48">
        <f t="shared" si="1"/>
        <v>52413</v>
      </c>
      <c r="AI14" s="48">
        <f t="shared" si="1"/>
        <v>52779</v>
      </c>
    </row>
    <row r="15" spans="1:35" ht="12.75" hidden="1" outlineLevel="1" x14ac:dyDescent="0.2">
      <c r="B15" s="11" t="s">
        <v>778</v>
      </c>
      <c r="J15" s="48">
        <f t="shared" ref="J15:S15" si="2">EOMONTH(J14,Mths_In_Yr-1)</f>
        <v>44012</v>
      </c>
      <c r="K15" s="48">
        <f t="shared" si="2"/>
        <v>44377</v>
      </c>
      <c r="L15" s="48">
        <f t="shared" si="2"/>
        <v>44742</v>
      </c>
      <c r="M15" s="48">
        <f t="shared" si="2"/>
        <v>45107</v>
      </c>
      <c r="N15" s="48">
        <f t="shared" si="2"/>
        <v>45473</v>
      </c>
      <c r="O15" s="48">
        <f t="shared" si="2"/>
        <v>45838</v>
      </c>
      <c r="P15" s="48">
        <f t="shared" si="2"/>
        <v>46203</v>
      </c>
      <c r="Q15" s="48">
        <f t="shared" si="2"/>
        <v>46568</v>
      </c>
      <c r="R15" s="48">
        <f t="shared" si="2"/>
        <v>46934</v>
      </c>
      <c r="S15" s="48">
        <f t="shared" si="2"/>
        <v>47299</v>
      </c>
      <c r="T15" s="48">
        <f t="shared" ref="T15:AI15" si="3">EOMONTH(T14,Mths_In_Yr-1)</f>
        <v>47664</v>
      </c>
      <c r="U15" s="48">
        <f t="shared" si="3"/>
        <v>48029</v>
      </c>
      <c r="V15" s="48">
        <f t="shared" si="3"/>
        <v>48395</v>
      </c>
      <c r="W15" s="48">
        <f t="shared" si="3"/>
        <v>48760</v>
      </c>
      <c r="X15" s="48">
        <f t="shared" si="3"/>
        <v>49125</v>
      </c>
      <c r="Y15" s="48">
        <f t="shared" si="3"/>
        <v>49490</v>
      </c>
      <c r="Z15" s="48">
        <f t="shared" si="3"/>
        <v>49856</v>
      </c>
      <c r="AA15" s="48">
        <f t="shared" si="3"/>
        <v>50221</v>
      </c>
      <c r="AB15" s="48">
        <f t="shared" si="3"/>
        <v>50586</v>
      </c>
      <c r="AC15" s="48">
        <f t="shared" si="3"/>
        <v>50951</v>
      </c>
      <c r="AD15" s="48">
        <f t="shared" si="3"/>
        <v>51317</v>
      </c>
      <c r="AE15" s="48">
        <f t="shared" si="3"/>
        <v>51682</v>
      </c>
      <c r="AF15" s="48">
        <f t="shared" si="3"/>
        <v>52047</v>
      </c>
      <c r="AG15" s="48">
        <f t="shared" si="3"/>
        <v>52412</v>
      </c>
      <c r="AH15" s="48">
        <f t="shared" si="3"/>
        <v>52778</v>
      </c>
      <c r="AI15" s="48">
        <f t="shared" si="3"/>
        <v>53143</v>
      </c>
    </row>
    <row r="16" spans="1:35" ht="12.75" hidden="1" outlineLevel="1" x14ac:dyDescent="0.2">
      <c r="B16" s="11" t="s">
        <v>779</v>
      </c>
      <c r="J16" s="21">
        <f>N(I16)+1</f>
        <v>1</v>
      </c>
      <c r="K16" s="21">
        <f t="shared" ref="K16:S16" si="4">N(J16)+1</f>
        <v>2</v>
      </c>
      <c r="L16" s="21">
        <f t="shared" si="4"/>
        <v>3</v>
      </c>
      <c r="M16" s="21">
        <f t="shared" si="4"/>
        <v>4</v>
      </c>
      <c r="N16" s="21">
        <f t="shared" si="4"/>
        <v>5</v>
      </c>
      <c r="O16" s="21">
        <f t="shared" si="4"/>
        <v>6</v>
      </c>
      <c r="P16" s="21">
        <f t="shared" si="4"/>
        <v>7</v>
      </c>
      <c r="Q16" s="21">
        <f t="shared" si="4"/>
        <v>8</v>
      </c>
      <c r="R16" s="21">
        <f t="shared" si="4"/>
        <v>9</v>
      </c>
      <c r="S16" s="21">
        <f t="shared" si="4"/>
        <v>10</v>
      </c>
      <c r="T16" s="21">
        <f t="shared" ref="T16:AI16" si="5">N(S16)+1</f>
        <v>11</v>
      </c>
      <c r="U16" s="21">
        <f t="shared" si="5"/>
        <v>12</v>
      </c>
      <c r="V16" s="21">
        <f t="shared" si="5"/>
        <v>13</v>
      </c>
      <c r="W16" s="21">
        <f t="shared" si="5"/>
        <v>14</v>
      </c>
      <c r="X16" s="21">
        <f t="shared" si="5"/>
        <v>15</v>
      </c>
      <c r="Y16" s="21">
        <f t="shared" si="5"/>
        <v>16</v>
      </c>
      <c r="Z16" s="21">
        <f t="shared" si="5"/>
        <v>17</v>
      </c>
      <c r="AA16" s="21">
        <f t="shared" si="5"/>
        <v>18</v>
      </c>
      <c r="AB16" s="21">
        <f t="shared" si="5"/>
        <v>19</v>
      </c>
      <c r="AC16" s="21">
        <f t="shared" si="5"/>
        <v>20</v>
      </c>
      <c r="AD16" s="21">
        <f t="shared" si="5"/>
        <v>21</v>
      </c>
      <c r="AE16" s="21">
        <f t="shared" si="5"/>
        <v>22</v>
      </c>
      <c r="AF16" s="21">
        <f t="shared" si="5"/>
        <v>23</v>
      </c>
      <c r="AG16" s="21">
        <f t="shared" si="5"/>
        <v>24</v>
      </c>
      <c r="AH16" s="21">
        <f t="shared" si="5"/>
        <v>25</v>
      </c>
      <c r="AI16" s="21">
        <f t="shared" si="5"/>
        <v>26</v>
      </c>
    </row>
    <row r="17" spans="2:35" ht="12.75" hidden="1" outlineLevel="1" x14ac:dyDescent="0.2">
      <c r="B17" s="11" t="s">
        <v>250</v>
      </c>
      <c r="J17" s="21">
        <f>J15-J14+1</f>
        <v>366</v>
      </c>
      <c r="K17" s="21">
        <f t="shared" ref="K17:S17" si="6">K15-K14+1</f>
        <v>365</v>
      </c>
      <c r="L17" s="21">
        <f t="shared" si="6"/>
        <v>365</v>
      </c>
      <c r="M17" s="21">
        <f t="shared" si="6"/>
        <v>365</v>
      </c>
      <c r="N17" s="21">
        <f t="shared" si="6"/>
        <v>366</v>
      </c>
      <c r="O17" s="21">
        <f t="shared" si="6"/>
        <v>365</v>
      </c>
      <c r="P17" s="21">
        <f t="shared" si="6"/>
        <v>365</v>
      </c>
      <c r="Q17" s="21">
        <f t="shared" si="6"/>
        <v>365</v>
      </c>
      <c r="R17" s="21">
        <f t="shared" si="6"/>
        <v>366</v>
      </c>
      <c r="S17" s="21">
        <f t="shared" si="6"/>
        <v>365</v>
      </c>
      <c r="T17" s="21">
        <f t="shared" ref="T17:AI17" si="7">T15-T14+1</f>
        <v>365</v>
      </c>
      <c r="U17" s="21">
        <f t="shared" si="7"/>
        <v>365</v>
      </c>
      <c r="V17" s="21">
        <f t="shared" si="7"/>
        <v>366</v>
      </c>
      <c r="W17" s="21">
        <f t="shared" si="7"/>
        <v>365</v>
      </c>
      <c r="X17" s="21">
        <f t="shared" si="7"/>
        <v>365</v>
      </c>
      <c r="Y17" s="21">
        <f t="shared" si="7"/>
        <v>365</v>
      </c>
      <c r="Z17" s="21">
        <f t="shared" si="7"/>
        <v>366</v>
      </c>
      <c r="AA17" s="21">
        <f t="shared" si="7"/>
        <v>365</v>
      </c>
      <c r="AB17" s="21">
        <f t="shared" si="7"/>
        <v>365</v>
      </c>
      <c r="AC17" s="21">
        <f t="shared" si="7"/>
        <v>365</v>
      </c>
      <c r="AD17" s="21">
        <f t="shared" si="7"/>
        <v>366</v>
      </c>
      <c r="AE17" s="21">
        <f t="shared" si="7"/>
        <v>365</v>
      </c>
      <c r="AF17" s="21">
        <f t="shared" si="7"/>
        <v>365</v>
      </c>
      <c r="AG17" s="21">
        <f t="shared" si="7"/>
        <v>365</v>
      </c>
      <c r="AH17" s="21">
        <f t="shared" si="7"/>
        <v>366</v>
      </c>
      <c r="AI17" s="21">
        <f t="shared" si="7"/>
        <v>365</v>
      </c>
    </row>
    <row r="18" spans="2:35" ht="12.75" hidden="1" outlineLevel="1" x14ac:dyDescent="0.2">
      <c r="B18" s="11" t="s">
        <v>34</v>
      </c>
      <c r="J18" s="7">
        <f>YEAR(J15)</f>
        <v>2020</v>
      </c>
      <c r="K18" s="7">
        <f t="shared" ref="K18:S18" si="8">YEAR(K15)</f>
        <v>2021</v>
      </c>
      <c r="L18" s="7">
        <f t="shared" si="8"/>
        <v>2022</v>
      </c>
      <c r="M18" s="7">
        <f t="shared" si="8"/>
        <v>2023</v>
      </c>
      <c r="N18" s="7">
        <f t="shared" si="8"/>
        <v>2024</v>
      </c>
      <c r="O18" s="7">
        <f t="shared" si="8"/>
        <v>2025</v>
      </c>
      <c r="P18" s="7">
        <f t="shared" si="8"/>
        <v>2026</v>
      </c>
      <c r="Q18" s="7">
        <f t="shared" si="8"/>
        <v>2027</v>
      </c>
      <c r="R18" s="7">
        <f t="shared" si="8"/>
        <v>2028</v>
      </c>
      <c r="S18" s="7">
        <f t="shared" si="8"/>
        <v>2029</v>
      </c>
      <c r="T18" s="7">
        <f t="shared" ref="T18:AI18" si="9">YEAR(T15)</f>
        <v>2030</v>
      </c>
      <c r="U18" s="7">
        <f t="shared" si="9"/>
        <v>2031</v>
      </c>
      <c r="V18" s="7">
        <f t="shared" si="9"/>
        <v>2032</v>
      </c>
      <c r="W18" s="7">
        <f t="shared" si="9"/>
        <v>2033</v>
      </c>
      <c r="X18" s="7">
        <f t="shared" si="9"/>
        <v>2034</v>
      </c>
      <c r="Y18" s="7">
        <f t="shared" si="9"/>
        <v>2035</v>
      </c>
      <c r="Z18" s="7">
        <f t="shared" si="9"/>
        <v>2036</v>
      </c>
      <c r="AA18" s="7">
        <f t="shared" si="9"/>
        <v>2037</v>
      </c>
      <c r="AB18" s="7">
        <f t="shared" si="9"/>
        <v>2038</v>
      </c>
      <c r="AC18" s="7">
        <f t="shared" si="9"/>
        <v>2039</v>
      </c>
      <c r="AD18" s="7">
        <f t="shared" si="9"/>
        <v>2040</v>
      </c>
      <c r="AE18" s="7">
        <f t="shared" si="9"/>
        <v>2041</v>
      </c>
      <c r="AF18" s="7">
        <f t="shared" si="9"/>
        <v>2042</v>
      </c>
      <c r="AG18" s="7">
        <f t="shared" si="9"/>
        <v>2043</v>
      </c>
      <c r="AH18" s="7">
        <f t="shared" si="9"/>
        <v>2044</v>
      </c>
      <c r="AI18" s="7">
        <f t="shared" si="9"/>
        <v>2045</v>
      </c>
    </row>
    <row r="19" spans="2:35" ht="12.75" collapsed="1" x14ac:dyDescent="0.2">
      <c r="B19" s="9" t="s">
        <v>126</v>
      </c>
      <c r="E19" s="14" t="s">
        <v>36</v>
      </c>
      <c r="F19" s="14" t="s">
        <v>37</v>
      </c>
      <c r="G19" s="14" t="s">
        <v>38</v>
      </c>
      <c r="H19" s="14" t="s">
        <v>39</v>
      </c>
      <c r="J19" s="49" t="str">
        <f>"FY"&amp;RIGHT(J18,2)</f>
        <v>FY20</v>
      </c>
      <c r="K19" s="49" t="str">
        <f t="shared" ref="K19:S19" si="10">"FY"&amp;RIGHT(K18,2)</f>
        <v>FY21</v>
      </c>
      <c r="L19" s="49" t="str">
        <f t="shared" si="10"/>
        <v>FY22</v>
      </c>
      <c r="M19" s="49" t="str">
        <f t="shared" si="10"/>
        <v>FY23</v>
      </c>
      <c r="N19" s="49" t="str">
        <f t="shared" si="10"/>
        <v>FY24</v>
      </c>
      <c r="O19" s="49" t="str">
        <f t="shared" si="10"/>
        <v>FY25</v>
      </c>
      <c r="P19" s="49" t="str">
        <f t="shared" si="10"/>
        <v>FY26</v>
      </c>
      <c r="Q19" s="49" t="str">
        <f t="shared" si="10"/>
        <v>FY27</v>
      </c>
      <c r="R19" s="49" t="str">
        <f t="shared" si="10"/>
        <v>FY28</v>
      </c>
      <c r="S19" s="49" t="str">
        <f t="shared" si="10"/>
        <v>FY29</v>
      </c>
      <c r="T19" s="49" t="str">
        <f t="shared" ref="T19:AI19" si="11">"FY"&amp;RIGHT(T18,2)</f>
        <v>FY30</v>
      </c>
      <c r="U19" s="49" t="str">
        <f t="shared" si="11"/>
        <v>FY31</v>
      </c>
      <c r="V19" s="49" t="str">
        <f t="shared" si="11"/>
        <v>FY32</v>
      </c>
      <c r="W19" s="49" t="str">
        <f t="shared" si="11"/>
        <v>FY33</v>
      </c>
      <c r="X19" s="49" t="str">
        <f t="shared" si="11"/>
        <v>FY34</v>
      </c>
      <c r="Y19" s="49" t="str">
        <f t="shared" si="11"/>
        <v>FY35</v>
      </c>
      <c r="Z19" s="49" t="str">
        <f t="shared" si="11"/>
        <v>FY36</v>
      </c>
      <c r="AA19" s="49" t="str">
        <f t="shared" si="11"/>
        <v>FY37</v>
      </c>
      <c r="AB19" s="49" t="str">
        <f t="shared" si="11"/>
        <v>FY38</v>
      </c>
      <c r="AC19" s="49" t="str">
        <f t="shared" si="11"/>
        <v>FY39</v>
      </c>
      <c r="AD19" s="49" t="str">
        <f t="shared" si="11"/>
        <v>FY40</v>
      </c>
      <c r="AE19" s="49" t="str">
        <f t="shared" si="11"/>
        <v>FY41</v>
      </c>
      <c r="AF19" s="49" t="str">
        <f t="shared" si="11"/>
        <v>FY42</v>
      </c>
      <c r="AG19" s="49" t="str">
        <f t="shared" si="11"/>
        <v>FY43</v>
      </c>
      <c r="AH19" s="49" t="str">
        <f t="shared" si="11"/>
        <v>FY44</v>
      </c>
      <c r="AI19" s="49" t="str">
        <f t="shared" si="11"/>
        <v>FY45</v>
      </c>
    </row>
    <row r="20" spans="2:35" x14ac:dyDescent="0.2">
      <c r="L20" s="17"/>
      <c r="M20" s="18"/>
      <c r="N20" s="18"/>
      <c r="O20" s="18"/>
    </row>
    <row r="21" spans="2:35" s="2" customFormat="1" ht="15.75" x14ac:dyDescent="0.2">
      <c r="B21" s="2" t="s">
        <v>772</v>
      </c>
    </row>
    <row r="22" spans="2:35" x14ac:dyDescent="0.2">
      <c r="L22" s="17"/>
      <c r="M22" s="18"/>
      <c r="N22" s="18"/>
      <c r="O22" s="18"/>
    </row>
    <row r="23" spans="2:35" ht="12.75" x14ac:dyDescent="0.2">
      <c r="C23" s="4" t="s">
        <v>0</v>
      </c>
      <c r="E23" s="14" t="s">
        <v>1</v>
      </c>
    </row>
    <row r="24" spans="2:35" x14ac:dyDescent="0.2">
      <c r="E24" s="15"/>
    </row>
    <row r="25" spans="2:35" ht="12.75" x14ac:dyDescent="0.2">
      <c r="D25" s="12">
        <v>12</v>
      </c>
      <c r="E25" s="16" t="s">
        <v>2</v>
      </c>
    </row>
    <row r="26" spans="2:35" ht="12.75" x14ac:dyDescent="0.2">
      <c r="D26" s="247">
        <v>0.01</v>
      </c>
      <c r="E26" s="16" t="s">
        <v>94</v>
      </c>
    </row>
    <row r="27" spans="2:35" ht="12.75" x14ac:dyDescent="0.2">
      <c r="D27" s="12">
        <v>1E-3</v>
      </c>
      <c r="E27" s="16" t="s">
        <v>93</v>
      </c>
    </row>
    <row r="28" spans="2:35" ht="12.75" x14ac:dyDescent="0.2">
      <c r="D28" s="12">
        <v>1E-3</v>
      </c>
      <c r="E28" s="16" t="s">
        <v>604</v>
      </c>
    </row>
    <row r="29" spans="2:35" ht="12.75" x14ac:dyDescent="0.2">
      <c r="D29" s="12">
        <v>1000</v>
      </c>
      <c r="E29" s="16" t="s">
        <v>251</v>
      </c>
    </row>
    <row r="30" spans="2:35" ht="12.75" x14ac:dyDescent="0.2">
      <c r="D30" s="12">
        <v>1000</v>
      </c>
      <c r="E30" s="16" t="s">
        <v>526</v>
      </c>
    </row>
    <row r="31" spans="2:35" ht="12.75" x14ac:dyDescent="0.2">
      <c r="D31" s="12">
        <v>1000</v>
      </c>
      <c r="E31" s="16" t="s">
        <v>261</v>
      </c>
    </row>
    <row r="32" spans="2:35" ht="12.75" x14ac:dyDescent="0.2">
      <c r="D32" s="12" t="s">
        <v>21</v>
      </c>
      <c r="E32" s="16" t="s">
        <v>22</v>
      </c>
    </row>
    <row r="33" spans="3:5" x14ac:dyDescent="0.2">
      <c r="E33" s="15"/>
    </row>
    <row r="34" spans="3:5" ht="12.75" x14ac:dyDescent="0.2">
      <c r="C34" s="4" t="s">
        <v>0</v>
      </c>
      <c r="E34" s="14" t="s">
        <v>1</v>
      </c>
    </row>
    <row r="35" spans="3:5" ht="12.75" x14ac:dyDescent="0.2">
      <c r="E35" s="16" t="s">
        <v>6</v>
      </c>
    </row>
    <row r="36" spans="3:5" ht="12.75" x14ac:dyDescent="0.2">
      <c r="D36" s="12" t="s">
        <v>4</v>
      </c>
      <c r="E36" s="16" t="s">
        <v>4</v>
      </c>
    </row>
    <row r="37" spans="3:5" ht="12.75" x14ac:dyDescent="0.2">
      <c r="D37" s="12" t="s">
        <v>5</v>
      </c>
      <c r="E37" s="16" t="s">
        <v>5</v>
      </c>
    </row>
    <row r="38" spans="3:5" x14ac:dyDescent="0.2">
      <c r="E38" s="15"/>
    </row>
    <row r="39" spans="3:5" ht="12.75" x14ac:dyDescent="0.2">
      <c r="C39" s="4" t="s">
        <v>42</v>
      </c>
      <c r="E39" s="14" t="s">
        <v>1</v>
      </c>
    </row>
    <row r="40" spans="3:5" ht="12.75" x14ac:dyDescent="0.2">
      <c r="E40" s="16" t="s">
        <v>50</v>
      </c>
    </row>
    <row r="41" spans="3:5" ht="12.75" x14ac:dyDescent="0.2">
      <c r="D41" s="12" t="s">
        <v>43</v>
      </c>
      <c r="E41" s="16" t="s">
        <v>43</v>
      </c>
    </row>
    <row r="42" spans="3:5" ht="12.75" x14ac:dyDescent="0.2">
      <c r="D42" s="12" t="s">
        <v>44</v>
      </c>
      <c r="E42" s="16" t="s">
        <v>44</v>
      </c>
    </row>
    <row r="43" spans="3:5" ht="12.75" x14ac:dyDescent="0.2">
      <c r="D43" s="247" t="s">
        <v>46</v>
      </c>
      <c r="E43" s="16" t="s">
        <v>48</v>
      </c>
    </row>
    <row r="44" spans="3:5" ht="12.75" x14ac:dyDescent="0.2">
      <c r="D44" s="247" t="s">
        <v>47</v>
      </c>
      <c r="E44" s="16" t="s">
        <v>49</v>
      </c>
    </row>
    <row r="45" spans="3:5" ht="12.75" x14ac:dyDescent="0.2">
      <c r="D45" s="247" t="s">
        <v>45</v>
      </c>
      <c r="E45" s="16" t="s">
        <v>45</v>
      </c>
    </row>
    <row r="46" spans="3:5" ht="12.75" x14ac:dyDescent="0.2">
      <c r="D46" s="247" t="s">
        <v>54</v>
      </c>
      <c r="E46" s="16" t="s">
        <v>54</v>
      </c>
    </row>
    <row r="47" spans="3:5" ht="12.75" x14ac:dyDescent="0.2">
      <c r="D47" s="247" t="s">
        <v>475</v>
      </c>
      <c r="E47" s="58" t="str">
        <f t="shared" ref="E47:E63" si="12">NA</f>
        <v>N/A</v>
      </c>
    </row>
    <row r="48" spans="3:5" ht="12.75" x14ac:dyDescent="0.2">
      <c r="D48" s="247" t="s">
        <v>203</v>
      </c>
      <c r="E48" s="58" t="str">
        <f t="shared" si="12"/>
        <v>N/A</v>
      </c>
    </row>
    <row r="49" spans="4:5" ht="12.75" x14ac:dyDescent="0.2">
      <c r="D49" s="247" t="s">
        <v>494</v>
      </c>
      <c r="E49" s="58" t="str">
        <f t="shared" si="12"/>
        <v>N/A</v>
      </c>
    </row>
    <row r="50" spans="4:5" ht="12.75" x14ac:dyDescent="0.2">
      <c r="D50" s="247" t="s">
        <v>72</v>
      </c>
      <c r="E50" s="58" t="str">
        <f t="shared" si="12"/>
        <v>N/A</v>
      </c>
    </row>
    <row r="51" spans="4:5" ht="12.75" x14ac:dyDescent="0.2">
      <c r="D51" s="247" t="s">
        <v>73</v>
      </c>
      <c r="E51" s="58" t="str">
        <f t="shared" si="12"/>
        <v>N/A</v>
      </c>
    </row>
    <row r="52" spans="4:5" ht="12.75" x14ac:dyDescent="0.2">
      <c r="D52" s="247" t="s">
        <v>75</v>
      </c>
      <c r="E52" s="58" t="str">
        <f t="shared" si="12"/>
        <v>N/A</v>
      </c>
    </row>
    <row r="53" spans="4:5" ht="12.75" x14ac:dyDescent="0.2">
      <c r="D53" s="247" t="s">
        <v>193</v>
      </c>
      <c r="E53" s="58" t="str">
        <f t="shared" si="12"/>
        <v>N/A</v>
      </c>
    </row>
    <row r="54" spans="4:5" ht="12.75" x14ac:dyDescent="0.2">
      <c r="D54" s="247" t="s">
        <v>77</v>
      </c>
      <c r="E54" s="58" t="str">
        <f t="shared" si="12"/>
        <v>N/A</v>
      </c>
    </row>
    <row r="55" spans="4:5" ht="12.75" x14ac:dyDescent="0.2">
      <c r="D55" s="247" t="s">
        <v>253</v>
      </c>
      <c r="E55" s="58" t="str">
        <f t="shared" si="12"/>
        <v>N/A</v>
      </c>
    </row>
    <row r="56" spans="4:5" ht="12.75" x14ac:dyDescent="0.2">
      <c r="D56" s="247" t="s">
        <v>80</v>
      </c>
      <c r="E56" s="58" t="str">
        <f t="shared" si="12"/>
        <v>N/A</v>
      </c>
    </row>
    <row r="57" spans="4:5" ht="12.75" x14ac:dyDescent="0.2">
      <c r="D57" s="247" t="s">
        <v>81</v>
      </c>
      <c r="E57" s="58" t="str">
        <f t="shared" si="12"/>
        <v>N/A</v>
      </c>
    </row>
    <row r="58" spans="4:5" ht="12.75" x14ac:dyDescent="0.2">
      <c r="D58" s="247" t="s">
        <v>82</v>
      </c>
      <c r="E58" s="58" t="str">
        <f t="shared" si="12"/>
        <v>N/A</v>
      </c>
    </row>
    <row r="59" spans="4:5" ht="12.75" x14ac:dyDescent="0.2">
      <c r="D59" s="247" t="s">
        <v>525</v>
      </c>
      <c r="E59" s="58" t="str">
        <f t="shared" si="12"/>
        <v>N/A</v>
      </c>
    </row>
    <row r="60" spans="4:5" ht="12.75" x14ac:dyDescent="0.2">
      <c r="D60" s="247" t="s">
        <v>83</v>
      </c>
      <c r="E60" s="58" t="str">
        <f t="shared" si="12"/>
        <v>N/A</v>
      </c>
    </row>
    <row r="61" spans="4:5" ht="12.75" x14ac:dyDescent="0.2">
      <c r="D61" s="247" t="s">
        <v>252</v>
      </c>
      <c r="E61" s="58" t="str">
        <f t="shared" si="12"/>
        <v>N/A</v>
      </c>
    </row>
    <row r="62" spans="4:5" ht="12.75" x14ac:dyDescent="0.2">
      <c r="D62" s="12" t="s">
        <v>262</v>
      </c>
      <c r="E62" s="58" t="str">
        <f t="shared" si="12"/>
        <v>N/A</v>
      </c>
    </row>
    <row r="63" spans="4:5" ht="12.75" x14ac:dyDescent="0.2">
      <c r="D63" s="12" t="s">
        <v>84</v>
      </c>
      <c r="E63" s="58" t="str">
        <f t="shared" si="12"/>
        <v>N/A</v>
      </c>
    </row>
    <row r="64" spans="4:5" ht="12.75" x14ac:dyDescent="0.2">
      <c r="D64" s="12" t="s">
        <v>56</v>
      </c>
      <c r="E64" s="58" t="s">
        <v>57</v>
      </c>
    </row>
    <row r="65" spans="3:5" ht="12.75" x14ac:dyDescent="0.2">
      <c r="D65" s="12" t="str">
        <f>NA</f>
        <v>N/A</v>
      </c>
      <c r="E65" s="16" t="s">
        <v>53</v>
      </c>
    </row>
    <row r="66" spans="3:5" x14ac:dyDescent="0.2">
      <c r="E66" s="15"/>
    </row>
    <row r="67" spans="3:5" ht="12.75" x14ac:dyDescent="0.2">
      <c r="C67" s="4" t="s">
        <v>38</v>
      </c>
      <c r="E67" s="14" t="s">
        <v>1</v>
      </c>
    </row>
    <row r="68" spans="3:5" ht="12.75" x14ac:dyDescent="0.2">
      <c r="E68" s="16" t="s">
        <v>41</v>
      </c>
    </row>
    <row r="69" spans="3:5" ht="12.75" x14ac:dyDescent="0.2">
      <c r="D69" s="247" t="s">
        <v>236</v>
      </c>
      <c r="E69" s="58" t="s">
        <v>239</v>
      </c>
    </row>
    <row r="70" spans="3:5" ht="12.75" x14ac:dyDescent="0.2">
      <c r="D70" s="247" t="s">
        <v>237</v>
      </c>
      <c r="E70" s="58" t="s">
        <v>240</v>
      </c>
    </row>
    <row r="71" spans="3:5" ht="12.75" x14ac:dyDescent="0.2">
      <c r="D71" s="12" t="s">
        <v>238</v>
      </c>
      <c r="E71" s="16" t="s">
        <v>241</v>
      </c>
    </row>
    <row r="72" spans="3:5" ht="12.75" x14ac:dyDescent="0.2">
      <c r="D72" s="12" t="s">
        <v>204</v>
      </c>
      <c r="E72" s="16"/>
    </row>
    <row r="73" spans="3:5" ht="12.75" x14ac:dyDescent="0.2">
      <c r="D73" s="12" t="str">
        <f>NA</f>
        <v>N/A</v>
      </c>
      <c r="E73" s="16" t="s">
        <v>53</v>
      </c>
    </row>
    <row r="74" spans="3:5" ht="12.75" x14ac:dyDescent="0.2">
      <c r="D74" s="12" t="s">
        <v>40</v>
      </c>
      <c r="E74" s="16" t="s">
        <v>40</v>
      </c>
    </row>
    <row r="75" spans="3:5" x14ac:dyDescent="0.2">
      <c r="E75" s="15"/>
    </row>
    <row r="76" spans="3:5" ht="12.75" x14ac:dyDescent="0.2">
      <c r="C76" s="4" t="s">
        <v>771</v>
      </c>
      <c r="E76" s="14" t="s">
        <v>1</v>
      </c>
    </row>
    <row r="77" spans="3:5" ht="12.75" x14ac:dyDescent="0.2">
      <c r="E77" s="16" t="s">
        <v>220</v>
      </c>
    </row>
    <row r="78" spans="3:5" ht="12.75" x14ac:dyDescent="0.2">
      <c r="D78" s="12" t="s">
        <v>35</v>
      </c>
      <c r="E78" s="16"/>
    </row>
    <row r="79" spans="3:5" ht="12.75" x14ac:dyDescent="0.2">
      <c r="D79" s="12" t="s">
        <v>219</v>
      </c>
      <c r="E79" s="16"/>
    </row>
    <row r="80" spans="3:5" ht="12.75" x14ac:dyDescent="0.2">
      <c r="D80" s="12" t="s">
        <v>221</v>
      </c>
      <c r="E80" s="16" t="s">
        <v>222</v>
      </c>
    </row>
    <row r="81" spans="3:5 16380:16381" x14ac:dyDescent="0.2">
      <c r="E81" s="15"/>
    </row>
    <row r="82" spans="3:5 16380:16381" ht="12.75" x14ac:dyDescent="0.2">
      <c r="C82" s="4" t="s">
        <v>770</v>
      </c>
      <c r="E82" s="14" t="s">
        <v>1</v>
      </c>
    </row>
    <row r="83" spans="3:5 16380:16381" ht="12.75" x14ac:dyDescent="0.2">
      <c r="E83" s="16" t="s">
        <v>85</v>
      </c>
    </row>
    <row r="84" spans="3:5 16380:16381" ht="12.75" x14ac:dyDescent="0.2">
      <c r="D84" s="12" t="s">
        <v>64</v>
      </c>
    </row>
    <row r="85" spans="3:5 16380:16381" ht="12.75" x14ac:dyDescent="0.2">
      <c r="D85" s="12" t="s">
        <v>70</v>
      </c>
    </row>
    <row r="86" spans="3:5 16380:16381" ht="12.75" x14ac:dyDescent="0.2">
      <c r="D86" s="12" t="s">
        <v>69</v>
      </c>
    </row>
    <row r="88" spans="3:5 16380:16381" ht="12.75" x14ac:dyDescent="0.2">
      <c r="C88" s="4" t="s">
        <v>769</v>
      </c>
      <c r="E88" s="14" t="s">
        <v>1</v>
      </c>
    </row>
    <row r="89" spans="3:5 16380:16381" ht="12.75" x14ac:dyDescent="0.2">
      <c r="E89" s="16" t="s">
        <v>269</v>
      </c>
      <c r="XEZ89" s="16" t="s">
        <v>89</v>
      </c>
      <c r="XFA89" s="16" t="s">
        <v>100</v>
      </c>
    </row>
    <row r="90" spans="3:5 16380:16381" ht="12.75" x14ac:dyDescent="0.2">
      <c r="D90" s="12" t="s">
        <v>242</v>
      </c>
      <c r="XEZ90" s="12" t="s">
        <v>63</v>
      </c>
      <c r="XFA90" s="12" t="s">
        <v>63</v>
      </c>
    </row>
    <row r="91" spans="3:5 16380:16381" ht="12.75" x14ac:dyDescent="0.2">
      <c r="D91" s="12" t="s">
        <v>243</v>
      </c>
      <c r="XEZ91" s="12" t="s">
        <v>65</v>
      </c>
      <c r="XFA91" s="12" t="s">
        <v>65</v>
      </c>
    </row>
    <row r="92" spans="3:5 16380:16381" ht="12.75" x14ac:dyDescent="0.2">
      <c r="D92" s="12" t="s">
        <v>244</v>
      </c>
      <c r="XEZ92" s="12" t="s">
        <v>86</v>
      </c>
      <c r="XFA92" s="12" t="s">
        <v>66</v>
      </c>
    </row>
    <row r="93" spans="3:5 16380:16381" ht="12.75" x14ac:dyDescent="0.2">
      <c r="D93" s="12" t="s">
        <v>245</v>
      </c>
      <c r="XEZ93" s="12" t="s">
        <v>87</v>
      </c>
      <c r="XFA93" s="12" t="s">
        <v>66</v>
      </c>
    </row>
    <row r="94" spans="3:5 16380:16381" ht="12.75" x14ac:dyDescent="0.2">
      <c r="D94" s="12" t="s">
        <v>246</v>
      </c>
      <c r="XEZ94" s="12" t="s">
        <v>88</v>
      </c>
      <c r="XFA94" s="12" t="s">
        <v>101</v>
      </c>
    </row>
    <row r="95" spans="3:5 16380:16381" ht="12.75" x14ac:dyDescent="0.2">
      <c r="D95" s="12" t="s">
        <v>247</v>
      </c>
      <c r="XEZ95" s="12" t="s">
        <v>78</v>
      </c>
      <c r="XFA95" s="12" t="s">
        <v>101</v>
      </c>
    </row>
    <row r="96" spans="3:5 16380:16381" ht="12.75" x14ac:dyDescent="0.2">
      <c r="D96" s="12" t="s">
        <v>248</v>
      </c>
      <c r="XEZ96" s="12" t="s">
        <v>68</v>
      </c>
      <c r="XFA96" s="12" t="s">
        <v>68</v>
      </c>
    </row>
    <row r="97" spans="2:5 16380:16381" ht="12.75" x14ac:dyDescent="0.2">
      <c r="D97" s="12" t="s">
        <v>249</v>
      </c>
      <c r="XEZ97" s="12" t="s">
        <v>70</v>
      </c>
      <c r="XFA97" s="12" t="s">
        <v>70</v>
      </c>
    </row>
    <row r="99" spans="2:5 16380:16381" ht="12.75" x14ac:dyDescent="0.2">
      <c r="C99" s="4" t="s">
        <v>730</v>
      </c>
      <c r="E99" s="14" t="s">
        <v>1</v>
      </c>
    </row>
    <row r="100" spans="2:5 16380:16381" ht="12.75" x14ac:dyDescent="0.2">
      <c r="E100" s="16" t="s">
        <v>257</v>
      </c>
    </row>
    <row r="101" spans="2:5 16380:16381" ht="12.75" x14ac:dyDescent="0.2">
      <c r="D101" s="12" t="s">
        <v>255</v>
      </c>
    </row>
    <row r="102" spans="2:5 16380:16381" ht="12.75" x14ac:dyDescent="0.2">
      <c r="D102" s="12" t="s">
        <v>69</v>
      </c>
    </row>
    <row r="103" spans="2:5 16380:16381" ht="12.75" x14ac:dyDescent="0.2">
      <c r="D103" s="12" t="s">
        <v>256</v>
      </c>
    </row>
    <row r="106" spans="2:5 16380:16381" s="2" customFormat="1" ht="15.75" x14ac:dyDescent="0.2">
      <c r="B106" s="2" t="s">
        <v>20</v>
      </c>
    </row>
  </sheetData>
  <conditionalFormatting sqref="B2">
    <cfRule type="cellIs" dxfId="1" priority="1" operator="notEqual">
      <formula>"No Errors Found"</formula>
    </cfRule>
  </conditionalFormatting>
  <hyperlinks>
    <hyperlink ref="B3:E3" location="TOC!A1" display="TOC!A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B1:H34"/>
  <sheetViews>
    <sheetView showGridLines="0" zoomScaleNormal="100" workbookViewId="0">
      <pane xSplit="1" ySplit="4" topLeftCell="B5" activePane="bottomRight" state="frozen"/>
      <selection activeCell="D242" sqref="D242"/>
      <selection pane="topRight" activeCell="D242" sqref="D242"/>
      <selection pane="bottomLeft" activeCell="D242" sqref="D242"/>
      <selection pane="bottomRight" activeCell="B5" sqref="B5"/>
    </sheetView>
  </sheetViews>
  <sheetFormatPr defaultRowHeight="11.25" x14ac:dyDescent="0.2"/>
  <cols>
    <col min="1" max="3" width="2.83203125" customWidth="1"/>
    <col min="4" max="4" width="36.83203125" customWidth="1"/>
    <col min="5" max="7" width="3.83203125" customWidth="1"/>
  </cols>
  <sheetData>
    <row r="1" spans="2:8" ht="19.5" x14ac:dyDescent="0.2">
      <c r="B1" s="3" t="s">
        <v>9</v>
      </c>
    </row>
    <row r="2" spans="2:8" x14ac:dyDescent="0.2">
      <c r="B2" s="13" t="str">
        <f ca="1">Title_Msg</f>
        <v>No Errors Found</v>
      </c>
    </row>
    <row r="3" spans="2:8" x14ac:dyDescent="0.2">
      <c r="B3" s="46" t="str">
        <f>TOC!B1</f>
        <v>Table of contents</v>
      </c>
      <c r="C3" s="42"/>
      <c r="D3" s="42"/>
      <c r="E3" s="42"/>
    </row>
    <row r="4" spans="2:8" ht="12.75" x14ac:dyDescent="0.2">
      <c r="B4" s="40" t="str">
        <f>Model_Name</f>
        <v>Pricing Model - Power and Water Corporation</v>
      </c>
    </row>
    <row r="6" spans="2:8" s="2" customFormat="1" ht="15.75" x14ac:dyDescent="0.2">
      <c r="B6" s="2" t="s">
        <v>762</v>
      </c>
    </row>
    <row r="8" spans="2:8" ht="12.75" x14ac:dyDescent="0.2">
      <c r="D8" s="6" t="s">
        <v>763</v>
      </c>
      <c r="H8" s="7" t="str">
        <f ca="1">IF(H32=0,"No Errors Found","Errors Found")</f>
        <v>No Errors Found</v>
      </c>
    </row>
    <row r="9" spans="2:8" ht="12.75" x14ac:dyDescent="0.2">
      <c r="D9" s="6" t="s">
        <v>764</v>
      </c>
      <c r="H9" s="6"/>
    </row>
    <row r="10" spans="2:8" ht="12.75" x14ac:dyDescent="0.2">
      <c r="D10" s="6" t="s">
        <v>765</v>
      </c>
      <c r="H10" s="24" t="str">
        <f ca="1">H8&amp;IF(H9="","",", " &amp;H9)</f>
        <v>No Errors Found</v>
      </c>
    </row>
    <row r="12" spans="2:8" s="2" customFormat="1" ht="15.75" x14ac:dyDescent="0.2">
      <c r="B12" s="2" t="s">
        <v>766</v>
      </c>
    </row>
    <row r="14" spans="2:8" s="8" customFormat="1" ht="15" x14ac:dyDescent="0.2">
      <c r="C14" s="8" t="s">
        <v>767</v>
      </c>
    </row>
    <row r="16" spans="2:8" ht="12.75" x14ac:dyDescent="0.2">
      <c r="D16" s="6" t="str">
        <f>Inputs_Prices!$B$1</f>
        <v>Inputs - Prices</v>
      </c>
      <c r="H16" s="59">
        <f>Inputs_Prices!$A$1</f>
        <v>0</v>
      </c>
    </row>
    <row r="17" spans="2:8" ht="12.75" x14ac:dyDescent="0.2">
      <c r="D17" s="6" t="str">
        <f>Inputs_Volumes!$B$1</f>
        <v>Inputs - Volumes</v>
      </c>
      <c r="H17" s="59">
        <f>Inputs_Volumes!$A$1</f>
        <v>0</v>
      </c>
    </row>
    <row r="18" spans="2:8" ht="12.75" x14ac:dyDescent="0.2">
      <c r="D18" s="6" t="str">
        <f>Inputs_LRMC!$B$1</f>
        <v>Inputs - LRMC</v>
      </c>
      <c r="H18" s="59">
        <f>Inputs_LRMC!$A$1</f>
        <v>0</v>
      </c>
    </row>
    <row r="19" spans="2:8" ht="12.75" x14ac:dyDescent="0.2">
      <c r="D19" s="6" t="str">
        <f>Inputs_FY23_FY24!$B$1</f>
        <v>Inputs - FY23 and FY24</v>
      </c>
      <c r="H19" s="59">
        <f>Inputs_FY23_FY24!$A$1</f>
        <v>0</v>
      </c>
    </row>
    <row r="20" spans="2:8" ht="12.75" x14ac:dyDescent="0.2">
      <c r="D20" s="6" t="str">
        <f>Inputs_Other!$B$1</f>
        <v>Inputs - Other</v>
      </c>
      <c r="H20" s="59">
        <f>Inputs_Other!$A$1</f>
        <v>0</v>
      </c>
    </row>
    <row r="21" spans="2:8" ht="12.75" x14ac:dyDescent="0.2">
      <c r="B21" s="19"/>
      <c r="D21" s="6" t="str">
        <f>Calc_Revenue!$B$1</f>
        <v>Calculation - Cost of supply - Revenue</v>
      </c>
      <c r="H21" s="59">
        <f>Calc_Revenue!$A$1</f>
        <v>0</v>
      </c>
    </row>
    <row r="22" spans="2:8" ht="12.75" x14ac:dyDescent="0.2">
      <c r="C22" s="9"/>
      <c r="D22" s="6" t="str">
        <f>Calc_A_SA_Cost!$B$1</f>
        <v>Calculation - Avoidable and stand-alone cost</v>
      </c>
      <c r="H22" s="59">
        <f ca="1">Calc_A_SA_Cost!$A$1</f>
        <v>0</v>
      </c>
    </row>
    <row r="23" spans="2:8" ht="12.75" x14ac:dyDescent="0.2">
      <c r="C23" s="9"/>
      <c r="D23" s="6" t="str">
        <f>Calc_LRMC!$B$1</f>
        <v>Calculation - Long run marginal cost (LRMC)</v>
      </c>
      <c r="H23" s="59">
        <f ca="1">Calc_LRMC!$A$1</f>
        <v>0</v>
      </c>
    </row>
    <row r="24" spans="2:8" ht="12.75" x14ac:dyDescent="0.2">
      <c r="B24" s="19"/>
      <c r="D24" s="6" t="str">
        <f>Calc_LRMC_Tariff!$B$1</f>
        <v>Calculation - LRMC by tariff</v>
      </c>
      <c r="H24" s="59">
        <f ca="1">Calc_LRMC_Tariff!$A$1</f>
        <v>0</v>
      </c>
    </row>
    <row r="25" spans="2:8" ht="12.75" x14ac:dyDescent="0.2">
      <c r="B25" s="19"/>
      <c r="D25" s="6" t="str">
        <f>Calc_Residual_Tariff!$B$1</f>
        <v>Calculation - Residual cost</v>
      </c>
      <c r="H25" s="59">
        <f ca="1">Calc_Residual_Tariff!$A$1</f>
        <v>0</v>
      </c>
    </row>
    <row r="26" spans="2:8" ht="12.75" x14ac:dyDescent="0.2">
      <c r="D26" s="6" t="str">
        <f>Output_Revenue!$B$1</f>
        <v>Output - Forecast revenue</v>
      </c>
      <c r="H26" s="59">
        <f>Output_Revenue!$A$1</f>
        <v>0</v>
      </c>
    </row>
    <row r="27" spans="2:8" ht="12.75" x14ac:dyDescent="0.2">
      <c r="D27" s="11" t="str">
        <f>Output_AER_Compliance!$B$1</f>
        <v>Output - AER compliance</v>
      </c>
      <c r="H27" s="59">
        <f ca="1">Output_AER_Compliance!$A$1</f>
        <v>0</v>
      </c>
    </row>
    <row r="28" spans="2:8" ht="12.75" x14ac:dyDescent="0.2">
      <c r="D28" s="11" t="str">
        <f>Output_Charts!$B$1</f>
        <v>Output - Charts</v>
      </c>
      <c r="H28" s="59">
        <f>Output_Charts!$A$1</f>
        <v>0</v>
      </c>
    </row>
    <row r="29" spans="2:8" ht="12.75" x14ac:dyDescent="0.2">
      <c r="D29" s="11" t="str">
        <f>Output_Pricing_Proposal!$B$1</f>
        <v>Output - Pricing components of Regulatory Proposal</v>
      </c>
      <c r="H29" s="59">
        <f>Output_Pricing_Proposal!$A$1</f>
        <v>0</v>
      </c>
    </row>
    <row r="30" spans="2:8" ht="12.75" x14ac:dyDescent="0.2">
      <c r="D30" s="11" t="str">
        <f>Output_RIN!$B$1</f>
        <v>Output - Reset RIN</v>
      </c>
      <c r="H30" s="59">
        <f>Output_RIN!$A$1</f>
        <v>0</v>
      </c>
    </row>
    <row r="31" spans="2:8" ht="12.75" x14ac:dyDescent="0.2">
      <c r="C31" s="20"/>
      <c r="H31" s="22"/>
    </row>
    <row r="32" spans="2:8" ht="12.75" x14ac:dyDescent="0.2">
      <c r="C32" s="9" t="s">
        <v>768</v>
      </c>
      <c r="H32" s="23">
        <f ca="1">IF(SUM($H$16:$H$30)&gt;0,1,0)</f>
        <v>0</v>
      </c>
    </row>
    <row r="34" spans="2:2" s="2" customFormat="1" ht="15.75" x14ac:dyDescent="0.2">
      <c r="B34" s="2" t="s">
        <v>20</v>
      </c>
    </row>
  </sheetData>
  <conditionalFormatting sqref="B2">
    <cfRule type="cellIs" dxfId="0" priority="3" operator="notEqual">
      <formula>"No Errors Found"</formula>
    </cfRule>
  </conditionalFormatting>
  <hyperlinks>
    <hyperlink ref="B3:E3" location="TOC!A1" display="TOC!A1" xr:uid="{00000000-0004-0000-12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0C54394261D1F49917302149D5B0EAC" ma:contentTypeVersion="3" ma:contentTypeDescription="Create a new document." ma:contentTypeScope="" ma:versionID="58a910301a3b09a15e30bcaab5983f06">
  <xsd:schema xmlns:xsd="http://www.w3.org/2001/XMLSchema" xmlns:xs="http://www.w3.org/2001/XMLSchema" xmlns:p="http://schemas.microsoft.com/office/2006/metadata/properties" xmlns:ns2="c3a0edd0-a44a-4a49-97d6-ef81b583c919" targetNamespace="http://schemas.microsoft.com/office/2006/metadata/properties" ma:root="true" ma:fieldsID="09c9d31ad8dff51a33bd445b54648296" ns2:_="">
    <xsd:import namespace="c3a0edd0-a44a-4a49-97d6-ef81b583c9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a0edd0-a44a-4a49-97d6-ef81b583c9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D96C7-4ED0-4DE7-8CDA-AE28CBF240FF}">
  <ds:schemaRefs>
    <ds:schemaRef ds:uri="http://schemas.microsoft.com/PowerBIAddIn"/>
  </ds:schemaRefs>
</ds:datastoreItem>
</file>

<file path=customXml/itemProps2.xml><?xml version="1.0" encoding="utf-8"?>
<ds:datastoreItem xmlns:ds="http://schemas.openxmlformats.org/officeDocument/2006/customXml" ds:itemID="{40926FD7-A08A-4786-9F3F-6B7826CF99B5}">
  <ds:schemaRefs>
    <ds:schemaRef ds:uri="http://schemas.openxmlformats.org/package/2006/metadata/core-properties"/>
    <ds:schemaRef ds:uri="http://purl.org/dc/terms/"/>
    <ds:schemaRef ds:uri="http://purl.org/dc/elements/1.1/"/>
    <ds:schemaRef ds:uri="4eb6023d-658b-4527-be73-24b0518f0bf9"/>
    <ds:schemaRef ds:uri="http://schemas.microsoft.com/office/2006/documentManagement/types"/>
    <ds:schemaRef ds:uri="http://schemas.microsoft.com/office/infopath/2007/PartnerControls"/>
    <ds:schemaRef ds:uri="219a03a1-7fe7-42f3-bdad-55ca8d66a738"/>
    <ds:schemaRef ds:uri="http://purl.org/dc/dcmitype/"/>
    <ds:schemaRef ds:uri="e9ddd33f-6e0c-4ea4-b974-ce1f965c2a6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0E2466C-0299-4FD0-87D3-701ABCD8DC4B}">
  <ds:schemaRefs>
    <ds:schemaRef ds:uri="http://schemas.microsoft.com/sharepoint/v3/contenttype/forms"/>
  </ds:schemaRefs>
</ds:datastoreItem>
</file>

<file path=customXml/itemProps4.xml><?xml version="1.0" encoding="utf-8"?>
<ds:datastoreItem xmlns:ds="http://schemas.openxmlformats.org/officeDocument/2006/customXml" ds:itemID="{272DBF96-0668-4130-A3B7-D4EC2CC99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36</vt:i4>
      </vt:variant>
    </vt:vector>
  </HeadingPairs>
  <TitlesOfParts>
    <vt:vector size="55" baseType="lpstr">
      <vt:lpstr>Cover</vt:lpstr>
      <vt:lpstr>TOC</vt:lpstr>
      <vt:lpstr>Inputs_Prices</vt:lpstr>
      <vt:lpstr>Inputs_Volumes</vt:lpstr>
      <vt:lpstr>Inputs_LRMC</vt:lpstr>
      <vt:lpstr>Inputs_FY23_FY24</vt:lpstr>
      <vt:lpstr>Inputs_Other</vt:lpstr>
      <vt:lpstr>Calc_Revenue</vt:lpstr>
      <vt:lpstr>Calc_A_SA_Cost</vt:lpstr>
      <vt:lpstr>Calc_LRMC</vt:lpstr>
      <vt:lpstr>Calc_LRMC_Tariff</vt:lpstr>
      <vt:lpstr>Calc_Residual_Tariff</vt:lpstr>
      <vt:lpstr>Output_Revenue</vt:lpstr>
      <vt:lpstr>Output_AER_Compliance</vt:lpstr>
      <vt:lpstr>Output_Charts</vt:lpstr>
      <vt:lpstr>Output_Pricing_Proposal</vt:lpstr>
      <vt:lpstr>Output_RIN</vt:lpstr>
      <vt:lpstr>Lookup</vt:lpstr>
      <vt:lpstr>Checks</vt:lpstr>
      <vt:lpstr>Cents_to_Dollars</vt:lpstr>
      <vt:lpstr>Dollars</vt:lpstr>
      <vt:lpstr>Dollars_to_Thousands</vt:lpstr>
      <vt:lpstr>Factor</vt:lpstr>
      <vt:lpstr>GWh_to_MWh</vt:lpstr>
      <vt:lpstr>Kilometres</vt:lpstr>
      <vt:lpstr>LU_Basis</vt:lpstr>
      <vt:lpstr>LU_Revenue_Input</vt:lpstr>
      <vt:lpstr>LU_Tariff_Classes</vt:lpstr>
      <vt:lpstr>LU_Tariffs</vt:lpstr>
      <vt:lpstr>LU_Units</vt:lpstr>
      <vt:lpstr>LU_Voltage_Level</vt:lpstr>
      <vt:lpstr>Millions</vt:lpstr>
      <vt:lpstr>Model_Name</vt:lpstr>
      <vt:lpstr>Model_Start_Date</vt:lpstr>
      <vt:lpstr>Mths_In_Yr</vt:lpstr>
      <vt:lpstr>MW_to_kW</vt:lpstr>
      <vt:lpstr>MWh_to_kWh</vt:lpstr>
      <vt:lpstr>NA</vt:lpstr>
      <vt:lpstr>No</vt:lpstr>
      <vt:lpstr>No_Input</vt:lpstr>
      <vt:lpstr>Nominal</vt:lpstr>
      <vt:lpstr>Number</vt:lpstr>
      <vt:lpstr>Percent</vt:lpstr>
      <vt:lpstr>Power_Factor</vt:lpstr>
      <vt:lpstr>Real2022</vt:lpstr>
      <vt:lpstr>Real2023</vt:lpstr>
      <vt:lpstr>Real2024</vt:lpstr>
      <vt:lpstr>Thousands</vt:lpstr>
      <vt:lpstr>Thousands_to_Millions</vt:lpstr>
      <vt:lpstr>Title_Msg</vt:lpstr>
      <vt:lpstr>Typical_Consumption_Residential</vt:lpstr>
      <vt:lpstr>Typical_Consumption_Small_Business</vt:lpstr>
      <vt:lpstr>Voltage_Level_Mapping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2023-11-22T02:05:50Z</dcterms:created>
  <dcterms:modified xsi:type="dcterms:W3CDTF">2023-11-24T03:46:14Z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0x01010080C54394261D1F49917302149D5B0EAC</vt:lpwstr>
  </property>
</Properties>
</file>