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rawings/drawing11.xml" ContentType="application/vnd.openxmlformats-officedocument.drawingml.chartshapes+xml"/>
  <Override PartName="/xl/drawings/drawing9.xml" ContentType="application/vnd.openxmlformats-officedocument.drawingml.chartshapes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drawings/drawing12.xml" ContentType="application/vnd.openxmlformats-officedocument.drawing+xml"/>
  <Override PartName="/xl/charts/chart3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fileSharing readOnlyRecommended="1"/>
  <workbookPr filterPrivacy="1" codeName="ThisWorkbook"/>
  <xr:revisionPtr revIDLastSave="129" documentId="8_{8E76C338-5E8B-4135-BF21-F8388E7DD9B2}" xr6:coauthVersionLast="47" xr6:coauthVersionMax="47" xr10:uidLastSave="{6A66B52C-7872-4472-B353-5F81BCA00FE1}"/>
  <bookViews>
    <workbookView xWindow="-98" yWindow="-98" windowWidth="22695" windowHeight="14476" tabRatio="810" xr2:uid="{6D0BF23F-8CF6-4482-B19F-D1DE14E74A3B}"/>
  </bookViews>
  <sheets>
    <sheet name="ToC" sheetId="3" r:id="rId1"/>
    <sheet name="Input_General" sheetId="7" r:id="rId2"/>
    <sheet name="Input_CPI" sheetId="5" r:id="rId3"/>
    <sheet name="Input_Operating" sheetId="18" r:id="rId4"/>
    <sheet name="Input_Revenue" sheetId="11" r:id="rId5"/>
    <sheet name="Input_Opex" sheetId="12" r:id="rId6"/>
    <sheet name="Input_Capex" sheetId="15" r:id="rId7"/>
    <sheet name="Input_AMI" sheetId="22" r:id="rId8"/>
    <sheet name="Input_ACS" sheetId="27" r:id="rId9"/>
    <sheet name="Input_Capex_Projects" sheetId="63" r:id="rId10"/>
    <sheet name="Base Outputs&gt;" sheetId="33" r:id="rId11"/>
    <sheet name="Revenue" sheetId="13" r:id="rId12"/>
    <sheet name="Opex" sheetId="14" r:id="rId13"/>
    <sheet name="Capex" sheetId="16" r:id="rId14"/>
    <sheet name="ACS_Metering" sheetId="21" r:id="rId15"/>
    <sheet name="ACS" sheetId="28" r:id="rId16"/>
    <sheet name="Proposal&gt;" sheetId="31" r:id="rId17"/>
    <sheet name="Front" sheetId="78" r:id="rId18"/>
    <sheet name="Overview" sheetId="41" r:id="rId19"/>
    <sheet name="Summary" sheetId="79" r:id="rId20"/>
    <sheet name="1" sheetId="45" r:id="rId21"/>
    <sheet name="2" sheetId="44" r:id="rId22"/>
    <sheet name="3" sheetId="46" r:id="rId23"/>
    <sheet name="4" sheetId="47" r:id="rId24"/>
    <sheet name="5" sheetId="48" r:id="rId25"/>
    <sheet name="6" sheetId="49" r:id="rId26"/>
    <sheet name="7" sheetId="50" r:id="rId27"/>
    <sheet name="8" sheetId="51" r:id="rId28"/>
    <sheet name="9" sheetId="52" r:id="rId29"/>
    <sheet name="TSS" sheetId="73" r:id="rId30"/>
    <sheet name="TSES" sheetId="74" r:id="rId31"/>
    <sheet name="TSS_O" sheetId="75" r:id="rId32"/>
    <sheet name="Other Outputs&gt;" sheetId="32" r:id="rId33"/>
    <sheet name="Model_Links" sheetId="20" r:id="rId34"/>
    <sheet name="LookupTab" sheetId="6" r:id="rId35"/>
    <sheet name="Checks" sheetId="10" r:id="rId36"/>
  </sheets>
  <definedNames>
    <definedName name="_xlnm._FilterDatabase" localSheetId="9" hidden="1">Input_Capex_Projects!$C$11:$Q$131</definedName>
    <definedName name="AC_Asset_Class_Cur">Input_General!$E$28:$E$77</definedName>
    <definedName name="AC_RIN_Lvl_1">Input_General!$E$15:$E$23</definedName>
    <definedName name="Cash_Timing">LookupTab!$H$35:$H$36</definedName>
    <definedName name="Dollars">LookupTab!$H$24</definedName>
    <definedName name="End_Period">LookupTab!$H$36</definedName>
    <definedName name="Index_Period">LookupTab!$J$39:$AQ$39</definedName>
    <definedName name="Mid_Period">LookupTab!$H$35</definedName>
    <definedName name="Million">LookupTab!$H$15</definedName>
    <definedName name="Model_Checks">Checks!$E$40</definedName>
    <definedName name="Model_Name">Input_General!$E$8</definedName>
    <definedName name="Mths_In_Yr">LookupTab!$H$14</definedName>
    <definedName name="NA">LookupTab!$H$17</definedName>
    <definedName name="No">LookupTab!$H$28</definedName>
    <definedName name="Nominal">LookupTab!$H$12</definedName>
    <definedName name="Opex_RIN_Lvl_1">Input_General!$E$94:$E$101</definedName>
    <definedName name="Real_Input">LookupTab!$H$13</definedName>
    <definedName name="Round_DP">LookupTab!$H$16</definedName>
    <definedName name="Start_Year">LookupTab!$H$9</definedName>
    <definedName name="Timing_Adj">LookupTab!$I$35:$I$36</definedName>
    <definedName name="True_False">LookupTab!$H$31:$H$32</definedName>
    <definedName name="Unit_Dollar">LookupTab!$H$21</definedName>
    <definedName name="Unit_Dollar_M">LookupTab!$H$22</definedName>
    <definedName name="Unit_Index">LookupTab!$H$23</definedName>
    <definedName name="Unit_Perc">LookupTab!$H$20</definedName>
    <definedName name="Yes">LookupTab!$H$27</definedName>
    <definedName name="Yes_No">LookupTab!$H$27:$H$28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1" i="46" l="1"/>
  <c r="T131" i="46"/>
  <c r="T132" i="46"/>
  <c r="S132" i="46"/>
  <c r="S131" i="46" s="1"/>
  <c r="R132" i="46"/>
  <c r="R131" i="46" s="1"/>
  <c r="Q132" i="46"/>
  <c r="Q131" i="46" s="1"/>
  <c r="P132" i="46"/>
  <c r="G49" i="14"/>
  <c r="F49" i="14"/>
  <c r="E49" i="14"/>
  <c r="S34" i="12"/>
  <c r="Y365" i="41"/>
  <c r="X365" i="41"/>
  <c r="W365" i="41"/>
  <c r="V365" i="41"/>
  <c r="U365" i="41"/>
  <c r="T365" i="41"/>
  <c r="S365" i="41"/>
  <c r="R365" i="41"/>
  <c r="Q365" i="41"/>
  <c r="P365" i="41"/>
  <c r="O365" i="41"/>
  <c r="N365" i="41"/>
  <c r="M365" i="41"/>
  <c r="L365" i="41"/>
  <c r="K365" i="41"/>
  <c r="Y363" i="41"/>
  <c r="X363" i="41"/>
  <c r="W363" i="41"/>
  <c r="V363" i="41"/>
  <c r="U363" i="41"/>
  <c r="Y362" i="41"/>
  <c r="X362" i="41"/>
  <c r="W362" i="41"/>
  <c r="V362" i="41"/>
  <c r="U362" i="41"/>
  <c r="Y361" i="41"/>
  <c r="X361" i="41"/>
  <c r="W361" i="41"/>
  <c r="V361" i="41"/>
  <c r="U361" i="41"/>
  <c r="Y360" i="41"/>
  <c r="X360" i="41"/>
  <c r="W360" i="41"/>
  <c r="V360" i="41"/>
  <c r="U360" i="41"/>
  <c r="Y359" i="41"/>
  <c r="X359" i="41"/>
  <c r="W359" i="41"/>
  <c r="V359" i="41"/>
  <c r="U359" i="41"/>
  <c r="T363" i="41"/>
  <c r="S363" i="41"/>
  <c r="R363" i="41"/>
  <c r="Q363" i="41"/>
  <c r="P363" i="41"/>
  <c r="O363" i="41"/>
  <c r="N363" i="41"/>
  <c r="M363" i="41"/>
  <c r="L363" i="41"/>
  <c r="K363" i="41"/>
  <c r="T362" i="41"/>
  <c r="S362" i="41"/>
  <c r="R362" i="41"/>
  <c r="Q362" i="41"/>
  <c r="P362" i="41"/>
  <c r="O362" i="41"/>
  <c r="N362" i="41"/>
  <c r="M362" i="41"/>
  <c r="L362" i="41"/>
  <c r="K362" i="41"/>
  <c r="T361" i="41"/>
  <c r="S361" i="41"/>
  <c r="R361" i="41"/>
  <c r="Q361" i="41"/>
  <c r="P361" i="41"/>
  <c r="O361" i="41"/>
  <c r="N361" i="41"/>
  <c r="M361" i="41"/>
  <c r="L361" i="41"/>
  <c r="K361" i="41"/>
  <c r="T360" i="41"/>
  <c r="S360" i="41"/>
  <c r="R360" i="41"/>
  <c r="Q360" i="41"/>
  <c r="P360" i="41"/>
  <c r="O360" i="41"/>
  <c r="N360" i="41"/>
  <c r="M360" i="41"/>
  <c r="L360" i="41"/>
  <c r="K360" i="41"/>
  <c r="T359" i="41"/>
  <c r="S359" i="41"/>
  <c r="R359" i="41"/>
  <c r="Q359" i="41"/>
  <c r="P359" i="41"/>
  <c r="O359" i="41"/>
  <c r="N359" i="41"/>
  <c r="M359" i="41"/>
  <c r="L359" i="41"/>
  <c r="K359" i="41"/>
  <c r="I24" i="41"/>
  <c r="J24" i="41"/>
  <c r="J23" i="41"/>
  <c r="I127" i="46" l="1"/>
  <c r="I23" i="41" s="1"/>
  <c r="J110" i="44"/>
  <c r="I107" i="44"/>
  <c r="H107" i="44"/>
  <c r="G107" i="44"/>
  <c r="F107" i="44"/>
  <c r="E107" i="44"/>
  <c r="J108" i="44" l="1"/>
  <c r="J109" i="44"/>
  <c r="I16" i="41" l="1"/>
  <c r="I17" i="41"/>
  <c r="J28" i="41" l="1"/>
  <c r="J26" i="41"/>
  <c r="J27" i="41"/>
  <c r="O68" i="41" l="1"/>
  <c r="J197" i="41" l="1"/>
  <c r="J196" i="41"/>
  <c r="T108" i="41"/>
  <c r="Y107" i="41"/>
  <c r="X107" i="41"/>
  <c r="W107" i="41"/>
  <c r="V107" i="41"/>
  <c r="U107" i="41"/>
  <c r="S107" i="41"/>
  <c r="R107" i="41"/>
  <c r="Q107" i="41"/>
  <c r="P107" i="41"/>
  <c r="Y105" i="41"/>
  <c r="X105" i="41"/>
  <c r="W105" i="41"/>
  <c r="V105" i="41"/>
  <c r="U105" i="41"/>
  <c r="T106" i="41"/>
  <c r="S105" i="41"/>
  <c r="R105" i="41"/>
  <c r="Q105" i="41"/>
  <c r="P105" i="41"/>
  <c r="Q89" i="44"/>
  <c r="AD17" i="12" l="1"/>
  <c r="AK21" i="12"/>
  <c r="AJ21" i="12"/>
  <c r="AI21" i="12"/>
  <c r="AD13" i="12"/>
  <c r="AD18" i="12"/>
  <c r="AK11" i="12"/>
  <c r="AJ11" i="12"/>
  <c r="AI11" i="12"/>
  <c r="AH11" i="12"/>
  <c r="AG11" i="12"/>
  <c r="AE23" i="12"/>
  <c r="AD23" i="12"/>
  <c r="AC23" i="12"/>
  <c r="AB23" i="12"/>
  <c r="AA23" i="12"/>
  <c r="AA21" i="12"/>
  <c r="AD19" i="12"/>
  <c r="AD16" i="12"/>
  <c r="AD15" i="12"/>
  <c r="AD14" i="12"/>
  <c r="AD12" i="12"/>
  <c r="AG21" i="12" l="1"/>
  <c r="AH21" i="12"/>
  <c r="AC21" i="12"/>
  <c r="AD21" i="12"/>
  <c r="AB21" i="12"/>
  <c r="Y358" i="41" l="1"/>
  <c r="X358" i="41"/>
  <c r="W358" i="41"/>
  <c r="V358" i="41"/>
  <c r="U358" i="41"/>
  <c r="T358" i="41"/>
  <c r="S358" i="41"/>
  <c r="R358" i="41"/>
  <c r="Q358" i="41"/>
  <c r="P358" i="41"/>
  <c r="O358" i="41"/>
  <c r="N358" i="41"/>
  <c r="M358" i="41"/>
  <c r="L358" i="41"/>
  <c r="K358" i="41"/>
  <c r="D24" i="10" l="1"/>
  <c r="D24" i="3"/>
  <c r="R47" i="79"/>
  <c r="G23" i="79"/>
  <c r="G24" i="79" s="1"/>
  <c r="G25" i="79" s="1"/>
  <c r="B4" i="79"/>
  <c r="B2" i="79"/>
  <c r="T66" i="41"/>
  <c r="S66" i="41"/>
  <c r="R66" i="41"/>
  <c r="Q66" i="41"/>
  <c r="P66" i="41"/>
  <c r="AD66" i="41"/>
  <c r="AC66" i="41"/>
  <c r="AB66" i="41"/>
  <c r="AA66" i="41"/>
  <c r="Z66" i="41"/>
  <c r="AD65" i="41"/>
  <c r="AC65" i="41"/>
  <c r="AB65" i="41"/>
  <c r="AA65" i="41"/>
  <c r="Z65" i="41"/>
  <c r="Y65" i="41"/>
  <c r="X65" i="41"/>
  <c r="W65" i="41"/>
  <c r="V65" i="41"/>
  <c r="U65" i="41"/>
  <c r="O63" i="41"/>
  <c r="O62" i="41"/>
  <c r="O61" i="41"/>
  <c r="O60" i="41"/>
  <c r="O59" i="41"/>
  <c r="AD58" i="41"/>
  <c r="AC58" i="41"/>
  <c r="AB58" i="41"/>
  <c r="AA58" i="41"/>
  <c r="Z58" i="41"/>
  <c r="Y58" i="41"/>
  <c r="X58" i="41"/>
  <c r="W58" i="41"/>
  <c r="V58" i="41"/>
  <c r="U58" i="41"/>
  <c r="T58" i="41"/>
  <c r="S58" i="41"/>
  <c r="R58" i="41"/>
  <c r="Q58" i="41"/>
  <c r="P58" i="41"/>
  <c r="Z57" i="41"/>
  <c r="U57" i="41"/>
  <c r="P57" i="41"/>
  <c r="P47" i="79" l="1"/>
  <c r="Q22" i="79"/>
  <c r="E20" i="79" s="1"/>
  <c r="Q47" i="79"/>
  <c r="P22" i="79"/>
  <c r="E22" i="79" s="1"/>
  <c r="R22" i="79"/>
  <c r="F26" i="79" s="1"/>
  <c r="E30" i="79"/>
  <c r="J134" i="41"/>
  <c r="J133" i="41"/>
  <c r="J132" i="41"/>
  <c r="J131" i="41"/>
  <c r="J130" i="41"/>
  <c r="J129" i="41"/>
  <c r="J128" i="41"/>
  <c r="J127" i="41"/>
  <c r="E21" i="79" l="1"/>
  <c r="E45" i="79"/>
  <c r="E46" i="79"/>
  <c r="F95" i="46" l="1"/>
  <c r="G95" i="46" s="1"/>
  <c r="H95" i="46" s="1"/>
  <c r="I95" i="46" s="1"/>
  <c r="AD249" i="41" l="1"/>
  <c r="AC249" i="41"/>
  <c r="AB249" i="41"/>
  <c r="AA249" i="41"/>
  <c r="Z249" i="41"/>
  <c r="Y249" i="41"/>
  <c r="X249" i="41"/>
  <c r="W249" i="41"/>
  <c r="V249" i="41"/>
  <c r="U249" i="41"/>
  <c r="T249" i="41"/>
  <c r="S249" i="41"/>
  <c r="R249" i="41"/>
  <c r="Q249" i="41"/>
  <c r="P249" i="41"/>
  <c r="Z248" i="41"/>
  <c r="U248" i="41"/>
  <c r="P248" i="41"/>
  <c r="H238" i="41" l="1"/>
  <c r="F238" i="41"/>
  <c r="G238" i="41"/>
  <c r="I238" i="41"/>
  <c r="E238" i="41"/>
  <c r="J236" i="41" l="1"/>
  <c r="J237" i="41"/>
  <c r="J235" i="41"/>
  <c r="J234" i="41"/>
  <c r="J233" i="41"/>
  <c r="J230" i="41"/>
  <c r="W20" i="16"/>
  <c r="V20" i="16"/>
  <c r="U20" i="16"/>
  <c r="T20" i="16"/>
  <c r="Z153" i="41"/>
  <c r="AA153" i="41"/>
  <c r="AB153" i="41"/>
  <c r="AC153" i="41"/>
  <c r="AD153" i="41"/>
  <c r="Z145" i="41"/>
  <c r="U145" i="41"/>
  <c r="P145" i="41"/>
  <c r="Q146" i="41"/>
  <c r="R146" i="41"/>
  <c r="S146" i="41"/>
  <c r="T146" i="41"/>
  <c r="U146" i="41"/>
  <c r="V146" i="41"/>
  <c r="W146" i="41"/>
  <c r="X146" i="41"/>
  <c r="Y146" i="41"/>
  <c r="Z146" i="41"/>
  <c r="AA146" i="41"/>
  <c r="AB146" i="41"/>
  <c r="AC146" i="41"/>
  <c r="AD146" i="41"/>
  <c r="P146" i="41"/>
  <c r="J136" i="41" l="1"/>
  <c r="J137" i="41"/>
  <c r="J238" i="41"/>
  <c r="J240" i="41" l="1"/>
  <c r="AT480" i="74" l="1"/>
  <c r="S538" i="74" s="1"/>
  <c r="E14" i="79" l="1"/>
  <c r="E15" i="79" s="1"/>
  <c r="G520" i="73"/>
  <c r="H520" i="73" s="1"/>
  <c r="I520" i="73" s="1"/>
  <c r="J520" i="73" s="1"/>
  <c r="G527" i="73"/>
  <c r="G508" i="73"/>
  <c r="H508" i="73" s="1"/>
  <c r="I508" i="73" s="1"/>
  <c r="J508" i="73" s="1"/>
  <c r="G509" i="73"/>
  <c r="H509" i="73" s="1"/>
  <c r="I509" i="73" s="1"/>
  <c r="J509" i="73" s="1"/>
  <c r="G521" i="73"/>
  <c r="H521" i="73" s="1"/>
  <c r="I521" i="73" s="1"/>
  <c r="J521" i="73" s="1"/>
  <c r="G522" i="73"/>
  <c r="H522" i="73" s="1"/>
  <c r="I522" i="73" s="1"/>
  <c r="J522" i="73" s="1"/>
  <c r="G531" i="73"/>
  <c r="H531" i="73" s="1"/>
  <c r="I531" i="73" s="1"/>
  <c r="J531" i="73" s="1"/>
  <c r="G525" i="73"/>
  <c r="H525" i="73" s="1"/>
  <c r="I525" i="73" s="1"/>
  <c r="J525" i="73" s="1"/>
  <c r="G529" i="73"/>
  <c r="H529" i="73" s="1"/>
  <c r="I529" i="73" s="1"/>
  <c r="J529" i="73" s="1"/>
  <c r="G530" i="73"/>
  <c r="H530" i="73" s="1"/>
  <c r="I530" i="73" s="1"/>
  <c r="J530" i="73" s="1"/>
  <c r="G511" i="73"/>
  <c r="H511" i="73" s="1"/>
  <c r="I511" i="73" s="1"/>
  <c r="J511" i="73" s="1"/>
  <c r="G523" i="73"/>
  <c r="H523" i="73" s="1"/>
  <c r="I523" i="73" s="1"/>
  <c r="J523" i="73" s="1"/>
  <c r="G524" i="73"/>
  <c r="H524" i="73" s="1"/>
  <c r="I524" i="73" s="1"/>
  <c r="J524" i="73" s="1"/>
  <c r="G513" i="73"/>
  <c r="H513" i="73" s="1"/>
  <c r="I513" i="73" s="1"/>
  <c r="J513" i="73" s="1"/>
  <c r="G506" i="73"/>
  <c r="H506" i="73" s="1"/>
  <c r="I506" i="73" s="1"/>
  <c r="J506" i="73" s="1"/>
  <c r="G510" i="73"/>
  <c r="H510" i="73" s="1"/>
  <c r="I510" i="73" s="1"/>
  <c r="J510" i="73" s="1"/>
  <c r="G512" i="73"/>
  <c r="H512" i="73" s="1"/>
  <c r="I512" i="73" s="1"/>
  <c r="J512" i="73" s="1"/>
  <c r="G532" i="73"/>
  <c r="H532" i="73" s="1"/>
  <c r="I532" i="73" s="1"/>
  <c r="J532" i="73" s="1"/>
  <c r="G505" i="73"/>
  <c r="H505" i="73" s="1"/>
  <c r="I505" i="73" s="1"/>
  <c r="J505" i="73" s="1"/>
  <c r="G517" i="73"/>
  <c r="H517" i="73" s="1"/>
  <c r="I517" i="73" s="1"/>
  <c r="J517" i="73" s="1"/>
  <c r="G533" i="73"/>
  <c r="H533" i="73" s="1"/>
  <c r="I533" i="73" s="1"/>
  <c r="J533" i="73" s="1"/>
  <c r="G514" i="73"/>
  <c r="H514" i="73" s="1"/>
  <c r="I514" i="73" s="1"/>
  <c r="J514" i="73" s="1"/>
  <c r="G518" i="73"/>
  <c r="H518" i="73" s="1"/>
  <c r="I518" i="73" s="1"/>
  <c r="J518" i="73" s="1"/>
  <c r="G526" i="73"/>
  <c r="H526" i="73" s="1"/>
  <c r="I526" i="73" s="1"/>
  <c r="J526" i="73" s="1"/>
  <c r="G507" i="73"/>
  <c r="H507" i="73" s="1"/>
  <c r="I507" i="73" s="1"/>
  <c r="J507" i="73" s="1"/>
  <c r="G515" i="73"/>
  <c r="H515" i="73" s="1"/>
  <c r="I515" i="73" s="1"/>
  <c r="J515" i="73" s="1"/>
  <c r="G519" i="73"/>
  <c r="H519" i="73" s="1"/>
  <c r="I519" i="73" s="1"/>
  <c r="J519" i="73" s="1"/>
  <c r="H527" i="73"/>
  <c r="I527" i="73" s="1"/>
  <c r="J527" i="73" s="1"/>
  <c r="G528" i="73"/>
  <c r="H528" i="73" s="1"/>
  <c r="I528" i="73" s="1"/>
  <c r="J528" i="73" s="1"/>
  <c r="G547" i="73"/>
  <c r="H547" i="73" s="1"/>
  <c r="I547" i="73" s="1"/>
  <c r="J547" i="73" s="1"/>
  <c r="G548" i="73"/>
  <c r="H548" i="73" s="1"/>
  <c r="I548" i="73" s="1"/>
  <c r="J548" i="73" s="1"/>
  <c r="G540" i="73"/>
  <c r="H540" i="73" s="1"/>
  <c r="I540" i="73" s="1"/>
  <c r="J540" i="73" s="1"/>
  <c r="G541" i="73"/>
  <c r="H541" i="73" s="1"/>
  <c r="I541" i="73" s="1"/>
  <c r="J541" i="73" s="1"/>
  <c r="G542" i="73"/>
  <c r="H542" i="73" s="1"/>
  <c r="I542" i="73" s="1"/>
  <c r="J542" i="73" s="1"/>
  <c r="G545" i="73"/>
  <c r="H545" i="73" s="1"/>
  <c r="I545" i="73" s="1"/>
  <c r="J545" i="73" s="1"/>
  <c r="G543" i="73"/>
  <c r="H543" i="73" s="1"/>
  <c r="I543" i="73" s="1"/>
  <c r="J543" i="73" s="1"/>
  <c r="G546" i="73"/>
  <c r="H546" i="73" s="1"/>
  <c r="I546" i="73" s="1"/>
  <c r="J546" i="73" s="1"/>
  <c r="AW480" i="74" l="1"/>
  <c r="AV480" i="74"/>
  <c r="AU480" i="74"/>
  <c r="T471" i="74"/>
  <c r="E350" i="41" l="1"/>
  <c r="E351" i="41"/>
  <c r="J55" i="51" l="1"/>
  <c r="J54" i="51"/>
  <c r="J53" i="51"/>
  <c r="J52" i="51"/>
  <c r="J50" i="51"/>
  <c r="J49" i="51"/>
  <c r="J48" i="51"/>
  <c r="J47" i="51"/>
  <c r="J45" i="51"/>
  <c r="J44" i="51"/>
  <c r="J43" i="51"/>
  <c r="J42" i="51"/>
  <c r="I192" i="48" l="1"/>
  <c r="G207" i="48"/>
  <c r="I207" i="48"/>
  <c r="E192" i="48"/>
  <c r="E207" i="48"/>
  <c r="G192" i="48"/>
  <c r="F192" i="48"/>
  <c r="F207" i="48"/>
  <c r="H192" i="48"/>
  <c r="H207" i="48"/>
  <c r="I169" i="48"/>
  <c r="E169" i="48"/>
  <c r="F169" i="48"/>
  <c r="G169" i="48"/>
  <c r="H169" i="48"/>
  <c r="J207" i="48" l="1"/>
  <c r="I201" i="48" s="1"/>
  <c r="J206" i="48"/>
  <c r="J168" i="48"/>
  <c r="J37" i="51" l="1"/>
  <c r="J39" i="51"/>
  <c r="J38" i="51"/>
  <c r="F130" i="48" l="1"/>
  <c r="I130" i="48"/>
  <c r="G130" i="48"/>
  <c r="H130" i="48"/>
  <c r="E130" i="48"/>
  <c r="G151" i="48"/>
  <c r="H151" i="48"/>
  <c r="J150" i="48"/>
  <c r="I151" i="48"/>
  <c r="F151" i="48"/>
  <c r="E151" i="48"/>
  <c r="R24" i="48"/>
  <c r="R26" i="48" s="1"/>
  <c r="R27" i="48" s="1"/>
  <c r="J151" i="48" l="1"/>
  <c r="I141" i="48" s="1"/>
  <c r="Q24" i="48"/>
  <c r="Q26" i="48" s="1"/>
  <c r="Q27" i="48" s="1"/>
  <c r="I39" i="48" l="1"/>
  <c r="P24" i="48" l="1"/>
  <c r="I22" i="48" l="1"/>
  <c r="P26" i="48"/>
  <c r="P27" i="48" s="1"/>
  <c r="I23" i="48"/>
  <c r="I21" i="48" l="1"/>
  <c r="I24" i="48"/>
  <c r="D136" i="46" l="1"/>
  <c r="J95" i="44" l="1"/>
  <c r="J94" i="44"/>
  <c r="J96" i="44"/>
  <c r="J146" i="46"/>
  <c r="J101" i="44"/>
  <c r="J103" i="44"/>
  <c r="J102" i="44"/>
  <c r="F66" i="44" l="1"/>
  <c r="E66" i="44"/>
  <c r="E65" i="44"/>
  <c r="E64" i="44"/>
  <c r="F63" i="44"/>
  <c r="E63" i="44"/>
  <c r="E62" i="44"/>
  <c r="G61" i="44"/>
  <c r="F61" i="44"/>
  <c r="E61" i="44"/>
  <c r="G60" i="44"/>
  <c r="E60" i="44"/>
  <c r="J46" i="44"/>
  <c r="J42" i="44"/>
  <c r="J40" i="44"/>
  <c r="J30" i="44"/>
  <c r="J29" i="44"/>
  <c r="J17" i="44"/>
  <c r="J15" i="44"/>
  <c r="J14" i="44"/>
  <c r="J25" i="44"/>
  <c r="AA88" i="44" l="1"/>
  <c r="AC81" i="44"/>
  <c r="F62" i="44"/>
  <c r="F65" i="44"/>
  <c r="F60" i="44"/>
  <c r="F64" i="44"/>
  <c r="AC82" i="44"/>
  <c r="P301" i="41"/>
  <c r="J29" i="51" l="1"/>
  <c r="V87" i="15"/>
  <c r="J148" i="48" l="1"/>
  <c r="J147" i="48"/>
  <c r="J149" i="48"/>
  <c r="Z60" i="46" l="1"/>
  <c r="Z61" i="46"/>
  <c r="Z59" i="46"/>
  <c r="I22" i="51" l="1"/>
  <c r="R15" i="52" l="1"/>
  <c r="J28" i="51" l="1"/>
  <c r="J130" i="48" l="1"/>
  <c r="J27" i="46"/>
  <c r="J22" i="46" l="1"/>
  <c r="J41" i="44"/>
  <c r="J39" i="44"/>
  <c r="I131" i="46"/>
  <c r="I100" i="44" l="1"/>
  <c r="H100" i="44"/>
  <c r="G100" i="44"/>
  <c r="F100" i="44"/>
  <c r="E100" i="44"/>
  <c r="I93" i="44" l="1"/>
  <c r="H93" i="44"/>
  <c r="G93" i="44"/>
  <c r="F93" i="44"/>
  <c r="E93" i="44"/>
  <c r="S65" i="74" l="1"/>
  <c r="S67" i="74"/>
  <c r="P80" i="48" l="1"/>
  <c r="P79" i="48"/>
  <c r="P78" i="48"/>
  <c r="Q83" i="48"/>
  <c r="P77" i="48"/>
  <c r="P76" i="48"/>
  <c r="P75" i="48"/>
  <c r="O68" i="48"/>
  <c r="O69" i="48" s="1"/>
  <c r="O70" i="48" s="1"/>
  <c r="O71" i="48" s="1"/>
  <c r="O72" i="48" s="1"/>
  <c r="O73" i="48" s="1"/>
  <c r="O74" i="48" s="1"/>
  <c r="O75" i="48" s="1"/>
  <c r="O76" i="48" s="1"/>
  <c r="O77" i="48" s="1"/>
  <c r="O78" i="48" s="1"/>
  <c r="O79" i="48" s="1"/>
  <c r="O80" i="48" s="1"/>
  <c r="O81" i="48" s="1"/>
  <c r="Q72" i="48" l="1"/>
  <c r="W72" i="48" s="1"/>
  <c r="R72" i="48" l="1"/>
  <c r="V72" i="48"/>
  <c r="J146" i="48"/>
  <c r="I131" i="48"/>
  <c r="H131" i="48"/>
  <c r="G131" i="48"/>
  <c r="F131" i="48"/>
  <c r="E131" i="48"/>
  <c r="J13" i="48"/>
  <c r="J12" i="48"/>
  <c r="J12" i="47"/>
  <c r="J17" i="47" s="1"/>
  <c r="I29" i="47"/>
  <c r="J131" i="48" l="1"/>
  <c r="I119" i="48" s="1"/>
  <c r="I118" i="48"/>
  <c r="J13" i="47"/>
  <c r="J14" i="47" s="1"/>
  <c r="J15" i="47" s="1"/>
  <c r="I19" i="47" l="1"/>
  <c r="P67" i="46" l="1"/>
  <c r="P66" i="46"/>
  <c r="P65" i="46"/>
  <c r="P64" i="46"/>
  <c r="Q70" i="46"/>
  <c r="O59" i="46"/>
  <c r="O60" i="46" s="1"/>
  <c r="O61" i="46" s="1"/>
  <c r="O62" i="46" s="1"/>
  <c r="O63" i="46" s="1"/>
  <c r="O64" i="46" s="1"/>
  <c r="O65" i="46" s="1"/>
  <c r="O66" i="46" s="1"/>
  <c r="O67" i="46" s="1"/>
  <c r="O68" i="46" s="1"/>
  <c r="J53" i="46"/>
  <c r="J46" i="46"/>
  <c r="J47" i="46" s="1"/>
  <c r="J48" i="46" s="1"/>
  <c r="J49" i="46" s="1"/>
  <c r="J50" i="46" s="1"/>
  <c r="J51" i="46" s="1"/>
  <c r="J43" i="46"/>
  <c r="J25" i="46"/>
  <c r="J23" i="46"/>
  <c r="J18" i="46"/>
  <c r="J17" i="46"/>
  <c r="I18" i="46"/>
  <c r="Q63" i="46" s="1"/>
  <c r="D59" i="44"/>
  <c r="P82" i="44"/>
  <c r="P81" i="44"/>
  <c r="P80" i="44"/>
  <c r="P79" i="44"/>
  <c r="P78" i="44"/>
  <c r="O72" i="44"/>
  <c r="O73" i="44" s="1"/>
  <c r="O74" i="44" s="1"/>
  <c r="O75" i="44" s="1"/>
  <c r="O76" i="44" s="1"/>
  <c r="O77" i="44" s="1"/>
  <c r="O78" i="44" s="1"/>
  <c r="O79" i="44" s="1"/>
  <c r="O80" i="44" s="1"/>
  <c r="O81" i="44" s="1"/>
  <c r="O82" i="44" s="1"/>
  <c r="O83" i="44" s="1"/>
  <c r="P113" i="41"/>
  <c r="Y110" i="41"/>
  <c r="X110" i="41"/>
  <c r="W110" i="41"/>
  <c r="V110" i="41"/>
  <c r="U110" i="41"/>
  <c r="S109" i="41"/>
  <c r="R109" i="41"/>
  <c r="Q109" i="41"/>
  <c r="P109" i="41"/>
  <c r="S108" i="41"/>
  <c r="R108" i="41"/>
  <c r="Q108" i="41"/>
  <c r="P108" i="41"/>
  <c r="S106" i="41"/>
  <c r="R106" i="41"/>
  <c r="Q106" i="41"/>
  <c r="P106" i="41"/>
  <c r="Y104" i="41"/>
  <c r="X104" i="41"/>
  <c r="W104" i="41"/>
  <c r="V104" i="41"/>
  <c r="U104" i="41"/>
  <c r="T104" i="41"/>
  <c r="Y103" i="41"/>
  <c r="X103" i="41"/>
  <c r="W103" i="41"/>
  <c r="V103" i="41"/>
  <c r="U103" i="41"/>
  <c r="T103" i="41"/>
  <c r="S103" i="41"/>
  <c r="R103" i="41"/>
  <c r="Q103" i="41"/>
  <c r="P103" i="41"/>
  <c r="U102" i="41"/>
  <c r="T102" i="41"/>
  <c r="P102" i="41"/>
  <c r="U101" i="41"/>
  <c r="P101" i="41"/>
  <c r="S216" i="41"/>
  <c r="T216" i="41" s="1"/>
  <c r="O216" i="41" s="1"/>
  <c r="R214" i="41"/>
  <c r="Q214" i="41"/>
  <c r="P214" i="41"/>
  <c r="R207" i="41"/>
  <c r="Y292" i="41"/>
  <c r="X292" i="41"/>
  <c r="W292" i="41"/>
  <c r="V292" i="41"/>
  <c r="U292" i="41"/>
  <c r="T292" i="41"/>
  <c r="S292" i="41"/>
  <c r="R292" i="41"/>
  <c r="Q292" i="41"/>
  <c r="P292" i="41"/>
  <c r="I112" i="48"/>
  <c r="I116" i="48" s="1"/>
  <c r="J193" i="41"/>
  <c r="J190" i="41"/>
  <c r="J189" i="41"/>
  <c r="J186" i="41"/>
  <c r="J185" i="41"/>
  <c r="J182" i="41"/>
  <c r="J181" i="41"/>
  <c r="J178" i="41"/>
  <c r="J177" i="41"/>
  <c r="J174" i="41"/>
  <c r="J173" i="41"/>
  <c r="J172" i="41"/>
  <c r="J20" i="41"/>
  <c r="J19" i="41"/>
  <c r="J96" i="41"/>
  <c r="I85" i="41"/>
  <c r="Q25" i="46"/>
  <c r="Q27" i="46" l="1"/>
  <c r="Q123" i="46"/>
  <c r="J86" i="41"/>
  <c r="I178" i="41"/>
  <c r="Q178" i="48"/>
  <c r="I180" i="48" s="1"/>
  <c r="J87" i="41"/>
  <c r="Q23" i="46"/>
  <c r="J85" i="41"/>
  <c r="P115" i="41"/>
  <c r="S217" i="41"/>
  <c r="T217" i="41" s="1"/>
  <c r="J90" i="41"/>
  <c r="J91" i="41"/>
  <c r="J92" i="41"/>
  <c r="J22" i="41"/>
  <c r="J95" i="41"/>
  <c r="I23" i="46" l="1"/>
  <c r="I85" i="46"/>
  <c r="O217" i="41"/>
  <c r="S218" i="41"/>
  <c r="T218" i="41" s="1"/>
  <c r="O218" i="41" l="1"/>
  <c r="S219" i="41"/>
  <c r="T219" i="41" s="1"/>
  <c r="O219" i="41" l="1"/>
  <c r="S220" i="41"/>
  <c r="T220" i="41" s="1"/>
  <c r="O220" i="41" l="1"/>
  <c r="I125" i="46" l="1"/>
  <c r="I130" i="46" s="1"/>
  <c r="P23" i="46"/>
  <c r="P27" i="46" l="1"/>
  <c r="Y61" i="46" s="1"/>
  <c r="Q61" i="46" s="1"/>
  <c r="P123" i="46"/>
  <c r="I124" i="46" s="1"/>
  <c r="I22" i="46"/>
  <c r="Y59" i="46"/>
  <c r="Q59" i="46" s="1"/>
  <c r="I95" i="41"/>
  <c r="P25" i="46"/>
  <c r="Y60" i="46" s="1"/>
  <c r="Q60" i="46" s="1"/>
  <c r="I90" i="41"/>
  <c r="I82" i="46"/>
  <c r="I84" i="46" s="1"/>
  <c r="I27" i="46" l="1"/>
  <c r="I25" i="46"/>
  <c r="S114" i="41" l="1"/>
  <c r="P150" i="48" l="1"/>
  <c r="I162" i="48"/>
  <c r="I52" i="48" l="1"/>
  <c r="P178" i="48"/>
  <c r="I182" i="41"/>
  <c r="I57" i="48"/>
  <c r="I45" i="48"/>
  <c r="I190" i="41"/>
  <c r="I55" i="48"/>
  <c r="I186" i="41"/>
  <c r="I54" i="48"/>
  <c r="I194" i="41"/>
  <c r="I56" i="48"/>
  <c r="I111" i="48"/>
  <c r="I113" i="48" s="1"/>
  <c r="I179" i="48" l="1"/>
  <c r="I185" i="48"/>
  <c r="I173" i="41"/>
  <c r="I26" i="48" l="1"/>
  <c r="I172" i="41" l="1"/>
  <c r="I19" i="41"/>
  <c r="Q68" i="48" l="1"/>
  <c r="W68" i="48" l="1"/>
  <c r="V68" i="48"/>
  <c r="R68" i="48"/>
  <c r="Q71" i="48"/>
  <c r="Q70" i="48"/>
  <c r="Q69" i="48"/>
  <c r="W69" i="48" l="1"/>
  <c r="R69" i="48"/>
  <c r="V69" i="48"/>
  <c r="R70" i="48"/>
  <c r="V70" i="48"/>
  <c r="W70" i="48"/>
  <c r="R71" i="48"/>
  <c r="W71" i="48"/>
  <c r="V71" i="48"/>
  <c r="AA74" i="48"/>
  <c r="J17" i="41" l="1"/>
  <c r="Q74" i="48" l="1"/>
  <c r="I17" i="48"/>
  <c r="I17" i="46" l="1"/>
  <c r="I43" i="46"/>
  <c r="Q58" i="46" l="1"/>
  <c r="I21" i="46"/>
  <c r="I20" i="46"/>
  <c r="I29" i="46" s="1"/>
  <c r="U62" i="46" l="1"/>
  <c r="U59" i="46"/>
  <c r="U60" i="46"/>
  <c r="U61" i="46"/>
  <c r="Q67" i="48" l="1"/>
  <c r="I49" i="48"/>
  <c r="I18" i="48"/>
  <c r="I19" i="48"/>
  <c r="Z74" i="48" l="1"/>
  <c r="Q73" i="48"/>
  <c r="U72" i="48"/>
  <c r="U71" i="48"/>
  <c r="T67" i="48"/>
  <c r="U68" i="48"/>
  <c r="U70" i="48"/>
  <c r="U69" i="48"/>
  <c r="R67" i="48"/>
  <c r="W74" i="48"/>
  <c r="T74" i="48"/>
  <c r="R74" i="48"/>
  <c r="V73" i="48" l="1"/>
  <c r="U73" i="48"/>
  <c r="W73" i="48"/>
  <c r="R73" i="48"/>
  <c r="Q72" i="44" l="1"/>
  <c r="W72" i="44" s="1"/>
  <c r="R72" i="44" l="1"/>
  <c r="V72" i="44"/>
  <c r="Q74" i="44" l="1"/>
  <c r="V74" i="44" s="1"/>
  <c r="R74" i="44" l="1"/>
  <c r="W74" i="44"/>
  <c r="Q73" i="44"/>
  <c r="R73" i="44" s="1"/>
  <c r="W73" i="44" l="1"/>
  <c r="V73" i="44"/>
  <c r="Q75" i="44" l="1"/>
  <c r="W75" i="44" s="1"/>
  <c r="R75" i="44" l="1"/>
  <c r="V75" i="44"/>
  <c r="Q76" i="44" l="1"/>
  <c r="V76" i="44" s="1"/>
  <c r="Q71" i="44"/>
  <c r="AA78" i="44"/>
  <c r="W76" i="44" l="1"/>
  <c r="R76" i="44"/>
  <c r="U72" i="44"/>
  <c r="U74" i="44"/>
  <c r="U73" i="44"/>
  <c r="U75" i="44"/>
  <c r="U76" i="44"/>
  <c r="Q77" i="44"/>
  <c r="T71" i="44"/>
  <c r="R71" i="44"/>
  <c r="W77" i="44" l="1"/>
  <c r="T77" i="44"/>
  <c r="R77" i="44"/>
  <c r="T58" i="46" l="1"/>
  <c r="R58" i="46"/>
  <c r="T533" i="74" l="1"/>
  <c r="S536" i="74"/>
  <c r="R68" i="74"/>
  <c r="F350" i="41" l="1"/>
  <c r="G350" i="41"/>
  <c r="H350" i="41"/>
  <c r="I350" i="41"/>
  <c r="F351" i="41"/>
  <c r="G351" i="41"/>
  <c r="H351" i="41"/>
  <c r="I351" i="41"/>
  <c r="I14" i="44" l="1"/>
  <c r="I17" i="44" l="1"/>
  <c r="I15" i="44" s="1"/>
  <c r="I16" i="44" s="1"/>
  <c r="I46" i="44" l="1"/>
  <c r="I18" i="78" l="1"/>
  <c r="I16" i="78"/>
  <c r="E48" i="15"/>
  <c r="D22" i="10" l="1"/>
  <c r="D22" i="3"/>
  <c r="B4" i="78" l="1"/>
  <c r="B2" i="78"/>
  <c r="A1" i="78"/>
  <c r="E22" i="10" s="1"/>
  <c r="D13" i="10" l="1"/>
  <c r="T68" i="18" l="1"/>
  <c r="U68" i="18" s="1"/>
  <c r="V68" i="18" s="1"/>
  <c r="G68" i="18"/>
  <c r="F68" i="18"/>
  <c r="E68" i="18"/>
  <c r="W68" i="18" l="1"/>
  <c r="X68" i="18" l="1"/>
  <c r="S16" i="18" l="1"/>
  <c r="X70" i="18" l="1"/>
  <c r="W70" i="18"/>
  <c r="V70" i="18"/>
  <c r="U70" i="18"/>
  <c r="T70" i="18"/>
  <c r="S70" i="18"/>
  <c r="X16" i="18" l="1"/>
  <c r="W16" i="18"/>
  <c r="V16" i="18"/>
  <c r="U16" i="18"/>
  <c r="T16" i="18"/>
  <c r="R70" i="18" l="1"/>
  <c r="R16" i="18"/>
  <c r="R81" i="18" l="1"/>
  <c r="B4" i="63"/>
  <c r="R82" i="18" l="1"/>
  <c r="X48" i="16" l="1"/>
  <c r="Y48" i="16"/>
  <c r="Z48" i="16"/>
  <c r="AA48" i="16"/>
  <c r="AB48" i="16"/>
  <c r="AC48" i="16"/>
  <c r="J10" i="5"/>
  <c r="J27" i="5" s="1" a="1"/>
  <c r="J27" i="5" s="1"/>
  <c r="L82" i="18"/>
  <c r="M82" i="18"/>
  <c r="S106" i="21"/>
  <c r="Q107" i="21"/>
  <c r="Q108" i="21"/>
  <c r="Q109" i="21"/>
  <c r="Q110" i="21"/>
  <c r="Q111" i="21"/>
  <c r="Q112" i="21"/>
  <c r="Q113" i="21"/>
  <c r="Q114" i="21"/>
  <c r="Q115" i="21"/>
  <c r="P106" i="21"/>
  <c r="P107" i="21"/>
  <c r="P108" i="21"/>
  <c r="P109" i="21"/>
  <c r="P110" i="21"/>
  <c r="P111" i="21"/>
  <c r="P112" i="21"/>
  <c r="P113" i="21"/>
  <c r="P114" i="21"/>
  <c r="P115" i="21"/>
  <c r="P116" i="21"/>
  <c r="O106" i="21"/>
  <c r="O107" i="21"/>
  <c r="O108" i="21"/>
  <c r="O109" i="21"/>
  <c r="O110" i="21"/>
  <c r="O111" i="21"/>
  <c r="O112" i="21"/>
  <c r="O113" i="21"/>
  <c r="O114" i="21"/>
  <c r="O115" i="21"/>
  <c r="O116" i="21"/>
  <c r="X124" i="21"/>
  <c r="W124" i="21"/>
  <c r="V124" i="21"/>
  <c r="O48" i="18"/>
  <c r="P48" i="18"/>
  <c r="Q48" i="18"/>
  <c r="Q36" i="18"/>
  <c r="Q11" i="20" s="1"/>
  <c r="Q16" i="18"/>
  <c r="O36" i="18"/>
  <c r="V24" i="15"/>
  <c r="O84" i="74"/>
  <c r="P84" i="74" s="1"/>
  <c r="Q84" i="74" s="1"/>
  <c r="D46" i="21"/>
  <c r="D44" i="21"/>
  <c r="D43" i="21"/>
  <c r="D42" i="21"/>
  <c r="D41" i="21"/>
  <c r="D40" i="21"/>
  <c r="D23" i="22"/>
  <c r="D22" i="22"/>
  <c r="D21" i="22"/>
  <c r="D20" i="22"/>
  <c r="D104" i="15"/>
  <c r="D31" i="15"/>
  <c r="P54" i="22"/>
  <c r="O54" i="22"/>
  <c r="G53" i="22"/>
  <c r="F53" i="22"/>
  <c r="E53" i="22"/>
  <c r="E37" i="10"/>
  <c r="E21" i="10"/>
  <c r="E15" i="10"/>
  <c r="E11" i="10"/>
  <c r="E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3" i="10"/>
  <c r="D21" i="10"/>
  <c r="D20" i="10"/>
  <c r="D19" i="10"/>
  <c r="D18" i="10"/>
  <c r="D17" i="10"/>
  <c r="D16" i="10"/>
  <c r="D15" i="10"/>
  <c r="D14" i="10"/>
  <c r="D12" i="10"/>
  <c r="D11" i="10"/>
  <c r="D10" i="10"/>
  <c r="D9" i="10"/>
  <c r="D8" i="10"/>
  <c r="D39" i="3"/>
  <c r="D23" i="3"/>
  <c r="D36" i="3"/>
  <c r="N104" i="75"/>
  <c r="N342" i="74"/>
  <c r="N341" i="74"/>
  <c r="O85" i="74"/>
  <c r="N85" i="74"/>
  <c r="AW479" i="74"/>
  <c r="AV479" i="74"/>
  <c r="AU479" i="74"/>
  <c r="AW478" i="74"/>
  <c r="AV478" i="74"/>
  <c r="AU478" i="74"/>
  <c r="AW477" i="74"/>
  <c r="AV477" i="74"/>
  <c r="AU477" i="74"/>
  <c r="AW476" i="74"/>
  <c r="AV476" i="74"/>
  <c r="AU476" i="74"/>
  <c r="AW475" i="74"/>
  <c r="AV475" i="74"/>
  <c r="AU475" i="74"/>
  <c r="AW474" i="74"/>
  <c r="AV474" i="74"/>
  <c r="AU474" i="74"/>
  <c r="AW473" i="74"/>
  <c r="AV473" i="74"/>
  <c r="AU473" i="74"/>
  <c r="AW472" i="74"/>
  <c r="AV472" i="74"/>
  <c r="AU472" i="74"/>
  <c r="AT486" i="74"/>
  <c r="AT485" i="74"/>
  <c r="AT484" i="74"/>
  <c r="AT483" i="74"/>
  <c r="AT482" i="74"/>
  <c r="AT481" i="74"/>
  <c r="K471" i="74"/>
  <c r="U471" i="74"/>
  <c r="P471" i="74"/>
  <c r="U65" i="74"/>
  <c r="P65" i="74"/>
  <c r="Y67" i="74"/>
  <c r="X67" i="74"/>
  <c r="W67" i="74"/>
  <c r="V67" i="74"/>
  <c r="U67" i="74"/>
  <c r="T67" i="74"/>
  <c r="Q68" i="74"/>
  <c r="P68" i="74"/>
  <c r="T537" i="74"/>
  <c r="S537" i="74"/>
  <c r="R537" i="74"/>
  <c r="Q537" i="74"/>
  <c r="P537" i="74"/>
  <c r="R536" i="74"/>
  <c r="Q536" i="74"/>
  <c r="P536" i="74"/>
  <c r="Y536" i="74"/>
  <c r="X536" i="74"/>
  <c r="W536" i="74"/>
  <c r="V536" i="74"/>
  <c r="U536" i="74"/>
  <c r="T535" i="74"/>
  <c r="U535" i="74"/>
  <c r="V535" i="74"/>
  <c r="W535" i="74"/>
  <c r="X535" i="74"/>
  <c r="Y535" i="74"/>
  <c r="U533" i="74"/>
  <c r="P533" i="74"/>
  <c r="D108" i="75"/>
  <c r="C108" i="75"/>
  <c r="D107" i="75"/>
  <c r="C107" i="75"/>
  <c r="N106" i="75"/>
  <c r="D106" i="75"/>
  <c r="C106" i="75"/>
  <c r="N105" i="75"/>
  <c r="D105" i="75"/>
  <c r="C105" i="75"/>
  <c r="D104" i="75"/>
  <c r="C104" i="75"/>
  <c r="D103" i="75"/>
  <c r="C103" i="75"/>
  <c r="D102" i="75"/>
  <c r="C102" i="75"/>
  <c r="B4" i="75"/>
  <c r="B2" i="75"/>
  <c r="L340" i="74"/>
  <c r="K340" i="74"/>
  <c r="J340" i="74"/>
  <c r="I340" i="74"/>
  <c r="F340" i="74"/>
  <c r="E340" i="74"/>
  <c r="N339" i="74"/>
  <c r="M339" i="74"/>
  <c r="K339" i="74"/>
  <c r="I339" i="74"/>
  <c r="H339" i="74"/>
  <c r="G339" i="74"/>
  <c r="F339" i="74"/>
  <c r="E339" i="74"/>
  <c r="D339" i="74"/>
  <c r="C339" i="74"/>
  <c r="D347" i="74"/>
  <c r="C347" i="74"/>
  <c r="D346" i="74"/>
  <c r="C346" i="74"/>
  <c r="N345" i="74"/>
  <c r="D345" i="74"/>
  <c r="C345" i="74"/>
  <c r="N344" i="74"/>
  <c r="D344" i="74"/>
  <c r="C344" i="74"/>
  <c r="D343" i="74"/>
  <c r="C343" i="74"/>
  <c r="D342" i="74"/>
  <c r="C342" i="74"/>
  <c r="D341" i="74"/>
  <c r="C341" i="74"/>
  <c r="N108" i="74"/>
  <c r="O108" i="74"/>
  <c r="P108" i="74"/>
  <c r="Q108" i="74"/>
  <c r="A1" i="75"/>
  <c r="E36" i="10" s="1"/>
  <c r="A1" i="73"/>
  <c r="E34" i="10" s="1"/>
  <c r="D35" i="3"/>
  <c r="D34" i="3"/>
  <c r="B4" i="74"/>
  <c r="B2" i="74"/>
  <c r="A1" i="74"/>
  <c r="E35" i="10" s="1"/>
  <c r="B4" i="73"/>
  <c r="B2" i="73"/>
  <c r="C36" i="14"/>
  <c r="E43" i="14"/>
  <c r="F43" i="14"/>
  <c r="G43" i="14"/>
  <c r="E44" i="14"/>
  <c r="F44" i="14"/>
  <c r="G44" i="14"/>
  <c r="E45" i="14"/>
  <c r="F45" i="14"/>
  <c r="G45" i="14"/>
  <c r="E46" i="14"/>
  <c r="F46" i="14"/>
  <c r="G46" i="14"/>
  <c r="E47" i="14"/>
  <c r="F47" i="14"/>
  <c r="G47" i="14"/>
  <c r="D49" i="14"/>
  <c r="H42" i="14"/>
  <c r="H43" i="14"/>
  <c r="H44" i="14"/>
  <c r="H45" i="14"/>
  <c r="H46" i="14"/>
  <c r="H47" i="14"/>
  <c r="G42" i="14"/>
  <c r="F42" i="14"/>
  <c r="E42" i="14"/>
  <c r="H41" i="14"/>
  <c r="G41" i="14"/>
  <c r="F41" i="14"/>
  <c r="E41" i="14"/>
  <c r="G40" i="14"/>
  <c r="F40" i="14"/>
  <c r="E40" i="14"/>
  <c r="H38" i="14"/>
  <c r="G38" i="14"/>
  <c r="F38" i="14"/>
  <c r="E38" i="14"/>
  <c r="F40" i="11"/>
  <c r="F39" i="11"/>
  <c r="F38" i="11"/>
  <c r="F37" i="11"/>
  <c r="F35" i="11"/>
  <c r="G35" i="11"/>
  <c r="G36" i="11"/>
  <c r="G37" i="11"/>
  <c r="G38" i="11"/>
  <c r="G39" i="11"/>
  <c r="G40" i="11"/>
  <c r="H40" i="11"/>
  <c r="H39" i="11"/>
  <c r="H38" i="11"/>
  <c r="H37" i="11"/>
  <c r="H36" i="11"/>
  <c r="H35" i="11"/>
  <c r="N38" i="11"/>
  <c r="M38" i="11"/>
  <c r="L38" i="11"/>
  <c r="K38" i="11"/>
  <c r="J38" i="11"/>
  <c r="N37" i="11"/>
  <c r="M37" i="11"/>
  <c r="L37" i="11"/>
  <c r="K37" i="11"/>
  <c r="J37" i="11"/>
  <c r="F36" i="11"/>
  <c r="O81" i="18"/>
  <c r="P81" i="18"/>
  <c r="Q81" i="18"/>
  <c r="R23" i="22"/>
  <c r="G23" i="22"/>
  <c r="G22" i="22"/>
  <c r="G21" i="22"/>
  <c r="G20" i="22"/>
  <c r="F23" i="22"/>
  <c r="F22" i="22"/>
  <c r="F21" i="22"/>
  <c r="F20" i="22"/>
  <c r="G18" i="22"/>
  <c r="F18" i="22"/>
  <c r="G17" i="22"/>
  <c r="F17" i="22"/>
  <c r="G16" i="22"/>
  <c r="F16" i="22"/>
  <c r="G15" i="22"/>
  <c r="F15" i="22"/>
  <c r="N49" i="22"/>
  <c r="M49" i="22"/>
  <c r="L49" i="22"/>
  <c r="K49" i="22"/>
  <c r="J49" i="22"/>
  <c r="Q119" i="18"/>
  <c r="Q21" i="20" s="1"/>
  <c r="Q118" i="18"/>
  <c r="Q20" i="20" s="1"/>
  <c r="Q117" i="18"/>
  <c r="Q19" i="20" s="1"/>
  <c r="L51" i="15"/>
  <c r="K51" i="15"/>
  <c r="J51" i="15"/>
  <c r="I51" i="15"/>
  <c r="D16" i="3"/>
  <c r="AB11" i="63"/>
  <c r="AM11" i="63" s="1"/>
  <c r="AA11" i="63"/>
  <c r="AL11" i="63" s="1"/>
  <c r="Z11" i="63"/>
  <c r="AK11" i="63" s="1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94" i="63"/>
  <c r="C95" i="63"/>
  <c r="C96" i="63"/>
  <c r="C97" i="63"/>
  <c r="C98" i="63"/>
  <c r="C99" i="63"/>
  <c r="C100" i="63"/>
  <c r="C101" i="63"/>
  <c r="C102" i="63"/>
  <c r="C103" i="63"/>
  <c r="C104" i="63"/>
  <c r="C105" i="63"/>
  <c r="C106" i="63"/>
  <c r="C107" i="63"/>
  <c r="C108" i="63"/>
  <c r="C109" i="63"/>
  <c r="C110" i="63"/>
  <c r="C111" i="63"/>
  <c r="C112" i="63"/>
  <c r="C113" i="63"/>
  <c r="C114" i="63"/>
  <c r="C115" i="63"/>
  <c r="C116" i="63"/>
  <c r="C117" i="63"/>
  <c r="C118" i="63"/>
  <c r="C119" i="63"/>
  <c r="C120" i="63"/>
  <c r="C121" i="63"/>
  <c r="C122" i="63"/>
  <c r="C123" i="63"/>
  <c r="C124" i="63"/>
  <c r="C125" i="63"/>
  <c r="C126" i="63"/>
  <c r="C127" i="63"/>
  <c r="C128" i="63"/>
  <c r="C129" i="63"/>
  <c r="C130" i="63"/>
  <c r="C131" i="63"/>
  <c r="B2" i="63"/>
  <c r="R28" i="28"/>
  <c r="Q28" i="28"/>
  <c r="P28" i="28"/>
  <c r="O28" i="28"/>
  <c r="S12" i="28"/>
  <c r="R12" i="28"/>
  <c r="Q12" i="28"/>
  <c r="P12" i="28"/>
  <c r="O12" i="28"/>
  <c r="N116" i="21"/>
  <c r="N115" i="21"/>
  <c r="N114" i="21"/>
  <c r="N113" i="21"/>
  <c r="N112" i="21"/>
  <c r="N111" i="21"/>
  <c r="N110" i="21"/>
  <c r="N109" i="21"/>
  <c r="N108" i="21"/>
  <c r="N107" i="21"/>
  <c r="L107" i="21"/>
  <c r="K107" i="21"/>
  <c r="J107" i="21"/>
  <c r="M106" i="21"/>
  <c r="L106" i="21"/>
  <c r="K106" i="21"/>
  <c r="J106" i="21"/>
  <c r="C81" i="22"/>
  <c r="N76" i="22"/>
  <c r="M76" i="22"/>
  <c r="L76" i="22"/>
  <c r="K76" i="22"/>
  <c r="J76" i="22"/>
  <c r="N81" i="18"/>
  <c r="M81" i="18"/>
  <c r="L81" i="18"/>
  <c r="K81" i="18"/>
  <c r="J81" i="18"/>
  <c r="N41" i="12"/>
  <c r="N52" i="12" s="1"/>
  <c r="S13" i="13"/>
  <c r="R13" i="13"/>
  <c r="Q13" i="13"/>
  <c r="P13" i="13"/>
  <c r="O13" i="13"/>
  <c r="N13" i="13"/>
  <c r="M13" i="13"/>
  <c r="L13" i="13"/>
  <c r="K13" i="13"/>
  <c r="J13" i="13"/>
  <c r="P70" i="18"/>
  <c r="O70" i="18"/>
  <c r="N70" i="18"/>
  <c r="N13" i="20" s="1"/>
  <c r="M70" i="18"/>
  <c r="L70" i="18"/>
  <c r="K70" i="18"/>
  <c r="J70" i="18"/>
  <c r="N48" i="18"/>
  <c r="M48" i="18"/>
  <c r="L48" i="18"/>
  <c r="K48" i="18"/>
  <c r="J48" i="18"/>
  <c r="P36" i="18"/>
  <c r="N36" i="18"/>
  <c r="N11" i="20" s="1"/>
  <c r="M36" i="18"/>
  <c r="L36" i="18"/>
  <c r="K36" i="18"/>
  <c r="K11" i="20" s="1"/>
  <c r="J36" i="18"/>
  <c r="O16" i="18"/>
  <c r="N16" i="18"/>
  <c r="N10" i="20" s="1"/>
  <c r="M16" i="18"/>
  <c r="M10" i="20" s="1"/>
  <c r="L16" i="18"/>
  <c r="K16" i="18"/>
  <c r="J16" i="18"/>
  <c r="J10" i="20" s="1"/>
  <c r="Q29" i="28"/>
  <c r="P29" i="28"/>
  <c r="O29" i="28"/>
  <c r="Q13" i="28"/>
  <c r="P13" i="28"/>
  <c r="O13" i="28"/>
  <c r="S28" i="28"/>
  <c r="C120" i="21"/>
  <c r="C102" i="21"/>
  <c r="C84" i="21"/>
  <c r="C66" i="21"/>
  <c r="C36" i="21"/>
  <c r="C24" i="21"/>
  <c r="G50" i="15"/>
  <c r="E50" i="15"/>
  <c r="A1" i="50"/>
  <c r="E31" i="10" s="1"/>
  <c r="A1" i="49"/>
  <c r="E30" i="10" s="1"/>
  <c r="A1" i="47"/>
  <c r="E28" i="10" s="1"/>
  <c r="D33" i="3"/>
  <c r="D32" i="3"/>
  <c r="D31" i="3"/>
  <c r="D30" i="3"/>
  <c r="D29" i="3"/>
  <c r="D28" i="3"/>
  <c r="D27" i="3"/>
  <c r="D25" i="3"/>
  <c r="D26" i="3"/>
  <c r="B4" i="52"/>
  <c r="B2" i="52"/>
  <c r="B4" i="51"/>
  <c r="B2" i="51"/>
  <c r="B4" i="50"/>
  <c r="B2" i="50"/>
  <c r="B4" i="49"/>
  <c r="B2" i="49"/>
  <c r="B4" i="48"/>
  <c r="B2" i="48"/>
  <c r="B4" i="47"/>
  <c r="B2" i="47"/>
  <c r="B4" i="46"/>
  <c r="B2" i="46"/>
  <c r="B4" i="45"/>
  <c r="B2" i="45"/>
  <c r="B4" i="44"/>
  <c r="B2" i="44"/>
  <c r="H40" i="15"/>
  <c r="G40" i="15"/>
  <c r="E40" i="15"/>
  <c r="G19" i="15"/>
  <c r="E19" i="15"/>
  <c r="G52" i="22"/>
  <c r="F52" i="22"/>
  <c r="E52" i="22"/>
  <c r="G98" i="15"/>
  <c r="E98" i="15"/>
  <c r="E56" i="12"/>
  <c r="G56" i="12"/>
  <c r="E57" i="12"/>
  <c r="G57" i="12"/>
  <c r="D56" i="12"/>
  <c r="E36" i="12"/>
  <c r="G36" i="12"/>
  <c r="E37" i="12"/>
  <c r="G37" i="12"/>
  <c r="E38" i="12"/>
  <c r="G38" i="12"/>
  <c r="E39" i="12"/>
  <c r="G39" i="12"/>
  <c r="D36" i="12"/>
  <c r="D44" i="14"/>
  <c r="E16" i="12"/>
  <c r="G16" i="12"/>
  <c r="E17" i="12"/>
  <c r="G17" i="12"/>
  <c r="D16" i="12"/>
  <c r="H58" i="18"/>
  <c r="H59" i="18" s="1"/>
  <c r="AC77" i="16"/>
  <c r="AB77" i="16"/>
  <c r="AA77" i="16"/>
  <c r="Z77" i="16"/>
  <c r="Y77" i="16"/>
  <c r="E77" i="16"/>
  <c r="F77" i="16"/>
  <c r="G77" i="16"/>
  <c r="E78" i="16"/>
  <c r="F78" i="16"/>
  <c r="G78" i="16"/>
  <c r="E79" i="16"/>
  <c r="F79" i="16"/>
  <c r="G79" i="16"/>
  <c r="E80" i="16"/>
  <c r="F80" i="16"/>
  <c r="G80" i="16"/>
  <c r="D77" i="16"/>
  <c r="E61" i="16"/>
  <c r="F61" i="16"/>
  <c r="G61" i="16"/>
  <c r="E62" i="16"/>
  <c r="F62" i="16"/>
  <c r="G62" i="16"/>
  <c r="E63" i="16"/>
  <c r="F63" i="16"/>
  <c r="G63" i="16"/>
  <c r="E64" i="16"/>
  <c r="F64" i="16"/>
  <c r="G64" i="16"/>
  <c r="D61" i="16"/>
  <c r="V45" i="16"/>
  <c r="U45" i="16"/>
  <c r="T45" i="16"/>
  <c r="G45" i="16"/>
  <c r="F45" i="16"/>
  <c r="E45" i="16"/>
  <c r="D45" i="16"/>
  <c r="D113" i="15"/>
  <c r="D19" i="15"/>
  <c r="D40" i="15"/>
  <c r="B4" i="41"/>
  <c r="B2" i="41"/>
  <c r="F22" i="18"/>
  <c r="G22" i="18"/>
  <c r="F23" i="18"/>
  <c r="G23" i="18"/>
  <c r="F24" i="18"/>
  <c r="G24" i="18"/>
  <c r="F27" i="18"/>
  <c r="G27" i="18"/>
  <c r="D77" i="15"/>
  <c r="D76" i="15"/>
  <c r="D75" i="15"/>
  <c r="E76" i="15"/>
  <c r="E75" i="15"/>
  <c r="G26" i="18"/>
  <c r="F26" i="18"/>
  <c r="G21" i="18"/>
  <c r="F21" i="18"/>
  <c r="A1" i="18"/>
  <c r="E10" i="10" s="1"/>
  <c r="C8" i="10"/>
  <c r="B4" i="10"/>
  <c r="B2" i="10"/>
  <c r="K40" i="6"/>
  <c r="M3" i="16"/>
  <c r="L39" i="6"/>
  <c r="L40" i="6"/>
  <c r="J39" i="6"/>
  <c r="B6" i="6"/>
  <c r="B4" i="6"/>
  <c r="B3" i="6"/>
  <c r="B2" i="6"/>
  <c r="A1" i="6"/>
  <c r="E38" i="10"/>
  <c r="P117" i="18"/>
  <c r="P19" i="20"/>
  <c r="P118" i="18"/>
  <c r="P119" i="18"/>
  <c r="P21" i="20" s="1"/>
  <c r="P120" i="18"/>
  <c r="P22" i="20" s="1"/>
  <c r="O117" i="18"/>
  <c r="O19" i="20"/>
  <c r="O118" i="18"/>
  <c r="O20" i="20" s="1"/>
  <c r="O119" i="18"/>
  <c r="O21" i="20" s="1"/>
  <c r="O120" i="18"/>
  <c r="O22" i="20" s="1"/>
  <c r="N117" i="18"/>
  <c r="N19" i="20" s="1"/>
  <c r="N118" i="18"/>
  <c r="N20" i="20" s="1"/>
  <c r="N119" i="18"/>
  <c r="N21" i="20" s="1"/>
  <c r="N120" i="18"/>
  <c r="N22" i="20"/>
  <c r="M117" i="18"/>
  <c r="M19" i="20"/>
  <c r="M118" i="18"/>
  <c r="M20" i="20" s="1"/>
  <c r="M119" i="18"/>
  <c r="M21" i="20"/>
  <c r="M120" i="18"/>
  <c r="M22" i="20" s="1"/>
  <c r="L117" i="18"/>
  <c r="L19" i="20" s="1"/>
  <c r="L118" i="18"/>
  <c r="L20" i="20" s="1"/>
  <c r="L119" i="18"/>
  <c r="L21" i="20" s="1"/>
  <c r="L120" i="18"/>
  <c r="L22" i="20"/>
  <c r="K117" i="18"/>
  <c r="K19" i="20" s="1"/>
  <c r="K118" i="18"/>
  <c r="K20" i="20" s="1"/>
  <c r="K119" i="18"/>
  <c r="K21" i="20" s="1"/>
  <c r="K120" i="18"/>
  <c r="K22" i="20" s="1"/>
  <c r="J117" i="18"/>
  <c r="J19" i="20" s="1"/>
  <c r="J118" i="18"/>
  <c r="J20" i="20" s="1"/>
  <c r="J119" i="18"/>
  <c r="J120" i="18"/>
  <c r="J22" i="20" s="1"/>
  <c r="H24" i="20"/>
  <c r="G120" i="18"/>
  <c r="F120" i="18"/>
  <c r="E122" i="18"/>
  <c r="E24" i="20" s="1"/>
  <c r="D24" i="20"/>
  <c r="H20" i="20"/>
  <c r="H21" i="20" s="1"/>
  <c r="H22" i="20" s="1"/>
  <c r="E22" i="20"/>
  <c r="D120" i="18"/>
  <c r="D22" i="20" s="1"/>
  <c r="G119" i="18"/>
  <c r="F119" i="18"/>
  <c r="E21" i="20"/>
  <c r="D119" i="18"/>
  <c r="D21" i="20" s="1"/>
  <c r="G118" i="18"/>
  <c r="G20" i="20" s="1"/>
  <c r="F118" i="18"/>
  <c r="F20" i="20" s="1"/>
  <c r="E20" i="20"/>
  <c r="D118" i="18"/>
  <c r="D20" i="20"/>
  <c r="G117" i="18"/>
  <c r="F117" i="18"/>
  <c r="E19" i="20"/>
  <c r="D117" i="18"/>
  <c r="D19" i="20"/>
  <c r="G17" i="20"/>
  <c r="F17" i="20"/>
  <c r="E17" i="20"/>
  <c r="H11" i="20"/>
  <c r="H12" i="20" s="1"/>
  <c r="H13" i="20" s="1"/>
  <c r="G67" i="18"/>
  <c r="G70" i="18"/>
  <c r="G13" i="20"/>
  <c r="F67" i="18"/>
  <c r="F70" i="18"/>
  <c r="F13" i="20" s="1"/>
  <c r="E67" i="18"/>
  <c r="E70" i="18" s="1"/>
  <c r="E13" i="20" s="1"/>
  <c r="D70" i="18"/>
  <c r="D13" i="20" s="1"/>
  <c r="G46" i="18"/>
  <c r="G48" i="18" s="1"/>
  <c r="F46" i="18"/>
  <c r="F48" i="18"/>
  <c r="E46" i="18"/>
  <c r="E48" i="18" s="1"/>
  <c r="D48" i="18"/>
  <c r="D12" i="20" s="1"/>
  <c r="G34" i="18"/>
  <c r="G36" i="18" s="1"/>
  <c r="G11" i="20" s="1"/>
  <c r="F34" i="18"/>
  <c r="F36" i="18" s="1"/>
  <c r="F11" i="20" s="1"/>
  <c r="E34" i="18"/>
  <c r="E36" i="18" s="1"/>
  <c r="E11" i="20" s="1"/>
  <c r="D36" i="18"/>
  <c r="D11" i="20" s="1"/>
  <c r="G13" i="18"/>
  <c r="F13" i="18"/>
  <c r="F14" i="18" s="1"/>
  <c r="F16" i="18"/>
  <c r="F10" i="20" s="1"/>
  <c r="E13" i="18"/>
  <c r="E14" i="18" s="1"/>
  <c r="E16" i="18"/>
  <c r="E10" i="20" s="1"/>
  <c r="D16" i="18"/>
  <c r="D10" i="20" s="1"/>
  <c r="G8" i="20"/>
  <c r="F8" i="20"/>
  <c r="E8" i="20"/>
  <c r="T4" i="20"/>
  <c r="O4" i="20"/>
  <c r="J4" i="20"/>
  <c r="B4" i="20"/>
  <c r="B2" i="20"/>
  <c r="A1" i="20"/>
  <c r="D43" i="15"/>
  <c r="D42" i="15"/>
  <c r="D41" i="15"/>
  <c r="D39" i="15"/>
  <c r="D38" i="15"/>
  <c r="D37" i="15"/>
  <c r="D36" i="15"/>
  <c r="D35" i="15"/>
  <c r="G22" i="13"/>
  <c r="F22" i="13"/>
  <c r="E22" i="13"/>
  <c r="G48" i="13"/>
  <c r="F48" i="13"/>
  <c r="E48" i="13"/>
  <c r="G46" i="13"/>
  <c r="G58" i="13" s="1"/>
  <c r="F46" i="13"/>
  <c r="E46" i="13"/>
  <c r="E58" i="13" s="1"/>
  <c r="G45" i="13"/>
  <c r="F45" i="13"/>
  <c r="F57" i="13" s="1"/>
  <c r="E45" i="13"/>
  <c r="G44" i="13"/>
  <c r="F44" i="13"/>
  <c r="E44" i="13"/>
  <c r="E56" i="13" s="1"/>
  <c r="G43" i="13"/>
  <c r="F43" i="13"/>
  <c r="F55" i="13" s="1"/>
  <c r="E43" i="13"/>
  <c r="E55" i="13" s="1"/>
  <c r="G42" i="13"/>
  <c r="F42" i="13"/>
  <c r="E42" i="13"/>
  <c r="G22" i="16"/>
  <c r="F22" i="16"/>
  <c r="E22" i="16"/>
  <c r="G60" i="16"/>
  <c r="F60" i="16"/>
  <c r="E60" i="16"/>
  <c r="G59" i="16"/>
  <c r="F59" i="16"/>
  <c r="E59" i="16"/>
  <c r="G58" i="16"/>
  <c r="F58" i="16"/>
  <c r="E58" i="16"/>
  <c r="G57" i="16"/>
  <c r="F57" i="16"/>
  <c r="E57" i="16"/>
  <c r="G56" i="16"/>
  <c r="F56" i="16"/>
  <c r="E56" i="16"/>
  <c r="G20" i="16"/>
  <c r="F20" i="16"/>
  <c r="E20" i="16"/>
  <c r="G21" i="16"/>
  <c r="G29" i="16" s="1"/>
  <c r="G30" i="16" s="1"/>
  <c r="G31" i="16" s="1"/>
  <c r="G32" i="16" s="1"/>
  <c r="F21" i="16"/>
  <c r="E21" i="16"/>
  <c r="E29" i="16" s="1"/>
  <c r="E30" i="16" s="1"/>
  <c r="E31" i="16" s="1"/>
  <c r="E32" i="16" s="1"/>
  <c r="G22" i="14"/>
  <c r="F22" i="14"/>
  <c r="E22" i="14"/>
  <c r="G20" i="14"/>
  <c r="F20" i="14"/>
  <c r="E20" i="14"/>
  <c r="G21" i="14"/>
  <c r="F21" i="14"/>
  <c r="E21" i="14"/>
  <c r="H36" i="28"/>
  <c r="G36" i="28"/>
  <c r="F36" i="28"/>
  <c r="E36" i="28"/>
  <c r="D36" i="28"/>
  <c r="G35" i="28"/>
  <c r="F35" i="28"/>
  <c r="E35" i="28"/>
  <c r="D35" i="28"/>
  <c r="H33" i="28"/>
  <c r="G33" i="28"/>
  <c r="F33" i="28"/>
  <c r="E33" i="28"/>
  <c r="C31" i="28"/>
  <c r="X29" i="28"/>
  <c r="W29" i="28"/>
  <c r="V29" i="28"/>
  <c r="U29" i="28"/>
  <c r="T29" i="28"/>
  <c r="S29" i="28"/>
  <c r="R29" i="28"/>
  <c r="H29" i="28"/>
  <c r="G29" i="28"/>
  <c r="F29" i="28"/>
  <c r="E29" i="28"/>
  <c r="D29" i="28"/>
  <c r="G28" i="28"/>
  <c r="F28" i="28"/>
  <c r="E28" i="28"/>
  <c r="D28" i="28"/>
  <c r="H26" i="28"/>
  <c r="G26" i="28"/>
  <c r="F26" i="28"/>
  <c r="E26" i="28"/>
  <c r="C24" i="28"/>
  <c r="H20" i="28"/>
  <c r="G20" i="28"/>
  <c r="F20" i="28"/>
  <c r="E20" i="28"/>
  <c r="D20" i="28"/>
  <c r="G19" i="28"/>
  <c r="F19" i="28"/>
  <c r="E19" i="28"/>
  <c r="D19" i="28"/>
  <c r="H17" i="28"/>
  <c r="G17" i="28"/>
  <c r="F17" i="28"/>
  <c r="E17" i="28"/>
  <c r="C15" i="28"/>
  <c r="X13" i="28"/>
  <c r="W13" i="28"/>
  <c r="V13" i="28"/>
  <c r="U13" i="28"/>
  <c r="T13" i="28"/>
  <c r="S13" i="28"/>
  <c r="R13" i="28"/>
  <c r="H13" i="28"/>
  <c r="G13" i="28"/>
  <c r="F13" i="28"/>
  <c r="E13" i="28"/>
  <c r="G12" i="28"/>
  <c r="F12" i="28"/>
  <c r="E12" i="28"/>
  <c r="H10" i="28"/>
  <c r="G10" i="28"/>
  <c r="F10" i="28"/>
  <c r="E10" i="28"/>
  <c r="C8" i="28"/>
  <c r="T4" i="28"/>
  <c r="O4" i="28"/>
  <c r="J4" i="28"/>
  <c r="B4" i="28"/>
  <c r="B2" i="28"/>
  <c r="A1" i="28"/>
  <c r="G46" i="21"/>
  <c r="G149" i="21" s="1"/>
  <c r="F46" i="21"/>
  <c r="E46" i="21"/>
  <c r="E150" i="21" s="1"/>
  <c r="G44" i="21"/>
  <c r="G148" i="21" s="1"/>
  <c r="F44" i="21"/>
  <c r="F148" i="21" s="1"/>
  <c r="E44" i="21"/>
  <c r="E148" i="21" s="1"/>
  <c r="G43" i="21"/>
  <c r="G147" i="21" s="1"/>
  <c r="F43" i="21"/>
  <c r="F147" i="21" s="1"/>
  <c r="E43" i="21"/>
  <c r="E147" i="21" s="1"/>
  <c r="G42" i="21"/>
  <c r="G146" i="21" s="1"/>
  <c r="F42" i="21"/>
  <c r="F146" i="21" s="1"/>
  <c r="E42" i="21"/>
  <c r="E146" i="21" s="1"/>
  <c r="H145" i="21"/>
  <c r="H146" i="21"/>
  <c r="H147" i="21"/>
  <c r="H148" i="21"/>
  <c r="H149" i="21"/>
  <c r="H150" i="21"/>
  <c r="G41" i="21"/>
  <c r="G145" i="21" s="1"/>
  <c r="F41" i="21"/>
  <c r="F145" i="21" s="1"/>
  <c r="E41" i="21"/>
  <c r="E145" i="21" s="1"/>
  <c r="G40" i="21"/>
  <c r="G144" i="21" s="1"/>
  <c r="F40" i="21"/>
  <c r="F144" i="21" s="1"/>
  <c r="E40" i="21"/>
  <c r="E144" i="21" s="1"/>
  <c r="T142" i="21"/>
  <c r="O142" i="21"/>
  <c r="J142" i="21"/>
  <c r="G142" i="21"/>
  <c r="F142" i="21"/>
  <c r="E142" i="21"/>
  <c r="G136" i="21"/>
  <c r="F136" i="21"/>
  <c r="E136" i="21"/>
  <c r="X134" i="21"/>
  <c r="W134" i="21"/>
  <c r="V134" i="21"/>
  <c r="U134" i="21"/>
  <c r="T134" i="21"/>
  <c r="G134" i="21"/>
  <c r="F134" i="21"/>
  <c r="E134" i="21"/>
  <c r="G133" i="21"/>
  <c r="F133" i="21"/>
  <c r="E133" i="21"/>
  <c r="D133" i="21"/>
  <c r="G132" i="21"/>
  <c r="F132" i="21"/>
  <c r="E132" i="21"/>
  <c r="D132" i="21"/>
  <c r="G131" i="21"/>
  <c r="F131" i="21"/>
  <c r="E131" i="21"/>
  <c r="D131" i="21"/>
  <c r="G130" i="21"/>
  <c r="F130" i="21"/>
  <c r="E130" i="21"/>
  <c r="D130" i="21"/>
  <c r="G129" i="21"/>
  <c r="F129" i="21"/>
  <c r="E129" i="21"/>
  <c r="D129" i="21"/>
  <c r="G128" i="21"/>
  <c r="F128" i="21"/>
  <c r="E128" i="21"/>
  <c r="D128" i="21"/>
  <c r="G127" i="21"/>
  <c r="F127" i="21"/>
  <c r="E127" i="21"/>
  <c r="D127" i="21"/>
  <c r="G126" i="21"/>
  <c r="F126" i="21"/>
  <c r="E126" i="21"/>
  <c r="D126" i="21"/>
  <c r="G125" i="21"/>
  <c r="F125" i="21"/>
  <c r="E125" i="21"/>
  <c r="D125" i="21"/>
  <c r="G124" i="21"/>
  <c r="F124" i="21"/>
  <c r="E124" i="21"/>
  <c r="D124" i="21"/>
  <c r="H122" i="21"/>
  <c r="G122" i="21"/>
  <c r="F122" i="21"/>
  <c r="E122" i="21"/>
  <c r="G118" i="21"/>
  <c r="F118" i="21"/>
  <c r="E118" i="21"/>
  <c r="M116" i="21"/>
  <c r="L116" i="21"/>
  <c r="K116" i="21"/>
  <c r="J116" i="21"/>
  <c r="G116" i="21"/>
  <c r="F116" i="21"/>
  <c r="E116" i="21"/>
  <c r="M115" i="21"/>
  <c r="L115" i="21"/>
  <c r="K115" i="21"/>
  <c r="J115" i="21"/>
  <c r="G115" i="21"/>
  <c r="F115" i="21"/>
  <c r="E115" i="21"/>
  <c r="D115" i="21"/>
  <c r="M114" i="21"/>
  <c r="L114" i="21"/>
  <c r="K114" i="21"/>
  <c r="J114" i="21"/>
  <c r="G114" i="21"/>
  <c r="F114" i="21"/>
  <c r="E114" i="21"/>
  <c r="D114" i="21"/>
  <c r="M113" i="21"/>
  <c r="L113" i="21"/>
  <c r="K113" i="21"/>
  <c r="J113" i="21"/>
  <c r="G113" i="21"/>
  <c r="F113" i="21"/>
  <c r="E113" i="21"/>
  <c r="D113" i="21"/>
  <c r="M112" i="21"/>
  <c r="L112" i="21"/>
  <c r="K112" i="21"/>
  <c r="J112" i="21"/>
  <c r="G112" i="21"/>
  <c r="F112" i="21"/>
  <c r="E112" i="21"/>
  <c r="D112" i="21"/>
  <c r="M111" i="21"/>
  <c r="L111" i="21"/>
  <c r="K111" i="21"/>
  <c r="J111" i="21"/>
  <c r="G111" i="21"/>
  <c r="F111" i="21"/>
  <c r="E111" i="21"/>
  <c r="D111" i="21"/>
  <c r="M110" i="21"/>
  <c r="L110" i="21"/>
  <c r="K110" i="21"/>
  <c r="J110" i="21"/>
  <c r="G110" i="21"/>
  <c r="F110" i="21"/>
  <c r="E110" i="21"/>
  <c r="D110" i="21"/>
  <c r="M109" i="21"/>
  <c r="L109" i="21"/>
  <c r="K109" i="21"/>
  <c r="J109" i="21"/>
  <c r="G109" i="21"/>
  <c r="F109" i="21"/>
  <c r="E109" i="21"/>
  <c r="D109" i="21"/>
  <c r="M108" i="21"/>
  <c r="L108" i="21"/>
  <c r="K108" i="21"/>
  <c r="J108" i="21"/>
  <c r="G108" i="21"/>
  <c r="F108" i="21"/>
  <c r="E108" i="21"/>
  <c r="D108" i="21"/>
  <c r="G107" i="21"/>
  <c r="F107" i="21"/>
  <c r="E107" i="21"/>
  <c r="D107" i="21"/>
  <c r="G106" i="21"/>
  <c r="F106" i="21"/>
  <c r="E106" i="21"/>
  <c r="D106" i="21"/>
  <c r="H104" i="21"/>
  <c r="G104" i="21"/>
  <c r="F104" i="21"/>
  <c r="E104" i="21"/>
  <c r="G100" i="21"/>
  <c r="F100" i="21"/>
  <c r="E100" i="21"/>
  <c r="X98" i="21"/>
  <c r="W98" i="21"/>
  <c r="V98" i="21"/>
  <c r="U98" i="21"/>
  <c r="T98" i="21"/>
  <c r="H98" i="21"/>
  <c r="G98" i="21"/>
  <c r="F98" i="21"/>
  <c r="E98" i="21"/>
  <c r="H97" i="21"/>
  <c r="G97" i="21"/>
  <c r="F97" i="21"/>
  <c r="E97" i="21"/>
  <c r="D97" i="21"/>
  <c r="H96" i="21"/>
  <c r="G96" i="21"/>
  <c r="F96" i="21"/>
  <c r="E96" i="21"/>
  <c r="D96" i="21"/>
  <c r="H95" i="21"/>
  <c r="G95" i="21"/>
  <c r="F95" i="21"/>
  <c r="E95" i="21"/>
  <c r="D95" i="21"/>
  <c r="H94" i="21"/>
  <c r="G94" i="21"/>
  <c r="F94" i="21"/>
  <c r="E94" i="21"/>
  <c r="D94" i="21"/>
  <c r="H93" i="21"/>
  <c r="G93" i="21"/>
  <c r="F93" i="21"/>
  <c r="E93" i="21"/>
  <c r="D93" i="21"/>
  <c r="H92" i="21"/>
  <c r="G92" i="21"/>
  <c r="F92" i="21"/>
  <c r="E92" i="21"/>
  <c r="D92" i="21"/>
  <c r="H91" i="21"/>
  <c r="G91" i="21"/>
  <c r="F91" i="21"/>
  <c r="E91" i="21"/>
  <c r="D91" i="21"/>
  <c r="H90" i="21"/>
  <c r="G90" i="21"/>
  <c r="F90" i="21"/>
  <c r="E90" i="21"/>
  <c r="D90" i="21"/>
  <c r="H89" i="21"/>
  <c r="G89" i="21"/>
  <c r="F89" i="21"/>
  <c r="E89" i="21"/>
  <c r="D89" i="21"/>
  <c r="G88" i="21"/>
  <c r="F88" i="21"/>
  <c r="E88" i="21"/>
  <c r="D88" i="21"/>
  <c r="H86" i="21"/>
  <c r="G86" i="21"/>
  <c r="F86" i="21"/>
  <c r="E86" i="21"/>
  <c r="G82" i="21"/>
  <c r="F82" i="21"/>
  <c r="E82" i="21"/>
  <c r="G80" i="21"/>
  <c r="F80" i="21"/>
  <c r="E80" i="21"/>
  <c r="G79" i="21"/>
  <c r="F79" i="21"/>
  <c r="E79" i="21"/>
  <c r="D79" i="21"/>
  <c r="G78" i="21"/>
  <c r="F78" i="21"/>
  <c r="E78" i="21"/>
  <c r="D78" i="21"/>
  <c r="G77" i="21"/>
  <c r="F77" i="21"/>
  <c r="E77" i="21"/>
  <c r="D77" i="21"/>
  <c r="G76" i="21"/>
  <c r="F76" i="21"/>
  <c r="E76" i="21"/>
  <c r="D76" i="21"/>
  <c r="G75" i="21"/>
  <c r="F75" i="21"/>
  <c r="E75" i="21"/>
  <c r="D75" i="21"/>
  <c r="G74" i="21"/>
  <c r="F74" i="21"/>
  <c r="E74" i="21"/>
  <c r="D74" i="21"/>
  <c r="G73" i="21"/>
  <c r="F73" i="21"/>
  <c r="E73" i="21"/>
  <c r="D73" i="21"/>
  <c r="G72" i="21"/>
  <c r="F72" i="21"/>
  <c r="E72" i="21"/>
  <c r="D72" i="21"/>
  <c r="H71" i="21"/>
  <c r="H72" i="21"/>
  <c r="H73" i="21"/>
  <c r="H74" i="21"/>
  <c r="H75" i="21"/>
  <c r="H76" i="21"/>
  <c r="H77" i="21"/>
  <c r="H78" i="21"/>
  <c r="H79" i="21"/>
  <c r="H80" i="21"/>
  <c r="G71" i="21"/>
  <c r="F71" i="21"/>
  <c r="E71" i="21"/>
  <c r="D71" i="21"/>
  <c r="G70" i="21"/>
  <c r="F70" i="21"/>
  <c r="E70" i="21"/>
  <c r="D70" i="21"/>
  <c r="H68" i="21"/>
  <c r="G68" i="21"/>
  <c r="F68" i="21"/>
  <c r="E68" i="21"/>
  <c r="X62" i="21"/>
  <c r="W62" i="21"/>
  <c r="V62" i="21"/>
  <c r="U62" i="21"/>
  <c r="T62" i="21"/>
  <c r="G62" i="21"/>
  <c r="F62" i="21"/>
  <c r="E62" i="21"/>
  <c r="G61" i="21"/>
  <c r="F61" i="21"/>
  <c r="E61" i="21"/>
  <c r="H59" i="21"/>
  <c r="G59" i="21"/>
  <c r="F59" i="21"/>
  <c r="E59" i="21"/>
  <c r="C57" i="21"/>
  <c r="H55" i="21"/>
  <c r="G55" i="21"/>
  <c r="F55" i="21"/>
  <c r="E55" i="21"/>
  <c r="G54" i="21"/>
  <c r="F54" i="21"/>
  <c r="E54" i="21"/>
  <c r="H52" i="21"/>
  <c r="G52" i="21"/>
  <c r="F52" i="21"/>
  <c r="E52" i="21"/>
  <c r="C50" i="21"/>
  <c r="H41" i="21"/>
  <c r="H42" i="21"/>
  <c r="H43" i="21"/>
  <c r="H44" i="21"/>
  <c r="H38" i="21"/>
  <c r="G38" i="21"/>
  <c r="F38" i="21"/>
  <c r="E38" i="21"/>
  <c r="G34" i="21"/>
  <c r="F34" i="21"/>
  <c r="E34" i="21"/>
  <c r="G32" i="21"/>
  <c r="F32" i="21"/>
  <c r="E32" i="21"/>
  <c r="G31" i="21"/>
  <c r="F31" i="21"/>
  <c r="E31" i="21"/>
  <c r="G30" i="21"/>
  <c r="F30" i="21"/>
  <c r="E30" i="21"/>
  <c r="H29" i="21"/>
  <c r="H30" i="21"/>
  <c r="H31" i="21"/>
  <c r="H32" i="21"/>
  <c r="G29" i="21"/>
  <c r="F29" i="21"/>
  <c r="E29" i="21"/>
  <c r="G28" i="21"/>
  <c r="F28" i="21"/>
  <c r="E28" i="21"/>
  <c r="H26" i="21"/>
  <c r="G26" i="21"/>
  <c r="F26" i="21"/>
  <c r="E26" i="21"/>
  <c r="X20" i="21"/>
  <c r="W20" i="21"/>
  <c r="V20" i="21"/>
  <c r="U20" i="21"/>
  <c r="T20" i="21"/>
  <c r="G20" i="21"/>
  <c r="F20" i="21"/>
  <c r="E20" i="21"/>
  <c r="G19" i="21"/>
  <c r="F19" i="21"/>
  <c r="E19" i="21"/>
  <c r="H17" i="21"/>
  <c r="G17" i="21"/>
  <c r="F17" i="21"/>
  <c r="E17" i="21"/>
  <c r="C15" i="21"/>
  <c r="X13" i="21"/>
  <c r="W13" i="21"/>
  <c r="V13" i="21"/>
  <c r="U13" i="21"/>
  <c r="T13" i="21"/>
  <c r="H13" i="21"/>
  <c r="G13" i="21"/>
  <c r="F13" i="21"/>
  <c r="E13" i="21"/>
  <c r="G12" i="21"/>
  <c r="F12" i="21"/>
  <c r="E12" i="21"/>
  <c r="H10" i="21"/>
  <c r="G10" i="21"/>
  <c r="F10" i="21"/>
  <c r="E10" i="21"/>
  <c r="C8" i="21"/>
  <c r="T4" i="21"/>
  <c r="O4" i="21"/>
  <c r="J4" i="21"/>
  <c r="B4" i="21"/>
  <c r="B2" i="21"/>
  <c r="A1" i="21"/>
  <c r="E20" i="10"/>
  <c r="AC72" i="16"/>
  <c r="AC73" i="16"/>
  <c r="AC74" i="16"/>
  <c r="AC75" i="16"/>
  <c r="AC76" i="16"/>
  <c r="AC78" i="16"/>
  <c r="AC79" i="16"/>
  <c r="AC80" i="16"/>
  <c r="AC82" i="16" s="1"/>
  <c r="AB72" i="16"/>
  <c r="AB73" i="16"/>
  <c r="AB74" i="16"/>
  <c r="AB75" i="16"/>
  <c r="AB82" i="16" s="1"/>
  <c r="AB76" i="16"/>
  <c r="AB78" i="16"/>
  <c r="AB79" i="16"/>
  <c r="AB80" i="16"/>
  <c r="AA72" i="16"/>
  <c r="AA73" i="16"/>
  <c r="AA74" i="16"/>
  <c r="AA82" i="16" s="1"/>
  <c r="AA75" i="16"/>
  <c r="AA76" i="16"/>
  <c r="AA78" i="16"/>
  <c r="AA79" i="16"/>
  <c r="AA80" i="16"/>
  <c r="Z72" i="16"/>
  <c r="Z73" i="16"/>
  <c r="Z82" i="16" s="1"/>
  <c r="Z74" i="16"/>
  <c r="Z75" i="16"/>
  <c r="Z76" i="16"/>
  <c r="Z78" i="16"/>
  <c r="Z79" i="16"/>
  <c r="Z80" i="16"/>
  <c r="Y72" i="16"/>
  <c r="Y73" i="16"/>
  <c r="Y74" i="16"/>
  <c r="Y75" i="16"/>
  <c r="Y76" i="16"/>
  <c r="Y82" i="16" s="1"/>
  <c r="Y78" i="16"/>
  <c r="Y79" i="16"/>
  <c r="Y80" i="16"/>
  <c r="G82" i="16"/>
  <c r="F82" i="16"/>
  <c r="E82" i="16"/>
  <c r="D80" i="16"/>
  <c r="D79" i="16"/>
  <c r="D78" i="16"/>
  <c r="G76" i="16"/>
  <c r="F76" i="16"/>
  <c r="E76" i="16"/>
  <c r="D76" i="16"/>
  <c r="G75" i="16"/>
  <c r="F75" i="16"/>
  <c r="E75" i="16"/>
  <c r="D75" i="16"/>
  <c r="G74" i="16"/>
  <c r="F74" i="16"/>
  <c r="E74" i="16"/>
  <c r="D74" i="16"/>
  <c r="H73" i="16"/>
  <c r="H74" i="16"/>
  <c r="H75" i="16"/>
  <c r="H76" i="16"/>
  <c r="H77" i="16"/>
  <c r="H78" i="16"/>
  <c r="H79" i="16"/>
  <c r="H80" i="16"/>
  <c r="G73" i="16"/>
  <c r="F73" i="16"/>
  <c r="E73" i="16"/>
  <c r="D73" i="16"/>
  <c r="G72" i="16"/>
  <c r="F72" i="16"/>
  <c r="E72" i="16"/>
  <c r="D72" i="16"/>
  <c r="H70" i="16"/>
  <c r="G70" i="16"/>
  <c r="F70" i="16"/>
  <c r="E70" i="16"/>
  <c r="C68" i="16"/>
  <c r="G66" i="16"/>
  <c r="F66" i="16"/>
  <c r="E66" i="16"/>
  <c r="D64" i="16"/>
  <c r="D63" i="16"/>
  <c r="D62" i="16"/>
  <c r="D60" i="16"/>
  <c r="D59" i="16"/>
  <c r="D58" i="16"/>
  <c r="H57" i="16"/>
  <c r="H58" i="16"/>
  <c r="H59" i="16"/>
  <c r="H60" i="16"/>
  <c r="H61" i="16"/>
  <c r="H62" i="16"/>
  <c r="H63" i="16"/>
  <c r="H64" i="16"/>
  <c r="D57" i="16"/>
  <c r="D56" i="16"/>
  <c r="H54" i="16"/>
  <c r="G54" i="16"/>
  <c r="F54" i="16"/>
  <c r="E54" i="16"/>
  <c r="C52" i="16"/>
  <c r="U40" i="16"/>
  <c r="U41" i="16"/>
  <c r="U42" i="16"/>
  <c r="U43" i="16"/>
  <c r="U44" i="16"/>
  <c r="U46" i="16"/>
  <c r="U47" i="16"/>
  <c r="U48" i="16"/>
  <c r="U50" i="16"/>
  <c r="T40" i="16"/>
  <c r="T41" i="16"/>
  <c r="T42" i="16"/>
  <c r="T50" i="16" s="1"/>
  <c r="T43" i="16"/>
  <c r="T44" i="16"/>
  <c r="T46" i="16"/>
  <c r="T47" i="16"/>
  <c r="T48" i="16"/>
  <c r="G50" i="16"/>
  <c r="F50" i="16"/>
  <c r="E50" i="16"/>
  <c r="W48" i="16"/>
  <c r="G48" i="16"/>
  <c r="F48" i="16"/>
  <c r="E48" i="16"/>
  <c r="D48" i="16"/>
  <c r="G47" i="16"/>
  <c r="F47" i="16"/>
  <c r="E47" i="16"/>
  <c r="D47" i="16"/>
  <c r="G46" i="16"/>
  <c r="F46" i="16"/>
  <c r="E46" i="16"/>
  <c r="D46" i="16"/>
  <c r="G44" i="16"/>
  <c r="F44" i="16"/>
  <c r="E44" i="16"/>
  <c r="D44" i="16"/>
  <c r="G43" i="16"/>
  <c r="F43" i="16"/>
  <c r="E43" i="16"/>
  <c r="D43" i="16"/>
  <c r="G42" i="16"/>
  <c r="F42" i="16"/>
  <c r="E42" i="16"/>
  <c r="D42" i="16"/>
  <c r="H41" i="16"/>
  <c r="H42" i="16"/>
  <c r="H43" i="16"/>
  <c r="H44" i="16"/>
  <c r="H45" i="16"/>
  <c r="H46" i="16"/>
  <c r="H47" i="16"/>
  <c r="H48" i="16"/>
  <c r="G41" i="16"/>
  <c r="F41" i="16"/>
  <c r="E41" i="16"/>
  <c r="D41" i="16"/>
  <c r="G40" i="16"/>
  <c r="F40" i="16"/>
  <c r="E40" i="16"/>
  <c r="D40" i="16"/>
  <c r="H38" i="16"/>
  <c r="G38" i="16"/>
  <c r="F38" i="16"/>
  <c r="E38" i="16"/>
  <c r="C36" i="16"/>
  <c r="H30" i="16"/>
  <c r="H31" i="16"/>
  <c r="H32" i="16"/>
  <c r="AC28" i="16"/>
  <c r="AB28" i="16"/>
  <c r="AA28" i="16"/>
  <c r="AA30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H27" i="16"/>
  <c r="G27" i="16"/>
  <c r="F27" i="16"/>
  <c r="E27" i="16"/>
  <c r="AB118" i="15"/>
  <c r="AC22" i="16"/>
  <c r="AA118" i="15"/>
  <c r="AB22" i="16" s="1"/>
  <c r="Z118" i="15"/>
  <c r="AA22" i="16" s="1"/>
  <c r="Y118" i="15"/>
  <c r="Z22" i="16" s="1"/>
  <c r="X118" i="15"/>
  <c r="Y22" i="16"/>
  <c r="D22" i="16"/>
  <c r="H21" i="16"/>
  <c r="H22" i="16"/>
  <c r="D21" i="16"/>
  <c r="D20" i="16"/>
  <c r="H18" i="16"/>
  <c r="G18" i="16"/>
  <c r="F18" i="16"/>
  <c r="E18" i="16"/>
  <c r="C16" i="16"/>
  <c r="G14" i="16"/>
  <c r="F14" i="16"/>
  <c r="E14" i="16"/>
  <c r="AB45" i="15"/>
  <c r="AC13" i="16" s="1"/>
  <c r="AA45" i="15"/>
  <c r="AB13" i="16"/>
  <c r="Z45" i="15"/>
  <c r="AA13" i="16"/>
  <c r="Y45" i="15"/>
  <c r="Z13" i="16" s="1"/>
  <c r="X45" i="15"/>
  <c r="Y13" i="16" s="1"/>
  <c r="H13" i="16"/>
  <c r="H14" i="16"/>
  <c r="G13" i="16"/>
  <c r="F13" i="16"/>
  <c r="E13" i="16"/>
  <c r="G12" i="16"/>
  <c r="F12" i="16"/>
  <c r="E12" i="16"/>
  <c r="H10" i="16"/>
  <c r="G10" i="16"/>
  <c r="F10" i="16"/>
  <c r="E10" i="16"/>
  <c r="C8" i="16"/>
  <c r="Y4" i="16"/>
  <c r="Y26" i="16"/>
  <c r="T4" i="16"/>
  <c r="T26" i="16"/>
  <c r="O4" i="16"/>
  <c r="O26" i="16"/>
  <c r="B4" i="16"/>
  <c r="B2" i="16"/>
  <c r="A1" i="16"/>
  <c r="E19" i="10"/>
  <c r="H30" i="14"/>
  <c r="H31" i="14"/>
  <c r="H32" i="14"/>
  <c r="X28" i="14"/>
  <c r="X30" i="14"/>
  <c r="W28" i="14"/>
  <c r="V28" i="14"/>
  <c r="U28" i="14"/>
  <c r="T28" i="14"/>
  <c r="S28" i="14"/>
  <c r="R28" i="14"/>
  <c r="Q28" i="14"/>
  <c r="P28" i="14"/>
  <c r="P31" i="14"/>
  <c r="O28" i="14"/>
  <c r="N28" i="14"/>
  <c r="M28" i="14"/>
  <c r="L28" i="14"/>
  <c r="K28" i="14"/>
  <c r="D29" i="14"/>
  <c r="J28" i="14"/>
  <c r="H27" i="14"/>
  <c r="G27" i="14"/>
  <c r="F27" i="14"/>
  <c r="E27" i="14"/>
  <c r="D22" i="14"/>
  <c r="H21" i="14"/>
  <c r="H22" i="14"/>
  <c r="D21" i="14"/>
  <c r="D20" i="14"/>
  <c r="H18" i="14"/>
  <c r="G18" i="14"/>
  <c r="F18" i="14"/>
  <c r="E18" i="14"/>
  <c r="C16" i="14"/>
  <c r="G14" i="14"/>
  <c r="F14" i="14"/>
  <c r="E14" i="14"/>
  <c r="H13" i="14"/>
  <c r="H14" i="14"/>
  <c r="G13" i="14"/>
  <c r="F13" i="14"/>
  <c r="E13" i="14"/>
  <c r="G12" i="14"/>
  <c r="F12" i="14"/>
  <c r="E12" i="14"/>
  <c r="H10" i="14"/>
  <c r="G10" i="14"/>
  <c r="F10" i="14"/>
  <c r="E10" i="14"/>
  <c r="C8" i="14"/>
  <c r="T4" i="14"/>
  <c r="T26" i="14"/>
  <c r="O4" i="14"/>
  <c r="O26" i="14"/>
  <c r="J4" i="14"/>
  <c r="J26" i="14"/>
  <c r="B4" i="14"/>
  <c r="B2" i="14"/>
  <c r="A1" i="14"/>
  <c r="E18" i="10"/>
  <c r="H60" i="13"/>
  <c r="G21" i="13"/>
  <c r="G60" i="13" s="1"/>
  <c r="F21" i="13"/>
  <c r="F60" i="13" s="1"/>
  <c r="E21" i="13"/>
  <c r="E60" i="13" s="1"/>
  <c r="H59" i="13"/>
  <c r="H58" i="13"/>
  <c r="H57" i="13"/>
  <c r="H56" i="13"/>
  <c r="H55" i="13"/>
  <c r="T52" i="13"/>
  <c r="O52" i="13"/>
  <c r="J52" i="13"/>
  <c r="G52" i="13"/>
  <c r="F52" i="13"/>
  <c r="E52" i="13"/>
  <c r="D48" i="13"/>
  <c r="D46" i="13"/>
  <c r="D45" i="13"/>
  <c r="D44" i="13"/>
  <c r="H43" i="13"/>
  <c r="H44" i="13"/>
  <c r="H45" i="13"/>
  <c r="H46" i="13"/>
  <c r="D43" i="13"/>
  <c r="D42" i="13"/>
  <c r="G40" i="13"/>
  <c r="F40" i="13"/>
  <c r="E40" i="13"/>
  <c r="C38" i="13"/>
  <c r="G36" i="13"/>
  <c r="F34" i="13"/>
  <c r="F36" i="13"/>
  <c r="E36" i="13"/>
  <c r="D36" i="13"/>
  <c r="N34" i="13"/>
  <c r="M34" i="13"/>
  <c r="L34" i="13"/>
  <c r="K34" i="13"/>
  <c r="J34" i="13"/>
  <c r="G34" i="13"/>
  <c r="E34" i="13"/>
  <c r="D34" i="13"/>
  <c r="N33" i="13"/>
  <c r="M33" i="13"/>
  <c r="L33" i="13"/>
  <c r="K33" i="13"/>
  <c r="J33" i="13"/>
  <c r="G33" i="13"/>
  <c r="F33" i="13"/>
  <c r="E33" i="13"/>
  <c r="D33" i="13"/>
  <c r="N32" i="13"/>
  <c r="M32" i="13"/>
  <c r="L32" i="13"/>
  <c r="K32" i="13"/>
  <c r="J32" i="13"/>
  <c r="G32" i="13"/>
  <c r="F32" i="13"/>
  <c r="E32" i="13"/>
  <c r="D32" i="13"/>
  <c r="N31" i="13"/>
  <c r="M31" i="13"/>
  <c r="L31" i="13"/>
  <c r="K31" i="13"/>
  <c r="J31" i="13"/>
  <c r="H31" i="13"/>
  <c r="H32" i="13"/>
  <c r="H33" i="13"/>
  <c r="H34" i="13"/>
  <c r="G31" i="13"/>
  <c r="F31" i="13"/>
  <c r="E31" i="13"/>
  <c r="D31" i="13"/>
  <c r="N30" i="13"/>
  <c r="M30" i="13"/>
  <c r="L30" i="13"/>
  <c r="K30" i="13"/>
  <c r="J30" i="13"/>
  <c r="G30" i="13"/>
  <c r="F30" i="13"/>
  <c r="E30" i="13"/>
  <c r="D30" i="13"/>
  <c r="G28" i="13"/>
  <c r="F28" i="13"/>
  <c r="E28" i="13"/>
  <c r="C26" i="13"/>
  <c r="H21" i="13"/>
  <c r="H22" i="13"/>
  <c r="G20" i="13"/>
  <c r="F20" i="13"/>
  <c r="E20" i="13"/>
  <c r="G18" i="13"/>
  <c r="F18" i="13"/>
  <c r="E18" i="13"/>
  <c r="C16" i="13"/>
  <c r="N14" i="13"/>
  <c r="M14" i="13"/>
  <c r="L14" i="13"/>
  <c r="K14" i="13"/>
  <c r="J14" i="13"/>
  <c r="G14" i="13"/>
  <c r="F14" i="13"/>
  <c r="E14" i="13"/>
  <c r="D14" i="13"/>
  <c r="D22" i="13"/>
  <c r="H13" i="13"/>
  <c r="H14" i="13"/>
  <c r="G13" i="13"/>
  <c r="F13" i="13"/>
  <c r="E13" i="13"/>
  <c r="D13" i="13"/>
  <c r="D21" i="13"/>
  <c r="G12" i="13"/>
  <c r="F12" i="13"/>
  <c r="E12" i="13"/>
  <c r="D12" i="13"/>
  <c r="D20" i="13"/>
  <c r="G10" i="13"/>
  <c r="F10" i="13"/>
  <c r="E10" i="13"/>
  <c r="C8" i="13"/>
  <c r="T4" i="13"/>
  <c r="O4" i="13"/>
  <c r="J4" i="13"/>
  <c r="B4" i="13"/>
  <c r="B2" i="13"/>
  <c r="A1" i="13"/>
  <c r="E17" i="10"/>
  <c r="G20" i="27"/>
  <c r="F20" i="27"/>
  <c r="E20" i="27"/>
  <c r="G19" i="27"/>
  <c r="F19" i="27"/>
  <c r="E19" i="27"/>
  <c r="H17" i="27"/>
  <c r="G17" i="27"/>
  <c r="F17" i="27"/>
  <c r="E17" i="27"/>
  <c r="X28" i="28"/>
  <c r="W28" i="28"/>
  <c r="V28" i="28"/>
  <c r="U28" i="28"/>
  <c r="T28" i="28"/>
  <c r="G13" i="27"/>
  <c r="F13" i="27"/>
  <c r="E13" i="27"/>
  <c r="X12" i="28"/>
  <c r="W12" i="28"/>
  <c r="V12" i="28"/>
  <c r="U12" i="28"/>
  <c r="T12" i="28"/>
  <c r="G12" i="27"/>
  <c r="F12" i="27"/>
  <c r="E12" i="27"/>
  <c r="H10" i="27"/>
  <c r="G10" i="27"/>
  <c r="F10" i="27"/>
  <c r="E10" i="27"/>
  <c r="T4" i="27"/>
  <c r="O4" i="27"/>
  <c r="J4" i="27"/>
  <c r="B4" i="27"/>
  <c r="B2" i="27"/>
  <c r="A1" i="27"/>
  <c r="G99" i="22"/>
  <c r="F99" i="22"/>
  <c r="E99" i="22"/>
  <c r="X97" i="22"/>
  <c r="W97" i="22"/>
  <c r="V97" i="22"/>
  <c r="U97" i="22"/>
  <c r="T97" i="22"/>
  <c r="G97" i="22"/>
  <c r="F97" i="22"/>
  <c r="E97" i="22"/>
  <c r="H95" i="22"/>
  <c r="G95" i="22"/>
  <c r="F95" i="22"/>
  <c r="E95" i="22"/>
  <c r="H94" i="22"/>
  <c r="G94" i="22"/>
  <c r="F94" i="22"/>
  <c r="E94" i="22"/>
  <c r="D94" i="22"/>
  <c r="H93" i="22"/>
  <c r="G93" i="22"/>
  <c r="F93" i="22"/>
  <c r="E93" i="22"/>
  <c r="D93" i="22"/>
  <c r="H92" i="22"/>
  <c r="G92" i="22"/>
  <c r="F92" i="22"/>
  <c r="E92" i="22"/>
  <c r="D92" i="22"/>
  <c r="H91" i="22"/>
  <c r="G91" i="22"/>
  <c r="F91" i="22"/>
  <c r="E91" i="22"/>
  <c r="D91" i="22"/>
  <c r="H90" i="22"/>
  <c r="G90" i="22"/>
  <c r="F90" i="22"/>
  <c r="E90" i="22"/>
  <c r="D90" i="22"/>
  <c r="H89" i="22"/>
  <c r="G89" i="22"/>
  <c r="F89" i="22"/>
  <c r="E89" i="22"/>
  <c r="D89" i="22"/>
  <c r="H88" i="22"/>
  <c r="G88" i="22"/>
  <c r="F88" i="22"/>
  <c r="E88" i="22"/>
  <c r="D88" i="22"/>
  <c r="H87" i="22"/>
  <c r="G87" i="22"/>
  <c r="F87" i="22"/>
  <c r="E87" i="22"/>
  <c r="D87" i="22"/>
  <c r="H86" i="22"/>
  <c r="G86" i="22"/>
  <c r="F86" i="22"/>
  <c r="E86" i="22"/>
  <c r="D86" i="22"/>
  <c r="G85" i="22"/>
  <c r="F85" i="22"/>
  <c r="E85" i="22"/>
  <c r="D85" i="22"/>
  <c r="O84" i="22"/>
  <c r="P84" i="22"/>
  <c r="Q84" i="22"/>
  <c r="R84" i="22"/>
  <c r="S84" i="22"/>
  <c r="H83" i="22"/>
  <c r="G83" i="22"/>
  <c r="F83" i="22"/>
  <c r="E83" i="22"/>
  <c r="H78" i="22"/>
  <c r="G78" i="22"/>
  <c r="F78" i="22"/>
  <c r="E78" i="22"/>
  <c r="G76" i="22"/>
  <c r="F76" i="22"/>
  <c r="E76" i="22"/>
  <c r="H74" i="22"/>
  <c r="G74" i="22"/>
  <c r="F74" i="22"/>
  <c r="E74" i="22"/>
  <c r="H73" i="22"/>
  <c r="G73" i="22"/>
  <c r="F73" i="22"/>
  <c r="E73" i="22"/>
  <c r="D73" i="22"/>
  <c r="H72" i="22"/>
  <c r="G72" i="22"/>
  <c r="F72" i="22"/>
  <c r="E72" i="22"/>
  <c r="D72" i="22"/>
  <c r="H71" i="22"/>
  <c r="G71" i="22"/>
  <c r="F71" i="22"/>
  <c r="E71" i="22"/>
  <c r="D71" i="22"/>
  <c r="H70" i="22"/>
  <c r="G70" i="22"/>
  <c r="F70" i="22"/>
  <c r="E70" i="22"/>
  <c r="D70" i="22"/>
  <c r="H69" i="22"/>
  <c r="G69" i="22"/>
  <c r="F69" i="22"/>
  <c r="E69" i="22"/>
  <c r="D69" i="22"/>
  <c r="H68" i="22"/>
  <c r="G68" i="22"/>
  <c r="F68" i="22"/>
  <c r="E68" i="22"/>
  <c r="D68" i="22"/>
  <c r="H67" i="22"/>
  <c r="G67" i="22"/>
  <c r="F67" i="22"/>
  <c r="E67" i="22"/>
  <c r="D67" i="22"/>
  <c r="H66" i="22"/>
  <c r="G66" i="22"/>
  <c r="F66" i="22"/>
  <c r="E66" i="22"/>
  <c r="D66" i="22"/>
  <c r="H65" i="22"/>
  <c r="G65" i="22"/>
  <c r="F65" i="22"/>
  <c r="E65" i="22"/>
  <c r="D65" i="22"/>
  <c r="G64" i="22"/>
  <c r="E64" i="22"/>
  <c r="D64" i="22"/>
  <c r="U63" i="22"/>
  <c r="V63" i="22"/>
  <c r="W63" i="22"/>
  <c r="X63" i="22"/>
  <c r="P63" i="22"/>
  <c r="Q63" i="22"/>
  <c r="R63" i="22"/>
  <c r="S63" i="22"/>
  <c r="K63" i="22"/>
  <c r="L63" i="22"/>
  <c r="M63" i="22"/>
  <c r="N63" i="22"/>
  <c r="H62" i="22"/>
  <c r="G62" i="22"/>
  <c r="F62" i="22"/>
  <c r="E62" i="22"/>
  <c r="G50" i="22"/>
  <c r="F50" i="22"/>
  <c r="E50" i="22"/>
  <c r="G49" i="22"/>
  <c r="E49" i="22"/>
  <c r="U48" i="22"/>
  <c r="V48" i="22"/>
  <c r="W48" i="22"/>
  <c r="X48" i="22"/>
  <c r="P48" i="22"/>
  <c r="Q48" i="22"/>
  <c r="R48" i="22"/>
  <c r="S48" i="22"/>
  <c r="K48" i="22"/>
  <c r="L48" i="22"/>
  <c r="M48" i="22"/>
  <c r="N48" i="22"/>
  <c r="H47" i="22"/>
  <c r="G47" i="22"/>
  <c r="F47" i="22"/>
  <c r="E47" i="22"/>
  <c r="H40" i="22"/>
  <c r="G40" i="22"/>
  <c r="F40" i="22"/>
  <c r="E40" i="22"/>
  <c r="N38" i="22"/>
  <c r="M38" i="22"/>
  <c r="L38" i="22"/>
  <c r="K38" i="22"/>
  <c r="J38" i="22"/>
  <c r="G38" i="22"/>
  <c r="F38" i="22"/>
  <c r="E38" i="22"/>
  <c r="H36" i="22"/>
  <c r="G36" i="22"/>
  <c r="F36" i="22"/>
  <c r="E36" i="22"/>
  <c r="H35" i="22"/>
  <c r="G35" i="22"/>
  <c r="F35" i="22"/>
  <c r="E35" i="22"/>
  <c r="H34" i="22"/>
  <c r="G34" i="22"/>
  <c r="F34" i="22"/>
  <c r="E34" i="22"/>
  <c r="H33" i="22"/>
  <c r="G33" i="22"/>
  <c r="F33" i="22"/>
  <c r="E33" i="22"/>
  <c r="G32" i="22"/>
  <c r="E32" i="22"/>
  <c r="U31" i="22"/>
  <c r="V31" i="22"/>
  <c r="W31" i="22"/>
  <c r="X31" i="22"/>
  <c r="P31" i="22"/>
  <c r="Q31" i="22"/>
  <c r="R31" i="22"/>
  <c r="S31" i="22"/>
  <c r="K31" i="22"/>
  <c r="L31" i="22"/>
  <c r="M31" i="22"/>
  <c r="N31" i="22"/>
  <c r="H30" i="22"/>
  <c r="G30" i="22"/>
  <c r="F30" i="22"/>
  <c r="E30" i="22"/>
  <c r="G11" i="22"/>
  <c r="F11" i="22"/>
  <c r="E11" i="22"/>
  <c r="G10" i="22"/>
  <c r="E10" i="22"/>
  <c r="U9" i="22"/>
  <c r="V9" i="22"/>
  <c r="W9" i="22"/>
  <c r="X9" i="22"/>
  <c r="P9" i="22"/>
  <c r="Q9" i="22"/>
  <c r="R9" i="22"/>
  <c r="S9" i="22"/>
  <c r="K9" i="22"/>
  <c r="L9" i="22"/>
  <c r="M9" i="22"/>
  <c r="N9" i="22"/>
  <c r="H8" i="22"/>
  <c r="G8" i="22"/>
  <c r="F8" i="22"/>
  <c r="E8" i="22"/>
  <c r="T4" i="22"/>
  <c r="O4" i="22"/>
  <c r="J4" i="22"/>
  <c r="B4" i="22"/>
  <c r="B2" i="22"/>
  <c r="G120" i="15"/>
  <c r="E120" i="15"/>
  <c r="G118" i="15"/>
  <c r="F118" i="15"/>
  <c r="E118" i="15"/>
  <c r="H109" i="15"/>
  <c r="H110" i="15" s="1"/>
  <c r="H111" i="15" s="1"/>
  <c r="H112" i="15" s="1"/>
  <c r="H114" i="15" s="1"/>
  <c r="H115" i="15" s="1"/>
  <c r="H116" i="15" s="1"/>
  <c r="G116" i="15"/>
  <c r="F116" i="15"/>
  <c r="E116" i="15"/>
  <c r="D116" i="15"/>
  <c r="G115" i="15"/>
  <c r="F115" i="15"/>
  <c r="E115" i="15"/>
  <c r="D115" i="15"/>
  <c r="G114" i="15"/>
  <c r="F114" i="15"/>
  <c r="E114" i="15"/>
  <c r="D114" i="15"/>
  <c r="G112" i="15"/>
  <c r="F112" i="15"/>
  <c r="E112" i="15"/>
  <c r="D112" i="15"/>
  <c r="G111" i="15"/>
  <c r="F111" i="15"/>
  <c r="E111" i="15"/>
  <c r="D111" i="15"/>
  <c r="G110" i="15"/>
  <c r="F110" i="15"/>
  <c r="E110" i="15"/>
  <c r="D110" i="15"/>
  <c r="G109" i="15"/>
  <c r="F109" i="15"/>
  <c r="E109" i="15"/>
  <c r="D109" i="15"/>
  <c r="G108" i="15"/>
  <c r="E108" i="15"/>
  <c r="D108" i="15"/>
  <c r="Y107" i="15"/>
  <c r="Z107" i="15" s="1"/>
  <c r="AA107" i="15" s="1"/>
  <c r="AB107" i="15" s="1"/>
  <c r="T107" i="15"/>
  <c r="U107" i="15"/>
  <c r="V107" i="15" s="1"/>
  <c r="W107" i="15" s="1"/>
  <c r="O107" i="15"/>
  <c r="P107" i="15" s="1"/>
  <c r="Q107" i="15" s="1"/>
  <c r="R107" i="15" s="1"/>
  <c r="G106" i="15"/>
  <c r="F106" i="15"/>
  <c r="E106" i="15"/>
  <c r="D96" i="15"/>
  <c r="D95" i="15"/>
  <c r="G87" i="15"/>
  <c r="G93" i="15" s="1"/>
  <c r="F93" i="15"/>
  <c r="E87" i="15"/>
  <c r="E93" i="15" s="1"/>
  <c r="H88" i="15"/>
  <c r="H89" i="15" s="1"/>
  <c r="H90" i="15" s="1"/>
  <c r="H91" i="15" s="1"/>
  <c r="F88" i="15"/>
  <c r="F89" i="15" s="1"/>
  <c r="F90" i="15" s="1"/>
  <c r="F91" i="15" s="1"/>
  <c r="G85" i="15"/>
  <c r="F85" i="15"/>
  <c r="E85" i="15"/>
  <c r="AB79" i="15"/>
  <c r="AA79" i="15"/>
  <c r="Z79" i="15"/>
  <c r="Y79" i="15"/>
  <c r="X79" i="15"/>
  <c r="R79" i="15"/>
  <c r="Q79" i="15"/>
  <c r="P79" i="15"/>
  <c r="O79" i="15"/>
  <c r="N79" i="15"/>
  <c r="M79" i="15"/>
  <c r="L79" i="15"/>
  <c r="K79" i="15"/>
  <c r="J79" i="15"/>
  <c r="I79" i="15"/>
  <c r="H79" i="15"/>
  <c r="G59" i="15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F79" i="15"/>
  <c r="E79" i="15"/>
  <c r="H60" i="15"/>
  <c r="H61" i="15"/>
  <c r="H62" i="15" s="1"/>
  <c r="H63" i="15" s="1"/>
  <c r="H64" i="15" s="1"/>
  <c r="H65" i="15" s="1"/>
  <c r="H66" i="15" s="1"/>
  <c r="H67" i="15" s="1"/>
  <c r="H68" i="15" s="1"/>
  <c r="H69" i="15" s="1"/>
  <c r="H70" i="15" s="1"/>
  <c r="H71" i="15" s="1"/>
  <c r="H72" i="15" s="1"/>
  <c r="H73" i="15" s="1"/>
  <c r="H74" i="15" s="1"/>
  <c r="H75" i="15" s="1"/>
  <c r="H76" i="15" s="1"/>
  <c r="H77" i="15" s="1"/>
  <c r="F60" i="15"/>
  <c r="F61" i="15" s="1"/>
  <c r="F62" i="15" s="1"/>
  <c r="F63" i="15" s="1"/>
  <c r="F64" i="15" s="1"/>
  <c r="F65" i="15" s="1"/>
  <c r="F66" i="15" s="1"/>
  <c r="F67" i="15" s="1"/>
  <c r="F68" i="15" s="1"/>
  <c r="F69" i="15" s="1"/>
  <c r="F70" i="15" s="1"/>
  <c r="F71" i="15" s="1"/>
  <c r="F72" i="15" s="1"/>
  <c r="F73" i="15" s="1"/>
  <c r="F74" i="15" s="1"/>
  <c r="F75" i="15" s="1"/>
  <c r="F76" i="15" s="1"/>
  <c r="F77" i="15" s="1"/>
  <c r="E77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L3" i="15"/>
  <c r="G57" i="15"/>
  <c r="F57" i="15"/>
  <c r="E57" i="15"/>
  <c r="G49" i="15"/>
  <c r="F49" i="15"/>
  <c r="F50" i="15" s="1"/>
  <c r="E49" i="15"/>
  <c r="G47" i="15"/>
  <c r="E47" i="15"/>
  <c r="G45" i="15"/>
  <c r="F36" i="15"/>
  <c r="F37" i="15"/>
  <c r="F38" i="15" s="1"/>
  <c r="F39" i="15" s="1"/>
  <c r="E45" i="15"/>
  <c r="H43" i="15"/>
  <c r="G43" i="15"/>
  <c r="E43" i="15"/>
  <c r="H42" i="15"/>
  <c r="G42" i="15"/>
  <c r="E42" i="15"/>
  <c r="H41" i="15"/>
  <c r="G41" i="15"/>
  <c r="E41" i="15"/>
  <c r="H39" i="15"/>
  <c r="G39" i="15"/>
  <c r="E39" i="15"/>
  <c r="G38" i="15"/>
  <c r="E38" i="15"/>
  <c r="H37" i="15"/>
  <c r="G37" i="15"/>
  <c r="E37" i="15"/>
  <c r="H36" i="15"/>
  <c r="G36" i="15"/>
  <c r="E36" i="15"/>
  <c r="G35" i="15"/>
  <c r="E35" i="15"/>
  <c r="G33" i="15"/>
  <c r="F33" i="15"/>
  <c r="E33" i="15"/>
  <c r="G26" i="15"/>
  <c r="F26" i="15"/>
  <c r="E26" i="15"/>
  <c r="T24" i="15"/>
  <c r="S24" i="15"/>
  <c r="R24" i="15"/>
  <c r="Q24" i="15"/>
  <c r="P24" i="15"/>
  <c r="O24" i="15"/>
  <c r="N24" i="15"/>
  <c r="G24" i="15"/>
  <c r="F14" i="15"/>
  <c r="F20" i="15" s="1"/>
  <c r="E24" i="15"/>
  <c r="H15" i="15"/>
  <c r="H16" i="15" s="1"/>
  <c r="H17" i="15" s="1"/>
  <c r="H18" i="15" s="1"/>
  <c r="G22" i="15"/>
  <c r="E22" i="15"/>
  <c r="D22" i="15"/>
  <c r="G21" i="15"/>
  <c r="E21" i="15"/>
  <c r="D21" i="15"/>
  <c r="G20" i="15"/>
  <c r="E20" i="15"/>
  <c r="D20" i="15"/>
  <c r="G18" i="15"/>
  <c r="E18" i="15"/>
  <c r="D18" i="15"/>
  <c r="G17" i="15"/>
  <c r="E17" i="15"/>
  <c r="D17" i="15"/>
  <c r="G16" i="15"/>
  <c r="E16" i="15"/>
  <c r="D16" i="15"/>
  <c r="G15" i="15"/>
  <c r="E15" i="15"/>
  <c r="D15" i="15"/>
  <c r="G14" i="15"/>
  <c r="E14" i="15"/>
  <c r="D14" i="15"/>
  <c r="Y13" i="15"/>
  <c r="Z13" i="15" s="1"/>
  <c r="AA13" i="15" s="1"/>
  <c r="AB13" i="15" s="1"/>
  <c r="T13" i="15"/>
  <c r="U13" i="15" s="1"/>
  <c r="V13" i="15" s="1"/>
  <c r="W13" i="15" s="1"/>
  <c r="O13" i="15"/>
  <c r="P13" i="15" s="1"/>
  <c r="Q13" i="15" s="1"/>
  <c r="R13" i="15" s="1"/>
  <c r="G12" i="15"/>
  <c r="F12" i="15"/>
  <c r="E12" i="15"/>
  <c r="X4" i="15"/>
  <c r="S4" i="15"/>
  <c r="N4" i="15"/>
  <c r="B4" i="15"/>
  <c r="B2" i="15"/>
  <c r="G63" i="12"/>
  <c r="E63" i="12"/>
  <c r="X61" i="12"/>
  <c r="X22" i="14"/>
  <c r="W61" i="12"/>
  <c r="W22" i="14"/>
  <c r="V61" i="12"/>
  <c r="V22" i="14"/>
  <c r="U61" i="12"/>
  <c r="U22" i="14"/>
  <c r="T61" i="12"/>
  <c r="T22" i="14"/>
  <c r="G61" i="12"/>
  <c r="E61" i="12"/>
  <c r="G59" i="12"/>
  <c r="E59" i="12"/>
  <c r="D59" i="12"/>
  <c r="G58" i="12"/>
  <c r="E58" i="12"/>
  <c r="D58" i="12"/>
  <c r="D57" i="12"/>
  <c r="G55" i="12"/>
  <c r="E55" i="12"/>
  <c r="D55" i="12"/>
  <c r="H54" i="12"/>
  <c r="H56" i="12"/>
  <c r="G54" i="12"/>
  <c r="F54" i="12"/>
  <c r="F56" i="12"/>
  <c r="E54" i="12"/>
  <c r="D54" i="12"/>
  <c r="H53" i="12"/>
  <c r="H55" i="12"/>
  <c r="G53" i="12"/>
  <c r="F53" i="12"/>
  <c r="F55" i="12"/>
  <c r="E53" i="12"/>
  <c r="D53" i="12"/>
  <c r="G52" i="12"/>
  <c r="E52" i="12"/>
  <c r="D52" i="12"/>
  <c r="U51" i="12"/>
  <c r="V51" i="12"/>
  <c r="W51" i="12"/>
  <c r="X51" i="12"/>
  <c r="P51" i="12"/>
  <c r="Q51" i="12"/>
  <c r="R51" i="12"/>
  <c r="S51" i="12"/>
  <c r="K51" i="12"/>
  <c r="L51" i="12"/>
  <c r="M51" i="12"/>
  <c r="N51" i="12"/>
  <c r="H50" i="12"/>
  <c r="G50" i="12"/>
  <c r="F50" i="12"/>
  <c r="E50" i="12"/>
  <c r="G43" i="12"/>
  <c r="E43" i="12"/>
  <c r="X41" i="12"/>
  <c r="X13" i="14"/>
  <c r="W41" i="12"/>
  <c r="W13" i="14"/>
  <c r="V41" i="12"/>
  <c r="V13" i="14"/>
  <c r="U41" i="12"/>
  <c r="U13" i="14"/>
  <c r="T41" i="12"/>
  <c r="T13" i="14"/>
  <c r="G41" i="12"/>
  <c r="E41" i="12"/>
  <c r="D39" i="12"/>
  <c r="D47" i="14"/>
  <c r="D38" i="12"/>
  <c r="D46" i="14"/>
  <c r="D37" i="12"/>
  <c r="D45" i="14"/>
  <c r="G35" i="12"/>
  <c r="E35" i="12"/>
  <c r="D35" i="12"/>
  <c r="D43" i="14"/>
  <c r="H34" i="12"/>
  <c r="H36" i="12"/>
  <c r="H38" i="12"/>
  <c r="G34" i="12"/>
  <c r="F34" i="12"/>
  <c r="F36" i="12"/>
  <c r="F38" i="12"/>
  <c r="E34" i="12"/>
  <c r="D34" i="12"/>
  <c r="D42" i="14"/>
  <c r="H33" i="12"/>
  <c r="H35" i="12"/>
  <c r="H37" i="12"/>
  <c r="H39" i="12"/>
  <c r="G33" i="12"/>
  <c r="F33" i="12"/>
  <c r="F35" i="12"/>
  <c r="E33" i="12"/>
  <c r="D33" i="12"/>
  <c r="D41" i="14"/>
  <c r="G32" i="12"/>
  <c r="E32" i="12"/>
  <c r="D32" i="12"/>
  <c r="D40" i="14"/>
  <c r="H30" i="12"/>
  <c r="G30" i="12"/>
  <c r="F30" i="12"/>
  <c r="E30" i="12"/>
  <c r="G23" i="12"/>
  <c r="F23" i="12"/>
  <c r="E23" i="12"/>
  <c r="S21" i="12"/>
  <c r="R21" i="12"/>
  <c r="Q21" i="12"/>
  <c r="P21" i="12"/>
  <c r="O21" i="12"/>
  <c r="N21" i="12"/>
  <c r="M21" i="12"/>
  <c r="L21" i="12"/>
  <c r="K21" i="12"/>
  <c r="J21" i="12"/>
  <c r="G21" i="12"/>
  <c r="F12" i="12"/>
  <c r="F13" i="12" s="1"/>
  <c r="F15" i="12" s="1"/>
  <c r="F17" i="12" s="1"/>
  <c r="F18" i="12" s="1"/>
  <c r="F19" i="12" s="1"/>
  <c r="F21" i="12" s="1"/>
  <c r="E21" i="12"/>
  <c r="G19" i="12"/>
  <c r="E19" i="12"/>
  <c r="D19" i="12"/>
  <c r="G18" i="12"/>
  <c r="E18" i="12"/>
  <c r="D18" i="12"/>
  <c r="D17" i="12"/>
  <c r="G15" i="12"/>
  <c r="E15" i="12"/>
  <c r="D15" i="12"/>
  <c r="H14" i="12"/>
  <c r="H16" i="12"/>
  <c r="G14" i="12"/>
  <c r="E14" i="12"/>
  <c r="D14" i="12"/>
  <c r="H13" i="12"/>
  <c r="H15" i="12"/>
  <c r="G13" i="12"/>
  <c r="E13" i="12"/>
  <c r="D13" i="12"/>
  <c r="G12" i="12"/>
  <c r="E12" i="12"/>
  <c r="D12" i="12"/>
  <c r="U11" i="12"/>
  <c r="V11" i="12"/>
  <c r="W11" i="12"/>
  <c r="X11" i="12"/>
  <c r="P11" i="12"/>
  <c r="Q11" i="12"/>
  <c r="R11" i="12"/>
  <c r="S11" i="12"/>
  <c r="K11" i="12"/>
  <c r="L11" i="12"/>
  <c r="M11" i="12"/>
  <c r="N11" i="12"/>
  <c r="H10" i="12"/>
  <c r="G10" i="12"/>
  <c r="F10" i="12"/>
  <c r="E10" i="12"/>
  <c r="T4" i="12"/>
  <c r="O4" i="12"/>
  <c r="J4" i="12"/>
  <c r="B4" i="12"/>
  <c r="B2" i="12"/>
  <c r="N26" i="11"/>
  <c r="N36" i="13"/>
  <c r="M26" i="11"/>
  <c r="M36" i="13"/>
  <c r="L26" i="11"/>
  <c r="L36" i="13"/>
  <c r="K26" i="11"/>
  <c r="K36" i="13"/>
  <c r="J26" i="11"/>
  <c r="J36" i="13"/>
  <c r="G26" i="11"/>
  <c r="F21" i="11"/>
  <c r="F22" i="11" s="1"/>
  <c r="F23" i="11" s="1"/>
  <c r="F24" i="11" s="1"/>
  <c r="F26" i="11" s="1"/>
  <c r="E26" i="11"/>
  <c r="G24" i="11"/>
  <c r="E24" i="11"/>
  <c r="G23" i="11"/>
  <c r="E23" i="11"/>
  <c r="G22" i="11"/>
  <c r="E22" i="11"/>
  <c r="H21" i="11"/>
  <c r="H22" i="11"/>
  <c r="H23" i="11" s="1"/>
  <c r="H24" i="11" s="1"/>
  <c r="G21" i="11"/>
  <c r="E21" i="11"/>
  <c r="G20" i="11"/>
  <c r="E20" i="11"/>
  <c r="U19" i="11"/>
  <c r="V19" i="11"/>
  <c r="W19" i="11"/>
  <c r="X19" i="11"/>
  <c r="P19" i="11"/>
  <c r="Q19" i="11"/>
  <c r="R19" i="11"/>
  <c r="S19" i="11"/>
  <c r="K19" i="11"/>
  <c r="L19" i="11"/>
  <c r="M19" i="11"/>
  <c r="N19" i="11"/>
  <c r="H18" i="11"/>
  <c r="G18" i="11"/>
  <c r="F18" i="11"/>
  <c r="E18" i="11"/>
  <c r="X14" i="11"/>
  <c r="X22" i="13"/>
  <c r="W14" i="11"/>
  <c r="W22" i="13"/>
  <c r="V14" i="11"/>
  <c r="V22" i="13"/>
  <c r="U14" i="11"/>
  <c r="U22" i="13"/>
  <c r="T14" i="11"/>
  <c r="T22" i="13"/>
  <c r="G14" i="11"/>
  <c r="F14" i="11"/>
  <c r="E14" i="11"/>
  <c r="X13" i="11"/>
  <c r="X13" i="13"/>
  <c r="W13" i="11"/>
  <c r="W13" i="13"/>
  <c r="V13" i="11"/>
  <c r="V13" i="13"/>
  <c r="U13" i="11"/>
  <c r="U13" i="13"/>
  <c r="T13" i="11"/>
  <c r="T13" i="13"/>
  <c r="G13" i="11"/>
  <c r="F13" i="11"/>
  <c r="E13" i="11"/>
  <c r="S12" i="11"/>
  <c r="R12" i="11"/>
  <c r="Q12" i="11"/>
  <c r="P12" i="11"/>
  <c r="O12" i="11"/>
  <c r="N12" i="11"/>
  <c r="N12" i="13"/>
  <c r="M12" i="11"/>
  <c r="M12" i="13"/>
  <c r="L12" i="11"/>
  <c r="L12" i="13"/>
  <c r="K12" i="11"/>
  <c r="K12" i="13"/>
  <c r="J12" i="11"/>
  <c r="J12" i="13"/>
  <c r="G12" i="11"/>
  <c r="E12" i="11"/>
  <c r="U11" i="11"/>
  <c r="V11" i="11"/>
  <c r="W11" i="11"/>
  <c r="X11" i="11"/>
  <c r="P11" i="11"/>
  <c r="Q11" i="11"/>
  <c r="R11" i="11"/>
  <c r="S11" i="11"/>
  <c r="K11" i="11"/>
  <c r="L11" i="11"/>
  <c r="M11" i="11"/>
  <c r="N11" i="11"/>
  <c r="H10" i="11"/>
  <c r="G10" i="11"/>
  <c r="F10" i="11"/>
  <c r="E10" i="11"/>
  <c r="T4" i="11"/>
  <c r="O4" i="11"/>
  <c r="J4" i="11"/>
  <c r="B4" i="11"/>
  <c r="B2" i="11"/>
  <c r="A1" i="11"/>
  <c r="H118" i="18"/>
  <c r="H119" i="18" s="1"/>
  <c r="H120" i="18" s="1"/>
  <c r="H115" i="18"/>
  <c r="G115" i="18"/>
  <c r="F115" i="18"/>
  <c r="E115" i="18"/>
  <c r="G113" i="18"/>
  <c r="F113" i="18"/>
  <c r="E113" i="18"/>
  <c r="X111" i="18"/>
  <c r="W111" i="18"/>
  <c r="V111" i="18"/>
  <c r="U111" i="18"/>
  <c r="T111" i="18"/>
  <c r="S111" i="18"/>
  <c r="R111" i="18"/>
  <c r="P111" i="18"/>
  <c r="O111" i="18"/>
  <c r="N111" i="18"/>
  <c r="M111" i="18"/>
  <c r="L111" i="18"/>
  <c r="K111" i="18"/>
  <c r="J111" i="18"/>
  <c r="G109" i="18"/>
  <c r="G111" i="18" s="1"/>
  <c r="F109" i="18"/>
  <c r="F111" i="18" s="1"/>
  <c r="E111" i="18"/>
  <c r="H107" i="18"/>
  <c r="H108" i="18" s="1"/>
  <c r="H109" i="18" s="1"/>
  <c r="G108" i="18"/>
  <c r="F108" i="18"/>
  <c r="G107" i="18"/>
  <c r="F107" i="18"/>
  <c r="G106" i="18"/>
  <c r="F106" i="18"/>
  <c r="H104" i="18"/>
  <c r="G104" i="18"/>
  <c r="F104" i="18"/>
  <c r="E104" i="18"/>
  <c r="H96" i="18"/>
  <c r="H100" i="18" s="1"/>
  <c r="G38" i="18"/>
  <c r="G96" i="18" s="1"/>
  <c r="F38" i="18"/>
  <c r="F96" i="18" s="1"/>
  <c r="E38" i="18"/>
  <c r="E96" i="18" s="1"/>
  <c r="H94" i="18"/>
  <c r="G91" i="18"/>
  <c r="G94" i="18" s="1"/>
  <c r="F91" i="18"/>
  <c r="F94" i="18" s="1"/>
  <c r="E91" i="18"/>
  <c r="E94" i="18" s="1"/>
  <c r="H92" i="18"/>
  <c r="G92" i="18"/>
  <c r="F92" i="18"/>
  <c r="E92" i="18"/>
  <c r="D92" i="18"/>
  <c r="D91" i="18"/>
  <c r="Z89" i="18"/>
  <c r="H89" i="18"/>
  <c r="G89" i="18"/>
  <c r="F89" i="18"/>
  <c r="E89" i="18"/>
  <c r="H85" i="18"/>
  <c r="G85" i="18"/>
  <c r="F85" i="18"/>
  <c r="E85" i="18"/>
  <c r="D85" i="18"/>
  <c r="G84" i="18"/>
  <c r="F84" i="18"/>
  <c r="E84" i="18"/>
  <c r="D84" i="18"/>
  <c r="H82" i="18"/>
  <c r="G82" i="18"/>
  <c r="F82" i="18"/>
  <c r="E82" i="18"/>
  <c r="G81" i="18"/>
  <c r="F81" i="18"/>
  <c r="E81" i="18"/>
  <c r="H79" i="18"/>
  <c r="G79" i="18"/>
  <c r="F79" i="18"/>
  <c r="E79" i="18"/>
  <c r="G73" i="18"/>
  <c r="F73" i="18"/>
  <c r="E73" i="18"/>
  <c r="G72" i="18"/>
  <c r="F72" i="18"/>
  <c r="E72" i="18"/>
  <c r="D66" i="18"/>
  <c r="Z64" i="18"/>
  <c r="H64" i="18"/>
  <c r="G64" i="18"/>
  <c r="F64" i="18"/>
  <c r="E64" i="18"/>
  <c r="G60" i="18"/>
  <c r="F60" i="18"/>
  <c r="G59" i="18"/>
  <c r="F59" i="18"/>
  <c r="G58" i="18"/>
  <c r="F58" i="18"/>
  <c r="G57" i="18"/>
  <c r="F57" i="18"/>
  <c r="G53" i="18"/>
  <c r="F53" i="18"/>
  <c r="E53" i="18"/>
  <c r="G52" i="18"/>
  <c r="F52" i="18"/>
  <c r="H50" i="18"/>
  <c r="D50" i="18"/>
  <c r="D45" i="18"/>
  <c r="Z43" i="18"/>
  <c r="H43" i="18"/>
  <c r="G43" i="18"/>
  <c r="F43" i="18"/>
  <c r="E43" i="18"/>
  <c r="G39" i="18"/>
  <c r="F39" i="18"/>
  <c r="E39" i="18"/>
  <c r="D33" i="18"/>
  <c r="H31" i="18"/>
  <c r="G31" i="18"/>
  <c r="F31" i="18"/>
  <c r="E31" i="18"/>
  <c r="G19" i="18"/>
  <c r="F19" i="18"/>
  <c r="E19" i="18"/>
  <c r="G18" i="18"/>
  <c r="F18" i="18"/>
  <c r="E18" i="18"/>
  <c r="H10" i="18"/>
  <c r="G10" i="18"/>
  <c r="F10" i="18"/>
  <c r="E10" i="18"/>
  <c r="T4" i="18"/>
  <c r="O4" i="18"/>
  <c r="J4" i="18"/>
  <c r="B4" i="18"/>
  <c r="B2" i="18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F10" i="5"/>
  <c r="F9" i="5"/>
  <c r="S8" i="5"/>
  <c r="S13" i="5"/>
  <c r="R8" i="5"/>
  <c r="Q8" i="5"/>
  <c r="B4" i="5"/>
  <c r="B2" i="5"/>
  <c r="A1" i="5"/>
  <c r="D95" i="7"/>
  <c r="D96" i="7"/>
  <c r="D97" i="7"/>
  <c r="D98" i="7"/>
  <c r="D99" i="7"/>
  <c r="D100" i="7"/>
  <c r="D101" i="7"/>
  <c r="D81" i="7"/>
  <c r="D82" i="7"/>
  <c r="D83" i="7"/>
  <c r="D84" i="7"/>
  <c r="D85" i="7"/>
  <c r="D86" i="7"/>
  <c r="D87" i="7"/>
  <c r="D88" i="7"/>
  <c r="D89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16" i="7"/>
  <c r="D17" i="7"/>
  <c r="D18" i="7"/>
  <c r="D19" i="7"/>
  <c r="D20" i="7"/>
  <c r="D21" i="7"/>
  <c r="D22" i="7"/>
  <c r="D23" i="7"/>
  <c r="B4" i="7"/>
  <c r="B2" i="7"/>
  <c r="A1" i="7"/>
  <c r="E8" i="10" s="1"/>
  <c r="D38" i="3"/>
  <c r="D37" i="3"/>
  <c r="D21" i="3"/>
  <c r="D20" i="3"/>
  <c r="D19" i="3"/>
  <c r="D18" i="3"/>
  <c r="D17" i="3"/>
  <c r="D15" i="3"/>
  <c r="D14" i="3"/>
  <c r="D13" i="3"/>
  <c r="D12" i="3"/>
  <c r="D11" i="3"/>
  <c r="D10" i="3"/>
  <c r="D9" i="3"/>
  <c r="C9" i="3"/>
  <c r="C9" i="10" s="1"/>
  <c r="D8" i="3"/>
  <c r="B6" i="3"/>
  <c r="B2" i="3"/>
  <c r="P122" i="18"/>
  <c r="H98" i="18"/>
  <c r="N122" i="18"/>
  <c r="J21" i="20"/>
  <c r="P20" i="20"/>
  <c r="F12" i="20"/>
  <c r="F50" i="18"/>
  <c r="K122" i="18"/>
  <c r="M122" i="18"/>
  <c r="E59" i="13"/>
  <c r="V44" i="16"/>
  <c r="V42" i="16"/>
  <c r="V46" i="16"/>
  <c r="V41" i="16"/>
  <c r="V50" i="16" s="1"/>
  <c r="V47" i="16"/>
  <c r="V43" i="16"/>
  <c r="V48" i="16"/>
  <c r="V40" i="16"/>
  <c r="U24" i="15"/>
  <c r="M54" i="16"/>
  <c r="L3" i="16"/>
  <c r="L18" i="16"/>
  <c r="J122" i="18"/>
  <c r="M39" i="6"/>
  <c r="L122" i="18"/>
  <c r="O122" i="18"/>
  <c r="L43" i="6"/>
  <c r="T32" i="14"/>
  <c r="D31" i="14"/>
  <c r="L31" i="14"/>
  <c r="R13" i="5"/>
  <c r="D30" i="14"/>
  <c r="T30" i="14"/>
  <c r="F57" i="12"/>
  <c r="F58" i="12"/>
  <c r="F59" i="12"/>
  <c r="F61" i="12"/>
  <c r="K31" i="14"/>
  <c r="S31" i="14"/>
  <c r="H57" i="12"/>
  <c r="H58" i="12"/>
  <c r="H59" i="12"/>
  <c r="E29" i="14"/>
  <c r="E30" i="14" s="1"/>
  <c r="E31" i="14" s="1"/>
  <c r="E32" i="14" s="1"/>
  <c r="F56" i="13"/>
  <c r="F19" i="15"/>
  <c r="F15" i="15"/>
  <c r="T150" i="21"/>
  <c r="X150" i="21"/>
  <c r="F37" i="12"/>
  <c r="F39" i="12"/>
  <c r="F41" i="12"/>
  <c r="H17" i="12"/>
  <c r="H18" i="12"/>
  <c r="H19" i="12"/>
  <c r="M18" i="16"/>
  <c r="D29" i="16"/>
  <c r="D30" i="16"/>
  <c r="M40" i="6"/>
  <c r="O3" i="16"/>
  <c r="T8" i="5"/>
  <c r="T13" i="5"/>
  <c r="M43" i="6"/>
  <c r="N39" i="6"/>
  <c r="X32" i="14"/>
  <c r="W30" i="14"/>
  <c r="V30" i="14"/>
  <c r="L54" i="16"/>
  <c r="N3" i="15"/>
  <c r="J3" i="22"/>
  <c r="J47" i="22"/>
  <c r="J3" i="14"/>
  <c r="J3" i="12"/>
  <c r="J3" i="11"/>
  <c r="J33" i="11"/>
  <c r="O18" i="16"/>
  <c r="A1" i="45"/>
  <c r="E25" i="10" s="1"/>
  <c r="V150" i="21"/>
  <c r="W150" i="21"/>
  <c r="W44" i="16"/>
  <c r="W40" i="16"/>
  <c r="W45" i="16"/>
  <c r="W43" i="16"/>
  <c r="W46" i="16"/>
  <c r="G22" i="20"/>
  <c r="F19" i="20"/>
  <c r="G19" i="20"/>
  <c r="F21" i="20"/>
  <c r="G21" i="20"/>
  <c r="F122" i="18"/>
  <c r="P8" i="5"/>
  <c r="Q13" i="5"/>
  <c r="J3" i="20"/>
  <c r="AA29" i="16"/>
  <c r="N30" i="14"/>
  <c r="AB30" i="16"/>
  <c r="J3" i="13"/>
  <c r="J53" i="13"/>
  <c r="Q31" i="14"/>
  <c r="J3" i="27"/>
  <c r="R30" i="16"/>
  <c r="L57" i="15"/>
  <c r="K3" i="15"/>
  <c r="K33" i="15" s="1"/>
  <c r="N40" i="6"/>
  <c r="O39" i="6"/>
  <c r="O43" i="6"/>
  <c r="U8" i="5"/>
  <c r="N43" i="6"/>
  <c r="L33" i="15"/>
  <c r="D31" i="16"/>
  <c r="Y30" i="16"/>
  <c r="N85" i="15"/>
  <c r="N33" i="15"/>
  <c r="N57" i="15"/>
  <c r="N12" i="15"/>
  <c r="N3" i="16"/>
  <c r="M3" i="15"/>
  <c r="F150" i="21"/>
  <c r="F149" i="21"/>
  <c r="J30" i="12"/>
  <c r="J10" i="12"/>
  <c r="J50" i="12"/>
  <c r="AC30" i="16"/>
  <c r="P30" i="16"/>
  <c r="O30" i="16"/>
  <c r="T30" i="16"/>
  <c r="U30" i="16"/>
  <c r="N106" i="15"/>
  <c r="O10" i="16"/>
  <c r="O70" i="16"/>
  <c r="O38" i="16"/>
  <c r="O27" i="16"/>
  <c r="O54" i="16"/>
  <c r="J62" i="22"/>
  <c r="J3" i="21"/>
  <c r="O30" i="14"/>
  <c r="S30" i="16"/>
  <c r="Z32" i="16"/>
  <c r="J83" i="22"/>
  <c r="J3" i="18"/>
  <c r="J79" i="18" s="1"/>
  <c r="J3" i="28"/>
  <c r="P30" i="14"/>
  <c r="J30" i="14"/>
  <c r="Y29" i="16"/>
  <c r="K472" i="74"/>
  <c r="L30" i="14"/>
  <c r="K3" i="16"/>
  <c r="J3" i="16"/>
  <c r="J18" i="16"/>
  <c r="G150" i="21"/>
  <c r="J18" i="11"/>
  <c r="K30" i="14"/>
  <c r="N31" i="14"/>
  <c r="Q31" i="16"/>
  <c r="J54" i="16"/>
  <c r="S31" i="16"/>
  <c r="Z30" i="16"/>
  <c r="U31" i="16"/>
  <c r="W31" i="16"/>
  <c r="Q30" i="16"/>
  <c r="AB32" i="16"/>
  <c r="T31" i="16"/>
  <c r="AB29" i="16"/>
  <c r="Z29" i="16"/>
  <c r="R31" i="16"/>
  <c r="AA32" i="16"/>
  <c r="Y32" i="16"/>
  <c r="V31" i="16"/>
  <c r="AC29" i="16"/>
  <c r="X29" i="16"/>
  <c r="F29" i="16"/>
  <c r="F30" i="16" s="1"/>
  <c r="F31" i="16" s="1"/>
  <c r="F32" i="16" s="1"/>
  <c r="J18" i="14"/>
  <c r="J38" i="14"/>
  <c r="R31" i="14"/>
  <c r="W32" i="14"/>
  <c r="M30" i="14"/>
  <c r="U32" i="14"/>
  <c r="O31" i="14"/>
  <c r="V32" i="14"/>
  <c r="J18" i="13"/>
  <c r="J10" i="13"/>
  <c r="G55" i="13"/>
  <c r="F58" i="13"/>
  <c r="J40" i="13"/>
  <c r="J28" i="13"/>
  <c r="F54" i="13"/>
  <c r="E57" i="13"/>
  <c r="F59" i="13"/>
  <c r="D59" i="13" s="1"/>
  <c r="E54" i="13"/>
  <c r="G54" i="13"/>
  <c r="J30" i="22"/>
  <c r="U150" i="21"/>
  <c r="J8" i="22"/>
  <c r="W41" i="16"/>
  <c r="G122" i="18"/>
  <c r="G24" i="20" s="1"/>
  <c r="W42" i="16"/>
  <c r="W50" i="16" s="1"/>
  <c r="X88" i="21"/>
  <c r="F16" i="15"/>
  <c r="F24" i="15"/>
  <c r="F17" i="15"/>
  <c r="F22" i="15"/>
  <c r="F18" i="15"/>
  <c r="F22" i="20"/>
  <c r="G56" i="13"/>
  <c r="G88" i="15"/>
  <c r="G89" i="15" s="1"/>
  <c r="G90" i="15" s="1"/>
  <c r="G91" i="15" s="1"/>
  <c r="G79" i="15"/>
  <c r="G29" i="14"/>
  <c r="G30" i="14" s="1"/>
  <c r="G31" i="14" s="1"/>
  <c r="G32" i="14" s="1"/>
  <c r="F21" i="15"/>
  <c r="F29" i="14"/>
  <c r="F30" i="14" s="1"/>
  <c r="F31" i="14" s="1"/>
  <c r="F32" i="14" s="1"/>
  <c r="G57" i="13"/>
  <c r="G59" i="13"/>
  <c r="E88" i="15"/>
  <c r="E89" i="15" s="1"/>
  <c r="E90" i="15" s="1"/>
  <c r="E91" i="15" s="1"/>
  <c r="V88" i="21"/>
  <c r="W88" i="21"/>
  <c r="W29" i="14"/>
  <c r="S29" i="14"/>
  <c r="X29" i="14"/>
  <c r="V29" i="14"/>
  <c r="T29" i="14"/>
  <c r="J27" i="14"/>
  <c r="M31" i="14"/>
  <c r="U30" i="14"/>
  <c r="J31" i="14"/>
  <c r="U29" i="14"/>
  <c r="J10" i="14"/>
  <c r="J10" i="11"/>
  <c r="W47" i="16"/>
  <c r="F24" i="20"/>
  <c r="J10" i="27"/>
  <c r="J17" i="27"/>
  <c r="K54" i="16"/>
  <c r="K18" i="16"/>
  <c r="J8" i="20"/>
  <c r="J17" i="20"/>
  <c r="O8" i="5"/>
  <c r="P13" i="5"/>
  <c r="M472" i="74"/>
  <c r="J3" i="15"/>
  <c r="J33" i="15" s="1"/>
  <c r="X31" i="16"/>
  <c r="O31" i="16"/>
  <c r="P31" i="16"/>
  <c r="AC32" i="16"/>
  <c r="M33" i="15"/>
  <c r="M57" i="15"/>
  <c r="J26" i="28"/>
  <c r="J33" i="28"/>
  <c r="J10" i="28"/>
  <c r="J17" i="28"/>
  <c r="J104" i="18"/>
  <c r="J10" i="18"/>
  <c r="J122" i="21"/>
  <c r="J38" i="21"/>
  <c r="J143" i="21"/>
  <c r="J68" i="21"/>
  <c r="J59" i="21"/>
  <c r="J104" i="21"/>
  <c r="J26" i="21"/>
  <c r="J86" i="21"/>
  <c r="J10" i="21"/>
  <c r="J52" i="21"/>
  <c r="J17" i="21"/>
  <c r="U13" i="5"/>
  <c r="N54" i="16"/>
  <c r="N18" i="16"/>
  <c r="P39" i="6"/>
  <c r="V8" i="5"/>
  <c r="O40" i="6"/>
  <c r="L472" i="74"/>
  <c r="K3" i="12"/>
  <c r="K3" i="21"/>
  <c r="K3" i="14"/>
  <c r="K3" i="20"/>
  <c r="K3" i="22"/>
  <c r="K3" i="11"/>
  <c r="K3" i="27"/>
  <c r="K3" i="13"/>
  <c r="P3" i="16"/>
  <c r="K3" i="18"/>
  <c r="K31" i="18" s="1"/>
  <c r="O3" i="15"/>
  <c r="O57" i="15" s="1"/>
  <c r="K3" i="28"/>
  <c r="O13" i="5"/>
  <c r="N8" i="5"/>
  <c r="P40" i="6"/>
  <c r="Q39" i="6"/>
  <c r="Q43" i="6"/>
  <c r="W8" i="5"/>
  <c r="O106" i="15"/>
  <c r="P18" i="16"/>
  <c r="P38" i="16"/>
  <c r="P10" i="16"/>
  <c r="P54" i="16"/>
  <c r="P27" i="16"/>
  <c r="P70" i="16"/>
  <c r="K17" i="21"/>
  <c r="K68" i="21"/>
  <c r="K26" i="21"/>
  <c r="K52" i="21"/>
  <c r="K10" i="21"/>
  <c r="K86" i="21"/>
  <c r="K143" i="21"/>
  <c r="K122" i="21"/>
  <c r="K59" i="21"/>
  <c r="K38" i="21"/>
  <c r="K104" i="21"/>
  <c r="K10" i="13"/>
  <c r="K18" i="13"/>
  <c r="K53" i="13"/>
  <c r="K28" i="13"/>
  <c r="K40" i="13"/>
  <c r="K10" i="12"/>
  <c r="K30" i="12"/>
  <c r="K50" i="12"/>
  <c r="K17" i="27"/>
  <c r="K10" i="27"/>
  <c r="K33" i="11"/>
  <c r="K18" i="11"/>
  <c r="K10" i="11"/>
  <c r="L3" i="28"/>
  <c r="Q3" i="16"/>
  <c r="L3" i="13"/>
  <c r="L3" i="11"/>
  <c r="L3" i="12"/>
  <c r="L3" i="18"/>
  <c r="L79" i="18" s="1"/>
  <c r="L3" i="22"/>
  <c r="P3" i="15"/>
  <c r="P12" i="15" s="1"/>
  <c r="L3" i="14"/>
  <c r="L3" i="20"/>
  <c r="L3" i="21"/>
  <c r="L3" i="27"/>
  <c r="K30" i="22"/>
  <c r="K47" i="22"/>
  <c r="K8" i="22"/>
  <c r="K83" i="22"/>
  <c r="K62" i="22"/>
  <c r="P43" i="6"/>
  <c r="K38" i="14"/>
  <c r="K18" i="14"/>
  <c r="K10" i="14"/>
  <c r="K27" i="14"/>
  <c r="K17" i="28"/>
  <c r="K10" i="28"/>
  <c r="K33" i="28"/>
  <c r="K26" i="28"/>
  <c r="K8" i="20"/>
  <c r="K17" i="20"/>
  <c r="V13" i="5"/>
  <c r="N13" i="5"/>
  <c r="M8" i="5"/>
  <c r="L89" i="18"/>
  <c r="N472" i="74"/>
  <c r="N105" i="74"/>
  <c r="L17" i="27"/>
  <c r="L10" i="27"/>
  <c r="L30" i="12"/>
  <c r="L50" i="12"/>
  <c r="L10" i="12"/>
  <c r="L143" i="21"/>
  <c r="L122" i="21"/>
  <c r="L38" i="21"/>
  <c r="L104" i="21"/>
  <c r="L17" i="21"/>
  <c r="L86" i="21"/>
  <c r="L68" i="21"/>
  <c r="L26" i="21"/>
  <c r="L59" i="21"/>
  <c r="L52" i="21"/>
  <c r="L10" i="21"/>
  <c r="L33" i="11"/>
  <c r="L10" i="11"/>
  <c r="L18" i="11"/>
  <c r="L17" i="20"/>
  <c r="L8" i="20"/>
  <c r="O472" i="74"/>
  <c r="O105" i="74"/>
  <c r="L18" i="14"/>
  <c r="L27" i="14"/>
  <c r="L38" i="14"/>
  <c r="L10" i="14"/>
  <c r="Q38" i="16"/>
  <c r="Q18" i="16"/>
  <c r="Q70" i="16"/>
  <c r="Q10" i="16"/>
  <c r="Q54" i="16"/>
  <c r="Q27" i="16"/>
  <c r="W13" i="5"/>
  <c r="L28" i="13"/>
  <c r="L18" i="13"/>
  <c r="L53" i="13"/>
  <c r="L10" i="13"/>
  <c r="L40" i="13"/>
  <c r="L33" i="28"/>
  <c r="L26" i="28"/>
  <c r="L10" i="28"/>
  <c r="L17" i="28"/>
  <c r="X8" i="5"/>
  <c r="Q40" i="6"/>
  <c r="R39" i="6"/>
  <c r="R43" i="6"/>
  <c r="P33" i="15"/>
  <c r="P57" i="15"/>
  <c r="P85" i="15"/>
  <c r="M3" i="12"/>
  <c r="M3" i="11"/>
  <c r="M3" i="21"/>
  <c r="M3" i="13"/>
  <c r="M3" i="27"/>
  <c r="M3" i="20"/>
  <c r="R3" i="16"/>
  <c r="Q3" i="15"/>
  <c r="Q85" i="15" s="1"/>
  <c r="M3" i="18"/>
  <c r="M115" i="18" s="1"/>
  <c r="M3" i="28"/>
  <c r="M3" i="14"/>
  <c r="M3" i="22"/>
  <c r="L30" i="22"/>
  <c r="L8" i="22"/>
  <c r="L62" i="22"/>
  <c r="L83" i="22"/>
  <c r="L47" i="22"/>
  <c r="M13" i="5"/>
  <c r="L8" i="5"/>
  <c r="M10" i="28"/>
  <c r="M33" i="28"/>
  <c r="M17" i="28"/>
  <c r="M26" i="28"/>
  <c r="M33" i="11"/>
  <c r="M18" i="11"/>
  <c r="M10" i="11"/>
  <c r="R40" i="6"/>
  <c r="S39" i="6"/>
  <c r="Y8" i="5"/>
  <c r="R3" i="15"/>
  <c r="R106" i="15" s="1"/>
  <c r="N3" i="27"/>
  <c r="N3" i="21"/>
  <c r="N3" i="13"/>
  <c r="N3" i="14"/>
  <c r="N3" i="12"/>
  <c r="N3" i="11"/>
  <c r="N3" i="22"/>
  <c r="N3" i="28"/>
  <c r="S3" i="16"/>
  <c r="N3" i="20"/>
  <c r="N3" i="18"/>
  <c r="R27" i="16"/>
  <c r="R54" i="16"/>
  <c r="R70" i="16"/>
  <c r="R38" i="16"/>
  <c r="R18" i="16"/>
  <c r="R10" i="16"/>
  <c r="X13" i="5"/>
  <c r="M50" i="12"/>
  <c r="M10" i="12"/>
  <c r="M30" i="12"/>
  <c r="M8" i="20"/>
  <c r="M17" i="20"/>
  <c r="M10" i="27"/>
  <c r="M17" i="27"/>
  <c r="M8" i="22"/>
  <c r="M83" i="22"/>
  <c r="M47" i="22"/>
  <c r="M30" i="22"/>
  <c r="M62" i="22"/>
  <c r="M40" i="13"/>
  <c r="M53" i="13"/>
  <c r="M28" i="13"/>
  <c r="M10" i="13"/>
  <c r="M18" i="13"/>
  <c r="Q12" i="15"/>
  <c r="Q33" i="15"/>
  <c r="Q57" i="15"/>
  <c r="M38" i="14"/>
  <c r="M18" i="14"/>
  <c r="M10" i="14"/>
  <c r="M27" i="14"/>
  <c r="M59" i="21"/>
  <c r="M68" i="21"/>
  <c r="M10" i="21"/>
  <c r="M86" i="21"/>
  <c r="M143" i="21"/>
  <c r="M122" i="21"/>
  <c r="M104" i="21"/>
  <c r="M17" i="21"/>
  <c r="M26" i="21"/>
  <c r="M52" i="21"/>
  <c r="M38" i="21"/>
  <c r="P66" i="74"/>
  <c r="P472" i="74"/>
  <c r="P534" i="74"/>
  <c r="P105" i="74"/>
  <c r="K8" i="5"/>
  <c r="L13" i="5"/>
  <c r="N33" i="11"/>
  <c r="N10" i="11"/>
  <c r="N18" i="11"/>
  <c r="N30" i="12"/>
  <c r="N10" i="12"/>
  <c r="N50" i="12"/>
  <c r="N10" i="14"/>
  <c r="N38" i="14"/>
  <c r="N27" i="14"/>
  <c r="N18" i="14"/>
  <c r="Y13" i="5"/>
  <c r="N89" i="18"/>
  <c r="N104" i="18"/>
  <c r="N43" i="18"/>
  <c r="N79" i="18"/>
  <c r="N10" i="18"/>
  <c r="N64" i="18"/>
  <c r="N115" i="18"/>
  <c r="N31" i="18"/>
  <c r="N53" i="13"/>
  <c r="N40" i="13"/>
  <c r="N18" i="13"/>
  <c r="N10" i="13"/>
  <c r="N28" i="13"/>
  <c r="S40" i="6"/>
  <c r="T39" i="6"/>
  <c r="Z8" i="5"/>
  <c r="N17" i="20"/>
  <c r="N8" i="20"/>
  <c r="N104" i="21"/>
  <c r="N38" i="21"/>
  <c r="N86" i="21"/>
  <c r="N59" i="21"/>
  <c r="N52" i="21"/>
  <c r="N26" i="21"/>
  <c r="N122" i="21"/>
  <c r="N17" i="21"/>
  <c r="N143" i="21"/>
  <c r="N68" i="21"/>
  <c r="N10" i="21"/>
  <c r="O3" i="14"/>
  <c r="O3" i="12"/>
  <c r="O3" i="22"/>
  <c r="O3" i="21"/>
  <c r="T3" i="16"/>
  <c r="O3" i="28"/>
  <c r="O3" i="11"/>
  <c r="O3" i="20"/>
  <c r="S3" i="15"/>
  <c r="S106" i="15" s="1"/>
  <c r="O3" i="13"/>
  <c r="O3" i="27"/>
  <c r="O3" i="18"/>
  <c r="O31" i="18" s="1"/>
  <c r="S18" i="16"/>
  <c r="S54" i="16"/>
  <c r="S38" i="16"/>
  <c r="S70" i="16"/>
  <c r="S27" i="16"/>
  <c r="S10" i="16"/>
  <c r="S43" i="6"/>
  <c r="N17" i="28"/>
  <c r="N26" i="28"/>
  <c r="N10" i="28"/>
  <c r="N33" i="28"/>
  <c r="N17" i="27"/>
  <c r="N10" i="27"/>
  <c r="N8" i="22"/>
  <c r="N62" i="22"/>
  <c r="N30" i="22"/>
  <c r="N83" i="22"/>
  <c r="N47" i="22"/>
  <c r="R12" i="15"/>
  <c r="R57" i="15"/>
  <c r="J8" i="5"/>
  <c r="J13" i="5"/>
  <c r="K13" i="5"/>
  <c r="O18" i="13"/>
  <c r="O28" i="13"/>
  <c r="O53" i="13"/>
  <c r="O10" i="13"/>
  <c r="O40" i="13"/>
  <c r="O86" i="21"/>
  <c r="O104" i="21"/>
  <c r="O26" i="21"/>
  <c r="O52" i="21"/>
  <c r="O143" i="21"/>
  <c r="O59" i="21"/>
  <c r="O38" i="21"/>
  <c r="O68" i="21"/>
  <c r="O10" i="21"/>
  <c r="O17" i="21"/>
  <c r="O122" i="21"/>
  <c r="T40" i="6"/>
  <c r="U39" i="6"/>
  <c r="U43" i="6"/>
  <c r="AA8" i="5"/>
  <c r="O17" i="20"/>
  <c r="O8" i="20"/>
  <c r="O38" i="14"/>
  <c r="O18" i="14"/>
  <c r="O10" i="14"/>
  <c r="O27" i="14"/>
  <c r="O47" i="22"/>
  <c r="O83" i="22"/>
  <c r="O8" i="22"/>
  <c r="O62" i="22"/>
  <c r="O30" i="22"/>
  <c r="O10" i="11"/>
  <c r="O18" i="11"/>
  <c r="Q66" i="74"/>
  <c r="Q472" i="74"/>
  <c r="Q534" i="74"/>
  <c r="Q105" i="74"/>
  <c r="O33" i="28"/>
  <c r="O26" i="28"/>
  <c r="O10" i="28"/>
  <c r="O17" i="28"/>
  <c r="S33" i="15"/>
  <c r="S85" i="15"/>
  <c r="S12" i="15"/>
  <c r="S57" i="15"/>
  <c r="O79" i="18"/>
  <c r="T10" i="16"/>
  <c r="T18" i="16"/>
  <c r="T38" i="16"/>
  <c r="T27" i="16"/>
  <c r="T70" i="16"/>
  <c r="T54" i="16"/>
  <c r="Z13" i="5"/>
  <c r="P3" i="28"/>
  <c r="P3" i="14"/>
  <c r="P3" i="20"/>
  <c r="P3" i="22"/>
  <c r="P3" i="12"/>
  <c r="T3" i="15"/>
  <c r="T106" i="15" s="1"/>
  <c r="U3" i="16"/>
  <c r="P3" i="11"/>
  <c r="P3" i="13"/>
  <c r="P3" i="21"/>
  <c r="P3" i="18"/>
  <c r="P3" i="27"/>
  <c r="O50" i="12"/>
  <c r="O10" i="12"/>
  <c r="O30" i="12"/>
  <c r="O10" i="27"/>
  <c r="O17" i="27"/>
  <c r="T43" i="6"/>
  <c r="U18" i="16"/>
  <c r="U27" i="16"/>
  <c r="U54" i="16"/>
  <c r="U38" i="16"/>
  <c r="U10" i="16"/>
  <c r="U70" i="16"/>
  <c r="P10" i="11"/>
  <c r="P18" i="11"/>
  <c r="T12" i="15"/>
  <c r="T33" i="15"/>
  <c r="R534" i="74"/>
  <c r="R66" i="74"/>
  <c r="R472" i="74"/>
  <c r="R105" i="74"/>
  <c r="P17" i="27"/>
  <c r="P10" i="27"/>
  <c r="P30" i="12"/>
  <c r="P10" i="12"/>
  <c r="P50" i="12"/>
  <c r="AA13" i="5"/>
  <c r="P10" i="18"/>
  <c r="P31" i="18"/>
  <c r="P115" i="18"/>
  <c r="P104" i="18"/>
  <c r="P89" i="18"/>
  <c r="P64" i="18"/>
  <c r="P43" i="18"/>
  <c r="P79" i="18"/>
  <c r="P62" i="22"/>
  <c r="P8" i="22"/>
  <c r="P30" i="22"/>
  <c r="P83" i="22"/>
  <c r="P47" i="22"/>
  <c r="S66" i="74"/>
  <c r="S472" i="74"/>
  <c r="S534" i="74"/>
  <c r="S105" i="74"/>
  <c r="P59" i="21"/>
  <c r="P52" i="21"/>
  <c r="P104" i="21"/>
  <c r="P10" i="21"/>
  <c r="P143" i="21"/>
  <c r="P38" i="21"/>
  <c r="P86" i="21"/>
  <c r="P122" i="21"/>
  <c r="P17" i="21"/>
  <c r="P26" i="21"/>
  <c r="P68" i="21"/>
  <c r="P17" i="20"/>
  <c r="P8" i="20"/>
  <c r="AB8" i="5"/>
  <c r="AB13" i="5"/>
  <c r="U40" i="6"/>
  <c r="V39" i="6"/>
  <c r="P18" i="13"/>
  <c r="P40" i="13"/>
  <c r="P10" i="13"/>
  <c r="P53" i="13"/>
  <c r="P28" i="13"/>
  <c r="P38" i="14"/>
  <c r="P27" i="14"/>
  <c r="P18" i="14"/>
  <c r="P10" i="14"/>
  <c r="Q3" i="28"/>
  <c r="Q3" i="14"/>
  <c r="Q3" i="20"/>
  <c r="Q3" i="22"/>
  <c r="V3" i="16"/>
  <c r="Q3" i="13"/>
  <c r="Q3" i="18"/>
  <c r="Q43" i="18" s="1"/>
  <c r="Q3" i="21"/>
  <c r="U3" i="15"/>
  <c r="U106" i="15" s="1"/>
  <c r="Q3" i="27"/>
  <c r="Q3" i="11"/>
  <c r="Q3" i="12"/>
  <c r="P10" i="28"/>
  <c r="P17" i="28"/>
  <c r="P33" i="28"/>
  <c r="P26" i="28"/>
  <c r="V30" i="16"/>
  <c r="Q30" i="14"/>
  <c r="V27" i="16"/>
  <c r="V18" i="16"/>
  <c r="V54" i="16"/>
  <c r="V10" i="16"/>
  <c r="V38" i="16"/>
  <c r="V70" i="16"/>
  <c r="V40" i="6"/>
  <c r="W39" i="6"/>
  <c r="W43" i="6"/>
  <c r="AC8" i="5"/>
  <c r="V43" i="6"/>
  <c r="R3" i="13"/>
  <c r="R3" i="12"/>
  <c r="R3" i="20"/>
  <c r="V3" i="15"/>
  <c r="V33" i="15" s="1"/>
  <c r="W3" i="16"/>
  <c r="R3" i="21"/>
  <c r="R3" i="28"/>
  <c r="R3" i="11"/>
  <c r="R3" i="18"/>
  <c r="R10" i="18" s="1"/>
  <c r="R3" i="14"/>
  <c r="R3" i="27"/>
  <c r="R3" i="22"/>
  <c r="Q10" i="11"/>
  <c r="Q18" i="11"/>
  <c r="Q17" i="20"/>
  <c r="Q8" i="20"/>
  <c r="Q30" i="12"/>
  <c r="Q50" i="12"/>
  <c r="Q10" i="12"/>
  <c r="Q8" i="22"/>
  <c r="Q83" i="22"/>
  <c r="Q47" i="22"/>
  <c r="Q30" i="22"/>
  <c r="Q62" i="22"/>
  <c r="Q10" i="27"/>
  <c r="Q17" i="27"/>
  <c r="U57" i="15"/>
  <c r="U12" i="15"/>
  <c r="U33" i="15"/>
  <c r="U85" i="15"/>
  <c r="Q38" i="14"/>
  <c r="Q27" i="14"/>
  <c r="Q10" i="14"/>
  <c r="Q18" i="14"/>
  <c r="Q59" i="21"/>
  <c r="Q104" i="21"/>
  <c r="Q38" i="21"/>
  <c r="Q17" i="21"/>
  <c r="Q86" i="21"/>
  <c r="Q52" i="21"/>
  <c r="Q10" i="21"/>
  <c r="Q122" i="21"/>
  <c r="Q143" i="21"/>
  <c r="Q26" i="21"/>
  <c r="Q68" i="21"/>
  <c r="Q10" i="28"/>
  <c r="Q17" i="28"/>
  <c r="Q33" i="28"/>
  <c r="Q26" i="28"/>
  <c r="Q53" i="13"/>
  <c r="Q10" i="13"/>
  <c r="Q40" i="13"/>
  <c r="Q18" i="13"/>
  <c r="Q28" i="13"/>
  <c r="R27" i="14"/>
  <c r="R18" i="14"/>
  <c r="R10" i="14"/>
  <c r="R38" i="14"/>
  <c r="R17" i="20"/>
  <c r="R8" i="20"/>
  <c r="W40" i="6"/>
  <c r="X39" i="6"/>
  <c r="X43" i="6"/>
  <c r="AD8" i="5"/>
  <c r="AD13" i="5"/>
  <c r="R30" i="12"/>
  <c r="R10" i="12"/>
  <c r="R50" i="12"/>
  <c r="S3" i="28"/>
  <c r="W3" i="15"/>
  <c r="W33" i="15" s="1"/>
  <c r="S3" i="11"/>
  <c r="S3" i="27"/>
  <c r="X3" i="16"/>
  <c r="S3" i="13"/>
  <c r="S3" i="21"/>
  <c r="S3" i="20"/>
  <c r="S3" i="12"/>
  <c r="S3" i="18"/>
  <c r="S3" i="22"/>
  <c r="S3" i="14"/>
  <c r="R18" i="11"/>
  <c r="R10" i="11"/>
  <c r="R28" i="13"/>
  <c r="R18" i="13"/>
  <c r="R10" i="13"/>
  <c r="R53" i="13"/>
  <c r="R40" i="13"/>
  <c r="R26" i="28"/>
  <c r="R10" i="28"/>
  <c r="R33" i="28"/>
  <c r="R17" i="28"/>
  <c r="R68" i="21"/>
  <c r="R86" i="21"/>
  <c r="R26" i="21"/>
  <c r="R59" i="21"/>
  <c r="R122" i="21"/>
  <c r="R143" i="21"/>
  <c r="R17" i="21"/>
  <c r="R52" i="21"/>
  <c r="R10" i="21"/>
  <c r="R38" i="21"/>
  <c r="R104" i="21"/>
  <c r="W70" i="16"/>
  <c r="W54" i="16"/>
  <c r="W18" i="16"/>
  <c r="W38" i="16"/>
  <c r="W10" i="16"/>
  <c r="W27" i="16"/>
  <c r="T534" i="74"/>
  <c r="T66" i="74"/>
  <c r="T472" i="74"/>
  <c r="T105" i="74"/>
  <c r="R83" i="22"/>
  <c r="R30" i="22"/>
  <c r="R8" i="22"/>
  <c r="R62" i="22"/>
  <c r="R47" i="22"/>
  <c r="Q375" i="74"/>
  <c r="Q113" i="73"/>
  <c r="Q93" i="73"/>
  <c r="U66" i="74"/>
  <c r="U472" i="74"/>
  <c r="U534" i="74"/>
  <c r="P136" i="74"/>
  <c r="U105" i="74"/>
  <c r="R17" i="27"/>
  <c r="R10" i="27"/>
  <c r="V57" i="15"/>
  <c r="V106" i="15"/>
  <c r="V85" i="15"/>
  <c r="V12" i="15"/>
  <c r="AC13" i="5"/>
  <c r="S10" i="12"/>
  <c r="S50" i="12"/>
  <c r="S30" i="12"/>
  <c r="W106" i="15"/>
  <c r="W85" i="15"/>
  <c r="W57" i="15"/>
  <c r="W12" i="15"/>
  <c r="R93" i="73"/>
  <c r="R113" i="73"/>
  <c r="R375" i="74"/>
  <c r="V66" i="74"/>
  <c r="V472" i="74"/>
  <c r="V534" i="74"/>
  <c r="Q136" i="74"/>
  <c r="V105" i="74"/>
  <c r="S17" i="20"/>
  <c r="S8" i="20"/>
  <c r="S17" i="28"/>
  <c r="S26" i="28"/>
  <c r="S10" i="28"/>
  <c r="S33" i="28"/>
  <c r="Y39" i="6"/>
  <c r="Y43" i="6"/>
  <c r="AE8" i="5"/>
  <c r="AE13" i="5"/>
  <c r="X40" i="6"/>
  <c r="S52" i="21"/>
  <c r="S26" i="21"/>
  <c r="S38" i="21"/>
  <c r="S59" i="21"/>
  <c r="S143" i="21"/>
  <c r="S68" i="21"/>
  <c r="S104" i="21"/>
  <c r="S122" i="21"/>
  <c r="S17" i="21"/>
  <c r="S10" i="21"/>
  <c r="S86" i="21"/>
  <c r="T3" i="14"/>
  <c r="T3" i="22"/>
  <c r="X3" i="15"/>
  <c r="X33" i="15" s="1"/>
  <c r="T3" i="13"/>
  <c r="Y3" i="16"/>
  <c r="T3" i="11"/>
  <c r="T3" i="18"/>
  <c r="T3" i="20"/>
  <c r="T3" i="12"/>
  <c r="T3" i="21"/>
  <c r="T3" i="27"/>
  <c r="T3" i="28"/>
  <c r="S10" i="13"/>
  <c r="S18" i="13"/>
  <c r="S53" i="13"/>
  <c r="S28" i="13"/>
  <c r="S40" i="13"/>
  <c r="S38" i="14"/>
  <c r="S27" i="14"/>
  <c r="S18" i="14"/>
  <c r="S10" i="14"/>
  <c r="X70" i="16"/>
  <c r="X18" i="16"/>
  <c r="X38" i="16"/>
  <c r="X27" i="16"/>
  <c r="X54" i="16"/>
  <c r="X10" i="16"/>
  <c r="S83" i="22"/>
  <c r="S47" i="22"/>
  <c r="S8" i="22"/>
  <c r="S62" i="22"/>
  <c r="S30" i="22"/>
  <c r="S17" i="27"/>
  <c r="S10" i="27"/>
  <c r="S104" i="18"/>
  <c r="S10" i="18"/>
  <c r="S43" i="18"/>
  <c r="S89" i="18"/>
  <c r="S115" i="18"/>
  <c r="S79" i="18"/>
  <c r="S64" i="18"/>
  <c r="S31" i="18"/>
  <c r="S10" i="11"/>
  <c r="S18" i="11"/>
  <c r="S375" i="74"/>
  <c r="S113" i="73"/>
  <c r="S93" i="73"/>
  <c r="W472" i="74"/>
  <c r="W534" i="74"/>
  <c r="R136" i="74"/>
  <c r="W66" i="74"/>
  <c r="W105" i="74"/>
  <c r="T10" i="11"/>
  <c r="T18" i="11"/>
  <c r="T17" i="28"/>
  <c r="T10" i="28"/>
  <c r="T33" i="28"/>
  <c r="T26" i="28"/>
  <c r="Y54" i="16"/>
  <c r="Y70" i="16"/>
  <c r="Y38" i="16"/>
  <c r="Y18" i="16"/>
  <c r="Y10" i="16"/>
  <c r="Y27" i="16"/>
  <c r="U3" i="22"/>
  <c r="U3" i="12"/>
  <c r="U3" i="13"/>
  <c r="U3" i="18"/>
  <c r="U10" i="18" s="1"/>
  <c r="U3" i="20"/>
  <c r="U3" i="11"/>
  <c r="U3" i="28"/>
  <c r="U3" i="21"/>
  <c r="Y3" i="15"/>
  <c r="Y12" i="15" s="1"/>
  <c r="U3" i="14"/>
  <c r="U3" i="27"/>
  <c r="Z3" i="16"/>
  <c r="T17" i="27"/>
  <c r="T10" i="27"/>
  <c r="T28" i="13"/>
  <c r="T53" i="13"/>
  <c r="T18" i="13"/>
  <c r="T40" i="13"/>
  <c r="T10" i="13"/>
  <c r="T104" i="21"/>
  <c r="T86" i="21"/>
  <c r="T59" i="21"/>
  <c r="T26" i="21"/>
  <c r="T122" i="21"/>
  <c r="T68" i="21"/>
  <c r="T52" i="21"/>
  <c r="T38" i="21"/>
  <c r="T17" i="21"/>
  <c r="T143" i="21"/>
  <c r="T10" i="21"/>
  <c r="T50" i="12"/>
  <c r="T30" i="12"/>
  <c r="T10" i="12"/>
  <c r="X85" i="15"/>
  <c r="X93" i="15" s="1"/>
  <c r="X12" i="15"/>
  <c r="X57" i="15"/>
  <c r="Y40" i="6"/>
  <c r="Z39" i="6"/>
  <c r="Z43" i="6"/>
  <c r="AF8" i="5"/>
  <c r="AF13" i="5"/>
  <c r="T8" i="20"/>
  <c r="T17" i="20"/>
  <c r="T30" i="22"/>
  <c r="T62" i="22"/>
  <c r="T8" i="22"/>
  <c r="T83" i="22"/>
  <c r="T47" i="22"/>
  <c r="T115" i="18"/>
  <c r="T10" i="18"/>
  <c r="T64" i="18"/>
  <c r="T89" i="18"/>
  <c r="T79" i="18"/>
  <c r="T43" i="18"/>
  <c r="T104" i="18"/>
  <c r="T31" i="18"/>
  <c r="T38" i="14"/>
  <c r="T18" i="14"/>
  <c r="T27" i="14"/>
  <c r="T10" i="14"/>
  <c r="T375" i="74"/>
  <c r="T113" i="73"/>
  <c r="T93" i="73"/>
  <c r="S136" i="74"/>
  <c r="X66" i="74"/>
  <c r="X472" i="74"/>
  <c r="X534" i="74"/>
  <c r="X105" i="74"/>
  <c r="U38" i="14"/>
  <c r="U10" i="14"/>
  <c r="U18" i="14"/>
  <c r="U27" i="14"/>
  <c r="U40" i="13"/>
  <c r="U10" i="13"/>
  <c r="U18" i="13"/>
  <c r="U53" i="13"/>
  <c r="U28" i="13"/>
  <c r="Y106" i="15"/>
  <c r="Y33" i="15"/>
  <c r="Y57" i="15"/>
  <c r="Y85" i="15"/>
  <c r="Y93" i="15" s="1"/>
  <c r="U30" i="12"/>
  <c r="U50" i="12"/>
  <c r="U10" i="12"/>
  <c r="U83" i="22"/>
  <c r="U30" i="22"/>
  <c r="U47" i="22"/>
  <c r="U62" i="22"/>
  <c r="U8" i="22"/>
  <c r="U52" i="21"/>
  <c r="U68" i="21"/>
  <c r="U104" i="21"/>
  <c r="U10" i="21"/>
  <c r="U143" i="21"/>
  <c r="U59" i="21"/>
  <c r="U122" i="21"/>
  <c r="U26" i="21"/>
  <c r="U17" i="21"/>
  <c r="U38" i="21"/>
  <c r="U86" i="21"/>
  <c r="Z70" i="16"/>
  <c r="Z54" i="16"/>
  <c r="Z27" i="16"/>
  <c r="Z10" i="16"/>
  <c r="Z18" i="16"/>
  <c r="Z38" i="16"/>
  <c r="U33" i="28"/>
  <c r="U17" i="28"/>
  <c r="U10" i="28"/>
  <c r="U26" i="28"/>
  <c r="U18" i="11"/>
  <c r="U10" i="11"/>
  <c r="Z40" i="6"/>
  <c r="AA39" i="6"/>
  <c r="AA43" i="6"/>
  <c r="AG8" i="5"/>
  <c r="AG13" i="5"/>
  <c r="U8" i="20"/>
  <c r="U17" i="20"/>
  <c r="V3" i="27"/>
  <c r="V3" i="18"/>
  <c r="V3" i="21"/>
  <c r="V3" i="14"/>
  <c r="V3" i="22"/>
  <c r="Z3" i="15"/>
  <c r="Z33" i="15" s="1"/>
  <c r="V3" i="11"/>
  <c r="V3" i="12"/>
  <c r="V3" i="28"/>
  <c r="V3" i="20"/>
  <c r="V3" i="13"/>
  <c r="AA3" i="16"/>
  <c r="U17" i="27"/>
  <c r="U10" i="27"/>
  <c r="U115" i="18"/>
  <c r="U113" i="73"/>
  <c r="U93" i="73"/>
  <c r="U375" i="74"/>
  <c r="T136" i="74"/>
  <c r="Y66" i="74"/>
  <c r="Y472" i="74"/>
  <c r="Y534" i="74"/>
  <c r="Y105" i="74"/>
  <c r="AA38" i="16"/>
  <c r="AA10" i="16"/>
  <c r="AA27" i="16"/>
  <c r="AA54" i="16"/>
  <c r="AA70" i="16"/>
  <c r="AA18" i="16"/>
  <c r="V38" i="14"/>
  <c r="V27" i="14"/>
  <c r="V10" i="14"/>
  <c r="V18" i="14"/>
  <c r="V17" i="27"/>
  <c r="V10" i="27"/>
  <c r="V30" i="22"/>
  <c r="V8" i="22"/>
  <c r="V47" i="22"/>
  <c r="V83" i="22"/>
  <c r="V62" i="22"/>
  <c r="V28" i="13"/>
  <c r="V18" i="13"/>
  <c r="V10" i="13"/>
  <c r="V53" i="13"/>
  <c r="V40" i="13"/>
  <c r="V8" i="20"/>
  <c r="V17" i="20"/>
  <c r="V86" i="21"/>
  <c r="V143" i="21"/>
  <c r="V59" i="21"/>
  <c r="V10" i="21"/>
  <c r="V68" i="21"/>
  <c r="V52" i="21"/>
  <c r="V17" i="21"/>
  <c r="V38" i="21"/>
  <c r="V26" i="21"/>
  <c r="V104" i="21"/>
  <c r="V122" i="21"/>
  <c r="AA40" i="6"/>
  <c r="AH8" i="5"/>
  <c r="AB39" i="6"/>
  <c r="V50" i="12"/>
  <c r="V30" i="12"/>
  <c r="V10" i="12"/>
  <c r="V79" i="18"/>
  <c r="V104" i="18"/>
  <c r="V64" i="18"/>
  <c r="V10" i="18"/>
  <c r="V115" i="18"/>
  <c r="V31" i="18"/>
  <c r="V43" i="18"/>
  <c r="V89" i="18"/>
  <c r="W3" i="27"/>
  <c r="W3" i="22"/>
  <c r="AA3" i="15"/>
  <c r="AA33" i="15" s="1"/>
  <c r="W3" i="18"/>
  <c r="W43" i="18" s="1"/>
  <c r="AB3" i="16"/>
  <c r="W3" i="11"/>
  <c r="W3" i="28"/>
  <c r="W3" i="12"/>
  <c r="W3" i="21"/>
  <c r="W3" i="20"/>
  <c r="W3" i="14"/>
  <c r="W3" i="13"/>
  <c r="V10" i="11"/>
  <c r="V18" i="11"/>
  <c r="V10" i="28"/>
  <c r="V33" i="28"/>
  <c r="V26" i="28"/>
  <c r="V17" i="28"/>
  <c r="W38" i="14"/>
  <c r="W10" i="14"/>
  <c r="W18" i="14"/>
  <c r="W27" i="14"/>
  <c r="AB10" i="16"/>
  <c r="AB27" i="16"/>
  <c r="AB38" i="16"/>
  <c r="AB18" i="16"/>
  <c r="AB54" i="16"/>
  <c r="AB70" i="16"/>
  <c r="W79" i="18"/>
  <c r="W89" i="18"/>
  <c r="W17" i="20"/>
  <c r="W8" i="20"/>
  <c r="AA106" i="15"/>
  <c r="AA57" i="15"/>
  <c r="AA85" i="15"/>
  <c r="AA93" i="15" s="1"/>
  <c r="AA12" i="15"/>
  <c r="W10" i="11"/>
  <c r="W18" i="11"/>
  <c r="W104" i="21"/>
  <c r="W52" i="21"/>
  <c r="W86" i="21"/>
  <c r="W68" i="21"/>
  <c r="W59" i="21"/>
  <c r="W38" i="21"/>
  <c r="W143" i="21"/>
  <c r="W122" i="21"/>
  <c r="W17" i="21"/>
  <c r="W10" i="21"/>
  <c r="W26" i="21"/>
  <c r="W47" i="22"/>
  <c r="W30" i="22"/>
  <c r="W83" i="22"/>
  <c r="W8" i="22"/>
  <c r="W62" i="22"/>
  <c r="W30" i="12"/>
  <c r="W10" i="12"/>
  <c r="W50" i="12"/>
  <c r="W17" i="27"/>
  <c r="W10" i="27"/>
  <c r="W33" i="28"/>
  <c r="W17" i="28"/>
  <c r="W10" i="28"/>
  <c r="W26" i="28"/>
  <c r="W28" i="13"/>
  <c r="W53" i="13"/>
  <c r="W40" i="13"/>
  <c r="W10" i="13"/>
  <c r="W18" i="13"/>
  <c r="AB40" i="6"/>
  <c r="AC39" i="6"/>
  <c r="AH13" i="5"/>
  <c r="X3" i="12"/>
  <c r="X3" i="11"/>
  <c r="AC3" i="16"/>
  <c r="X3" i="13"/>
  <c r="X3" i="21"/>
  <c r="X3" i="14"/>
  <c r="X3" i="28"/>
  <c r="AB3" i="15"/>
  <c r="AB12" i="15" s="1"/>
  <c r="X3" i="27"/>
  <c r="X3" i="22"/>
  <c r="X3" i="18"/>
  <c r="X31" i="18" s="1"/>
  <c r="X3" i="20"/>
  <c r="X59" i="21"/>
  <c r="X86" i="21"/>
  <c r="X10" i="21"/>
  <c r="X143" i="21"/>
  <c r="X122" i="21"/>
  <c r="X68" i="21"/>
  <c r="X38" i="21"/>
  <c r="X17" i="21"/>
  <c r="X104" i="21"/>
  <c r="X52" i="21"/>
  <c r="X26" i="21"/>
  <c r="X62" i="22"/>
  <c r="X47" i="22"/>
  <c r="X83" i="22"/>
  <c r="X8" i="22"/>
  <c r="X30" i="22"/>
  <c r="X28" i="13"/>
  <c r="X53" i="13"/>
  <c r="X10" i="13"/>
  <c r="X18" i="13"/>
  <c r="X40" i="13"/>
  <c r="AB33" i="15"/>
  <c r="X17" i="20"/>
  <c r="X8" i="20"/>
  <c r="X64" i="18"/>
  <c r="X10" i="27"/>
  <c r="X17" i="27"/>
  <c r="AC54" i="16"/>
  <c r="AC27" i="16"/>
  <c r="AC70" i="16"/>
  <c r="AC18" i="16"/>
  <c r="AC10" i="16"/>
  <c r="AC38" i="16"/>
  <c r="AC40" i="6"/>
  <c r="AD39" i="6"/>
  <c r="X26" i="28"/>
  <c r="X17" i="28"/>
  <c r="X10" i="28"/>
  <c r="X33" i="28"/>
  <c r="X18" i="14"/>
  <c r="X10" i="14"/>
  <c r="X27" i="14"/>
  <c r="X38" i="14"/>
  <c r="X30" i="12"/>
  <c r="X50" i="12"/>
  <c r="X10" i="12"/>
  <c r="X18" i="11"/>
  <c r="X10" i="11"/>
  <c r="AD40" i="6"/>
  <c r="AE39" i="6"/>
  <c r="AF39" i="6"/>
  <c r="AE40" i="6"/>
  <c r="AF40" i="6"/>
  <c r="AG39" i="6"/>
  <c r="U13" i="20"/>
  <c r="AG40" i="6"/>
  <c r="AH39" i="6"/>
  <c r="AI39" i="6"/>
  <c r="AH40" i="6"/>
  <c r="W30" i="16"/>
  <c r="AI40" i="6"/>
  <c r="AJ39" i="6"/>
  <c r="AJ40" i="6"/>
  <c r="AK39" i="6"/>
  <c r="AK40" i="6"/>
  <c r="AL39" i="6"/>
  <c r="AL40" i="6"/>
  <c r="AM39" i="6"/>
  <c r="AM40" i="6"/>
  <c r="AN39" i="6"/>
  <c r="AO39" i="6"/>
  <c r="AN40" i="6"/>
  <c r="AO40" i="6"/>
  <c r="AP39" i="6"/>
  <c r="AQ39" i="6"/>
  <c r="AQ40" i="6"/>
  <c r="AP40" i="6"/>
  <c r="R30" i="14"/>
  <c r="L41" i="12" l="1"/>
  <c r="L13" i="14" s="1"/>
  <c r="C24" i="14"/>
  <c r="E149" i="21"/>
  <c r="Q93" i="15"/>
  <c r="O22" i="18"/>
  <c r="L73" i="18"/>
  <c r="K13" i="20"/>
  <c r="S20" i="22"/>
  <c r="K72" i="18"/>
  <c r="L72" i="18"/>
  <c r="N96" i="15"/>
  <c r="L13" i="20"/>
  <c r="F14" i="12"/>
  <c r="F16" i="12" s="1"/>
  <c r="D149" i="21"/>
  <c r="C24" i="16"/>
  <c r="T93" i="15"/>
  <c r="M72" i="18"/>
  <c r="N95" i="15"/>
  <c r="N73" i="18"/>
  <c r="S23" i="22"/>
  <c r="M73" i="18"/>
  <c r="O95" i="15"/>
  <c r="M41" i="12"/>
  <c r="M54" i="12" s="1"/>
  <c r="S22" i="18"/>
  <c r="S23" i="18" s="1"/>
  <c r="N22" i="18"/>
  <c r="N23" i="18" s="1"/>
  <c r="N93" i="15"/>
  <c r="O93" i="15"/>
  <c r="Q95" i="15"/>
  <c r="L53" i="18"/>
  <c r="S93" i="15"/>
  <c r="O41" i="12"/>
  <c r="O13" i="14" s="1"/>
  <c r="P95" i="15"/>
  <c r="P93" i="15"/>
  <c r="O38" i="22"/>
  <c r="O41" i="22" s="1"/>
  <c r="R38" i="22"/>
  <c r="R41" i="22" s="1"/>
  <c r="L54" i="12"/>
  <c r="L52" i="12"/>
  <c r="L58" i="12"/>
  <c r="Q38" i="22"/>
  <c r="Q41" i="22" s="1"/>
  <c r="L55" i="12"/>
  <c r="N58" i="12"/>
  <c r="N55" i="12"/>
  <c r="N53" i="12"/>
  <c r="N59" i="12"/>
  <c r="L56" i="12"/>
  <c r="L59" i="12"/>
  <c r="K73" i="18"/>
  <c r="J13" i="20"/>
  <c r="S22" i="22"/>
  <c r="L57" i="12"/>
  <c r="L53" i="12"/>
  <c r="S118" i="15"/>
  <c r="S121" i="15" s="1"/>
  <c r="U96" i="15"/>
  <c r="U87" i="15"/>
  <c r="S21" i="22"/>
  <c r="V22" i="18"/>
  <c r="O23" i="18"/>
  <c r="R96" i="15"/>
  <c r="R11" i="22"/>
  <c r="K41" i="12"/>
  <c r="K56" i="12" s="1"/>
  <c r="S95" i="15"/>
  <c r="N72" i="18"/>
  <c r="P22" i="18"/>
  <c r="P23" i="18" s="1"/>
  <c r="T96" i="15"/>
  <c r="O76" i="22"/>
  <c r="O79" i="22" s="1"/>
  <c r="H20" i="15"/>
  <c r="H21" i="15" s="1"/>
  <c r="H22" i="15" s="1"/>
  <c r="H19" i="15"/>
  <c r="F40" i="15"/>
  <c r="F41" i="15"/>
  <c r="F42" i="15" s="1"/>
  <c r="F43" i="15" s="1"/>
  <c r="F45" i="15" s="1"/>
  <c r="AB57" i="15"/>
  <c r="Z85" i="15"/>
  <c r="Z93" i="15" s="1"/>
  <c r="I3" i="15"/>
  <c r="O33" i="15"/>
  <c r="M45" i="15"/>
  <c r="M51" i="15" s="1"/>
  <c r="R95" i="15"/>
  <c r="Z57" i="15"/>
  <c r="X106" i="15"/>
  <c r="T85" i="15"/>
  <c r="R85" i="15"/>
  <c r="Q106" i="15"/>
  <c r="P106" i="15"/>
  <c r="J57" i="15"/>
  <c r="O12" i="15"/>
  <c r="L45" i="15"/>
  <c r="AB85" i="15"/>
  <c r="AB93" i="15" s="1"/>
  <c r="Z12" i="15"/>
  <c r="T95" i="15"/>
  <c r="AB106" i="15"/>
  <c r="Z106" i="15"/>
  <c r="T57" i="15"/>
  <c r="R33" i="15"/>
  <c r="K57" i="15"/>
  <c r="O85" i="15"/>
  <c r="P96" i="15"/>
  <c r="Q96" i="15"/>
  <c r="J45" i="15"/>
  <c r="I45" i="15"/>
  <c r="K45" i="15"/>
  <c r="L39" i="18"/>
  <c r="L38" i="18"/>
  <c r="L96" i="18" s="1"/>
  <c r="L11" i="20"/>
  <c r="M53" i="18"/>
  <c r="Q41" i="12"/>
  <c r="Q54" i="12" s="1"/>
  <c r="O96" i="15"/>
  <c r="S96" i="15"/>
  <c r="R93" i="15"/>
  <c r="Q70" i="18"/>
  <c r="Q13" i="20" s="1"/>
  <c r="S76" i="22"/>
  <c r="S79" i="22" s="1"/>
  <c r="N13" i="14"/>
  <c r="N56" i="12"/>
  <c r="V23" i="18"/>
  <c r="N57" i="12"/>
  <c r="N19" i="18"/>
  <c r="P76" i="22"/>
  <c r="P79" i="22" s="1"/>
  <c r="X22" i="18"/>
  <c r="X23" i="18" s="1"/>
  <c r="Q76" i="22"/>
  <c r="R76" i="22"/>
  <c r="N18" i="18"/>
  <c r="T22" i="18"/>
  <c r="T23" i="18" s="1"/>
  <c r="P41" i="12"/>
  <c r="P53" i="12" s="1"/>
  <c r="N54" i="12"/>
  <c r="J41" i="12"/>
  <c r="P38" i="22"/>
  <c r="P41" i="22" s="1"/>
  <c r="S38" i="22"/>
  <c r="S41" i="22" s="1"/>
  <c r="C10" i="3"/>
  <c r="U22" i="18"/>
  <c r="U23" i="18" s="1"/>
  <c r="Q22" i="18"/>
  <c r="Q23" i="18" s="1"/>
  <c r="W22" i="18"/>
  <c r="W23" i="18" s="1"/>
  <c r="R22" i="18"/>
  <c r="R23" i="18" s="1"/>
  <c r="M97" i="22"/>
  <c r="AW481" i="74"/>
  <c r="G50" i="18"/>
  <c r="G12" i="20"/>
  <c r="K50" i="18"/>
  <c r="L50" i="18"/>
  <c r="K53" i="18"/>
  <c r="J50" i="18"/>
  <c r="J12" i="20" s="1"/>
  <c r="M50" i="18"/>
  <c r="E98" i="18"/>
  <c r="E100" i="18"/>
  <c r="F98" i="18"/>
  <c r="F100" i="18"/>
  <c r="X89" i="18"/>
  <c r="O24" i="20"/>
  <c r="O10" i="18"/>
  <c r="M79" i="18"/>
  <c r="O115" i="18"/>
  <c r="M43" i="18"/>
  <c r="K89" i="18"/>
  <c r="J89" i="18"/>
  <c r="O64" i="18"/>
  <c r="K104" i="18"/>
  <c r="R31" i="18"/>
  <c r="O104" i="18"/>
  <c r="K115" i="18"/>
  <c r="J115" i="18"/>
  <c r="G16" i="18"/>
  <c r="G10" i="20" s="1"/>
  <c r="G14" i="18"/>
  <c r="R89" i="18"/>
  <c r="O43" i="18"/>
  <c r="K79" i="18"/>
  <c r="X115" i="18"/>
  <c r="R79" i="18"/>
  <c r="O89" i="18"/>
  <c r="K64" i="18"/>
  <c r="Q104" i="18"/>
  <c r="P16" i="18"/>
  <c r="P10" i="20" s="1"/>
  <c r="N38" i="18"/>
  <c r="N96" i="18" s="1"/>
  <c r="M39" i="18"/>
  <c r="M11" i="20"/>
  <c r="N39" i="18"/>
  <c r="M38" i="18"/>
  <c r="M96" i="18" s="1"/>
  <c r="N50" i="18"/>
  <c r="N53" i="18"/>
  <c r="E50" i="18"/>
  <c r="E12" i="20"/>
  <c r="E52" i="18"/>
  <c r="J24" i="20"/>
  <c r="K10" i="20"/>
  <c r="K19" i="18"/>
  <c r="K18" i="18"/>
  <c r="M19" i="18"/>
  <c r="L19" i="18"/>
  <c r="M18" i="18"/>
  <c r="L10" i="20"/>
  <c r="L18" i="18"/>
  <c r="G98" i="18"/>
  <c r="G100" i="18"/>
  <c r="J11" i="20"/>
  <c r="K38" i="18"/>
  <c r="K96" i="18" s="1"/>
  <c r="K39" i="18"/>
  <c r="X43" i="18"/>
  <c r="W31" i="18"/>
  <c r="U104" i="18"/>
  <c r="R104" i="18"/>
  <c r="Q89" i="18"/>
  <c r="M64" i="18"/>
  <c r="L115" i="18"/>
  <c r="M13" i="20"/>
  <c r="W104" i="18"/>
  <c r="U79" i="18"/>
  <c r="R43" i="18"/>
  <c r="Q64" i="18"/>
  <c r="M10" i="18"/>
  <c r="L104" i="18"/>
  <c r="J31" i="18"/>
  <c r="X79" i="18"/>
  <c r="W10" i="18"/>
  <c r="U89" i="18"/>
  <c r="Q115" i="18"/>
  <c r="L31" i="18"/>
  <c r="X104" i="18"/>
  <c r="W115" i="18"/>
  <c r="U43" i="18"/>
  <c r="R64" i="18"/>
  <c r="Q31" i="18"/>
  <c r="M104" i="18"/>
  <c r="L10" i="18"/>
  <c r="K43" i="18"/>
  <c r="J64" i="18"/>
  <c r="P24" i="20"/>
  <c r="U31" i="18"/>
  <c r="R115" i="18"/>
  <c r="Q10" i="18"/>
  <c r="M89" i="18"/>
  <c r="L64" i="18"/>
  <c r="K10" i="18"/>
  <c r="J43" i="18"/>
  <c r="K24" i="20"/>
  <c r="L24" i="20"/>
  <c r="M24" i="20"/>
  <c r="N24" i="20"/>
  <c r="X10" i="18"/>
  <c r="W64" i="18"/>
  <c r="U64" i="18"/>
  <c r="Q79" i="18"/>
  <c r="M31" i="18"/>
  <c r="L43" i="18"/>
  <c r="P53" i="18"/>
  <c r="J118" i="21"/>
  <c r="AU483" i="74"/>
  <c r="AV484" i="74"/>
  <c r="X72" i="18"/>
  <c r="AT473" i="74"/>
  <c r="AU481" i="74"/>
  <c r="AV482" i="74"/>
  <c r="AW483" i="74"/>
  <c r="AT474" i="74"/>
  <c r="AV483" i="74"/>
  <c r="AW484" i="74"/>
  <c r="AT472" i="74"/>
  <c r="AV481" i="74"/>
  <c r="AW482" i="74"/>
  <c r="AT478" i="74"/>
  <c r="AU486" i="74"/>
  <c r="AW485" i="74"/>
  <c r="AT476" i="74"/>
  <c r="AU484" i="74"/>
  <c r="AV485" i="74"/>
  <c r="AW486" i="74"/>
  <c r="AT477" i="74"/>
  <c r="AU485" i="74"/>
  <c r="AV486" i="74"/>
  <c r="AT479" i="74"/>
  <c r="AU482" i="74"/>
  <c r="AT475" i="74"/>
  <c r="R108" i="74"/>
  <c r="J14" i="5" a="1"/>
  <c r="J14" i="5" s="1"/>
  <c r="S33" i="12"/>
  <c r="S32" i="12"/>
  <c r="S39" i="12"/>
  <c r="S38" i="12"/>
  <c r="S37" i="12"/>
  <c r="S35" i="12"/>
  <c r="K10" i="5"/>
  <c r="L10" i="5" s="1"/>
  <c r="X108" i="74"/>
  <c r="H352" i="41" s="1"/>
  <c r="W108" i="74"/>
  <c r="G352" i="41" s="1"/>
  <c r="Y108" i="74"/>
  <c r="I352" i="41" s="1"/>
  <c r="V108" i="74"/>
  <c r="F352" i="41" s="1"/>
  <c r="T108" i="74"/>
  <c r="S108" i="74"/>
  <c r="R84" i="74"/>
  <c r="Q85" i="74"/>
  <c r="P85" i="74"/>
  <c r="N102" i="75"/>
  <c r="N103" i="75"/>
  <c r="N343" i="74"/>
  <c r="O26" i="11"/>
  <c r="P26" i="11"/>
  <c r="Q54" i="22"/>
  <c r="A54" i="22" s="1"/>
  <c r="S72" i="18"/>
  <c r="O58" i="12"/>
  <c r="R26" i="11"/>
  <c r="O82" i="18"/>
  <c r="K82" i="18"/>
  <c r="R45" i="15"/>
  <c r="R51" i="15" s="1"/>
  <c r="N82" i="18"/>
  <c r="N45" i="15"/>
  <c r="N51" i="15" s="1"/>
  <c r="J82" i="18"/>
  <c r="Q82" i="18"/>
  <c r="T45" i="15"/>
  <c r="P82" i="18"/>
  <c r="P45" i="15"/>
  <c r="P114" i="15" s="1"/>
  <c r="Q45" i="15"/>
  <c r="Q51" i="15" s="1"/>
  <c r="O10" i="20"/>
  <c r="Q50" i="18"/>
  <c r="Q12" i="20" s="1"/>
  <c r="O53" i="18"/>
  <c r="O50" i="18"/>
  <c r="P50" i="18"/>
  <c r="P13" i="20"/>
  <c r="P11" i="20"/>
  <c r="Q39" i="18"/>
  <c r="Q59" i="12"/>
  <c r="S26" i="11"/>
  <c r="Q26" i="11"/>
  <c r="Q53" i="18"/>
  <c r="V73" i="18"/>
  <c r="V72" i="18"/>
  <c r="X13" i="20"/>
  <c r="N106" i="21"/>
  <c r="N118" i="21" s="1"/>
  <c r="N97" i="22"/>
  <c r="N100" i="22" s="1"/>
  <c r="U124" i="21"/>
  <c r="U88" i="21"/>
  <c r="R13" i="20"/>
  <c r="U72" i="18"/>
  <c r="T13" i="20"/>
  <c r="T73" i="18"/>
  <c r="T72" i="18"/>
  <c r="W13" i="20"/>
  <c r="W72" i="18"/>
  <c r="X73" i="18"/>
  <c r="W73" i="18"/>
  <c r="S13" i="20"/>
  <c r="V13" i="20"/>
  <c r="U73" i="18"/>
  <c r="S73" i="18"/>
  <c r="O72" i="18"/>
  <c r="P73" i="18"/>
  <c r="O73" i="18"/>
  <c r="O13" i="20"/>
  <c r="P72" i="18"/>
  <c r="O38" i="18"/>
  <c r="O96" i="18" s="1"/>
  <c r="O11" i="20"/>
  <c r="O39" i="18"/>
  <c r="Q10" i="20"/>
  <c r="O19" i="18"/>
  <c r="O18" i="18"/>
  <c r="P39" i="18"/>
  <c r="Q38" i="18"/>
  <c r="R41" i="12"/>
  <c r="P38" i="18"/>
  <c r="K118" i="21"/>
  <c r="Q79" i="22"/>
  <c r="Q116" i="21"/>
  <c r="R116" i="21"/>
  <c r="R79" i="22"/>
  <c r="U79" i="15"/>
  <c r="K97" i="22"/>
  <c r="L118" i="21"/>
  <c r="O118" i="21"/>
  <c r="P118" i="21"/>
  <c r="O97" i="22"/>
  <c r="O100" i="22" s="1"/>
  <c r="M107" i="21"/>
  <c r="M118" i="21" s="1"/>
  <c r="J97" i="22"/>
  <c r="P97" i="22"/>
  <c r="P100" i="22" s="1"/>
  <c r="L97" i="22"/>
  <c r="T124" i="21"/>
  <c r="T88" i="21"/>
  <c r="U108" i="74"/>
  <c r="E352" i="41" s="1"/>
  <c r="Q120" i="18"/>
  <c r="Q122" i="18" s="1"/>
  <c r="Q111" i="18"/>
  <c r="Q106" i="21"/>
  <c r="P52" i="12" l="1"/>
  <c r="V118" i="15"/>
  <c r="V121" i="15" s="1"/>
  <c r="W118" i="15"/>
  <c r="W121" i="15" s="1"/>
  <c r="M55" i="12"/>
  <c r="O57" i="12"/>
  <c r="P56" i="12"/>
  <c r="O55" i="12"/>
  <c r="S45" i="15"/>
  <c r="T13" i="16" s="1"/>
  <c r="O53" i="12"/>
  <c r="U45" i="15"/>
  <c r="O59" i="12"/>
  <c r="P19" i="18"/>
  <c r="O52" i="12"/>
  <c r="O56" i="12"/>
  <c r="Q18" i="18"/>
  <c r="O54" i="12"/>
  <c r="Q19" i="18"/>
  <c r="O45" i="15"/>
  <c r="O109" i="15" s="1"/>
  <c r="P55" i="12"/>
  <c r="P54" i="12"/>
  <c r="M59" i="12"/>
  <c r="M57" i="12"/>
  <c r="P18" i="18"/>
  <c r="K13" i="14"/>
  <c r="M58" i="12"/>
  <c r="L61" i="12"/>
  <c r="L64" i="12" s="1"/>
  <c r="M53" i="12"/>
  <c r="M52" i="12"/>
  <c r="M56" i="12"/>
  <c r="M13" i="14"/>
  <c r="V60" i="18"/>
  <c r="U60" i="18"/>
  <c r="R73" i="18"/>
  <c r="T118" i="15"/>
  <c r="T121" i="15" s="1"/>
  <c r="S116" i="21"/>
  <c r="S11" i="22"/>
  <c r="U118" i="15"/>
  <c r="U121" i="15" s="1"/>
  <c r="Q118" i="21"/>
  <c r="N61" i="12"/>
  <c r="N64" i="12" s="1"/>
  <c r="K58" i="12"/>
  <c r="K59" i="12"/>
  <c r="K52" i="12"/>
  <c r="K55" i="12"/>
  <c r="K57" i="12"/>
  <c r="K54" i="12"/>
  <c r="K53" i="12"/>
  <c r="Q97" i="22"/>
  <c r="Q100" i="22" s="1"/>
  <c r="R72" i="18"/>
  <c r="Q53" i="12"/>
  <c r="Q58" i="12"/>
  <c r="U93" i="15"/>
  <c r="U95" i="15"/>
  <c r="Q56" i="12"/>
  <c r="Q57" i="12"/>
  <c r="Q55" i="12"/>
  <c r="P51" i="15"/>
  <c r="U13" i="16"/>
  <c r="T51" i="15"/>
  <c r="Q72" i="18"/>
  <c r="Q73" i="18"/>
  <c r="I33" i="15"/>
  <c r="I57" i="15"/>
  <c r="P535" i="74"/>
  <c r="J59" i="12"/>
  <c r="J53" i="12"/>
  <c r="J54" i="12"/>
  <c r="J13" i="14"/>
  <c r="J58" i="12"/>
  <c r="J57" i="12"/>
  <c r="J55" i="12"/>
  <c r="J52" i="12"/>
  <c r="J56" i="12"/>
  <c r="Q13" i="14"/>
  <c r="Q52" i="12"/>
  <c r="P58" i="12"/>
  <c r="P13" i="14"/>
  <c r="P57" i="12"/>
  <c r="P59" i="12"/>
  <c r="C11" i="3"/>
  <c r="C10" i="10"/>
  <c r="T60" i="18"/>
  <c r="K14" i="5" a="1"/>
  <c r="K14" i="5" s="1"/>
  <c r="Q535" i="74"/>
  <c r="M52" i="18"/>
  <c r="M12" i="20"/>
  <c r="L12" i="20"/>
  <c r="L52" i="18"/>
  <c r="K12" i="20"/>
  <c r="K52" i="18"/>
  <c r="N12" i="20"/>
  <c r="N52" i="18"/>
  <c r="R19" i="18"/>
  <c r="X60" i="18"/>
  <c r="K27" i="5" a="1"/>
  <c r="K27" i="5" s="1"/>
  <c r="S60" i="18"/>
  <c r="R52" i="12"/>
  <c r="K475" i="74" a="1"/>
  <c r="T475" i="74" s="1"/>
  <c r="K476" i="74" a="1"/>
  <c r="L476" i="74" s="1"/>
  <c r="K474" i="74" a="1"/>
  <c r="Q474" i="74" s="1"/>
  <c r="K473" i="74" a="1"/>
  <c r="T473" i="74" s="1"/>
  <c r="R109" i="15"/>
  <c r="W60" i="18"/>
  <c r="R60" i="18"/>
  <c r="R85" i="74"/>
  <c r="S84" i="74"/>
  <c r="R55" i="12"/>
  <c r="R53" i="12"/>
  <c r="R54" i="12"/>
  <c r="R58" i="12"/>
  <c r="Z53" i="18"/>
  <c r="Q52" i="18"/>
  <c r="R56" i="12"/>
  <c r="R13" i="14"/>
  <c r="R59" i="12"/>
  <c r="R57" i="12"/>
  <c r="R112" i="15"/>
  <c r="R110" i="15"/>
  <c r="R114" i="15"/>
  <c r="R111" i="15"/>
  <c r="R108" i="15"/>
  <c r="R115" i="15"/>
  <c r="R116" i="15"/>
  <c r="S13" i="16"/>
  <c r="U51" i="15"/>
  <c r="V13" i="16"/>
  <c r="O116" i="15"/>
  <c r="P13" i="16"/>
  <c r="O114" i="15"/>
  <c r="O110" i="15"/>
  <c r="O112" i="15"/>
  <c r="O111" i="15"/>
  <c r="N112" i="15"/>
  <c r="N116" i="15"/>
  <c r="N108" i="15"/>
  <c r="N114" i="15"/>
  <c r="N115" i="15"/>
  <c r="N111" i="15"/>
  <c r="O13" i="16"/>
  <c r="N110" i="15"/>
  <c r="N109" i="15"/>
  <c r="P52" i="18"/>
  <c r="P12" i="20"/>
  <c r="O52" i="18"/>
  <c r="O12" i="20"/>
  <c r="M10" i="5"/>
  <c r="L27" i="5" a="1"/>
  <c r="L27" i="5" s="1"/>
  <c r="L14" i="5" a="1"/>
  <c r="L14" i="5" s="1"/>
  <c r="S19" i="18"/>
  <c r="R10" i="20"/>
  <c r="R18" i="18"/>
  <c r="R535" i="74"/>
  <c r="U81" i="15"/>
  <c r="P109" i="15"/>
  <c r="Q13" i="16"/>
  <c r="P108" i="15"/>
  <c r="P112" i="15"/>
  <c r="P116" i="15"/>
  <c r="P110" i="15"/>
  <c r="P115" i="15"/>
  <c r="P111" i="15"/>
  <c r="Q109" i="15"/>
  <c r="Q110" i="15"/>
  <c r="Q112" i="15"/>
  <c r="R13" i="16"/>
  <c r="Q108" i="15"/>
  <c r="Q111" i="15"/>
  <c r="Q116" i="15"/>
  <c r="Q115" i="15"/>
  <c r="Q114" i="15"/>
  <c r="Q22" i="20"/>
  <c r="Q24" i="20" s="1"/>
  <c r="Q60" i="18"/>
  <c r="K60" i="18"/>
  <c r="P60" i="18"/>
  <c r="J60" i="18"/>
  <c r="N60" i="18"/>
  <c r="M60" i="18"/>
  <c r="L60" i="18"/>
  <c r="O60" i="18"/>
  <c r="O61" i="12" l="1"/>
  <c r="O64" i="12" s="1"/>
  <c r="S51" i="15"/>
  <c r="V53" i="18"/>
  <c r="Z19" i="18"/>
  <c r="O115" i="15"/>
  <c r="O51" i="15"/>
  <c r="O108" i="15"/>
  <c r="U53" i="18"/>
  <c r="M61" i="12"/>
  <c r="M64" i="12" s="1"/>
  <c r="S535" i="74"/>
  <c r="K61" i="12"/>
  <c r="K64" i="12" s="1"/>
  <c r="P61" i="12"/>
  <c r="P64" i="12" s="1"/>
  <c r="Q61" i="12"/>
  <c r="Q64" i="12" s="1"/>
  <c r="J61" i="12"/>
  <c r="J64" i="12" s="1"/>
  <c r="C12" i="3"/>
  <c r="C11" i="10"/>
  <c r="Q475" i="74"/>
  <c r="S53" i="18"/>
  <c r="M475" i="74"/>
  <c r="L475" i="74"/>
  <c r="T53" i="18"/>
  <c r="R118" i="18"/>
  <c r="R20" i="20" s="1"/>
  <c r="R117" i="18"/>
  <c r="R19" i="20" s="1"/>
  <c r="R120" i="18"/>
  <c r="S120" i="18" s="1"/>
  <c r="R119" i="18"/>
  <c r="S119" i="18" s="1"/>
  <c r="S475" i="74"/>
  <c r="W475" i="74"/>
  <c r="K475" i="74"/>
  <c r="R48" i="18"/>
  <c r="Y475" i="74"/>
  <c r="U475" i="74"/>
  <c r="S474" i="74"/>
  <c r="N475" i="74"/>
  <c r="R475" i="74"/>
  <c r="V475" i="74"/>
  <c r="P475" i="74"/>
  <c r="X475" i="74"/>
  <c r="O475" i="74"/>
  <c r="W476" i="74"/>
  <c r="Y476" i="74"/>
  <c r="M476" i="74"/>
  <c r="S476" i="74"/>
  <c r="R476" i="74"/>
  <c r="K476" i="74"/>
  <c r="O476" i="74"/>
  <c r="P476" i="74"/>
  <c r="X476" i="74"/>
  <c r="T476" i="74"/>
  <c r="V476" i="74"/>
  <c r="N476" i="74"/>
  <c r="Q476" i="74"/>
  <c r="U476" i="74"/>
  <c r="U474" i="74"/>
  <c r="P474" i="74"/>
  <c r="Y474" i="74"/>
  <c r="W474" i="74"/>
  <c r="L474" i="74"/>
  <c r="R474" i="74"/>
  <c r="T474" i="74"/>
  <c r="K474" i="74"/>
  <c r="O474" i="74"/>
  <c r="M474" i="74"/>
  <c r="V474" i="74"/>
  <c r="N474" i="74"/>
  <c r="X474" i="74"/>
  <c r="Q473" i="74"/>
  <c r="R473" i="74"/>
  <c r="K473" i="74"/>
  <c r="V473" i="74"/>
  <c r="P473" i="74"/>
  <c r="X473" i="74"/>
  <c r="W473" i="74"/>
  <c r="M473" i="74"/>
  <c r="N473" i="74"/>
  <c r="S473" i="74"/>
  <c r="U473" i="74"/>
  <c r="Y473" i="74"/>
  <c r="L473" i="74"/>
  <c r="O473" i="74"/>
  <c r="W53" i="18"/>
  <c r="X53" i="18"/>
  <c r="S85" i="74"/>
  <c r="T84" i="74"/>
  <c r="R61" i="12"/>
  <c r="R64" i="12" s="1"/>
  <c r="N118" i="15"/>
  <c r="N121" i="15" s="1"/>
  <c r="R118" i="15"/>
  <c r="R121" i="15" s="1"/>
  <c r="M14" i="5" a="1"/>
  <c r="M14" i="5" s="1"/>
  <c r="N10" i="5"/>
  <c r="M27" i="5" a="1"/>
  <c r="M27" i="5" s="1"/>
  <c r="S10" i="20"/>
  <c r="T19" i="18"/>
  <c r="S18" i="18"/>
  <c r="Q118" i="15"/>
  <c r="P118" i="15"/>
  <c r="O118" i="15" l="1"/>
  <c r="O121" i="15" s="1"/>
  <c r="R50" i="18"/>
  <c r="R12" i="20" s="1"/>
  <c r="R53" i="18"/>
  <c r="R21" i="20"/>
  <c r="S46" i="18"/>
  <c r="S48" i="18" s="1"/>
  <c r="T46" i="18" s="1"/>
  <c r="T48" i="18" s="1"/>
  <c r="U46" i="18" s="1"/>
  <c r="U48" i="18" s="1"/>
  <c r="V46" i="18" s="1"/>
  <c r="V48" i="18" s="1"/>
  <c r="W46" i="18" s="1"/>
  <c r="W48" i="18" s="1"/>
  <c r="X46" i="18" s="1"/>
  <c r="X48" i="18" s="1"/>
  <c r="C13" i="3"/>
  <c r="C12" i="10"/>
  <c r="S117" i="18"/>
  <c r="S19" i="20" s="1"/>
  <c r="S118" i="18"/>
  <c r="S20" i="20" s="1"/>
  <c r="R122" i="18"/>
  <c r="R22" i="20"/>
  <c r="S21" i="20"/>
  <c r="T119" i="18"/>
  <c r="T85" i="74"/>
  <c r="U84" i="74"/>
  <c r="N27" i="5" a="1"/>
  <c r="N27" i="5" s="1"/>
  <c r="N14" i="5" a="1"/>
  <c r="N14" i="5" s="1"/>
  <c r="O10" i="5"/>
  <c r="T10" i="20"/>
  <c r="T18" i="18"/>
  <c r="U19" i="18"/>
  <c r="T536" i="74"/>
  <c r="P121" i="15"/>
  <c r="Q121" i="15"/>
  <c r="S22" i="20"/>
  <c r="T120" i="18"/>
  <c r="R52" i="18" l="1"/>
  <c r="R24" i="20"/>
  <c r="V50" i="18"/>
  <c r="V12" i="20" s="1"/>
  <c r="T50" i="18"/>
  <c r="T12" i="20" s="1"/>
  <c r="S50" i="18"/>
  <c r="S52" i="18" s="1"/>
  <c r="W50" i="18"/>
  <c r="W12" i="20" s="1"/>
  <c r="U50" i="18"/>
  <c r="U12" i="20" s="1"/>
  <c r="C14" i="3"/>
  <c r="C13" i="10"/>
  <c r="X50" i="18"/>
  <c r="X12" i="20" s="1"/>
  <c r="T117" i="18"/>
  <c r="T19" i="20" s="1"/>
  <c r="S122" i="18"/>
  <c r="T118" i="18"/>
  <c r="T20" i="20" s="1"/>
  <c r="S24" i="20"/>
  <c r="T21" i="20"/>
  <c r="U119" i="18"/>
  <c r="U85" i="74"/>
  <c r="V84" i="74"/>
  <c r="P10" i="5"/>
  <c r="O27" i="5" a="1"/>
  <c r="O27" i="5" s="1"/>
  <c r="O14" i="5" a="1"/>
  <c r="O14" i="5" s="1"/>
  <c r="V19" i="18"/>
  <c r="U10" i="20"/>
  <c r="U18" i="18"/>
  <c r="U537" i="74"/>
  <c r="A121" i="15"/>
  <c r="U120" i="18"/>
  <c r="T22" i="20"/>
  <c r="Q44" i="12"/>
  <c r="O44" i="12"/>
  <c r="P44" i="12"/>
  <c r="S12" i="20" l="1"/>
  <c r="T52" i="18"/>
  <c r="V52" i="18"/>
  <c r="W52" i="18"/>
  <c r="U52" i="18"/>
  <c r="C15" i="3"/>
  <c r="C14" i="10"/>
  <c r="X52" i="18"/>
  <c r="U117" i="18"/>
  <c r="V117" i="18" s="1"/>
  <c r="U118" i="18"/>
  <c r="U20" i="20" s="1"/>
  <c r="T122" i="18"/>
  <c r="T24" i="20"/>
  <c r="V119" i="18"/>
  <c r="U21" i="20"/>
  <c r="V85" i="74"/>
  <c r="W84" i="74"/>
  <c r="Q10" i="5"/>
  <c r="P27" i="5" a="1"/>
  <c r="P27" i="5" s="1"/>
  <c r="P14" i="5" a="1"/>
  <c r="P14" i="5" s="1"/>
  <c r="V537" i="74"/>
  <c r="V10" i="20"/>
  <c r="W19" i="18"/>
  <c r="V18" i="18"/>
  <c r="S113" i="21"/>
  <c r="U22" i="20"/>
  <c r="V120" i="18"/>
  <c r="T79" i="15"/>
  <c r="S79" i="15"/>
  <c r="C16" i="3" l="1"/>
  <c r="C17" i="3" s="1"/>
  <c r="C18" i="3" s="1"/>
  <c r="C15" i="10"/>
  <c r="U19" i="20"/>
  <c r="U24" i="20" s="1"/>
  <c r="U122" i="18"/>
  <c r="V118" i="18"/>
  <c r="V20" i="20" s="1"/>
  <c r="W117" i="18"/>
  <c r="V19" i="20"/>
  <c r="W119" i="18"/>
  <c r="V21" i="20"/>
  <c r="X84" i="74"/>
  <c r="W85" i="74"/>
  <c r="S81" i="15"/>
  <c r="R10" i="5"/>
  <c r="Q14" i="5" a="1"/>
  <c r="Q14" i="5" s="1"/>
  <c r="Q27" i="5" a="1"/>
  <c r="Q27" i="5" s="1"/>
  <c r="U133" i="21"/>
  <c r="U97" i="21"/>
  <c r="V132" i="21"/>
  <c r="V96" i="21"/>
  <c r="T132" i="21"/>
  <c r="T96" i="21"/>
  <c r="V131" i="21"/>
  <c r="V95" i="21"/>
  <c r="T91" i="21"/>
  <c r="T127" i="21"/>
  <c r="X91" i="21"/>
  <c r="X127" i="21"/>
  <c r="S109" i="21"/>
  <c r="S115" i="21"/>
  <c r="W131" i="21"/>
  <c r="W95" i="21"/>
  <c r="V127" i="21"/>
  <c r="V91" i="21"/>
  <c r="V130" i="21"/>
  <c r="V94" i="21"/>
  <c r="U130" i="21"/>
  <c r="U94" i="21"/>
  <c r="X132" i="21"/>
  <c r="X96" i="21"/>
  <c r="T133" i="21"/>
  <c r="T97" i="21"/>
  <c r="W97" i="21"/>
  <c r="W133" i="21"/>
  <c r="U132" i="21"/>
  <c r="U96" i="21"/>
  <c r="X131" i="21"/>
  <c r="X95" i="21"/>
  <c r="S114" i="21"/>
  <c r="S110" i="21"/>
  <c r="T130" i="21"/>
  <c r="T94" i="21"/>
  <c r="T131" i="21"/>
  <c r="T95" i="21"/>
  <c r="S112" i="21"/>
  <c r="W18" i="18"/>
  <c r="X19" i="18"/>
  <c r="W10" i="20"/>
  <c r="W91" i="21"/>
  <c r="W127" i="21"/>
  <c r="X130" i="21"/>
  <c r="X94" i="21"/>
  <c r="W96" i="21"/>
  <c r="W132" i="21"/>
  <c r="X133" i="21"/>
  <c r="X97" i="21"/>
  <c r="U95" i="21"/>
  <c r="U131" i="21"/>
  <c r="U127" i="21"/>
  <c r="U91" i="21"/>
  <c r="W537" i="74"/>
  <c r="V133" i="21"/>
  <c r="V97" i="21"/>
  <c r="W130" i="21"/>
  <c r="W94" i="21"/>
  <c r="V22" i="20"/>
  <c r="W120" i="18"/>
  <c r="C16" i="10" l="1"/>
  <c r="W118" i="18"/>
  <c r="W20" i="20" s="1"/>
  <c r="V122" i="18"/>
  <c r="V24" i="20"/>
  <c r="W19" i="20"/>
  <c r="X117" i="18"/>
  <c r="X19" i="20" s="1"/>
  <c r="X119" i="18"/>
  <c r="X21" i="20" s="1"/>
  <c r="W21" i="20"/>
  <c r="Y84" i="74"/>
  <c r="X85" i="74"/>
  <c r="S10" i="5"/>
  <c r="R14" i="5" a="1"/>
  <c r="R14" i="5" s="1"/>
  <c r="R27" i="5" a="1"/>
  <c r="R27" i="5" s="1"/>
  <c r="X18" i="18"/>
  <c r="X10" i="20"/>
  <c r="X537" i="74"/>
  <c r="T81" i="15"/>
  <c r="X120" i="18"/>
  <c r="X22" i="20" s="1"/>
  <c r="W22" i="20"/>
  <c r="X118" i="18" l="1"/>
  <c r="X20" i="20" s="1"/>
  <c r="X24" i="20" s="1"/>
  <c r="W122" i="18"/>
  <c r="W24" i="20"/>
  <c r="Z84" i="74"/>
  <c r="Y85" i="74"/>
  <c r="S14" i="5" a="1"/>
  <c r="S14" i="5" s="1"/>
  <c r="S27" i="5" a="1"/>
  <c r="S27" i="5" s="1"/>
  <c r="T10" i="5"/>
  <c r="S17" i="5" s="1" a="1"/>
  <c r="S17" i="5" s="1"/>
  <c r="Y537" i="74"/>
  <c r="C17" i="10" l="1"/>
  <c r="X122" i="18"/>
  <c r="Z85" i="74"/>
  <c r="AA84" i="74"/>
  <c r="U10" i="5"/>
  <c r="J17" i="5" a="1"/>
  <c r="J17" i="5" s="1"/>
  <c r="T27" i="5" a="1"/>
  <c r="T27" i="5" s="1"/>
  <c r="T14" i="5" a="1"/>
  <c r="T14" i="5" s="1"/>
  <c r="T17" i="5" a="1"/>
  <c r="T17" i="5" s="1"/>
  <c r="K17" i="5" a="1"/>
  <c r="K17" i="5" s="1"/>
  <c r="L17" i="5" a="1"/>
  <c r="L17" i="5" s="1"/>
  <c r="M17" i="5" a="1"/>
  <c r="M17" i="5" s="1"/>
  <c r="N17" i="5" a="1"/>
  <c r="N17" i="5" s="1"/>
  <c r="O17" i="5" a="1"/>
  <c r="O17" i="5" s="1"/>
  <c r="P17" i="5" a="1"/>
  <c r="P17" i="5" s="1"/>
  <c r="Q17" i="5" a="1"/>
  <c r="Q17" i="5" s="1"/>
  <c r="R17" i="5" a="1"/>
  <c r="R17" i="5" s="1"/>
  <c r="C18" i="10" l="1"/>
  <c r="C19" i="3"/>
  <c r="AA85" i="74"/>
  <c r="AB84" i="74"/>
  <c r="O12" i="16"/>
  <c r="J12" i="14"/>
  <c r="V10" i="5"/>
  <c r="U17" i="5" a="1"/>
  <c r="U17" i="5" s="1"/>
  <c r="U27" i="5" a="1"/>
  <c r="U27" i="5" s="1"/>
  <c r="U14" i="5" a="1"/>
  <c r="U14" i="5" s="1"/>
  <c r="C20" i="3" l="1"/>
  <c r="C19" i="10"/>
  <c r="AB85" i="74"/>
  <c r="AC84" i="74"/>
  <c r="K12" i="14"/>
  <c r="P12" i="16"/>
  <c r="V17" i="5" a="1"/>
  <c r="V17" i="5" s="1"/>
  <c r="V27" i="5" a="1"/>
  <c r="V27" i="5" s="1"/>
  <c r="W10" i="5"/>
  <c r="V14" i="5" a="1"/>
  <c r="V14" i="5" s="1"/>
  <c r="C20" i="10" l="1"/>
  <c r="C21" i="3"/>
  <c r="C22" i="3" s="1"/>
  <c r="AC85" i="74"/>
  <c r="AD84" i="74"/>
  <c r="W17" i="5" a="1"/>
  <c r="W17" i="5" s="1"/>
  <c r="X10" i="5"/>
  <c r="W18" i="5" s="1" a="1"/>
  <c r="W18" i="5" s="1"/>
  <c r="W27" i="5" a="1"/>
  <c r="W27" i="5" s="1"/>
  <c r="W14" i="5" a="1"/>
  <c r="W14" i="5" s="1"/>
  <c r="L12" i="14"/>
  <c r="Q12" i="16"/>
  <c r="C23" i="3" l="1"/>
  <c r="C24" i="3" s="1"/>
  <c r="C22" i="10"/>
  <c r="C21" i="10"/>
  <c r="AE84" i="74"/>
  <c r="AD85" i="74"/>
  <c r="L14" i="14"/>
  <c r="R14" i="16"/>
  <c r="X18" i="5" a="1"/>
  <c r="X18" i="5" s="1"/>
  <c r="J18" i="5" a="1"/>
  <c r="J18" i="5" s="1"/>
  <c r="X17" i="5" a="1"/>
  <c r="X17" i="5" s="1"/>
  <c r="K18" i="5" a="1"/>
  <c r="K18" i="5" s="1"/>
  <c r="X14" i="5" a="1"/>
  <c r="X14" i="5" s="1"/>
  <c r="X27" i="5" a="1"/>
  <c r="X27" i="5" s="1"/>
  <c r="Y10" i="5"/>
  <c r="L18" i="5" a="1"/>
  <c r="L18" i="5" s="1"/>
  <c r="M18" i="5" a="1"/>
  <c r="M18" i="5" s="1"/>
  <c r="N18" i="5" a="1"/>
  <c r="N18" i="5" s="1"/>
  <c r="O18" i="5" a="1"/>
  <c r="O18" i="5" s="1"/>
  <c r="P18" i="5" a="1"/>
  <c r="P18" i="5" s="1"/>
  <c r="Q18" i="5" a="1"/>
  <c r="Q18" i="5" s="1"/>
  <c r="R18" i="5" a="1"/>
  <c r="R18" i="5" s="1"/>
  <c r="S18" i="5" a="1"/>
  <c r="S18" i="5" s="1"/>
  <c r="T18" i="5" a="1"/>
  <c r="T18" i="5" s="1"/>
  <c r="O14" i="16" s="1"/>
  <c r="U18" i="5" a="1"/>
  <c r="U18" i="5" s="1"/>
  <c r="V18" i="5" a="1"/>
  <c r="V18" i="5" s="1"/>
  <c r="M12" i="14"/>
  <c r="R12" i="16"/>
  <c r="C24" i="10" l="1"/>
  <c r="C25" i="3"/>
  <c r="C23" i="10"/>
  <c r="AF84" i="74"/>
  <c r="AE85" i="74"/>
  <c r="K14" i="14"/>
  <c r="Q14" i="16"/>
  <c r="P14" i="16"/>
  <c r="J14" i="14"/>
  <c r="S12" i="16"/>
  <c r="N12" i="14"/>
  <c r="S14" i="16"/>
  <c r="M14" i="14"/>
  <c r="M23" i="5" a="1"/>
  <c r="M23" i="5" s="1"/>
  <c r="O23" i="5" a="1"/>
  <c r="O23" i="5" s="1"/>
  <c r="Y23" i="5" a="1"/>
  <c r="Y23" i="5" s="1"/>
  <c r="W23" i="5" a="1"/>
  <c r="W23" i="5" s="1"/>
  <c r="V23" i="5" a="1"/>
  <c r="V23" i="5" s="1"/>
  <c r="N23" i="5" a="1"/>
  <c r="N23" i="5" s="1"/>
  <c r="T23" i="5" a="1"/>
  <c r="T23" i="5" s="1"/>
  <c r="K23" i="5" a="1"/>
  <c r="K23" i="5" s="1"/>
  <c r="Z10" i="5"/>
  <c r="Z23" i="5" s="1" a="1"/>
  <c r="Z23" i="5" s="1"/>
  <c r="Y17" i="5" a="1"/>
  <c r="Y17" i="5" s="1"/>
  <c r="U23" i="5" a="1"/>
  <c r="U23" i="5" s="1"/>
  <c r="L23" i="5" a="1"/>
  <c r="L23" i="5" s="1"/>
  <c r="J23" i="5" a="1"/>
  <c r="J23" i="5" s="1"/>
  <c r="Y18" i="5" a="1"/>
  <c r="Y18" i="5" s="1"/>
  <c r="X23" i="5" a="1"/>
  <c r="X23" i="5" s="1"/>
  <c r="R23" i="5" a="1"/>
  <c r="R23" i="5" s="1"/>
  <c r="Y14" i="5" a="1"/>
  <c r="Y14" i="5" s="1"/>
  <c r="P23" i="5" a="1"/>
  <c r="P23" i="5" s="1"/>
  <c r="Q23" i="5" a="1"/>
  <c r="Q23" i="5" s="1"/>
  <c r="S23" i="5" a="1"/>
  <c r="S23" i="5" s="1"/>
  <c r="Y27" i="5" a="1"/>
  <c r="Y27" i="5" s="1"/>
  <c r="C26" i="3" l="1"/>
  <c r="C25" i="10"/>
  <c r="AG84" i="74"/>
  <c r="AF85" i="74"/>
  <c r="Y24" i="5" a="1"/>
  <c r="Y24" i="5" s="1"/>
  <c r="O12" i="13"/>
  <c r="O30" i="13"/>
  <c r="O14" i="13"/>
  <c r="O33" i="13"/>
  <c r="O34" i="13"/>
  <c r="T14" i="16"/>
  <c r="O32" i="13"/>
  <c r="O12" i="14"/>
  <c r="O36" i="13"/>
  <c r="T12" i="16"/>
  <c r="N14" i="14"/>
  <c r="O14" i="14"/>
  <c r="O31" i="13"/>
  <c r="Z18" i="5" a="1"/>
  <c r="Z18" i="5" s="1"/>
  <c r="AA10" i="5"/>
  <c r="L24" i="5" a="1"/>
  <c r="L24" i="5" s="1"/>
  <c r="Z14" i="5" a="1"/>
  <c r="Z14" i="5" s="1"/>
  <c r="K24" i="5" a="1"/>
  <c r="K24" i="5" s="1"/>
  <c r="Z27" i="5" a="1"/>
  <c r="Z27" i="5" s="1"/>
  <c r="J24" i="5" a="1"/>
  <c r="J24" i="5" s="1"/>
  <c r="Z24" i="5" a="1"/>
  <c r="Z24" i="5" s="1"/>
  <c r="Z17" i="5" a="1"/>
  <c r="Z17" i="5" s="1"/>
  <c r="M24" i="5" a="1"/>
  <c r="M24" i="5" s="1"/>
  <c r="N24" i="5" a="1"/>
  <c r="N24" i="5" s="1"/>
  <c r="O24" i="5" a="1"/>
  <c r="O24" i="5" s="1"/>
  <c r="P24" i="5" a="1"/>
  <c r="P24" i="5" s="1"/>
  <c r="Q24" i="5" a="1"/>
  <c r="Q24" i="5" s="1"/>
  <c r="R24" i="5" a="1"/>
  <c r="R24" i="5" s="1"/>
  <c r="S24" i="5" a="1"/>
  <c r="S24" i="5" s="1"/>
  <c r="T24" i="5" a="1"/>
  <c r="T24" i="5" s="1"/>
  <c r="U24" i="5" a="1"/>
  <c r="U24" i="5" s="1"/>
  <c r="V24" i="5" a="1"/>
  <c r="V24" i="5" s="1"/>
  <c r="W24" i="5" a="1"/>
  <c r="W24" i="5" s="1"/>
  <c r="X24" i="5" a="1"/>
  <c r="X24" i="5" s="1"/>
  <c r="C27" i="3" l="1"/>
  <c r="C26" i="10"/>
  <c r="U66" i="41"/>
  <c r="AH84" i="74"/>
  <c r="AG85" i="74"/>
  <c r="AA24" i="5" a="1"/>
  <c r="AA24" i="5" s="1"/>
  <c r="AA27" i="5" a="1"/>
  <c r="AA27" i="5" s="1"/>
  <c r="AA18" i="5" a="1"/>
  <c r="AA18" i="5" s="1"/>
  <c r="AB10" i="5"/>
  <c r="AA17" i="5" a="1"/>
  <c r="AA17" i="5" s="1"/>
  <c r="AA14" i="5" a="1"/>
  <c r="AA14" i="5" s="1"/>
  <c r="AA23" i="5" a="1"/>
  <c r="AA23" i="5" s="1"/>
  <c r="P14" i="13"/>
  <c r="P34" i="13"/>
  <c r="U14" i="16"/>
  <c r="P31" i="13"/>
  <c r="P36" i="13"/>
  <c r="P30" i="13"/>
  <c r="P14" i="14"/>
  <c r="P12" i="14"/>
  <c r="P32" i="13"/>
  <c r="P33" i="13"/>
  <c r="P12" i="13"/>
  <c r="U12" i="16"/>
  <c r="C28" i="3" l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27" i="10"/>
  <c r="V66" i="41"/>
  <c r="AH85" i="74"/>
  <c r="AI84" i="74"/>
  <c r="Q36" i="13"/>
  <c r="Q14" i="13"/>
  <c r="Q31" i="13"/>
  <c r="Q34" i="13"/>
  <c r="Q33" i="13"/>
  <c r="Q14" i="14"/>
  <c r="Q30" i="13"/>
  <c r="V12" i="16"/>
  <c r="V14" i="16"/>
  <c r="Q32" i="13"/>
  <c r="Q12" i="14"/>
  <c r="Q12" i="13"/>
  <c r="AC10" i="5"/>
  <c r="AB28" i="5" s="1" a="1"/>
  <c r="AB28" i="5" s="1"/>
  <c r="AB24" i="5" a="1"/>
  <c r="AB24" i="5" s="1"/>
  <c r="AB27" i="5" a="1"/>
  <c r="AB27" i="5" s="1"/>
  <c r="AB14" i="5" a="1"/>
  <c r="AB14" i="5" s="1"/>
  <c r="AB17" i="5" a="1"/>
  <c r="AB17" i="5" s="1"/>
  <c r="AB18" i="5" a="1"/>
  <c r="AB18" i="5" s="1"/>
  <c r="AB23" i="5" a="1"/>
  <c r="AB23" i="5" s="1"/>
  <c r="W66" i="41" l="1"/>
  <c r="J28" i="5" a="1"/>
  <c r="J28" i="5" s="1"/>
  <c r="P28" i="5" a="1"/>
  <c r="P28" i="5" s="1"/>
  <c r="AA28" i="5" a="1"/>
  <c r="AA28" i="5" s="1"/>
  <c r="K28" i="5" a="1"/>
  <c r="K28" i="5" s="1"/>
  <c r="X28" i="5" a="1"/>
  <c r="X28" i="5" s="1"/>
  <c r="Q28" i="5" a="1"/>
  <c r="Q28" i="5" s="1"/>
  <c r="O28" i="5" a="1"/>
  <c r="O28" i="5" s="1"/>
  <c r="T28" i="5" a="1"/>
  <c r="T28" i="5" s="1"/>
  <c r="W28" i="5" a="1"/>
  <c r="W28" i="5" s="1"/>
  <c r="Z28" i="5" a="1"/>
  <c r="Z28" i="5" s="1"/>
  <c r="N28" i="5" a="1"/>
  <c r="N28" i="5" s="1"/>
  <c r="U28" i="5" a="1"/>
  <c r="U28" i="5" s="1"/>
  <c r="R28" i="5" a="1"/>
  <c r="R28" i="5" s="1"/>
  <c r="L28" i="5" a="1"/>
  <c r="L28" i="5" s="1"/>
  <c r="Y28" i="5" a="1"/>
  <c r="Y28" i="5" s="1"/>
  <c r="M28" i="5" a="1"/>
  <c r="M28" i="5" s="1"/>
  <c r="V28" i="5" a="1"/>
  <c r="V28" i="5" s="1"/>
  <c r="S28" i="5" a="1"/>
  <c r="S28" i="5" s="1"/>
  <c r="C28" i="10"/>
  <c r="AI85" i="74"/>
  <c r="AJ84" i="74"/>
  <c r="AB19" i="5" a="1"/>
  <c r="AB19" i="5" s="1"/>
  <c r="K98" i="21"/>
  <c r="AC15" i="5" a="1"/>
  <c r="AC15" i="5" s="1"/>
  <c r="Q21" i="5" a="1"/>
  <c r="Q21" i="5" s="1"/>
  <c r="L95" i="21"/>
  <c r="AH15" i="5" a="1"/>
  <c r="AH15" i="5" s="1"/>
  <c r="T26" i="5" a="1"/>
  <c r="T26" i="5" s="1"/>
  <c r="Q15" i="5" a="1"/>
  <c r="Q15" i="5" s="1"/>
  <c r="K88" i="21"/>
  <c r="AG25" i="5" a="1"/>
  <c r="AG25" i="5" s="1"/>
  <c r="W21" i="5" a="1"/>
  <c r="W21" i="5" s="1"/>
  <c r="S65" i="41" s="1"/>
  <c r="N88" i="21"/>
  <c r="X16" i="5" a="1"/>
  <c r="X16" i="5" s="1"/>
  <c r="J21" i="5" a="1"/>
  <c r="J21" i="5" s="1"/>
  <c r="Y22" i="5" a="1"/>
  <c r="Y22" i="5" s="1"/>
  <c r="J97" i="21"/>
  <c r="J26" i="5" a="1"/>
  <c r="J26" i="5" s="1"/>
  <c r="AC19" i="5" a="1"/>
  <c r="AC19" i="5" s="1"/>
  <c r="L89" i="21"/>
  <c r="Z15" i="5" a="1"/>
  <c r="Z15" i="5" s="1"/>
  <c r="AD22" i="5" a="1"/>
  <c r="AD22" i="5" s="1"/>
  <c r="L93" i="21"/>
  <c r="P15" i="5" a="1"/>
  <c r="P15" i="5" s="1"/>
  <c r="N16" i="5" a="1"/>
  <c r="N16" i="5" s="1"/>
  <c r="N20" i="5" a="1"/>
  <c r="N20" i="5" s="1"/>
  <c r="AC26" i="5" a="1"/>
  <c r="AC26" i="5" s="1"/>
  <c r="X15" i="5" a="1"/>
  <c r="X15" i="5" s="1"/>
  <c r="L20" i="5" a="1"/>
  <c r="L20" i="5" s="1"/>
  <c r="U20" i="5" a="1"/>
  <c r="U20" i="5" s="1"/>
  <c r="Z21" i="5" a="1"/>
  <c r="Z21" i="5" s="1"/>
  <c r="W15" i="5" a="1"/>
  <c r="W15" i="5" s="1"/>
  <c r="L91" i="21"/>
  <c r="AB26" i="5" a="1"/>
  <c r="AB26" i="5" s="1"/>
  <c r="Z16" i="5" a="1"/>
  <c r="Z16" i="5" s="1"/>
  <c r="X21" i="5" a="1"/>
  <c r="X21" i="5" s="1"/>
  <c r="T65" i="41" s="1"/>
  <c r="AG22" i="5" a="1"/>
  <c r="AG22" i="5" s="1"/>
  <c r="M93" i="21"/>
  <c r="Q16" i="5" a="1"/>
  <c r="Q16" i="5" s="1"/>
  <c r="N25" i="5" a="1"/>
  <c r="N25" i="5" s="1"/>
  <c r="J95" i="21"/>
  <c r="U25" i="5" a="1"/>
  <c r="U25" i="5" s="1"/>
  <c r="K20" i="5" a="1"/>
  <c r="K20" i="5" s="1"/>
  <c r="Y25" i="5" a="1"/>
  <c r="Y25" i="5" s="1"/>
  <c r="L90" i="21"/>
  <c r="L26" i="5" a="1"/>
  <c r="L26" i="5" s="1"/>
  <c r="AD16" i="5" a="1"/>
  <c r="AD16" i="5" s="1"/>
  <c r="M92" i="21"/>
  <c r="K16" i="5" a="1"/>
  <c r="K16" i="5" s="1"/>
  <c r="P16" i="5" a="1"/>
  <c r="P16" i="5" s="1"/>
  <c r="R20" i="5" a="1"/>
  <c r="R20" i="5" s="1"/>
  <c r="M88" i="21"/>
  <c r="W25" i="5" a="1"/>
  <c r="W25" i="5" s="1"/>
  <c r="R21" i="5" a="1"/>
  <c r="R21" i="5" s="1"/>
  <c r="AA22" i="5" a="1"/>
  <c r="AA22" i="5" s="1"/>
  <c r="AC27" i="5" a="1"/>
  <c r="AC27" i="5" s="1"/>
  <c r="O21" i="5" a="1"/>
  <c r="O21" i="5" s="1"/>
  <c r="AA20" i="5" a="1"/>
  <c r="AA20" i="5" s="1"/>
  <c r="J94" i="21"/>
  <c r="Y15" i="5" a="1"/>
  <c r="Y15" i="5" s="1"/>
  <c r="J19" i="5" a="1"/>
  <c r="J19" i="5" s="1"/>
  <c r="M19" i="5" a="1"/>
  <c r="M19" i="5" s="1"/>
  <c r="AB25" i="5" a="1"/>
  <c r="AB25" i="5" s="1"/>
  <c r="J98" i="21"/>
  <c r="Y20" i="5" a="1"/>
  <c r="Y20" i="5" s="1"/>
  <c r="O19" i="5" a="1"/>
  <c r="O19" i="5" s="1"/>
  <c r="M96" i="21"/>
  <c r="AA15" i="5" a="1"/>
  <c r="AA15" i="5" s="1"/>
  <c r="AC25" i="5" a="1"/>
  <c r="AC25" i="5" s="1"/>
  <c r="L96" i="21"/>
  <c r="P26" i="5" a="1"/>
  <c r="P26" i="5" s="1"/>
  <c r="U16" i="5" a="1"/>
  <c r="U16" i="5" s="1"/>
  <c r="Y16" i="5" a="1"/>
  <c r="Y16" i="5" s="1"/>
  <c r="N15" i="5" a="1"/>
  <c r="N15" i="5" s="1"/>
  <c r="J92" i="21"/>
  <c r="P22" i="5" a="1"/>
  <c r="P22" i="5" s="1"/>
  <c r="K19" i="5" a="1"/>
  <c r="K19" i="5" s="1"/>
  <c r="N97" i="21"/>
  <c r="AA16" i="5" a="1"/>
  <c r="AA16" i="5" s="1"/>
  <c r="AD26" i="5" a="1"/>
  <c r="AD26" i="5" s="1"/>
  <c r="M22" i="5" a="1"/>
  <c r="M22" i="5" s="1"/>
  <c r="M90" i="21"/>
  <c r="L16" i="5" a="1"/>
  <c r="L16" i="5" s="1"/>
  <c r="L21" i="5" a="1"/>
  <c r="L21" i="5" s="1"/>
  <c r="N95" i="21"/>
  <c r="T16" i="5" a="1"/>
  <c r="T16" i="5" s="1"/>
  <c r="O26" i="5" a="1"/>
  <c r="O26" i="5" s="1"/>
  <c r="V26" i="5" a="1"/>
  <c r="V26" i="5" s="1"/>
  <c r="M89" i="21"/>
  <c r="J15" i="5" a="1"/>
  <c r="J15" i="5" s="1"/>
  <c r="P20" i="5" a="1"/>
  <c r="P20" i="5" s="1"/>
  <c r="S21" i="5" a="1"/>
  <c r="S21" i="5" s="1"/>
  <c r="AF26" i="5" a="1"/>
  <c r="AF26" i="5" s="1"/>
  <c r="T21" i="5" a="1"/>
  <c r="T21" i="5" s="1"/>
  <c r="P65" i="41" s="1"/>
  <c r="AC24" i="5" a="1"/>
  <c r="AC24" i="5" s="1"/>
  <c r="X26" i="5" a="1"/>
  <c r="X26" i="5" s="1"/>
  <c r="L15" i="5" a="1"/>
  <c r="L15" i="5" s="1"/>
  <c r="AB20" i="5" a="1"/>
  <c r="AB20" i="5" s="1"/>
  <c r="AC16" i="5" a="1"/>
  <c r="AC16" i="5" s="1"/>
  <c r="R15" i="5" a="1"/>
  <c r="R15" i="5" s="1"/>
  <c r="Q26" i="5" a="1"/>
  <c r="Q26" i="5" s="1"/>
  <c r="AE16" i="5" a="1"/>
  <c r="AE16" i="5" s="1"/>
  <c r="L97" i="21"/>
  <c r="AC22" i="5" a="1"/>
  <c r="AC22" i="5" s="1"/>
  <c r="AA25" i="5" a="1"/>
  <c r="AA25" i="5" s="1"/>
  <c r="M98" i="21"/>
  <c r="V21" i="5" a="1"/>
  <c r="V21" i="5" s="1"/>
  <c r="R65" i="41" s="1"/>
  <c r="S16" i="5" a="1"/>
  <c r="S16" i="5" s="1"/>
  <c r="T15" i="5" a="1"/>
  <c r="T15" i="5" s="1"/>
  <c r="T20" i="5" a="1"/>
  <c r="T20" i="5" s="1"/>
  <c r="K95" i="21"/>
  <c r="AH16" i="5" a="1"/>
  <c r="AH16" i="5" s="1"/>
  <c r="AF22" i="5" a="1"/>
  <c r="AF22" i="5" s="1"/>
  <c r="K94" i="21"/>
  <c r="M21" i="5" a="1"/>
  <c r="M21" i="5" s="1"/>
  <c r="O15" i="5" a="1"/>
  <c r="O15" i="5" s="1"/>
  <c r="V15" i="5" a="1"/>
  <c r="V15" i="5" s="1"/>
  <c r="N92" i="21"/>
  <c r="P25" i="5" a="1"/>
  <c r="P25" i="5" s="1"/>
  <c r="L92" i="21"/>
  <c r="J25" i="5" a="1"/>
  <c r="J25" i="5" s="1"/>
  <c r="O20" i="5" a="1"/>
  <c r="O20" i="5" s="1"/>
  <c r="M91" i="21"/>
  <c r="T25" i="5" a="1"/>
  <c r="T25" i="5" s="1"/>
  <c r="AB22" i="5" a="1"/>
  <c r="AB22" i="5" s="1"/>
  <c r="AF16" i="5" a="1"/>
  <c r="AF16" i="5" s="1"/>
  <c r="R22" i="5" a="1"/>
  <c r="R22" i="5" s="1"/>
  <c r="X20" i="5" a="1"/>
  <c r="X20" i="5" s="1"/>
  <c r="N89" i="21"/>
  <c r="J90" i="21"/>
  <c r="Z25" i="5" a="1"/>
  <c r="Z25" i="5" s="1"/>
  <c r="L88" i="21"/>
  <c r="K89" i="21"/>
  <c r="W26" i="5" a="1"/>
  <c r="W26" i="5" s="1"/>
  <c r="N91" i="21"/>
  <c r="U22" i="5" a="1"/>
  <c r="U22" i="5" s="1"/>
  <c r="AD25" i="5" a="1"/>
  <c r="AD25" i="5" s="1"/>
  <c r="J91" i="21"/>
  <c r="O22" i="5" a="1"/>
  <c r="O22" i="5" s="1"/>
  <c r="U15" i="5" a="1"/>
  <c r="U15" i="5" s="1"/>
  <c r="O25" i="5" a="1"/>
  <c r="O25" i="5" s="1"/>
  <c r="W20" i="5" a="1"/>
  <c r="W20" i="5" s="1"/>
  <c r="AC14" i="5" a="1"/>
  <c r="AC14" i="5" s="1"/>
  <c r="K26" i="5" a="1"/>
  <c r="K26" i="5" s="1"/>
  <c r="AC18" i="5" a="1"/>
  <c r="AC18" i="5" s="1"/>
  <c r="AB16" i="5" a="1"/>
  <c r="AB16" i="5" s="1"/>
  <c r="K22" i="5" a="1"/>
  <c r="K22" i="5" s="1"/>
  <c r="AG15" i="5" a="1"/>
  <c r="AG15" i="5" s="1"/>
  <c r="N93" i="21"/>
  <c r="AC21" i="5" a="1"/>
  <c r="AC21" i="5" s="1"/>
  <c r="Z22" i="5" a="1"/>
  <c r="Z22" i="5" s="1"/>
  <c r="L98" i="21"/>
  <c r="K21" i="5" a="1"/>
  <c r="K21" i="5" s="1"/>
  <c r="R16" i="5" a="1"/>
  <c r="R16" i="5" s="1"/>
  <c r="L22" i="5" a="1"/>
  <c r="L22" i="5" s="1"/>
  <c r="N96" i="21"/>
  <c r="N22" i="5" a="1"/>
  <c r="N22" i="5" s="1"/>
  <c r="Q25" i="5" a="1"/>
  <c r="Q25" i="5" s="1"/>
  <c r="AB21" i="5" a="1"/>
  <c r="AB21" i="5" s="1"/>
  <c r="V22" i="5" a="1"/>
  <c r="V22" i="5" s="1"/>
  <c r="N94" i="21"/>
  <c r="S25" i="5" a="1"/>
  <c r="S25" i="5" s="1"/>
  <c r="O16" i="5" a="1"/>
  <c r="O16" i="5" s="1"/>
  <c r="K90" i="21"/>
  <c r="T22" i="5" a="1"/>
  <c r="T22" i="5" s="1"/>
  <c r="K15" i="5" a="1"/>
  <c r="K15" i="5" s="1"/>
  <c r="K97" i="21"/>
  <c r="M94" i="21"/>
  <c r="N19" i="5" a="1"/>
  <c r="N19" i="5" s="1"/>
  <c r="AF25" i="5" a="1"/>
  <c r="AF25" i="5" s="1"/>
  <c r="K93" i="21"/>
  <c r="AA26" i="5" a="1"/>
  <c r="AA26" i="5" s="1"/>
  <c r="J22" i="5" a="1"/>
  <c r="J22" i="5" s="1"/>
  <c r="S22" i="5" a="1"/>
  <c r="S22" i="5" s="1"/>
  <c r="Z20" i="5" a="1"/>
  <c r="Z20" i="5" s="1"/>
  <c r="N98" i="21"/>
  <c r="Q22" i="5" a="1"/>
  <c r="Q22" i="5" s="1"/>
  <c r="AC20" i="5" a="1"/>
  <c r="AC20" i="5" s="1"/>
  <c r="Y21" i="5" a="1"/>
  <c r="Y21" i="5" s="1"/>
  <c r="P21" i="5" a="1"/>
  <c r="P21" i="5" s="1"/>
  <c r="J20" i="5" a="1"/>
  <c r="J20" i="5" s="1"/>
  <c r="L19" i="5" a="1"/>
  <c r="L19" i="5" s="1"/>
  <c r="M25" i="5" a="1"/>
  <c r="M25" i="5" s="1"/>
  <c r="AD15" i="5" a="1"/>
  <c r="AD15" i="5" s="1"/>
  <c r="S26" i="5" a="1"/>
  <c r="S26" i="5" s="1"/>
  <c r="J89" i="21"/>
  <c r="V25" i="5" a="1"/>
  <c r="V25" i="5" s="1"/>
  <c r="W16" i="5" a="1"/>
  <c r="W16" i="5" s="1"/>
  <c r="X25" i="5" a="1"/>
  <c r="X25" i="5" s="1"/>
  <c r="K92" i="21"/>
  <c r="W22" i="5" a="1"/>
  <c r="W22" i="5" s="1"/>
  <c r="U21" i="5" a="1"/>
  <c r="U21" i="5" s="1"/>
  <c r="Q65" i="41" s="1"/>
  <c r="J16" i="5" a="1"/>
  <c r="J16" i="5" s="1"/>
  <c r="AG16" i="5" a="1"/>
  <c r="AG16" i="5" s="1"/>
  <c r="Y26" i="5" a="1"/>
  <c r="Y26" i="5" s="1"/>
  <c r="J96" i="21"/>
  <c r="K96" i="21"/>
  <c r="AH26" i="5" a="1"/>
  <c r="AH26" i="5" s="1"/>
  <c r="Q20" i="5" a="1"/>
  <c r="Q20" i="5" s="1"/>
  <c r="M26" i="5" a="1"/>
  <c r="M26" i="5" s="1"/>
  <c r="V16" i="5" a="1"/>
  <c r="V16" i="5" s="1"/>
  <c r="J88" i="21"/>
  <c r="AE15" i="5" a="1"/>
  <c r="AE15" i="5" s="1"/>
  <c r="N21" i="5" a="1"/>
  <c r="N21" i="5" s="1"/>
  <c r="N90" i="21"/>
  <c r="R26" i="5" a="1"/>
  <c r="R26" i="5" s="1"/>
  <c r="AA21" i="5" a="1"/>
  <c r="AA21" i="5" s="1"/>
  <c r="AE25" i="5" a="1"/>
  <c r="AE25" i="5" s="1"/>
  <c r="M97" i="21"/>
  <c r="M16" i="5" a="1"/>
  <c r="M16" i="5" s="1"/>
  <c r="AB15" i="5" a="1"/>
  <c r="AB15" i="5" s="1"/>
  <c r="AC17" i="5" a="1"/>
  <c r="AC17" i="5" s="1"/>
  <c r="M20" i="5" a="1"/>
  <c r="M20" i="5" s="1"/>
  <c r="X22" i="5" a="1"/>
  <c r="X22" i="5" s="1"/>
  <c r="S15" i="5" a="1"/>
  <c r="S15" i="5" s="1"/>
  <c r="AE22" i="5" a="1"/>
  <c r="AE22" i="5" s="1"/>
  <c r="L25" i="5" a="1"/>
  <c r="L25" i="5" s="1"/>
  <c r="Z26" i="5" a="1"/>
  <c r="Z26" i="5" s="1"/>
  <c r="V20" i="5" a="1"/>
  <c r="V20" i="5" s="1"/>
  <c r="K91" i="21"/>
  <c r="AH22" i="5" a="1"/>
  <c r="AH22" i="5" s="1"/>
  <c r="AG26" i="5" a="1"/>
  <c r="AG26" i="5" s="1"/>
  <c r="AE26" i="5" a="1"/>
  <c r="AE26" i="5" s="1"/>
  <c r="M95" i="21"/>
  <c r="S20" i="5" a="1"/>
  <c r="S20" i="5" s="1"/>
  <c r="J93" i="21"/>
  <c r="L94" i="21"/>
  <c r="N26" i="5" a="1"/>
  <c r="N26" i="5" s="1"/>
  <c r="AF15" i="5" a="1"/>
  <c r="AF15" i="5" s="1"/>
  <c r="R25" i="5" a="1"/>
  <c r="R25" i="5" s="1"/>
  <c r="K25" i="5" a="1"/>
  <c r="K25" i="5" s="1"/>
  <c r="M15" i="5" a="1"/>
  <c r="M15" i="5" s="1"/>
  <c r="AH25" i="5" a="1"/>
  <c r="AH25" i="5" s="1"/>
  <c r="U26" i="5" a="1"/>
  <c r="U26" i="5" s="1"/>
  <c r="P19" i="5" a="1"/>
  <c r="P19" i="5" s="1"/>
  <c r="Q19" i="5" a="1"/>
  <c r="Q19" i="5" s="1"/>
  <c r="R19" i="5" a="1"/>
  <c r="R19" i="5" s="1"/>
  <c r="S19" i="5" a="1"/>
  <c r="S19" i="5" s="1"/>
  <c r="T19" i="5" a="1"/>
  <c r="T19" i="5" s="1"/>
  <c r="U19" i="5" a="1"/>
  <c r="U19" i="5" s="1"/>
  <c r="V19" i="5" a="1"/>
  <c r="V19" i="5" s="1"/>
  <c r="W19" i="5" a="1"/>
  <c r="W19" i="5" s="1"/>
  <c r="X19" i="5" a="1"/>
  <c r="X19" i="5" s="1"/>
  <c r="Y19" i="5" a="1"/>
  <c r="Y19" i="5" s="1"/>
  <c r="AC23" i="5" a="1"/>
  <c r="AC23" i="5" s="1"/>
  <c r="Z19" i="5" a="1"/>
  <c r="Z19" i="5" s="1"/>
  <c r="AC28" i="5" a="1"/>
  <c r="AC28" i="5" s="1"/>
  <c r="AA19" i="5" a="1"/>
  <c r="AA19" i="5" s="1"/>
  <c r="R12" i="13"/>
  <c r="R36" i="13"/>
  <c r="R14" i="13"/>
  <c r="R14" i="14"/>
  <c r="R32" i="13"/>
  <c r="R33" i="13"/>
  <c r="W14" i="16"/>
  <c r="R34" i="13"/>
  <c r="W12" i="16"/>
  <c r="R31" i="13"/>
  <c r="R12" i="14"/>
  <c r="R30" i="13"/>
  <c r="AE12" i="12" l="1"/>
  <c r="AE19" i="12"/>
  <c r="AE18" i="12"/>
  <c r="AE16" i="12"/>
  <c r="AE15" i="12"/>
  <c r="AE13" i="12"/>
  <c r="AE14" i="12"/>
  <c r="AE17" i="12"/>
  <c r="X66" i="41"/>
  <c r="T300" i="41"/>
  <c r="C29" i="10"/>
  <c r="R91" i="18"/>
  <c r="R92" i="18"/>
  <c r="AJ85" i="74"/>
  <c r="AK84" i="74"/>
  <c r="M79" i="21"/>
  <c r="N76" i="21"/>
  <c r="N71" i="21"/>
  <c r="M71" i="21"/>
  <c r="K74" i="21"/>
  <c r="J77" i="21"/>
  <c r="J79" i="21"/>
  <c r="N72" i="21"/>
  <c r="K78" i="21"/>
  <c r="N64" i="16"/>
  <c r="N56" i="16"/>
  <c r="N61" i="16"/>
  <c r="N59" i="16"/>
  <c r="N57" i="16"/>
  <c r="N62" i="16"/>
  <c r="N21" i="16"/>
  <c r="N58" i="16"/>
  <c r="N63" i="16"/>
  <c r="N60" i="16"/>
  <c r="O45" i="13"/>
  <c r="T22" i="16"/>
  <c r="O97" i="21"/>
  <c r="O79" i="21" s="1"/>
  <c r="O48" i="13"/>
  <c r="O43" i="21"/>
  <c r="T77" i="16"/>
  <c r="O93" i="21"/>
  <c r="O75" i="21" s="1"/>
  <c r="O22" i="14"/>
  <c r="T74" i="16"/>
  <c r="O88" i="21"/>
  <c r="T76" i="16"/>
  <c r="O41" i="21"/>
  <c r="T79" i="16"/>
  <c r="O44" i="13"/>
  <c r="O44" i="21"/>
  <c r="O40" i="21"/>
  <c r="O89" i="21"/>
  <c r="O71" i="21" s="1"/>
  <c r="O20" i="14"/>
  <c r="O43" i="13"/>
  <c r="O20" i="13"/>
  <c r="O90" i="21"/>
  <c r="O72" i="21" s="1"/>
  <c r="O19" i="21"/>
  <c r="O46" i="13"/>
  <c r="T72" i="16"/>
  <c r="O61" i="21"/>
  <c r="O94" i="21"/>
  <c r="O76" i="21" s="1"/>
  <c r="T78" i="16"/>
  <c r="O98" i="21"/>
  <c r="O80" i="21" s="1"/>
  <c r="O95" i="21"/>
  <c r="O77" i="21" s="1"/>
  <c r="O22" i="13"/>
  <c r="U68" i="41" s="1"/>
  <c r="O96" i="21"/>
  <c r="O78" i="21" s="1"/>
  <c r="T73" i="16"/>
  <c r="O42" i="21"/>
  <c r="O91" i="21"/>
  <c r="O73" i="21" s="1"/>
  <c r="T80" i="16"/>
  <c r="O42" i="13"/>
  <c r="T75" i="16"/>
  <c r="O92" i="21"/>
  <c r="O74" i="21" s="1"/>
  <c r="L73" i="21"/>
  <c r="M77" i="21"/>
  <c r="N80" i="21"/>
  <c r="M76" i="21"/>
  <c r="L80" i="21"/>
  <c r="N20" i="21"/>
  <c r="N40" i="14"/>
  <c r="N44" i="14"/>
  <c r="N44" i="13"/>
  <c r="N133" i="21"/>
  <c r="S63" i="16"/>
  <c r="N132" i="21"/>
  <c r="N43" i="13"/>
  <c r="N126" i="21"/>
  <c r="N45" i="13"/>
  <c r="S64" i="16"/>
  <c r="N127" i="21"/>
  <c r="N42" i="14"/>
  <c r="N21" i="13"/>
  <c r="N60" i="13" s="1"/>
  <c r="N42" i="13"/>
  <c r="S60" i="16"/>
  <c r="N134" i="21"/>
  <c r="S61" i="16"/>
  <c r="N128" i="21"/>
  <c r="N47" i="14"/>
  <c r="S59" i="16"/>
  <c r="S57" i="16"/>
  <c r="N46" i="14"/>
  <c r="N131" i="21"/>
  <c r="S58" i="16"/>
  <c r="N41" i="14"/>
  <c r="N129" i="21"/>
  <c r="S56" i="16"/>
  <c r="N46" i="13"/>
  <c r="N22" i="13"/>
  <c r="T68" i="41" s="1"/>
  <c r="N48" i="13"/>
  <c r="S21" i="16"/>
  <c r="S29" i="16" s="1"/>
  <c r="S62" i="16"/>
  <c r="N125" i="21"/>
  <c r="N124" i="21"/>
  <c r="N45" i="14"/>
  <c r="N92" i="18"/>
  <c r="N130" i="21"/>
  <c r="N91" i="18"/>
  <c r="N20" i="13"/>
  <c r="N43" i="14"/>
  <c r="N21" i="14"/>
  <c r="L74" i="21"/>
  <c r="K22" i="14"/>
  <c r="P22" i="16"/>
  <c r="J80" i="21"/>
  <c r="M74" i="21"/>
  <c r="R41" i="16"/>
  <c r="M61" i="21"/>
  <c r="R73" i="16"/>
  <c r="R48" i="16"/>
  <c r="R75" i="16"/>
  <c r="R77" i="16"/>
  <c r="R42" i="16"/>
  <c r="M50" i="22"/>
  <c r="M62" i="21" s="1"/>
  <c r="R47" i="16"/>
  <c r="M20" i="14"/>
  <c r="R20" i="16"/>
  <c r="R40" i="16"/>
  <c r="M41" i="21"/>
  <c r="R76" i="16"/>
  <c r="R45" i="16"/>
  <c r="R44" i="16"/>
  <c r="R79" i="16"/>
  <c r="M42" i="21"/>
  <c r="M40" i="21"/>
  <c r="R78" i="16"/>
  <c r="R80" i="16"/>
  <c r="M43" i="21"/>
  <c r="M44" i="21"/>
  <c r="R46" i="16"/>
  <c r="R74" i="16"/>
  <c r="R72" i="16"/>
  <c r="R43" i="16"/>
  <c r="M19" i="21"/>
  <c r="M12" i="21" s="1"/>
  <c r="S12" i="14"/>
  <c r="S33" i="13"/>
  <c r="S36" i="13"/>
  <c r="S32" i="13"/>
  <c r="S12" i="13"/>
  <c r="S34" i="13"/>
  <c r="X14" i="16"/>
  <c r="S31" i="13"/>
  <c r="S14" i="13"/>
  <c r="S30" i="13"/>
  <c r="O125" i="21"/>
  <c r="O129" i="21"/>
  <c r="O20" i="28"/>
  <c r="T56" i="16"/>
  <c r="O44" i="14"/>
  <c r="T57" i="16"/>
  <c r="T59" i="16"/>
  <c r="T64" i="16"/>
  <c r="O20" i="21"/>
  <c r="T58" i="16"/>
  <c r="O36" i="28"/>
  <c r="T21" i="16"/>
  <c r="T62" i="16"/>
  <c r="O130" i="21"/>
  <c r="O46" i="14"/>
  <c r="O133" i="21"/>
  <c r="O127" i="21"/>
  <c r="O47" i="14"/>
  <c r="O40" i="14"/>
  <c r="O131" i="21"/>
  <c r="O124" i="21"/>
  <c r="O128" i="21"/>
  <c r="T61" i="16"/>
  <c r="T63" i="16"/>
  <c r="O132" i="21"/>
  <c r="O45" i="14"/>
  <c r="O21" i="13"/>
  <c r="O126" i="21"/>
  <c r="O43" i="14"/>
  <c r="O42" i="14"/>
  <c r="O91" i="18"/>
  <c r="O41" i="14"/>
  <c r="T60" i="16"/>
  <c r="O62" i="21"/>
  <c r="O21" i="14"/>
  <c r="O134" i="21"/>
  <c r="O92" i="18"/>
  <c r="Q35" i="28"/>
  <c r="Q19" i="28"/>
  <c r="L56" i="16"/>
  <c r="L60" i="16"/>
  <c r="L58" i="16"/>
  <c r="L63" i="16"/>
  <c r="L61" i="16"/>
  <c r="L21" i="16"/>
  <c r="L64" i="16"/>
  <c r="L62" i="16"/>
  <c r="L57" i="16"/>
  <c r="L59" i="16"/>
  <c r="P43" i="14"/>
  <c r="P128" i="21"/>
  <c r="U64" i="16"/>
  <c r="P124" i="21"/>
  <c r="P126" i="21"/>
  <c r="P21" i="14"/>
  <c r="P40" i="14"/>
  <c r="P92" i="18"/>
  <c r="U63" i="16"/>
  <c r="U62" i="16"/>
  <c r="P127" i="21"/>
  <c r="U21" i="16"/>
  <c r="U29" i="16" s="1"/>
  <c r="P133" i="21"/>
  <c r="P20" i="28"/>
  <c r="P47" i="14"/>
  <c r="P129" i="21"/>
  <c r="U56" i="16"/>
  <c r="P91" i="18"/>
  <c r="U59" i="16"/>
  <c r="U57" i="16"/>
  <c r="P44" i="14"/>
  <c r="P134" i="21"/>
  <c r="P42" i="14"/>
  <c r="U60" i="16"/>
  <c r="P20" i="21"/>
  <c r="U61" i="16"/>
  <c r="P131" i="21"/>
  <c r="U58" i="16"/>
  <c r="P125" i="21"/>
  <c r="P132" i="21"/>
  <c r="P130" i="21"/>
  <c r="P21" i="13"/>
  <c r="P60" i="13" s="1"/>
  <c r="P45" i="14"/>
  <c r="P46" i="14"/>
  <c r="P36" i="28"/>
  <c r="P41" i="14"/>
  <c r="P62" i="21"/>
  <c r="K79" i="21"/>
  <c r="R35" i="28"/>
  <c r="R19" i="28"/>
  <c r="N73" i="21"/>
  <c r="K77" i="21"/>
  <c r="L79" i="21"/>
  <c r="Q44" i="21"/>
  <c r="Q91" i="21"/>
  <c r="Q73" i="21" s="1"/>
  <c r="Q98" i="21"/>
  <c r="Q80" i="21" s="1"/>
  <c r="Q22" i="13"/>
  <c r="W68" i="41" s="1"/>
  <c r="V78" i="16"/>
  <c r="Q43" i="21"/>
  <c r="Q43" i="13"/>
  <c r="Q95" i="21"/>
  <c r="Q77" i="21" s="1"/>
  <c r="V22" i="16"/>
  <c r="V75" i="16"/>
  <c r="Q90" i="21"/>
  <c r="Q72" i="21" s="1"/>
  <c r="Q96" i="21"/>
  <c r="Q78" i="21" s="1"/>
  <c r="Q46" i="13"/>
  <c r="Q93" i="21"/>
  <c r="Q75" i="21" s="1"/>
  <c r="Q22" i="14"/>
  <c r="Q61" i="21"/>
  <c r="Q48" i="13"/>
  <c r="Q41" i="21"/>
  <c r="V74" i="16"/>
  <c r="Q20" i="14"/>
  <c r="Q20" i="13"/>
  <c r="Q40" i="21"/>
  <c r="Q97" i="21"/>
  <c r="Q79" i="21" s="1"/>
  <c r="Q92" i="21"/>
  <c r="Q74" i="21" s="1"/>
  <c r="V76" i="16"/>
  <c r="Q45" i="13"/>
  <c r="Q42" i="21"/>
  <c r="Q19" i="21"/>
  <c r="Q12" i="21" s="1"/>
  <c r="V79" i="16"/>
  <c r="Q42" i="13"/>
  <c r="Q88" i="21"/>
  <c r="V73" i="16"/>
  <c r="V77" i="16"/>
  <c r="V80" i="16"/>
  <c r="Q44" i="13"/>
  <c r="Q94" i="21"/>
  <c r="Q76" i="21" s="1"/>
  <c r="V72" i="16"/>
  <c r="Q89" i="21"/>
  <c r="Q71" i="21" s="1"/>
  <c r="P35" i="28"/>
  <c r="P19" i="28"/>
  <c r="L75" i="21"/>
  <c r="S35" i="28"/>
  <c r="S19" i="28"/>
  <c r="R58" i="16"/>
  <c r="M126" i="21"/>
  <c r="M131" i="21"/>
  <c r="M46" i="14"/>
  <c r="M42" i="14"/>
  <c r="M127" i="21"/>
  <c r="M129" i="21"/>
  <c r="M92" i="18"/>
  <c r="M44" i="13"/>
  <c r="M130" i="21"/>
  <c r="R56" i="16"/>
  <c r="M42" i="13"/>
  <c r="M91" i="18"/>
  <c r="M40" i="14"/>
  <c r="R61" i="16"/>
  <c r="M21" i="13"/>
  <c r="M60" i="13" s="1"/>
  <c r="M21" i="14"/>
  <c r="M44" i="14"/>
  <c r="M48" i="13"/>
  <c r="M124" i="21"/>
  <c r="R60" i="16"/>
  <c r="M125" i="21"/>
  <c r="M128" i="21"/>
  <c r="M43" i="14"/>
  <c r="R59" i="16"/>
  <c r="R63" i="16"/>
  <c r="M20" i="21"/>
  <c r="M41" i="14"/>
  <c r="M46" i="13"/>
  <c r="M45" i="13"/>
  <c r="R62" i="16"/>
  <c r="M22" i="13"/>
  <c r="S68" i="41" s="1"/>
  <c r="M20" i="13"/>
  <c r="M43" i="13"/>
  <c r="M133" i="21"/>
  <c r="M132" i="21"/>
  <c r="R64" i="16"/>
  <c r="M45" i="14"/>
  <c r="R21" i="16"/>
  <c r="R29" i="16" s="1"/>
  <c r="R57" i="16"/>
  <c r="M134" i="21"/>
  <c r="M47" i="14"/>
  <c r="N74" i="21"/>
  <c r="J20" i="13"/>
  <c r="J45" i="14"/>
  <c r="J48" i="13"/>
  <c r="J47" i="14"/>
  <c r="J41" i="14"/>
  <c r="J42" i="13"/>
  <c r="J45" i="13"/>
  <c r="J40" i="14"/>
  <c r="O58" i="16"/>
  <c r="J92" i="18"/>
  <c r="J127" i="21"/>
  <c r="J43" i="14"/>
  <c r="J21" i="13"/>
  <c r="J60" i="13" s="1"/>
  <c r="O60" i="16"/>
  <c r="J125" i="21"/>
  <c r="J130" i="21"/>
  <c r="J91" i="18"/>
  <c r="O57" i="16"/>
  <c r="J124" i="21"/>
  <c r="J20" i="21"/>
  <c r="J21" i="14"/>
  <c r="J133" i="21"/>
  <c r="J131" i="21"/>
  <c r="J129" i="21"/>
  <c r="J126" i="21"/>
  <c r="J46" i="14"/>
  <c r="O61" i="16"/>
  <c r="O62" i="16"/>
  <c r="J42" i="14"/>
  <c r="O63" i="16"/>
  <c r="O59" i="16"/>
  <c r="J134" i="21"/>
  <c r="J22" i="13"/>
  <c r="P68" i="41" s="1"/>
  <c r="J44" i="13"/>
  <c r="O64" i="16"/>
  <c r="J43" i="13"/>
  <c r="J132" i="21"/>
  <c r="O56" i="16"/>
  <c r="J44" i="14"/>
  <c r="J128" i="21"/>
  <c r="O21" i="16"/>
  <c r="O29" i="16" s="1"/>
  <c r="J46" i="13"/>
  <c r="J22" i="14"/>
  <c r="O22" i="16"/>
  <c r="N79" i="21"/>
  <c r="L78" i="21"/>
  <c r="M75" i="21"/>
  <c r="P21" i="16"/>
  <c r="P29" i="16" s="1"/>
  <c r="K20" i="21"/>
  <c r="K46" i="13"/>
  <c r="K21" i="14"/>
  <c r="K47" i="14"/>
  <c r="K43" i="14"/>
  <c r="K20" i="13"/>
  <c r="K48" i="13"/>
  <c r="K21" i="13"/>
  <c r="K60" i="13" s="1"/>
  <c r="K40" i="14"/>
  <c r="K44" i="14"/>
  <c r="P57" i="16"/>
  <c r="K125" i="21"/>
  <c r="P60" i="16"/>
  <c r="K126" i="21"/>
  <c r="K45" i="14"/>
  <c r="P61" i="16"/>
  <c r="K42" i="14"/>
  <c r="K44" i="13"/>
  <c r="P56" i="16"/>
  <c r="K41" i="14"/>
  <c r="K45" i="13"/>
  <c r="P59" i="16"/>
  <c r="K134" i="21"/>
  <c r="K46" i="14"/>
  <c r="K132" i="21"/>
  <c r="P62" i="16"/>
  <c r="P63" i="16"/>
  <c r="K92" i="18"/>
  <c r="K131" i="21"/>
  <c r="K133" i="21"/>
  <c r="K124" i="21"/>
  <c r="K130" i="21"/>
  <c r="P58" i="16"/>
  <c r="K42" i="13"/>
  <c r="K22" i="13"/>
  <c r="Q68" i="41" s="1"/>
  <c r="K91" i="18"/>
  <c r="K43" i="13"/>
  <c r="K129" i="21"/>
  <c r="K128" i="21"/>
  <c r="K127" i="21"/>
  <c r="P64" i="16"/>
  <c r="S22" i="16"/>
  <c r="N22" i="14"/>
  <c r="L77" i="21"/>
  <c r="N75" i="21"/>
  <c r="K71" i="21"/>
  <c r="Q72" i="16"/>
  <c r="L41" i="21"/>
  <c r="Q48" i="16"/>
  <c r="Q44" i="16"/>
  <c r="Q42" i="16"/>
  <c r="Q76" i="16"/>
  <c r="Q47" i="16"/>
  <c r="L44" i="21"/>
  <c r="L40" i="21"/>
  <c r="Q75" i="16"/>
  <c r="Q78" i="16"/>
  <c r="L43" i="21"/>
  <c r="Q80" i="16"/>
  <c r="L20" i="14"/>
  <c r="Q74" i="16"/>
  <c r="L50" i="22"/>
  <c r="L62" i="21" s="1"/>
  <c r="Q41" i="16"/>
  <c r="L42" i="21"/>
  <c r="Q43" i="16"/>
  <c r="L61" i="21"/>
  <c r="Q20" i="16"/>
  <c r="Q73" i="16"/>
  <c r="Q40" i="16"/>
  <c r="Q46" i="16"/>
  <c r="Q77" i="16"/>
  <c r="Q79" i="16"/>
  <c r="Q45" i="16"/>
  <c r="L19" i="21"/>
  <c r="L12" i="21" s="1"/>
  <c r="O78" i="16"/>
  <c r="J43" i="21"/>
  <c r="O72" i="16"/>
  <c r="O46" i="16"/>
  <c r="O76" i="16"/>
  <c r="O48" i="16"/>
  <c r="O47" i="16"/>
  <c r="O43" i="16"/>
  <c r="J41" i="21"/>
  <c r="O79" i="16"/>
  <c r="O45" i="16"/>
  <c r="O41" i="16"/>
  <c r="O20" i="16"/>
  <c r="O44" i="16"/>
  <c r="J40" i="21"/>
  <c r="J44" i="21"/>
  <c r="J50" i="22"/>
  <c r="J62" i="21" s="1"/>
  <c r="O42" i="16"/>
  <c r="O73" i="16"/>
  <c r="O80" i="16"/>
  <c r="J61" i="21"/>
  <c r="O74" i="16"/>
  <c r="O75" i="16"/>
  <c r="J20" i="14"/>
  <c r="J42" i="21"/>
  <c r="O40" i="16"/>
  <c r="O77" i="16"/>
  <c r="J19" i="21"/>
  <c r="J12" i="21" s="1"/>
  <c r="N77" i="21"/>
  <c r="L72" i="21"/>
  <c r="N70" i="21"/>
  <c r="N100" i="21"/>
  <c r="Q22" i="16"/>
  <c r="L22" i="14"/>
  <c r="K73" i="21"/>
  <c r="J78" i="21"/>
  <c r="R22" i="16"/>
  <c r="M22" i="14"/>
  <c r="K72" i="21"/>
  <c r="N78" i="21"/>
  <c r="P74" i="16"/>
  <c r="K61" i="21"/>
  <c r="P41" i="16"/>
  <c r="P20" i="16"/>
  <c r="P78" i="16"/>
  <c r="P80" i="16"/>
  <c r="P46" i="16"/>
  <c r="K50" i="22"/>
  <c r="K62" i="21" s="1"/>
  <c r="K43" i="21"/>
  <c r="P79" i="16"/>
  <c r="P48" i="16"/>
  <c r="P72" i="16"/>
  <c r="P43" i="16"/>
  <c r="P40" i="16"/>
  <c r="K41" i="21"/>
  <c r="K20" i="14"/>
  <c r="P42" i="16"/>
  <c r="P73" i="16"/>
  <c r="K40" i="21"/>
  <c r="P75" i="16"/>
  <c r="P44" i="16"/>
  <c r="K44" i="21"/>
  <c r="P47" i="16"/>
  <c r="P77" i="16"/>
  <c r="K42" i="21"/>
  <c r="P45" i="16"/>
  <c r="P76" i="16"/>
  <c r="K19" i="21"/>
  <c r="K12" i="21" s="1"/>
  <c r="L100" i="21"/>
  <c r="L70" i="21"/>
  <c r="M70" i="21"/>
  <c r="M100" i="21"/>
  <c r="S72" i="16"/>
  <c r="S45" i="16"/>
  <c r="S77" i="16"/>
  <c r="S47" i="16"/>
  <c r="S40" i="16"/>
  <c r="S80" i="16"/>
  <c r="S75" i="16"/>
  <c r="N20" i="14"/>
  <c r="S41" i="16"/>
  <c r="S74" i="16"/>
  <c r="S44" i="16"/>
  <c r="N41" i="21"/>
  <c r="N40" i="21"/>
  <c r="N44" i="21"/>
  <c r="S73" i="16"/>
  <c r="S48" i="16"/>
  <c r="N50" i="22"/>
  <c r="N62" i="21" s="1"/>
  <c r="S20" i="16"/>
  <c r="N42" i="21"/>
  <c r="S43" i="16"/>
  <c r="S76" i="16"/>
  <c r="S79" i="16"/>
  <c r="S78" i="16"/>
  <c r="S46" i="16"/>
  <c r="S42" i="16"/>
  <c r="N61" i="21"/>
  <c r="N43" i="21"/>
  <c r="N19" i="21"/>
  <c r="N12" i="21" s="1"/>
  <c r="L71" i="21"/>
  <c r="L76" i="21"/>
  <c r="L44" i="14"/>
  <c r="L42" i="14"/>
  <c r="L41" i="14"/>
  <c r="L43" i="14"/>
  <c r="L129" i="21"/>
  <c r="L20" i="13"/>
  <c r="L22" i="13"/>
  <c r="R68" i="41" s="1"/>
  <c r="Q64" i="16"/>
  <c r="L125" i="21"/>
  <c r="L21" i="13"/>
  <c r="L60" i="13" s="1"/>
  <c r="L124" i="21"/>
  <c r="Q56" i="16"/>
  <c r="L45" i="14"/>
  <c r="L42" i="13"/>
  <c r="Q59" i="16"/>
  <c r="L21" i="14"/>
  <c r="Q21" i="16"/>
  <c r="Q29" i="16" s="1"/>
  <c r="L44" i="13"/>
  <c r="L46" i="14"/>
  <c r="L43" i="13"/>
  <c r="Q61" i="16"/>
  <c r="L134" i="21"/>
  <c r="L92" i="18"/>
  <c r="L130" i="21"/>
  <c r="Q63" i="16"/>
  <c r="L47" i="14"/>
  <c r="Q58" i="16"/>
  <c r="Q60" i="16"/>
  <c r="L133" i="21"/>
  <c r="L128" i="21"/>
  <c r="L126" i="21"/>
  <c r="L48" i="13"/>
  <c r="L132" i="21"/>
  <c r="L40" i="14"/>
  <c r="Q62" i="16"/>
  <c r="L91" i="18"/>
  <c r="L131" i="21"/>
  <c r="L46" i="13"/>
  <c r="L45" i="13"/>
  <c r="L127" i="21"/>
  <c r="L20" i="21"/>
  <c r="Q57" i="16"/>
  <c r="O19" i="28"/>
  <c r="O35" i="28"/>
  <c r="K75" i="21"/>
  <c r="M73" i="21"/>
  <c r="X77" i="16"/>
  <c r="X72" i="16"/>
  <c r="S43" i="13"/>
  <c r="S89" i="21"/>
  <c r="S71" i="21" s="1"/>
  <c r="S98" i="21"/>
  <c r="S80" i="21" s="1"/>
  <c r="S91" i="21"/>
  <c r="S73" i="21" s="1"/>
  <c r="S45" i="13"/>
  <c r="S19" i="21"/>
  <c r="S12" i="21" s="1"/>
  <c r="X78" i="16"/>
  <c r="S44" i="21"/>
  <c r="S90" i="21"/>
  <c r="S72" i="21" s="1"/>
  <c r="X22" i="16"/>
  <c r="S40" i="21"/>
  <c r="S44" i="13"/>
  <c r="X75" i="16"/>
  <c r="S43" i="21"/>
  <c r="S46" i="13"/>
  <c r="S20" i="14"/>
  <c r="S96" i="21"/>
  <c r="S78" i="21" s="1"/>
  <c r="S48" i="13"/>
  <c r="S92" i="21"/>
  <c r="S74" i="21" s="1"/>
  <c r="S42" i="13"/>
  <c r="S97" i="21"/>
  <c r="S79" i="21" s="1"/>
  <c r="X79" i="16"/>
  <c r="X74" i="16"/>
  <c r="S93" i="21"/>
  <c r="S75" i="21" s="1"/>
  <c r="S95" i="21"/>
  <c r="S77" i="21" s="1"/>
  <c r="X76" i="16"/>
  <c r="S42" i="21"/>
  <c r="S22" i="13"/>
  <c r="Y68" i="41" s="1"/>
  <c r="S20" i="13"/>
  <c r="S94" i="21"/>
  <c r="S76" i="21" s="1"/>
  <c r="S61" i="21"/>
  <c r="X73" i="16"/>
  <c r="S41" i="21"/>
  <c r="S88" i="21"/>
  <c r="X80" i="16"/>
  <c r="K63" i="16"/>
  <c r="K21" i="16"/>
  <c r="K59" i="16"/>
  <c r="K60" i="16"/>
  <c r="K61" i="16"/>
  <c r="K57" i="16"/>
  <c r="K62" i="16"/>
  <c r="K64" i="16"/>
  <c r="K58" i="16"/>
  <c r="K56" i="16"/>
  <c r="J74" i="21"/>
  <c r="M78" i="21"/>
  <c r="J76" i="21"/>
  <c r="M56" i="16"/>
  <c r="M64" i="16"/>
  <c r="M57" i="16"/>
  <c r="M62" i="16"/>
  <c r="M60" i="16"/>
  <c r="M21" i="16"/>
  <c r="M58" i="16"/>
  <c r="M63" i="16"/>
  <c r="M59" i="16"/>
  <c r="M61" i="16"/>
  <c r="P20" i="13"/>
  <c r="P96" i="21"/>
  <c r="P78" i="21" s="1"/>
  <c r="P19" i="21"/>
  <c r="P12" i="21" s="1"/>
  <c r="P48" i="13"/>
  <c r="P94" i="21"/>
  <c r="P76" i="21" s="1"/>
  <c r="P43" i="13"/>
  <c r="P95" i="21"/>
  <c r="P77" i="21" s="1"/>
  <c r="U77" i="16"/>
  <c r="P46" i="13"/>
  <c r="P97" i="21"/>
  <c r="P79" i="21" s="1"/>
  <c r="U22" i="16"/>
  <c r="P22" i="13"/>
  <c r="V68" i="41" s="1"/>
  <c r="P41" i="21"/>
  <c r="U79" i="16"/>
  <c r="U74" i="16"/>
  <c r="P44" i="13"/>
  <c r="P93" i="21"/>
  <c r="P75" i="21" s="1"/>
  <c r="P42" i="13"/>
  <c r="P88" i="21"/>
  <c r="P43" i="21"/>
  <c r="P89" i="21"/>
  <c r="P71" i="21" s="1"/>
  <c r="P40" i="21"/>
  <c r="U72" i="16"/>
  <c r="P42" i="21"/>
  <c r="U78" i="16"/>
  <c r="P61" i="21"/>
  <c r="U80" i="16"/>
  <c r="P98" i="21"/>
  <c r="P80" i="21" s="1"/>
  <c r="P22" i="14"/>
  <c r="U73" i="16"/>
  <c r="P45" i="13"/>
  <c r="P90" i="21"/>
  <c r="P72" i="21" s="1"/>
  <c r="P91" i="21"/>
  <c r="P73" i="21" s="1"/>
  <c r="U76" i="16"/>
  <c r="P92" i="21"/>
  <c r="P74" i="21" s="1"/>
  <c r="P44" i="21"/>
  <c r="U75" i="16"/>
  <c r="P20" i="14"/>
  <c r="K80" i="21"/>
  <c r="J75" i="21"/>
  <c r="J100" i="21"/>
  <c r="J70" i="21"/>
  <c r="J71" i="21"/>
  <c r="S124" i="21"/>
  <c r="S20" i="28"/>
  <c r="S20" i="21"/>
  <c r="S36" i="28"/>
  <c r="S21" i="13"/>
  <c r="S60" i="13" s="1"/>
  <c r="X64" i="16"/>
  <c r="S134" i="21"/>
  <c r="S44" i="14"/>
  <c r="S131" i="21"/>
  <c r="S133" i="21"/>
  <c r="S130" i="21"/>
  <c r="S128" i="21"/>
  <c r="S127" i="21"/>
  <c r="S132" i="21"/>
  <c r="R22" i="13"/>
  <c r="X68" i="41" s="1"/>
  <c r="R43" i="21"/>
  <c r="W74" i="16"/>
  <c r="R22" i="14"/>
  <c r="W72" i="16"/>
  <c r="R40" i="21"/>
  <c r="R41" i="21"/>
  <c r="R20" i="14"/>
  <c r="R88" i="21"/>
  <c r="R94" i="21"/>
  <c r="R76" i="21" s="1"/>
  <c r="R48" i="13"/>
  <c r="R97" i="21"/>
  <c r="R79" i="21" s="1"/>
  <c r="R91" i="21"/>
  <c r="R73" i="21" s="1"/>
  <c r="R42" i="13"/>
  <c r="W77" i="16"/>
  <c r="W78" i="16"/>
  <c r="R43" i="13"/>
  <c r="W80" i="16"/>
  <c r="W75" i="16"/>
  <c r="R90" i="21"/>
  <c r="R72" i="21" s="1"/>
  <c r="W76" i="16"/>
  <c r="W79" i="16"/>
  <c r="R42" i="21"/>
  <c r="R92" i="21"/>
  <c r="R74" i="21" s="1"/>
  <c r="R95" i="21"/>
  <c r="R77" i="21" s="1"/>
  <c r="R93" i="21"/>
  <c r="R75" i="21" s="1"/>
  <c r="R98" i="21"/>
  <c r="R80" i="21" s="1"/>
  <c r="R44" i="21"/>
  <c r="R19" i="21"/>
  <c r="R12" i="21" s="1"/>
  <c r="R20" i="13"/>
  <c r="R61" i="21"/>
  <c r="R45" i="13"/>
  <c r="R89" i="21"/>
  <c r="R71" i="21" s="1"/>
  <c r="W73" i="16"/>
  <c r="R44" i="13"/>
  <c r="W22" i="16"/>
  <c r="R96" i="21"/>
  <c r="R78" i="21" s="1"/>
  <c r="R46" i="13"/>
  <c r="J73" i="21"/>
  <c r="J72" i="21"/>
  <c r="J59" i="16"/>
  <c r="J64" i="16"/>
  <c r="J57" i="16"/>
  <c r="J63" i="16"/>
  <c r="J58" i="16"/>
  <c r="J56" i="16"/>
  <c r="J21" i="16"/>
  <c r="J62" i="16"/>
  <c r="J61" i="16"/>
  <c r="J60" i="16"/>
  <c r="K76" i="21"/>
  <c r="M80" i="21"/>
  <c r="R134" i="21"/>
  <c r="R21" i="14"/>
  <c r="R21" i="13"/>
  <c r="R60" i="13" s="1"/>
  <c r="W56" i="16"/>
  <c r="R41" i="14"/>
  <c r="W58" i="16"/>
  <c r="W61" i="16"/>
  <c r="R43" i="14"/>
  <c r="W57" i="16"/>
  <c r="R20" i="28"/>
  <c r="R42" i="14"/>
  <c r="R46" i="14"/>
  <c r="W63" i="16"/>
  <c r="R20" i="21"/>
  <c r="R45" i="14"/>
  <c r="R47" i="14"/>
  <c r="R40" i="14"/>
  <c r="W64" i="16"/>
  <c r="R36" i="28"/>
  <c r="R44" i="14"/>
  <c r="W62" i="16"/>
  <c r="M72" i="21"/>
  <c r="Q41" i="14"/>
  <c r="Q134" i="21"/>
  <c r="Q130" i="21"/>
  <c r="Q124" i="21"/>
  <c r="Q132" i="21"/>
  <c r="Q45" i="14"/>
  <c r="Q21" i="13"/>
  <c r="Q60" i="13" s="1"/>
  <c r="Q127" i="21"/>
  <c r="Q43" i="14"/>
  <c r="Q44" i="14"/>
  <c r="V59" i="16"/>
  <c r="Q21" i="14"/>
  <c r="Q125" i="21"/>
  <c r="Q36" i="28"/>
  <c r="Q133" i="21"/>
  <c r="Q129" i="21"/>
  <c r="Q20" i="21"/>
  <c r="Q46" i="14"/>
  <c r="V62" i="16"/>
  <c r="Q20" i="28"/>
  <c r="V58" i="16"/>
  <c r="Q62" i="21"/>
  <c r="Q126" i="21"/>
  <c r="V57" i="16"/>
  <c r="V56" i="16"/>
  <c r="Q128" i="21"/>
  <c r="Q92" i="18"/>
  <c r="V63" i="16"/>
  <c r="Q47" i="14"/>
  <c r="V60" i="16"/>
  <c r="V21" i="16"/>
  <c r="V29" i="16" s="1"/>
  <c r="Q40" i="14"/>
  <c r="Q42" i="14"/>
  <c r="Q91" i="18"/>
  <c r="V64" i="16"/>
  <c r="V61" i="16"/>
  <c r="Q131" i="21"/>
  <c r="K100" i="21"/>
  <c r="K70" i="21"/>
  <c r="P70" i="41" l="1"/>
  <c r="AE21" i="12"/>
  <c r="W147" i="41"/>
  <c r="Q252" i="41"/>
  <c r="S252" i="41"/>
  <c r="V153" i="41"/>
  <c r="R63" i="41"/>
  <c r="S258" i="41"/>
  <c r="S251" i="41"/>
  <c r="S59" i="41"/>
  <c r="W258" i="41"/>
  <c r="U250" i="41"/>
  <c r="T150" i="41"/>
  <c r="T60" i="41"/>
  <c r="U59" i="41"/>
  <c r="P250" i="41"/>
  <c r="S147" i="41"/>
  <c r="W59" i="41"/>
  <c r="V147" i="41"/>
  <c r="V253" i="41"/>
  <c r="T59" i="41"/>
  <c r="U60" i="41"/>
  <c r="W253" i="41"/>
  <c r="R62" i="41"/>
  <c r="S63" i="41"/>
  <c r="W250" i="41"/>
  <c r="X60" i="41"/>
  <c r="W150" i="41"/>
  <c r="X147" i="41"/>
  <c r="X62" i="41"/>
  <c r="V63" i="41"/>
  <c r="R150" i="41"/>
  <c r="R60" i="41"/>
  <c r="R147" i="41"/>
  <c r="R253" i="41"/>
  <c r="Q149" i="41"/>
  <c r="P149" i="41"/>
  <c r="P62" i="41"/>
  <c r="S60" i="41"/>
  <c r="W63" i="41"/>
  <c r="V150" i="41"/>
  <c r="U150" i="41"/>
  <c r="U153" i="41"/>
  <c r="X61" i="41"/>
  <c r="R59" i="41"/>
  <c r="X251" i="41"/>
  <c r="V59" i="41"/>
  <c r="X252" i="41"/>
  <c r="V61" i="41"/>
  <c r="Y153" i="41"/>
  <c r="R251" i="41"/>
  <c r="Q60" i="41"/>
  <c r="Q62" i="41"/>
  <c r="Q150" i="41"/>
  <c r="Q253" i="41"/>
  <c r="P147" i="41"/>
  <c r="P150" i="41"/>
  <c r="P59" i="41"/>
  <c r="S149" i="41"/>
  <c r="S61" i="41"/>
  <c r="V252" i="41"/>
  <c r="V250" i="41"/>
  <c r="U251" i="41"/>
  <c r="T63" i="41"/>
  <c r="T149" i="41"/>
  <c r="T252" i="41"/>
  <c r="U62" i="41"/>
  <c r="W251" i="41"/>
  <c r="R149" i="41"/>
  <c r="Q250" i="41"/>
  <c r="P61" i="41"/>
  <c r="S150" i="41"/>
  <c r="U147" i="41"/>
  <c r="X63" i="41"/>
  <c r="X59" i="41"/>
  <c r="V62" i="41"/>
  <c r="R250" i="41"/>
  <c r="R61" i="41"/>
  <c r="R252" i="41"/>
  <c r="R258" i="41"/>
  <c r="Q251" i="41"/>
  <c r="P252" i="41"/>
  <c r="P251" i="41"/>
  <c r="S253" i="41"/>
  <c r="W61" i="41"/>
  <c r="U149" i="41"/>
  <c r="Y59" i="41"/>
  <c r="Y66" i="41"/>
  <c r="Q258" i="41"/>
  <c r="T254" i="41"/>
  <c r="T147" i="41"/>
  <c r="T61" i="41"/>
  <c r="U258" i="41"/>
  <c r="W149" i="41"/>
  <c r="X250" i="41"/>
  <c r="V60" i="41"/>
  <c r="T258" i="41"/>
  <c r="Q147" i="41"/>
  <c r="P258" i="41"/>
  <c r="P60" i="41"/>
  <c r="P253" i="41"/>
  <c r="W62" i="41"/>
  <c r="U252" i="41"/>
  <c r="U63" i="41"/>
  <c r="W60" i="41"/>
  <c r="W252" i="41"/>
  <c r="P63" i="41"/>
  <c r="V149" i="41"/>
  <c r="T253" i="41"/>
  <c r="X253" i="41"/>
  <c r="X153" i="41"/>
  <c r="X258" i="41"/>
  <c r="V258" i="41"/>
  <c r="Q59" i="41"/>
  <c r="Q61" i="41"/>
  <c r="Q63" i="41"/>
  <c r="S62" i="41"/>
  <c r="S250" i="41"/>
  <c r="W153" i="41"/>
  <c r="V251" i="41"/>
  <c r="U253" i="41"/>
  <c r="T251" i="41"/>
  <c r="T62" i="41"/>
  <c r="T250" i="41"/>
  <c r="U61" i="41"/>
  <c r="V254" i="41"/>
  <c r="U254" i="41"/>
  <c r="S254" i="41"/>
  <c r="V151" i="41"/>
  <c r="T148" i="41"/>
  <c r="R151" i="41"/>
  <c r="Q254" i="41"/>
  <c r="R254" i="41"/>
  <c r="W254" i="41"/>
  <c r="Q148" i="41"/>
  <c r="U148" i="41"/>
  <c r="X254" i="41"/>
  <c r="P254" i="41"/>
  <c r="S32" i="16"/>
  <c r="T153" i="41"/>
  <c r="Q151" i="41"/>
  <c r="V148" i="41"/>
  <c r="U151" i="41"/>
  <c r="P148" i="41"/>
  <c r="T151" i="41"/>
  <c r="W148" i="41"/>
  <c r="X151" i="41"/>
  <c r="R32" i="16"/>
  <c r="S153" i="41"/>
  <c r="P32" i="16"/>
  <c r="Q153" i="41"/>
  <c r="R148" i="41"/>
  <c r="O32" i="16"/>
  <c r="P153" i="41"/>
  <c r="S148" i="41"/>
  <c r="W151" i="41"/>
  <c r="X148" i="41"/>
  <c r="Q32" i="16"/>
  <c r="R153" i="41"/>
  <c r="P151" i="41"/>
  <c r="S151" i="41"/>
  <c r="T110" i="41"/>
  <c r="P110" i="41"/>
  <c r="S110" i="41"/>
  <c r="R110" i="41"/>
  <c r="Q110" i="41"/>
  <c r="C30" i="10"/>
  <c r="R94" i="18"/>
  <c r="R98" i="18" s="1"/>
  <c r="AL84" i="74"/>
  <c r="AK85" i="74"/>
  <c r="M82" i="21"/>
  <c r="J94" i="18"/>
  <c r="J98" i="18" s="1"/>
  <c r="R50" i="16"/>
  <c r="Q94" i="18"/>
  <c r="Q98" i="18" s="1"/>
  <c r="K94" i="18"/>
  <c r="K98" i="18" s="1"/>
  <c r="Q136" i="21"/>
  <c r="R29" i="21"/>
  <c r="R145" i="21"/>
  <c r="S32" i="21"/>
  <c r="S148" i="21"/>
  <c r="L55" i="13"/>
  <c r="N54" i="21"/>
  <c r="J32" i="21"/>
  <c r="J148" i="21"/>
  <c r="L54" i="21"/>
  <c r="O55" i="21"/>
  <c r="O13" i="21"/>
  <c r="O150" i="21"/>
  <c r="O55" i="13"/>
  <c r="O59" i="13"/>
  <c r="R13" i="21"/>
  <c r="R150" i="21"/>
  <c r="W32" i="16"/>
  <c r="R54" i="13"/>
  <c r="R46" i="21"/>
  <c r="R144" i="21"/>
  <c r="R28" i="21"/>
  <c r="P54" i="21"/>
  <c r="P70" i="21"/>
  <c r="P82" i="21" s="1"/>
  <c r="P100" i="21"/>
  <c r="U32" i="16"/>
  <c r="K66" i="16"/>
  <c r="S58" i="13"/>
  <c r="L57" i="13"/>
  <c r="N55" i="21"/>
  <c r="S82" i="16"/>
  <c r="L82" i="21"/>
  <c r="K148" i="21"/>
  <c r="K32" i="21"/>
  <c r="P50" i="16"/>
  <c r="M32" i="14"/>
  <c r="N82" i="21"/>
  <c r="J28" i="21"/>
  <c r="J144" i="21"/>
  <c r="J46" i="21"/>
  <c r="P66" i="16"/>
  <c r="K29" i="14"/>
  <c r="M59" i="13"/>
  <c r="P13" i="21"/>
  <c r="P150" i="21"/>
  <c r="P94" i="18"/>
  <c r="M144" i="21"/>
  <c r="M28" i="21"/>
  <c r="M46" i="21"/>
  <c r="N29" i="14"/>
  <c r="S66" i="16"/>
  <c r="O30" i="21"/>
  <c r="O146" i="21"/>
  <c r="O100" i="21"/>
  <c r="O70" i="21"/>
  <c r="O82" i="21" s="1"/>
  <c r="S150" i="21"/>
  <c r="S13" i="21"/>
  <c r="P31" i="21"/>
  <c r="P147" i="21"/>
  <c r="O66" i="16"/>
  <c r="V82" i="16"/>
  <c r="P29" i="14"/>
  <c r="W82" i="16"/>
  <c r="P54" i="13"/>
  <c r="S147" i="21"/>
  <c r="S31" i="21"/>
  <c r="L58" i="13"/>
  <c r="Q66" i="16"/>
  <c r="L146" i="21"/>
  <c r="L30" i="21"/>
  <c r="L29" i="21"/>
  <c r="L145" i="21"/>
  <c r="K55" i="13"/>
  <c r="K56" i="13"/>
  <c r="K59" i="13"/>
  <c r="K58" i="13"/>
  <c r="J54" i="13"/>
  <c r="M150" i="21"/>
  <c r="M13" i="21"/>
  <c r="Q56" i="13"/>
  <c r="Q146" i="21"/>
  <c r="Q30" i="21"/>
  <c r="U66" i="16"/>
  <c r="O49" i="14"/>
  <c r="R82" i="16"/>
  <c r="M146" i="21"/>
  <c r="M30" i="21"/>
  <c r="M54" i="21"/>
  <c r="N59" i="13"/>
  <c r="N57" i="13"/>
  <c r="N49" i="14"/>
  <c r="O54" i="21"/>
  <c r="T32" i="16"/>
  <c r="S54" i="21"/>
  <c r="X82" i="16"/>
  <c r="Q147" i="21"/>
  <c r="Q31" i="21"/>
  <c r="T29" i="16"/>
  <c r="R56" i="13"/>
  <c r="R32" i="21"/>
  <c r="R148" i="21"/>
  <c r="R29" i="14"/>
  <c r="R32" i="14"/>
  <c r="P58" i="13"/>
  <c r="S57" i="13"/>
  <c r="L49" i="14"/>
  <c r="L136" i="21"/>
  <c r="P82" i="16"/>
  <c r="J54" i="21"/>
  <c r="L46" i="21"/>
  <c r="L144" i="21"/>
  <c r="L28" i="21"/>
  <c r="Q82" i="16"/>
  <c r="N32" i="14"/>
  <c r="M49" i="14"/>
  <c r="M56" i="13"/>
  <c r="Q57" i="13"/>
  <c r="Q29" i="21"/>
  <c r="Q145" i="21"/>
  <c r="P136" i="21"/>
  <c r="T82" i="16"/>
  <c r="O46" i="21"/>
  <c r="O144" i="21"/>
  <c r="O28" i="21"/>
  <c r="O32" i="14"/>
  <c r="O57" i="13"/>
  <c r="P59" i="13"/>
  <c r="Q58" i="13"/>
  <c r="Q55" i="21"/>
  <c r="P56" i="13"/>
  <c r="S54" i="13"/>
  <c r="L150" i="21"/>
  <c r="L13" i="21"/>
  <c r="L56" i="13"/>
  <c r="N32" i="21"/>
  <c r="N148" i="21"/>
  <c r="K28" i="21"/>
  <c r="K46" i="21"/>
  <c r="K144" i="21"/>
  <c r="L55" i="21"/>
  <c r="L32" i="21"/>
  <c r="L148" i="21"/>
  <c r="K54" i="13"/>
  <c r="J29" i="14"/>
  <c r="M57" i="13"/>
  <c r="Q59" i="13"/>
  <c r="M55" i="21"/>
  <c r="N54" i="13"/>
  <c r="N150" i="21"/>
  <c r="N13" i="21"/>
  <c r="O58" i="13"/>
  <c r="O148" i="21"/>
  <c r="O32" i="21"/>
  <c r="R57" i="13"/>
  <c r="R147" i="21"/>
  <c r="R31" i="21"/>
  <c r="U82" i="16"/>
  <c r="M66" i="16"/>
  <c r="S100" i="21"/>
  <c r="S70" i="21"/>
  <c r="S82" i="21" s="1"/>
  <c r="S144" i="21"/>
  <c r="S46" i="21"/>
  <c r="S28" i="21"/>
  <c r="L59" i="13"/>
  <c r="N28" i="21"/>
  <c r="N144" i="21"/>
  <c r="N46" i="21"/>
  <c r="S50" i="16"/>
  <c r="K54" i="21"/>
  <c r="O82" i="16"/>
  <c r="Q50" i="16"/>
  <c r="J32" i="14"/>
  <c r="J55" i="13"/>
  <c r="J150" i="21"/>
  <c r="J13" i="21"/>
  <c r="J49" i="14"/>
  <c r="J59" i="13"/>
  <c r="M55" i="13"/>
  <c r="M58" i="13"/>
  <c r="M29" i="14"/>
  <c r="M94" i="18"/>
  <c r="M98" i="18" s="1"/>
  <c r="Q54" i="21"/>
  <c r="V32" i="16"/>
  <c r="P55" i="21"/>
  <c r="O29" i="14"/>
  <c r="O136" i="21"/>
  <c r="M32" i="21"/>
  <c r="M148" i="21"/>
  <c r="N136" i="21"/>
  <c r="O12" i="21"/>
  <c r="O56" i="13"/>
  <c r="K136" i="21"/>
  <c r="K49" i="14"/>
  <c r="J56" i="13"/>
  <c r="M136" i="21"/>
  <c r="P146" i="21"/>
  <c r="P30" i="21"/>
  <c r="S30" i="21"/>
  <c r="S146" i="21"/>
  <c r="S56" i="13"/>
  <c r="Q49" i="14"/>
  <c r="Q150" i="21"/>
  <c r="Q13" i="21"/>
  <c r="R49" i="14"/>
  <c r="K82" i="21"/>
  <c r="V66" i="16"/>
  <c r="R55" i="13"/>
  <c r="R100" i="21"/>
  <c r="R70" i="21"/>
  <c r="R82" i="21" s="1"/>
  <c r="P148" i="21"/>
  <c r="P32" i="21"/>
  <c r="P32" i="14"/>
  <c r="P28" i="21"/>
  <c r="P144" i="21"/>
  <c r="P46" i="21"/>
  <c r="P55" i="13"/>
  <c r="S29" i="21"/>
  <c r="S145" i="21"/>
  <c r="S59" i="13"/>
  <c r="X32" i="16"/>
  <c r="L54" i="13"/>
  <c r="N29" i="21"/>
  <c r="N145" i="21"/>
  <c r="K30" i="21"/>
  <c r="K146" i="21"/>
  <c r="K31" i="21"/>
  <c r="K147" i="21"/>
  <c r="L32" i="14"/>
  <c r="O50" i="16"/>
  <c r="J31" i="21"/>
  <c r="J147" i="21"/>
  <c r="K13" i="21"/>
  <c r="K150" i="21"/>
  <c r="J58" i="13"/>
  <c r="J136" i="21"/>
  <c r="M54" i="13"/>
  <c r="Q70" i="21"/>
  <c r="Q82" i="21" s="1"/>
  <c r="Q100" i="21"/>
  <c r="Q32" i="14"/>
  <c r="Q32" i="21"/>
  <c r="Q148" i="21"/>
  <c r="L66" i="16"/>
  <c r="O94" i="18"/>
  <c r="O98" i="18" s="1"/>
  <c r="M31" i="21"/>
  <c r="M147" i="21"/>
  <c r="N56" i="13"/>
  <c r="O54" i="13"/>
  <c r="O147" i="21"/>
  <c r="O31" i="21"/>
  <c r="N66" i="16"/>
  <c r="K29" i="21"/>
  <c r="K145" i="21"/>
  <c r="L147" i="21"/>
  <c r="L31" i="21"/>
  <c r="Q29" i="14"/>
  <c r="R59" i="13"/>
  <c r="P57" i="13"/>
  <c r="J66" i="16"/>
  <c r="R58" i="13"/>
  <c r="R54" i="21"/>
  <c r="R30" i="21"/>
  <c r="R146" i="21"/>
  <c r="J82" i="21"/>
  <c r="P145" i="21"/>
  <c r="P29" i="21"/>
  <c r="S55" i="13"/>
  <c r="L94" i="18"/>
  <c r="L98" i="18" s="1"/>
  <c r="L29" i="14"/>
  <c r="N31" i="21"/>
  <c r="N147" i="21"/>
  <c r="N30" i="21"/>
  <c r="N146" i="21"/>
  <c r="K55" i="21"/>
  <c r="J30" i="21"/>
  <c r="J146" i="21"/>
  <c r="J55" i="21"/>
  <c r="J145" i="21"/>
  <c r="J29" i="21"/>
  <c r="K57" i="13"/>
  <c r="J57" i="13"/>
  <c r="R66" i="16"/>
  <c r="Q54" i="13"/>
  <c r="Q144" i="21"/>
  <c r="Q46" i="21"/>
  <c r="Q28" i="21"/>
  <c r="Q55" i="13"/>
  <c r="P49" i="14"/>
  <c r="O60" i="13"/>
  <c r="T66" i="16"/>
  <c r="M29" i="21"/>
  <c r="M145" i="21"/>
  <c r="K32" i="14"/>
  <c r="N94" i="18"/>
  <c r="N98" i="18" s="1"/>
  <c r="N58" i="13"/>
  <c r="N55" i="13"/>
  <c r="O145" i="21"/>
  <c r="O29" i="21"/>
  <c r="Q70" i="41" l="1"/>
  <c r="I28" i="41"/>
  <c r="R364" i="41"/>
  <c r="L364" i="41"/>
  <c r="O364" i="41"/>
  <c r="N364" i="41"/>
  <c r="M364" i="41"/>
  <c r="T364" i="41"/>
  <c r="K364" i="41"/>
  <c r="Q364" i="41"/>
  <c r="S364" i="41"/>
  <c r="P364" i="41"/>
  <c r="T257" i="41"/>
  <c r="T260" i="41" s="1"/>
  <c r="P64" i="41"/>
  <c r="Q257" i="41"/>
  <c r="Q260" i="41" s="1"/>
  <c r="V64" i="41"/>
  <c r="Y61" i="41"/>
  <c r="Y63" i="41"/>
  <c r="S257" i="41"/>
  <c r="S260" i="41" s="1"/>
  <c r="X257" i="41"/>
  <c r="X260" i="41" s="1"/>
  <c r="Y60" i="41"/>
  <c r="U257" i="41"/>
  <c r="U260" i="41" s="1"/>
  <c r="U64" i="41"/>
  <c r="Y62" i="41"/>
  <c r="P71" i="41"/>
  <c r="Q71" i="41" s="1"/>
  <c r="W257" i="41"/>
  <c r="W260" i="41" s="1"/>
  <c r="V257" i="41"/>
  <c r="V260" i="41" s="1"/>
  <c r="R257" i="41"/>
  <c r="R260" i="41" s="1"/>
  <c r="X64" i="41"/>
  <c r="R64" i="41"/>
  <c r="W64" i="41"/>
  <c r="S64" i="41"/>
  <c r="P257" i="41"/>
  <c r="P260" i="41" s="1"/>
  <c r="Q64" i="41"/>
  <c r="T64" i="41"/>
  <c r="V152" i="41"/>
  <c r="V155" i="41" s="1"/>
  <c r="T152" i="41"/>
  <c r="T155" i="41" s="1"/>
  <c r="R152" i="41"/>
  <c r="R155" i="41" s="1"/>
  <c r="U152" i="41"/>
  <c r="Q152" i="41"/>
  <c r="Q155" i="41" s="1"/>
  <c r="W152" i="41"/>
  <c r="W155" i="41" s="1"/>
  <c r="S152" i="41"/>
  <c r="S155" i="41" s="1"/>
  <c r="P152" i="41"/>
  <c r="R104" i="41"/>
  <c r="Q104" i="41"/>
  <c r="P104" i="41"/>
  <c r="C31" i="10"/>
  <c r="AL85" i="74"/>
  <c r="AM84" i="74"/>
  <c r="J34" i="21"/>
  <c r="N149" i="21"/>
  <c r="P149" i="21"/>
  <c r="R34" i="21"/>
  <c r="Q34" i="21"/>
  <c r="K34" i="21"/>
  <c r="L34" i="21"/>
  <c r="S149" i="21"/>
  <c r="Q149" i="21"/>
  <c r="O34" i="21"/>
  <c r="J149" i="21"/>
  <c r="N34" i="21"/>
  <c r="L149" i="21"/>
  <c r="R149" i="21"/>
  <c r="P34" i="21"/>
  <c r="S34" i="21"/>
  <c r="K149" i="21"/>
  <c r="O149" i="21"/>
  <c r="M149" i="21"/>
  <c r="M34" i="21"/>
  <c r="P98" i="18"/>
  <c r="Y64" i="41" l="1"/>
  <c r="P264" i="41"/>
  <c r="Q264" i="41" s="1"/>
  <c r="U155" i="41"/>
  <c r="P155" i="41"/>
  <c r="P159" i="41"/>
  <c r="Q159" i="41" s="1"/>
  <c r="C32" i="10"/>
  <c r="AN84" i="74"/>
  <c r="AM85" i="74"/>
  <c r="A1" i="44"/>
  <c r="E26" i="10" s="1"/>
  <c r="C33" i="10" l="1"/>
  <c r="AO84" i="74"/>
  <c r="AN85" i="74"/>
  <c r="AP84" i="74" l="1"/>
  <c r="AO85" i="74"/>
  <c r="AP85" i="74" l="1"/>
  <c r="AQ84" i="74"/>
  <c r="AQ85" i="74" l="1"/>
  <c r="AR84" i="74"/>
  <c r="AR85" i="74" l="1"/>
  <c r="AS84" i="74"/>
  <c r="C34" i="10" l="1"/>
  <c r="AS85" i="74"/>
  <c r="AT84" i="74"/>
  <c r="C35" i="10" l="1"/>
  <c r="AU84" i="74"/>
  <c r="AT85" i="74"/>
  <c r="C36" i="10" l="1"/>
  <c r="AV84" i="74"/>
  <c r="AU85" i="74"/>
  <c r="C37" i="10" l="1"/>
  <c r="AW84" i="74"/>
  <c r="AV85" i="74"/>
  <c r="S46" i="14"/>
  <c r="S47" i="14"/>
  <c r="C38" i="10" l="1"/>
  <c r="AX84" i="74"/>
  <c r="AW85" i="74"/>
  <c r="S42" i="14"/>
  <c r="S41" i="14"/>
  <c r="S40" i="14"/>
  <c r="S41" i="12"/>
  <c r="S43" i="14"/>
  <c r="S45" i="14"/>
  <c r="AY84" i="74" l="1"/>
  <c r="AX85" i="74"/>
  <c r="S49" i="14"/>
  <c r="S54" i="12"/>
  <c r="S57" i="12"/>
  <c r="S52" i="12"/>
  <c r="S21" i="14"/>
  <c r="S56" i="12"/>
  <c r="S55" i="12"/>
  <c r="S13" i="14"/>
  <c r="S59" i="12"/>
  <c r="S58" i="12"/>
  <c r="S53" i="12"/>
  <c r="Y256" i="41" l="1"/>
  <c r="Y257" i="41" s="1"/>
  <c r="Y260" i="41" s="1"/>
  <c r="AY85" i="74"/>
  <c r="AZ84" i="74"/>
  <c r="S30" i="14"/>
  <c r="S61" i="12"/>
  <c r="P265" i="41" l="1"/>
  <c r="Q265" i="41" s="1"/>
  <c r="AZ85" i="74"/>
  <c r="BA84" i="74"/>
  <c r="S14" i="14"/>
  <c r="S22" i="14"/>
  <c r="S64" i="12"/>
  <c r="A64" i="12" s="1"/>
  <c r="Y258" i="41" l="1"/>
  <c r="BB84" i="74"/>
  <c r="BB85" i="74" s="1"/>
  <c r="BA85" i="74"/>
  <c r="S32" i="14"/>
  <c r="R115" i="21" l="1"/>
  <c r="R133" i="21" s="1"/>
  <c r="R114" i="21"/>
  <c r="R132" i="21" s="1"/>
  <c r="R113" i="21"/>
  <c r="R131" i="21" s="1"/>
  <c r="R112" i="21"/>
  <c r="R130" i="21" s="1"/>
  <c r="R111" i="21"/>
  <c r="R129" i="21" s="1"/>
  <c r="R110" i="21"/>
  <c r="R128" i="21" s="1"/>
  <c r="R109" i="21"/>
  <c r="R127" i="21" s="1"/>
  <c r="R108" i="21"/>
  <c r="R126" i="21" s="1"/>
  <c r="R107" i="21"/>
  <c r="R125" i="21" s="1"/>
  <c r="R106" i="21" l="1"/>
  <c r="R97" i="22"/>
  <c r="R118" i="21" l="1"/>
  <c r="R124" i="21"/>
  <c r="R136" i="21" l="1"/>
  <c r="R100" i="22" l="1"/>
  <c r="S111" i="21" l="1"/>
  <c r="S129" i="21" s="1"/>
  <c r="S108" i="21" l="1"/>
  <c r="S126" i="21" s="1"/>
  <c r="S107" i="21" l="1"/>
  <c r="S97" i="22"/>
  <c r="S100" i="22" l="1"/>
  <c r="A100" i="22" s="1"/>
  <c r="S125" i="21"/>
  <c r="S118" i="21"/>
  <c r="S136" i="21" l="1"/>
  <c r="AM12" i="63" l="1"/>
  <c r="G113" i="46"/>
  <c r="G112" i="46" s="1"/>
  <c r="I97" i="46" l="1"/>
  <c r="I93" i="46"/>
  <c r="I92" i="46" s="1"/>
  <c r="G117" i="46"/>
  <c r="G118" i="46" s="1"/>
  <c r="AM74" i="63"/>
  <c r="AL54" i="63"/>
  <c r="P67" i="63"/>
  <c r="AL63" i="63"/>
  <c r="P74" i="63"/>
  <c r="O74" i="63"/>
  <c r="P55" i="63"/>
  <c r="AL74" i="63"/>
  <c r="AK74" i="63"/>
  <c r="AL85" i="63"/>
  <c r="AK85" i="63"/>
  <c r="AL20" i="63"/>
  <c r="Q110" i="63"/>
  <c r="Q54" i="63"/>
  <c r="AL31" i="63"/>
  <c r="AL87" i="63"/>
  <c r="AM82" i="63"/>
  <c r="P15" i="63"/>
  <c r="AL14" i="63"/>
  <c r="AL24" i="63"/>
  <c r="AL48" i="63"/>
  <c r="P28" i="63"/>
  <c r="AL19" i="63"/>
  <c r="AL111" i="63"/>
  <c r="P116" i="63"/>
  <c r="P44" i="63"/>
  <c r="AL106" i="63"/>
  <c r="AL25" i="63"/>
  <c r="AL44" i="63"/>
  <c r="AK44" i="63"/>
  <c r="AL64" i="63"/>
  <c r="P121" i="63"/>
  <c r="O121" i="63"/>
  <c r="P76" i="63"/>
  <c r="P51" i="63"/>
  <c r="AL58" i="63"/>
  <c r="Q121" i="63"/>
  <c r="P41" i="63"/>
  <c r="P90" i="63"/>
  <c r="AL16" i="63"/>
  <c r="P13" i="63"/>
  <c r="AM44" i="63"/>
  <c r="Q19" i="63"/>
  <c r="AL37" i="63"/>
  <c r="P36" i="63"/>
  <c r="AL103" i="63"/>
  <c r="AL12" i="63"/>
  <c r="AK12" i="63"/>
  <c r="P45" i="63"/>
  <c r="P12" i="63"/>
  <c r="O12" i="63"/>
  <c r="Q12" i="63"/>
  <c r="AM85" i="63"/>
  <c r="P87" i="63"/>
  <c r="P26" i="63"/>
  <c r="AL23" i="63"/>
  <c r="P79" i="63"/>
  <c r="P68" i="63"/>
  <c r="Q74" i="63"/>
  <c r="AL92" i="63"/>
  <c r="AL110" i="63"/>
  <c r="AL82" i="63"/>
  <c r="AK82" i="63"/>
  <c r="AL88" i="63"/>
  <c r="I113" i="46"/>
  <c r="I112" i="46" s="1"/>
  <c r="AM59" i="63"/>
  <c r="Q82" i="63"/>
  <c r="AM17" i="63"/>
  <c r="Q62" i="63"/>
  <c r="P39" i="63"/>
  <c r="P62" i="63"/>
  <c r="AL59" i="63"/>
  <c r="P53" i="63"/>
  <c r="P97" i="63"/>
  <c r="AM104" i="63"/>
  <c r="P78" i="63"/>
  <c r="AM55" i="63"/>
  <c r="AL17" i="63"/>
  <c r="P118" i="63"/>
  <c r="AL27" i="63"/>
  <c r="Q53" i="63"/>
  <c r="Q56" i="63"/>
  <c r="AM27" i="63"/>
  <c r="AL35" i="63"/>
  <c r="AM111" i="63"/>
  <c r="Q24" i="63"/>
  <c r="P98" i="63"/>
  <c r="P18" i="63"/>
  <c r="AL100" i="63"/>
  <c r="AL120" i="63"/>
  <c r="AL49" i="63"/>
  <c r="Q31" i="63"/>
  <c r="Q44" i="63"/>
  <c r="P113" i="63"/>
  <c r="F113" i="46"/>
  <c r="F112" i="46" s="1"/>
  <c r="H113" i="46"/>
  <c r="H112" i="46" s="1"/>
  <c r="O26" i="63"/>
  <c r="AL115" i="63"/>
  <c r="Q58" i="63"/>
  <c r="P91" i="63"/>
  <c r="P70" i="63"/>
  <c r="AL66" i="63"/>
  <c r="P73" i="63"/>
  <c r="AM99" i="63"/>
  <c r="AM14" i="63"/>
  <c r="AL112" i="63"/>
  <c r="AL83" i="63"/>
  <c r="AL43" i="63"/>
  <c r="AL29" i="63"/>
  <c r="Q47" i="63"/>
  <c r="AL101" i="63"/>
  <c r="AL21" i="63"/>
  <c r="AM67" i="63"/>
  <c r="AL42" i="63"/>
  <c r="Q75" i="63"/>
  <c r="AL40" i="63"/>
  <c r="AL75" i="63"/>
  <c r="Q46" i="63"/>
  <c r="AL108" i="63"/>
  <c r="E117" i="46" l="1"/>
  <c r="E113" i="46"/>
  <c r="I98" i="46"/>
  <c r="H97" i="46"/>
  <c r="H93" i="46"/>
  <c r="H92" i="46" s="1"/>
  <c r="F97" i="46"/>
  <c r="F93" i="46"/>
  <c r="F92" i="46" s="1"/>
  <c r="G97" i="46"/>
  <c r="G93" i="46"/>
  <c r="G92" i="46" s="1"/>
  <c r="E97" i="46"/>
  <c r="E93" i="46"/>
  <c r="E92" i="46" s="1"/>
  <c r="AM88" i="63"/>
  <c r="AM33" i="63"/>
  <c r="AM120" i="63"/>
  <c r="AM116" i="63"/>
  <c r="I117" i="46"/>
  <c r="I118" i="46" s="1"/>
  <c r="H117" i="46"/>
  <c r="H118" i="46" s="1"/>
  <c r="F117" i="46"/>
  <c r="F118" i="46" s="1"/>
  <c r="Q34" i="63"/>
  <c r="AM93" i="63"/>
  <c r="AM90" i="63"/>
  <c r="AM43" i="63"/>
  <c r="Q116" i="63"/>
  <c r="Q35" i="63"/>
  <c r="AM37" i="63"/>
  <c r="Q103" i="63"/>
  <c r="Q32" i="63"/>
  <c r="Q30" i="63"/>
  <c r="Q95" i="63"/>
  <c r="AM63" i="63"/>
  <c r="Q42" i="63"/>
  <c r="O28" i="63"/>
  <c r="AM53" i="63"/>
  <c r="Q51" i="63"/>
  <c r="Q112" i="63"/>
  <c r="Q93" i="63"/>
  <c r="Q65" i="63"/>
  <c r="AM92" i="63"/>
  <c r="AM100" i="63"/>
  <c r="AM56" i="63"/>
  <c r="AM89" i="63"/>
  <c r="Q117" i="63"/>
  <c r="AM95" i="63"/>
  <c r="AM57" i="63"/>
  <c r="Q60" i="63"/>
  <c r="AM29" i="63"/>
  <c r="Q89" i="63"/>
  <c r="O36" i="63"/>
  <c r="AM38" i="63"/>
  <c r="AM48" i="63"/>
  <c r="Q87" i="63"/>
  <c r="Q85" i="63"/>
  <c r="AM105" i="63"/>
  <c r="O67" i="63"/>
  <c r="Q102" i="63"/>
  <c r="Q20" i="63"/>
  <c r="Q83" i="63"/>
  <c r="AM98" i="63"/>
  <c r="Q49" i="63"/>
  <c r="O55" i="63"/>
  <c r="Q92" i="63"/>
  <c r="AM45" i="63"/>
  <c r="AM50" i="63"/>
  <c r="AM41" i="63"/>
  <c r="AM22" i="63"/>
  <c r="AM35" i="63"/>
  <c r="AM23" i="63"/>
  <c r="AK24" i="63"/>
  <c r="AK71" i="63"/>
  <c r="Q76" i="63"/>
  <c r="Q91" i="63"/>
  <c r="R97" i="41" s="1"/>
  <c r="AM51" i="63"/>
  <c r="Q114" i="63"/>
  <c r="Q71" i="63"/>
  <c r="Q78" i="63"/>
  <c r="AK54" i="63"/>
  <c r="Q38" i="63"/>
  <c r="AM30" i="63"/>
  <c r="AK16" i="63"/>
  <c r="O90" i="63"/>
  <c r="Q14" i="63"/>
  <c r="AK31" i="63"/>
  <c r="AK56" i="63"/>
  <c r="AM101" i="63"/>
  <c r="AM84" i="63"/>
  <c r="Q40" i="63"/>
  <c r="AM20" i="63"/>
  <c r="Q57" i="63"/>
  <c r="AM60" i="63"/>
  <c r="Q25" i="63"/>
  <c r="AM80" i="63"/>
  <c r="AM81" i="63"/>
  <c r="AM49" i="63"/>
  <c r="AK30" i="63"/>
  <c r="Q80" i="63"/>
  <c r="Q84" i="63"/>
  <c r="AM66" i="63"/>
  <c r="O79" i="63"/>
  <c r="Q63" i="63"/>
  <c r="Q43" i="63"/>
  <c r="O52" i="63"/>
  <c r="Q99" i="63"/>
  <c r="Q86" i="63"/>
  <c r="AM112" i="63"/>
  <c r="AM39" i="63"/>
  <c r="AM121" i="63"/>
  <c r="Q68" i="63"/>
  <c r="AK19" i="63"/>
  <c r="AK87" i="63"/>
  <c r="AM94" i="63"/>
  <c r="AM61" i="63"/>
  <c r="AM25" i="63"/>
  <c r="AM70" i="63"/>
  <c r="AK60" i="63"/>
  <c r="AM40" i="63"/>
  <c r="AM78" i="63"/>
  <c r="P80" i="63"/>
  <c r="O80" i="63"/>
  <c r="AL65" i="63"/>
  <c r="AK65" i="63"/>
  <c r="AL61" i="63"/>
  <c r="AK61" i="63"/>
  <c r="Q16" i="63"/>
  <c r="Q41" i="63"/>
  <c r="P106" i="63"/>
  <c r="O106" i="63"/>
  <c r="AM86" i="63"/>
  <c r="Q115" i="63"/>
  <c r="F24" i="79" s="1"/>
  <c r="AM64" i="63"/>
  <c r="AL114" i="63"/>
  <c r="AK114" i="63"/>
  <c r="AM114" i="63"/>
  <c r="P71" i="63"/>
  <c r="O71" i="63"/>
  <c r="Q15" i="63"/>
  <c r="P85" i="63"/>
  <c r="O85" i="63"/>
  <c r="AM97" i="63"/>
  <c r="AL51" i="63"/>
  <c r="AK51" i="63"/>
  <c r="AM58" i="63"/>
  <c r="P23" i="63"/>
  <c r="O23" i="63"/>
  <c r="Q111" i="63"/>
  <c r="P49" i="63"/>
  <c r="O49" i="63"/>
  <c r="AM62" i="63"/>
  <c r="P27" i="63"/>
  <c r="O27" i="63"/>
  <c r="AL62" i="63"/>
  <c r="AK62" i="63"/>
  <c r="AL36" i="63"/>
  <c r="AK36" i="63"/>
  <c r="AM103" i="63"/>
  <c r="AL56" i="63"/>
  <c r="AL71" i="63"/>
  <c r="Q26" i="63"/>
  <c r="AK42" i="63"/>
  <c r="O41" i="63"/>
  <c r="AK58" i="63"/>
  <c r="O51" i="63"/>
  <c r="Q113" i="63"/>
  <c r="AK115" i="63"/>
  <c r="AK112" i="63"/>
  <c r="P52" i="63"/>
  <c r="AL30" i="63"/>
  <c r="AL60" i="63"/>
  <c r="AL89" i="63"/>
  <c r="AK89" i="63"/>
  <c r="AL41" i="63"/>
  <c r="AK41" i="63"/>
  <c r="AM13" i="63"/>
  <c r="AL50" i="63"/>
  <c r="AK50" i="63"/>
  <c r="AL95" i="63"/>
  <c r="AK95" i="63"/>
  <c r="AM72" i="63"/>
  <c r="AL81" i="63"/>
  <c r="AK81" i="63"/>
  <c r="P34" i="63"/>
  <c r="O34" i="63"/>
  <c r="P75" i="63"/>
  <c r="O75" i="63"/>
  <c r="Q94" i="63"/>
  <c r="AM108" i="63"/>
  <c r="Q45" i="63"/>
  <c r="Q106" i="63"/>
  <c r="P65" i="63"/>
  <c r="O65" i="63"/>
  <c r="P43" i="63"/>
  <c r="O43" i="63"/>
  <c r="AL79" i="63"/>
  <c r="AK79" i="63"/>
  <c r="Q97" i="63"/>
  <c r="P64" i="63"/>
  <c r="O64" i="63"/>
  <c r="Q37" i="63"/>
  <c r="AL39" i="63"/>
  <c r="AK39" i="63"/>
  <c r="AL28" i="63"/>
  <c r="AK28" i="63"/>
  <c r="P56" i="63"/>
  <c r="O56" i="63"/>
  <c r="P58" i="63"/>
  <c r="O58" i="63"/>
  <c r="AM19" i="63"/>
  <c r="AM110" i="63"/>
  <c r="AK110" i="63"/>
  <c r="O18" i="63"/>
  <c r="O68" i="63"/>
  <c r="AK23" i="63"/>
  <c r="AM87" i="63"/>
  <c r="O98" i="63"/>
  <c r="O116" i="63"/>
  <c r="AK108" i="63"/>
  <c r="P89" i="63"/>
  <c r="O89" i="63"/>
  <c r="P117" i="63"/>
  <c r="O117" i="63"/>
  <c r="AL13" i="63"/>
  <c r="AK13" i="63"/>
  <c r="Q13" i="63"/>
  <c r="P50" i="63"/>
  <c r="O50" i="63"/>
  <c r="P81" i="63"/>
  <c r="O81" i="63"/>
  <c r="AL99" i="63"/>
  <c r="AK99" i="63"/>
  <c r="AL34" i="63"/>
  <c r="AK34" i="63"/>
  <c r="AL70" i="63"/>
  <c r="AK70" i="63"/>
  <c r="P66" i="63"/>
  <c r="O66" i="63"/>
  <c r="Q119" i="63"/>
  <c r="Q108" i="63"/>
  <c r="AL119" i="63"/>
  <c r="AK119" i="63"/>
  <c r="AL38" i="63"/>
  <c r="AK38" i="63"/>
  <c r="AM106" i="63"/>
  <c r="P72" i="63"/>
  <c r="O72" i="63"/>
  <c r="P112" i="63"/>
  <c r="O112" i="63"/>
  <c r="AL107" i="63"/>
  <c r="AK107" i="63"/>
  <c r="P115" i="63"/>
  <c r="O115" i="63"/>
  <c r="P77" i="63"/>
  <c r="O77" i="63"/>
  <c r="AL32" i="63"/>
  <c r="AK32" i="63"/>
  <c r="P14" i="63"/>
  <c r="O14" i="63"/>
  <c r="AL55" i="63"/>
  <c r="AK55" i="63"/>
  <c r="P110" i="63"/>
  <c r="O110" i="63"/>
  <c r="AM118" i="63"/>
  <c r="P88" i="63"/>
  <c r="O88" i="63"/>
  <c r="AL116" i="63"/>
  <c r="AK116" i="63"/>
  <c r="P17" i="63"/>
  <c r="O17" i="63"/>
  <c r="Q39" i="63"/>
  <c r="Q17" i="63"/>
  <c r="O118" i="63"/>
  <c r="AK101" i="63"/>
  <c r="Q79" i="63"/>
  <c r="O76" i="63"/>
  <c r="AK106" i="63"/>
  <c r="AK100" i="63"/>
  <c r="AK14" i="63"/>
  <c r="AK20" i="63"/>
  <c r="AL93" i="63"/>
  <c r="AK93" i="63"/>
  <c r="P93" i="63"/>
  <c r="O93" i="63"/>
  <c r="P42" i="63"/>
  <c r="O42" i="63"/>
  <c r="P119" i="63"/>
  <c r="O119" i="63"/>
  <c r="P38" i="63"/>
  <c r="O38" i="63"/>
  <c r="P47" i="63"/>
  <c r="O47" i="63"/>
  <c r="AL72" i="63"/>
  <c r="AK72" i="63"/>
  <c r="AM47" i="63"/>
  <c r="P63" i="63"/>
  <c r="O63" i="63"/>
  <c r="AL68" i="63"/>
  <c r="AK68" i="63"/>
  <c r="AM76" i="63"/>
  <c r="AL77" i="63"/>
  <c r="AK77" i="63"/>
  <c r="AL52" i="63"/>
  <c r="AK52" i="63"/>
  <c r="P92" i="63"/>
  <c r="O92" i="63"/>
  <c r="P19" i="63"/>
  <c r="O19" i="63"/>
  <c r="Q22" i="63"/>
  <c r="Q36" i="63"/>
  <c r="P32" i="63"/>
  <c r="O32" i="63"/>
  <c r="AL78" i="63"/>
  <c r="AK78" i="63"/>
  <c r="P30" i="63"/>
  <c r="O30" i="63"/>
  <c r="Q88" i="63"/>
  <c r="Q98" i="63"/>
  <c r="Q28" i="63"/>
  <c r="AK59" i="63"/>
  <c r="AK37" i="63"/>
  <c r="O113" i="63"/>
  <c r="AK27" i="63"/>
  <c r="AK111" i="63"/>
  <c r="O70" i="63"/>
  <c r="AK40" i="63"/>
  <c r="AL109" i="63"/>
  <c r="AK109" i="63"/>
  <c r="AL67" i="63"/>
  <c r="AK67" i="63"/>
  <c r="Q72" i="63"/>
  <c r="Q61" i="63"/>
  <c r="AM119" i="63"/>
  <c r="P46" i="63"/>
  <c r="O46" i="63"/>
  <c r="Q67" i="63"/>
  <c r="AL94" i="63"/>
  <c r="AK94" i="63"/>
  <c r="Q18" i="63"/>
  <c r="AL47" i="63"/>
  <c r="AK47" i="63"/>
  <c r="AL46" i="63"/>
  <c r="AK46" i="63"/>
  <c r="AM46" i="63"/>
  <c r="P120" i="63"/>
  <c r="O120" i="63"/>
  <c r="AL73" i="63"/>
  <c r="AK73" i="63"/>
  <c r="Q48" i="63"/>
  <c r="Q23" i="63"/>
  <c r="AM36" i="63"/>
  <c r="P108" i="63"/>
  <c r="O108" i="63"/>
  <c r="AL26" i="63"/>
  <c r="AK26" i="63"/>
  <c r="Q55" i="63"/>
  <c r="AL53" i="63"/>
  <c r="AK53" i="63"/>
  <c r="AM32" i="63"/>
  <c r="AL121" i="63"/>
  <c r="AK121" i="63"/>
  <c r="P37" i="63"/>
  <c r="O37" i="63"/>
  <c r="O62" i="63"/>
  <c r="AK92" i="63"/>
  <c r="AK21" i="63"/>
  <c r="AK120" i="63"/>
  <c r="O44" i="63"/>
  <c r="O15" i="63"/>
  <c r="Q118" i="63"/>
  <c r="Q69" i="63"/>
  <c r="P96" i="63"/>
  <c r="O96" i="63"/>
  <c r="AM68" i="63"/>
  <c r="P99" i="63"/>
  <c r="O99" i="63"/>
  <c r="AL45" i="63"/>
  <c r="AK45" i="63"/>
  <c r="P94" i="63"/>
  <c r="O94" i="63"/>
  <c r="AM102" i="63"/>
  <c r="AL84" i="63"/>
  <c r="AK84" i="63"/>
  <c r="P69" i="63"/>
  <c r="O69" i="63"/>
  <c r="AL113" i="63"/>
  <c r="AK113" i="63"/>
  <c r="AM109" i="63"/>
  <c r="AL33" i="63"/>
  <c r="AK33" i="63"/>
  <c r="P57" i="63"/>
  <c r="O57" i="63"/>
  <c r="AM42" i="63"/>
  <c r="AM52" i="63"/>
  <c r="AM34" i="63"/>
  <c r="P33" i="63"/>
  <c r="O33" i="63"/>
  <c r="P40" i="63"/>
  <c r="O40" i="63"/>
  <c r="AM96" i="63"/>
  <c r="AM73" i="63"/>
  <c r="AM79" i="63"/>
  <c r="AM18" i="63"/>
  <c r="AL90" i="63"/>
  <c r="AK90" i="63"/>
  <c r="Q21" i="63"/>
  <c r="AL102" i="63"/>
  <c r="AK102" i="63"/>
  <c r="Q66" i="63"/>
  <c r="AL86" i="63"/>
  <c r="AK86" i="63"/>
  <c r="P25" i="63"/>
  <c r="O25" i="63"/>
  <c r="P48" i="63"/>
  <c r="O48" i="63"/>
  <c r="AM77" i="63"/>
  <c r="AM28" i="63"/>
  <c r="P83" i="63"/>
  <c r="O83" i="63"/>
  <c r="AL15" i="63"/>
  <c r="AK15" i="63"/>
  <c r="P111" i="63"/>
  <c r="O111" i="63"/>
  <c r="AM71" i="63"/>
  <c r="Q33" i="63"/>
  <c r="AM24" i="63"/>
  <c r="P31" i="63"/>
  <c r="O31" i="63"/>
  <c r="AL104" i="63"/>
  <c r="AK104" i="63"/>
  <c r="O97" i="63"/>
  <c r="AK43" i="63"/>
  <c r="O78" i="63"/>
  <c r="O39" i="63"/>
  <c r="AK66" i="63"/>
  <c r="AK25" i="63"/>
  <c r="AK83" i="63"/>
  <c r="AK63" i="63"/>
  <c r="AL96" i="63"/>
  <c r="AK96" i="63"/>
  <c r="AL117" i="63"/>
  <c r="AK117" i="63"/>
  <c r="P60" i="63"/>
  <c r="O60" i="63"/>
  <c r="P95" i="63"/>
  <c r="O95" i="63"/>
  <c r="P29" i="63"/>
  <c r="O29" i="63"/>
  <c r="P84" i="63"/>
  <c r="O84" i="63"/>
  <c r="AL69" i="63"/>
  <c r="AK69" i="63"/>
  <c r="Q50" i="63"/>
  <c r="AL57" i="63"/>
  <c r="AK57" i="63"/>
  <c r="Q52" i="63"/>
  <c r="Q81" i="63"/>
  <c r="Q96" i="63"/>
  <c r="Q73" i="63"/>
  <c r="AM69" i="63"/>
  <c r="P54" i="63"/>
  <c r="O54" i="63"/>
  <c r="AM117" i="63"/>
  <c r="P82" i="63"/>
  <c r="O82" i="63"/>
  <c r="AM21" i="63"/>
  <c r="AM91" i="63"/>
  <c r="AL76" i="63"/>
  <c r="AK76" i="63"/>
  <c r="AL105" i="63"/>
  <c r="AK105" i="63"/>
  <c r="P102" i="63"/>
  <c r="O102" i="63"/>
  <c r="Q70" i="63"/>
  <c r="P86" i="63"/>
  <c r="O86" i="63"/>
  <c r="AM107" i="63"/>
  <c r="AL22" i="63"/>
  <c r="AK22" i="63"/>
  <c r="Q77" i="63"/>
  <c r="P21" i="63"/>
  <c r="O21" i="63"/>
  <c r="AM65" i="63"/>
  <c r="AL98" i="63"/>
  <c r="AK98" i="63"/>
  <c r="AM26" i="63"/>
  <c r="AL118" i="63"/>
  <c r="AK118" i="63"/>
  <c r="AM54" i="63"/>
  <c r="P24" i="63"/>
  <c r="O24" i="63"/>
  <c r="AL97" i="63"/>
  <c r="AK97" i="63"/>
  <c r="P35" i="63"/>
  <c r="O35" i="63"/>
  <c r="AM15" i="63"/>
  <c r="O87" i="63"/>
  <c r="AK75" i="63"/>
  <c r="O53" i="63"/>
  <c r="AK17" i="63"/>
  <c r="AK64" i="63"/>
  <c r="O73" i="63"/>
  <c r="AK35" i="63"/>
  <c r="AK48" i="63"/>
  <c r="AK29" i="63"/>
  <c r="AK88" i="63"/>
  <c r="O91" i="63"/>
  <c r="AK49" i="63"/>
  <c r="AL80" i="63"/>
  <c r="AK80" i="63"/>
  <c r="P61" i="63"/>
  <c r="O61" i="63"/>
  <c r="AM16" i="63"/>
  <c r="AL91" i="63"/>
  <c r="AK91" i="63"/>
  <c r="Q90" i="63"/>
  <c r="F23" i="79" s="1"/>
  <c r="AM113" i="63"/>
  <c r="AM115" i="63"/>
  <c r="Q64" i="63"/>
  <c r="P22" i="63"/>
  <c r="O22" i="63"/>
  <c r="P20" i="63"/>
  <c r="O20" i="63"/>
  <c r="P114" i="63"/>
  <c r="O114" i="63"/>
  <c r="Q29" i="63"/>
  <c r="Q120" i="63"/>
  <c r="P16" i="63"/>
  <c r="O16" i="63"/>
  <c r="AM83" i="63"/>
  <c r="AM31" i="63"/>
  <c r="AL18" i="63"/>
  <c r="AK18" i="63"/>
  <c r="Q27" i="63"/>
  <c r="AM75" i="63"/>
  <c r="P59" i="63"/>
  <c r="O59" i="63"/>
  <c r="J97" i="46" s="1"/>
  <c r="P103" i="63"/>
  <c r="O103" i="63"/>
  <c r="Q59" i="63"/>
  <c r="O45" i="63"/>
  <c r="AK103" i="63"/>
  <c r="O13" i="63"/>
  <c r="E118" i="46" l="1"/>
  <c r="I200" i="41"/>
  <c r="I139" i="46"/>
  <c r="R86" i="41"/>
  <c r="I38" i="46" s="1"/>
  <c r="F25" i="79"/>
  <c r="J113" i="46"/>
  <c r="E112" i="46"/>
  <c r="J112" i="46" s="1"/>
  <c r="I107" i="46" s="1"/>
  <c r="E98" i="46"/>
  <c r="J92" i="46"/>
  <c r="J93" i="46"/>
  <c r="J98" i="46" s="1"/>
  <c r="G98" i="46"/>
  <c r="F98" i="46"/>
  <c r="H98" i="46"/>
  <c r="J117" i="46"/>
  <c r="R124" i="46"/>
  <c r="I22" i="41"/>
  <c r="R96" i="41"/>
  <c r="I40" i="46" s="1"/>
  <c r="R91" i="41"/>
  <c r="I39" i="46" s="1"/>
  <c r="I87" i="41" l="1"/>
  <c r="R23" i="46"/>
  <c r="Y64" i="46" s="1"/>
  <c r="I86" i="41"/>
  <c r="J118" i="46"/>
  <c r="A118" i="46" s="1"/>
  <c r="A98" i="46"/>
  <c r="R27" i="46"/>
  <c r="Y66" i="46" s="1"/>
  <c r="R123" i="46"/>
  <c r="R25" i="46"/>
  <c r="Y65" i="46" s="1"/>
  <c r="I92" i="41"/>
  <c r="I91" i="41"/>
  <c r="I96" i="41"/>
  <c r="AM122" i="63"/>
  <c r="Q122" i="63"/>
  <c r="P122" i="63"/>
  <c r="O122" i="63"/>
  <c r="AL122" i="63"/>
  <c r="AK122" i="63"/>
  <c r="I87" i="46" l="1"/>
  <c r="I132" i="46"/>
  <c r="I128" i="46"/>
  <c r="I104" i="46"/>
  <c r="Q123" i="63"/>
  <c r="AL123" i="63"/>
  <c r="AK123" i="63"/>
  <c r="P123" i="63"/>
  <c r="O123" i="63"/>
  <c r="AM123" i="63"/>
  <c r="P124" i="63"/>
  <c r="Q124" i="63" l="1"/>
  <c r="AL124" i="63"/>
  <c r="AK124" i="63"/>
  <c r="O124" i="63"/>
  <c r="AM124" i="63"/>
  <c r="Q125" i="63" l="1"/>
  <c r="AM125" i="63"/>
  <c r="P125" i="63"/>
  <c r="O125" i="63"/>
  <c r="AL125" i="63"/>
  <c r="AK125" i="63"/>
  <c r="P126" i="63" l="1"/>
  <c r="O126" i="63"/>
  <c r="Q126" i="63"/>
  <c r="AL126" i="63"/>
  <c r="AK126" i="63"/>
  <c r="AM126" i="63"/>
  <c r="P127" i="63" l="1"/>
  <c r="O127" i="63"/>
  <c r="Q127" i="63"/>
  <c r="AM127" i="63"/>
  <c r="AL127" i="63"/>
  <c r="AK127" i="63"/>
  <c r="Q131" i="63" l="1"/>
  <c r="AL131" i="63"/>
  <c r="AK131" i="63"/>
  <c r="AM131" i="63"/>
  <c r="Q128" i="63"/>
  <c r="AL128" i="63"/>
  <c r="AK128" i="63"/>
  <c r="P128" i="63"/>
  <c r="O128" i="63"/>
  <c r="O131" i="63"/>
  <c r="AM128" i="63"/>
  <c r="P131" i="63"/>
  <c r="AE133" i="63"/>
  <c r="AG133" i="63" l="1"/>
  <c r="AI133" i="63"/>
  <c r="AH133" i="63"/>
  <c r="AJ133" i="63"/>
  <c r="AM129" i="63"/>
  <c r="AL129" i="63"/>
  <c r="P129" i="63"/>
  <c r="AK129" i="63"/>
  <c r="AA43" i="16"/>
  <c r="P130" i="63"/>
  <c r="Y43" i="16"/>
  <c r="AB149" i="41" l="1"/>
  <c r="Z149" i="41"/>
  <c r="H135" i="63"/>
  <c r="K135" i="63"/>
  <c r="Q129" i="63"/>
  <c r="AI135" i="63"/>
  <c r="T84" i="18"/>
  <c r="T91" i="18" s="1"/>
  <c r="Y42" i="16"/>
  <c r="X58" i="16"/>
  <c r="AG135" i="63"/>
  <c r="J135" i="63"/>
  <c r="AA44" i="16"/>
  <c r="Y40" i="16"/>
  <c r="AL130" i="63"/>
  <c r="AD133" i="63"/>
  <c r="AE135" i="63"/>
  <c r="Y45" i="16"/>
  <c r="AK130" i="63"/>
  <c r="Z43" i="16"/>
  <c r="O129" i="63"/>
  <c r="Z44" i="16"/>
  <c r="AH135" i="63"/>
  <c r="AJ135" i="63"/>
  <c r="AA45" i="16"/>
  <c r="Z45" i="16"/>
  <c r="Y44" i="16"/>
  <c r="AA42" i="16"/>
  <c r="V84" i="18"/>
  <c r="V91" i="18" s="1"/>
  <c r="L135" i="63"/>
  <c r="AC45" i="16"/>
  <c r="AC43" i="16"/>
  <c r="AA149" i="41" l="1"/>
  <c r="Z147" i="41"/>
  <c r="AA150" i="41"/>
  <c r="AD149" i="41"/>
  <c r="Z150" i="41"/>
  <c r="AB150" i="41"/>
  <c r="O130" i="63"/>
  <c r="AC44" i="16"/>
  <c r="I135" i="63"/>
  <c r="AA40" i="16"/>
  <c r="AB43" i="16"/>
  <c r="X42" i="16"/>
  <c r="S84" i="18"/>
  <c r="S91" i="18" s="1"/>
  <c r="N135" i="63"/>
  <c r="X45" i="16"/>
  <c r="X61" i="16"/>
  <c r="AB45" i="16"/>
  <c r="Z41" i="16"/>
  <c r="U85" i="18"/>
  <c r="U92" i="18" s="1"/>
  <c r="T85" i="18"/>
  <c r="T92" i="18" s="1"/>
  <c r="T94" i="18" s="1"/>
  <c r="Y41" i="16"/>
  <c r="X44" i="16"/>
  <c r="M135" i="63"/>
  <c r="AM130" i="63"/>
  <c r="AF133" i="63"/>
  <c r="Z40" i="16"/>
  <c r="X43" i="16"/>
  <c r="AB44" i="16"/>
  <c r="Z42" i="16"/>
  <c r="U84" i="18"/>
  <c r="U91" i="18" s="1"/>
  <c r="Q130" i="63"/>
  <c r="AC41" i="16"/>
  <c r="X85" i="18"/>
  <c r="X92" i="18" s="1"/>
  <c r="X57" i="16"/>
  <c r="AD135" i="63"/>
  <c r="AA41" i="16"/>
  <c r="V85" i="18"/>
  <c r="V92" i="18" s="1"/>
  <c r="V94" i="18" s="1"/>
  <c r="AD150" i="41" l="1"/>
  <c r="Z148" i="41"/>
  <c r="AB148" i="41"/>
  <c r="AC150" i="41"/>
  <c r="AB147" i="41"/>
  <c r="Y149" i="41"/>
  <c r="AC149" i="41"/>
  <c r="AA147" i="41"/>
  <c r="Y150" i="41"/>
  <c r="AA148" i="41"/>
  <c r="U94" i="18"/>
  <c r="U98" i="18" s="1"/>
  <c r="V98" i="18"/>
  <c r="T98" i="18"/>
  <c r="W85" i="18"/>
  <c r="W92" i="18" s="1"/>
  <c r="AB41" i="16"/>
  <c r="X41" i="16"/>
  <c r="Y148" i="41" s="1"/>
  <c r="S85" i="18"/>
  <c r="S92" i="18" s="1"/>
  <c r="S94" i="18" s="1"/>
  <c r="X60" i="16"/>
  <c r="W89" i="15"/>
  <c r="W91" i="15"/>
  <c r="W90" i="15"/>
  <c r="W88" i="15"/>
  <c r="W84" i="18"/>
  <c r="W91" i="18" s="1"/>
  <c r="AB42" i="16"/>
  <c r="AF135" i="63"/>
  <c r="AB40" i="16"/>
  <c r="X56" i="16"/>
  <c r="X40" i="16"/>
  <c r="Y147" i="41" s="1"/>
  <c r="X59" i="16"/>
  <c r="W87" i="15"/>
  <c r="AC40" i="16"/>
  <c r="AC42" i="16"/>
  <c r="X84" i="18"/>
  <c r="X91" i="18" s="1"/>
  <c r="X94" i="18" s="1"/>
  <c r="AD148" i="41" l="1"/>
  <c r="AC147" i="41"/>
  <c r="AC148" i="41"/>
  <c r="AD147" i="41"/>
  <c r="W94" i="18"/>
  <c r="W98" i="18" s="1"/>
  <c r="W96" i="15"/>
  <c r="S98" i="18"/>
  <c r="W93" i="15"/>
  <c r="W95" i="15"/>
  <c r="X98" i="18"/>
  <c r="J126" i="41" l="1"/>
  <c r="Z98" i="18"/>
  <c r="R100" i="18" l="1"/>
  <c r="R36" i="18" s="1"/>
  <c r="R39" i="18" s="1"/>
  <c r="Q100" i="18"/>
  <c r="P100" i="18"/>
  <c r="V100" i="18"/>
  <c r="T100" i="18"/>
  <c r="U100" i="18"/>
  <c r="S100" i="18"/>
  <c r="W100" i="18"/>
  <c r="X100" i="18"/>
  <c r="R11" i="20" l="1"/>
  <c r="R38" i="18"/>
  <c r="S34" i="18"/>
  <c r="S36" i="18" s="1"/>
  <c r="S11" i="20" s="1"/>
  <c r="T34" i="18" l="1"/>
  <c r="T36" i="18" s="1"/>
  <c r="T38" i="18" s="1"/>
  <c r="S38" i="18"/>
  <c r="T11" i="20" l="1"/>
  <c r="U34" i="18"/>
  <c r="U36" i="18" s="1"/>
  <c r="U11" i="20" s="1"/>
  <c r="V34" i="18" l="1"/>
  <c r="V36" i="18" s="1"/>
  <c r="V11" i="20" s="1"/>
  <c r="U38" i="18"/>
  <c r="W34" i="18" l="1"/>
  <c r="W36" i="18" s="1"/>
  <c r="W38" i="18" s="1"/>
  <c r="V38" i="18"/>
  <c r="X34" i="18" l="1"/>
  <c r="X36" i="18" s="1"/>
  <c r="X38" i="18" s="1"/>
  <c r="W11" i="20"/>
  <c r="X11" i="20" l="1"/>
  <c r="T12" i="12" l="1"/>
  <c r="T15" i="12"/>
  <c r="T18" i="12"/>
  <c r="T13" i="12"/>
  <c r="T16" i="12"/>
  <c r="T19" i="12"/>
  <c r="T17" i="12"/>
  <c r="T14" i="12"/>
  <c r="U18" i="12"/>
  <c r="U13" i="12"/>
  <c r="U12" i="12"/>
  <c r="U16" i="12"/>
  <c r="U15" i="12"/>
  <c r="U19" i="12"/>
  <c r="U14" i="12"/>
  <c r="U17" i="12"/>
  <c r="V13" i="12"/>
  <c r="V18" i="12"/>
  <c r="V16" i="12"/>
  <c r="V19" i="12"/>
  <c r="V14" i="12"/>
  <c r="V15" i="12"/>
  <c r="V17" i="12"/>
  <c r="V12" i="12"/>
  <c r="F239" i="41" l="1"/>
  <c r="F241" i="41" s="1"/>
  <c r="G239" i="41" l="1"/>
  <c r="E239" i="41"/>
  <c r="X47" i="16"/>
  <c r="X63" i="16"/>
  <c r="AA80" i="63"/>
  <c r="AA40" i="63"/>
  <c r="AA60" i="63"/>
  <c r="AA69" i="63"/>
  <c r="AA76" i="63"/>
  <c r="AA35" i="63"/>
  <c r="AA44" i="63"/>
  <c r="AA28" i="63"/>
  <c r="AA49" i="63"/>
  <c r="AA17" i="63"/>
  <c r="AA27" i="63"/>
  <c r="AA24" i="63"/>
  <c r="AA127" i="63"/>
  <c r="AA116" i="63"/>
  <c r="AA57" i="63"/>
  <c r="AA38" i="63"/>
  <c r="AA131" i="63"/>
  <c r="AA74" i="63"/>
  <c r="AA119" i="63"/>
  <c r="G241" i="41" l="1"/>
  <c r="E241" i="41"/>
  <c r="X46" i="16"/>
  <c r="Y151" i="41" s="1"/>
  <c r="Y152" i="41" s="1"/>
  <c r="AA106" i="63"/>
  <c r="AA92" i="63"/>
  <c r="AA50" i="63"/>
  <c r="AA108" i="63"/>
  <c r="AA86" i="63"/>
  <c r="AA114" i="63"/>
  <c r="AA88" i="63"/>
  <c r="AA22" i="63"/>
  <c r="AA33" i="63"/>
  <c r="AA61" i="63"/>
  <c r="AA34" i="63"/>
  <c r="AA81" i="63"/>
  <c r="AA123" i="63"/>
  <c r="AA41" i="63"/>
  <c r="AA87" i="63"/>
  <c r="AA122" i="63"/>
  <c r="AA47" i="63"/>
  <c r="AA111" i="63"/>
  <c r="AA90" i="63"/>
  <c r="AA124" i="63"/>
  <c r="AA96" i="63"/>
  <c r="AA72" i="63"/>
  <c r="AA52" i="63"/>
  <c r="AA97" i="63"/>
  <c r="AA68" i="63"/>
  <c r="AA31" i="63"/>
  <c r="AA82" i="63"/>
  <c r="AA117" i="63"/>
  <c r="AA64" i="63"/>
  <c r="AA62" i="63"/>
  <c r="AA99" i="63"/>
  <c r="AA42" i="63"/>
  <c r="AA115" i="63"/>
  <c r="AA12" i="63"/>
  <c r="AA55" i="63"/>
  <c r="AA91" i="63"/>
  <c r="AA20" i="63"/>
  <c r="AA83" i="63"/>
  <c r="AA45" i="63"/>
  <c r="AA36" i="63"/>
  <c r="AA25" i="63"/>
  <c r="AA37" i="63"/>
  <c r="AA71" i="63"/>
  <c r="AA121" i="63"/>
  <c r="AA59" i="63"/>
  <c r="AA84" i="63"/>
  <c r="AA125" i="63"/>
  <c r="AA39" i="63"/>
  <c r="AA54" i="63"/>
  <c r="AA98" i="63"/>
  <c r="AA30" i="63"/>
  <c r="AA65" i="63"/>
  <c r="AA14" i="63"/>
  <c r="AA129" i="63"/>
  <c r="AA15" i="63"/>
  <c r="AA113" i="63"/>
  <c r="AA21" i="63"/>
  <c r="AA66" i="63"/>
  <c r="AA19" i="63"/>
  <c r="AA120" i="63"/>
  <c r="AA128" i="63"/>
  <c r="AA77" i="63"/>
  <c r="AA56" i="63"/>
  <c r="AA102" i="63"/>
  <c r="AA67" i="63"/>
  <c r="AA51" i="63"/>
  <c r="AA89" i="63"/>
  <c r="AA75" i="63"/>
  <c r="AA118" i="63"/>
  <c r="AA63" i="63"/>
  <c r="AA48" i="63"/>
  <c r="AA26" i="63"/>
  <c r="AA46" i="63"/>
  <c r="AA16" i="63"/>
  <c r="AA29" i="63"/>
  <c r="AA70" i="63"/>
  <c r="AA18" i="63"/>
  <c r="X62" i="16"/>
  <c r="W45" i="15"/>
  <c r="AA78" i="63"/>
  <c r="AA13" i="63"/>
  <c r="AA94" i="63"/>
  <c r="AA103" i="63"/>
  <c r="AA53" i="63"/>
  <c r="AA110" i="63"/>
  <c r="AA112" i="63"/>
  <c r="AA85" i="63"/>
  <c r="AA130" i="63"/>
  <c r="AA23" i="63"/>
  <c r="AA95" i="63"/>
  <c r="AA126" i="63"/>
  <c r="AA73" i="63"/>
  <c r="AA43" i="63"/>
  <c r="AA79" i="63"/>
  <c r="AA58" i="63"/>
  <c r="AA93" i="63"/>
  <c r="AA32" i="63"/>
  <c r="X19" i="12" l="1"/>
  <c r="X14" i="12"/>
  <c r="X17" i="12"/>
  <c r="X13" i="12"/>
  <c r="X12" i="12"/>
  <c r="X15" i="12"/>
  <c r="X18" i="12"/>
  <c r="X16" i="12"/>
  <c r="W16" i="12"/>
  <c r="W13" i="12"/>
  <c r="W19" i="12"/>
  <c r="W14" i="12"/>
  <c r="W17" i="12"/>
  <c r="W12" i="12"/>
  <c r="W15" i="12"/>
  <c r="W18" i="12"/>
  <c r="W24" i="15"/>
  <c r="S135" i="63"/>
  <c r="X50" i="16"/>
  <c r="T107" i="41" s="1"/>
  <c r="X21" i="16"/>
  <c r="X30" i="16" s="1"/>
  <c r="X13" i="16"/>
  <c r="X66" i="16"/>
  <c r="T135" i="63"/>
  <c r="H239" i="41" l="1"/>
  <c r="I239" i="41"/>
  <c r="I241" i="41" s="1"/>
  <c r="X12" i="16"/>
  <c r="X20" i="16"/>
  <c r="Y155" i="41" s="1"/>
  <c r="AA47" i="16"/>
  <c r="AC47" i="16"/>
  <c r="AB47" i="16"/>
  <c r="Z47" i="16"/>
  <c r="J231" i="41" l="1"/>
  <c r="I197" i="41" s="1"/>
  <c r="H241" i="41"/>
  <c r="J239" i="41"/>
  <c r="Y47" i="16"/>
  <c r="A243" i="41" l="1"/>
  <c r="J241" i="41"/>
  <c r="AB117" i="63"/>
  <c r="Z117" i="63"/>
  <c r="AB26" i="63"/>
  <c r="Z26" i="63"/>
  <c r="AB120" i="63"/>
  <c r="Z120" i="63"/>
  <c r="AB98" i="63"/>
  <c r="Z98" i="63"/>
  <c r="AB57" i="63"/>
  <c r="Z57" i="63"/>
  <c r="AB86" i="63"/>
  <c r="Z86" i="63"/>
  <c r="AB70" i="63"/>
  <c r="Z70" i="63"/>
  <c r="AB127" i="63"/>
  <c r="Z127" i="63"/>
  <c r="AB81" i="63"/>
  <c r="Z81" i="63"/>
  <c r="AB17" i="63"/>
  <c r="Z17" i="63"/>
  <c r="AB73" i="63"/>
  <c r="Z73" i="63"/>
  <c r="AB56" i="63"/>
  <c r="Z56" i="63"/>
  <c r="AB69" i="63"/>
  <c r="Z69" i="63"/>
  <c r="AB118" i="63"/>
  <c r="Z118" i="63"/>
  <c r="AB93" i="63"/>
  <c r="Z93" i="63"/>
  <c r="AB29" i="63"/>
  <c r="Z29" i="63"/>
  <c r="AB106" i="63"/>
  <c r="Z106" i="63"/>
  <c r="AB55" i="63"/>
  <c r="Z55" i="63"/>
  <c r="AB59" i="63"/>
  <c r="V86" i="41" s="1"/>
  <c r="Z64" i="46" s="1"/>
  <c r="Q64" i="46" s="1"/>
  <c r="U64" i="46" s="1"/>
  <c r="Z59" i="63"/>
  <c r="AB103" i="63"/>
  <c r="Z103" i="63"/>
  <c r="AB123" i="63"/>
  <c r="Z123" i="63"/>
  <c r="AB72" i="63"/>
  <c r="Z72" i="63"/>
  <c r="AB62" i="63"/>
  <c r="Z62" i="63"/>
  <c r="AB13" i="63"/>
  <c r="Z13" i="63"/>
  <c r="AB82" i="63"/>
  <c r="Z82" i="63"/>
  <c r="AB49" i="63"/>
  <c r="Z49" i="63"/>
  <c r="AB87" i="63"/>
  <c r="Z87" i="63"/>
  <c r="AB63" i="63"/>
  <c r="Z63" i="63"/>
  <c r="AB54" i="63"/>
  <c r="Z54" i="63"/>
  <c r="AB80" i="63"/>
  <c r="Z80" i="63"/>
  <c r="Z24" i="15"/>
  <c r="AA46" i="16"/>
  <c r="AB65" i="63"/>
  <c r="Z65" i="63"/>
  <c r="AB48" i="63"/>
  <c r="Z48" i="63"/>
  <c r="AB126" i="63"/>
  <c r="Z126" i="63"/>
  <c r="AB24" i="63"/>
  <c r="Z24" i="63"/>
  <c r="AB51" i="63"/>
  <c r="Z51" i="63"/>
  <c r="AB122" i="63"/>
  <c r="Z122" i="63"/>
  <c r="AB66" i="63"/>
  <c r="Z66" i="63"/>
  <c r="AB128" i="63"/>
  <c r="Z128" i="63"/>
  <c r="AB76" i="63"/>
  <c r="Z76" i="63"/>
  <c r="AB124" i="63"/>
  <c r="Z124" i="63"/>
  <c r="AB53" i="63"/>
  <c r="Z53" i="63"/>
  <c r="AB119" i="63"/>
  <c r="Z119" i="63"/>
  <c r="AB85" i="63"/>
  <c r="Z85" i="63"/>
  <c r="AB121" i="63"/>
  <c r="Z121" i="63"/>
  <c r="AB36" i="63"/>
  <c r="Z36" i="63"/>
  <c r="AB18" i="63"/>
  <c r="Z18" i="63"/>
  <c r="AB44" i="63"/>
  <c r="Z44" i="63"/>
  <c r="AB77" i="63"/>
  <c r="Z77" i="63"/>
  <c r="AB112" i="63"/>
  <c r="Z112" i="63"/>
  <c r="AB46" i="16"/>
  <c r="AA24" i="15"/>
  <c r="AB114" i="63"/>
  <c r="Z114" i="63"/>
  <c r="AB89" i="63"/>
  <c r="Z89" i="63"/>
  <c r="AB42" i="63"/>
  <c r="Z42" i="63"/>
  <c r="AB96" i="63"/>
  <c r="Z96" i="63"/>
  <c r="AB52" i="63"/>
  <c r="Z52" i="63"/>
  <c r="AB130" i="63"/>
  <c r="Z130" i="63"/>
  <c r="AB131" i="63"/>
  <c r="Z131" i="63"/>
  <c r="Z46" i="16"/>
  <c r="Y24" i="15"/>
  <c r="AB64" i="63"/>
  <c r="Z64" i="63"/>
  <c r="AB40" i="63"/>
  <c r="Z40" i="63"/>
  <c r="AB61" i="63"/>
  <c r="Z61" i="63"/>
  <c r="AB41" i="63"/>
  <c r="Z41" i="63"/>
  <c r="AB46" i="63"/>
  <c r="Z46" i="63"/>
  <c r="AB39" i="63"/>
  <c r="Z39" i="63"/>
  <c r="AB33" i="63"/>
  <c r="Z33" i="63"/>
  <c r="AB88" i="63"/>
  <c r="Z88" i="63"/>
  <c r="AB14" i="63"/>
  <c r="Z14" i="63"/>
  <c r="AB22" i="63"/>
  <c r="Z22" i="63"/>
  <c r="AB71" i="63"/>
  <c r="Z71" i="63"/>
  <c r="AB16" i="63"/>
  <c r="Z16" i="63"/>
  <c r="AB25" i="63"/>
  <c r="Z25" i="63"/>
  <c r="AB38" i="63"/>
  <c r="Z38" i="63"/>
  <c r="AB79" i="63"/>
  <c r="Z79" i="63"/>
  <c r="AB94" i="63"/>
  <c r="Z94" i="63"/>
  <c r="AB60" i="63"/>
  <c r="Z60" i="63"/>
  <c r="AC46" i="16"/>
  <c r="AB24" i="15"/>
  <c r="X24" i="15"/>
  <c r="Y46" i="16"/>
  <c r="AB99" i="63"/>
  <c r="Z99" i="63"/>
  <c r="AB15" i="63"/>
  <c r="Z15" i="63"/>
  <c r="AB74" i="63"/>
  <c r="Z74" i="63"/>
  <c r="AB84" i="63"/>
  <c r="Z84" i="63"/>
  <c r="AB111" i="63"/>
  <c r="Z111" i="63"/>
  <c r="AB113" i="63"/>
  <c r="Z113" i="63"/>
  <c r="AB32" i="63"/>
  <c r="Z32" i="63"/>
  <c r="AB27" i="63"/>
  <c r="Z27" i="63"/>
  <c r="AB28" i="63"/>
  <c r="Z28" i="63"/>
  <c r="AB95" i="63"/>
  <c r="Z95" i="63"/>
  <c r="I135" i="41" l="1"/>
  <c r="AD151" i="41"/>
  <c r="AD152" i="41" s="1"/>
  <c r="H135" i="41"/>
  <c r="AC151" i="41"/>
  <c r="AC152" i="41" s="1"/>
  <c r="G135" i="41"/>
  <c r="AB151" i="41"/>
  <c r="AB152" i="41" s="1"/>
  <c r="Z151" i="41"/>
  <c r="Z152" i="41" s="1"/>
  <c r="F135" i="41"/>
  <c r="AA151" i="41"/>
  <c r="AA152" i="41" s="1"/>
  <c r="AB90" i="63"/>
  <c r="V96" i="41" s="1"/>
  <c r="Z90" i="63"/>
  <c r="Y50" i="16"/>
  <c r="AB20" i="16"/>
  <c r="AB67" i="63"/>
  <c r="Z67" i="63"/>
  <c r="AB20" i="63"/>
  <c r="Z20" i="63"/>
  <c r="AB102" i="63"/>
  <c r="Z102" i="63"/>
  <c r="AB108" i="63"/>
  <c r="Z108" i="63"/>
  <c r="AA50" i="16"/>
  <c r="AB34" i="63"/>
  <c r="Z34" i="63"/>
  <c r="AB97" i="63"/>
  <c r="Z97" i="63"/>
  <c r="AB19" i="63"/>
  <c r="Z19" i="63"/>
  <c r="AB83" i="63"/>
  <c r="Z83" i="63"/>
  <c r="AC20" i="16"/>
  <c r="AA20" i="16"/>
  <c r="AB12" i="63"/>
  <c r="Z12" i="63"/>
  <c r="AB68" i="63"/>
  <c r="Z68" i="63"/>
  <c r="Y20" i="16"/>
  <c r="AB37" i="63"/>
  <c r="Z37" i="63"/>
  <c r="AB21" i="63"/>
  <c r="Z21" i="63"/>
  <c r="AB31" i="63"/>
  <c r="Z31" i="63"/>
  <c r="AB23" i="63"/>
  <c r="Z23" i="63"/>
  <c r="AB43" i="63"/>
  <c r="Z43" i="63"/>
  <c r="AB110" i="63"/>
  <c r="Z110" i="63"/>
  <c r="AB58" i="63"/>
  <c r="Z58" i="63"/>
  <c r="AB116" i="63"/>
  <c r="Z116" i="63"/>
  <c r="AB78" i="63"/>
  <c r="Z78" i="63"/>
  <c r="AB47" i="63"/>
  <c r="Z47" i="63"/>
  <c r="AB45" i="63"/>
  <c r="Z45" i="63"/>
  <c r="AC50" i="16"/>
  <c r="AB115" i="63"/>
  <c r="V91" i="41" s="1"/>
  <c r="Z65" i="46" s="1"/>
  <c r="Q65" i="46" s="1"/>
  <c r="U65" i="46" s="1"/>
  <c r="Z115" i="63"/>
  <c r="R41" i="46"/>
  <c r="I41" i="46" s="1"/>
  <c r="AB75" i="63"/>
  <c r="Z75" i="63"/>
  <c r="AB125" i="63"/>
  <c r="Z125" i="63"/>
  <c r="AB50" i="16"/>
  <c r="AB92" i="63"/>
  <c r="Z92" i="63"/>
  <c r="AB50" i="63"/>
  <c r="Z50" i="63"/>
  <c r="Z20" i="16"/>
  <c r="AB129" i="63"/>
  <c r="Z129" i="63"/>
  <c r="AB91" i="63"/>
  <c r="V97" i="41" s="1"/>
  <c r="Z91" i="63"/>
  <c r="AB30" i="63"/>
  <c r="Z30" i="63"/>
  <c r="Z50" i="16"/>
  <c r="X135" i="63"/>
  <c r="V135" i="63"/>
  <c r="Y135" i="63"/>
  <c r="W135" i="63"/>
  <c r="P161" i="41" l="1"/>
  <c r="Q161" i="41" s="1"/>
  <c r="G138" i="41"/>
  <c r="G140" i="41"/>
  <c r="H138" i="41"/>
  <c r="H140" i="41"/>
  <c r="F138" i="41"/>
  <c r="F140" i="41"/>
  <c r="I138" i="41"/>
  <c r="I140" i="41"/>
  <c r="Z155" i="41"/>
  <c r="AB155" i="41"/>
  <c r="E135" i="41"/>
  <c r="J135" i="41" s="1"/>
  <c r="AC155" i="41"/>
  <c r="AA155" i="41"/>
  <c r="AD155" i="41"/>
  <c r="Z66" i="46"/>
  <c r="Q66" i="46" s="1"/>
  <c r="U66" i="46" s="1"/>
  <c r="V108" i="41"/>
  <c r="W108" i="41"/>
  <c r="Y108" i="41"/>
  <c r="X108" i="41"/>
  <c r="U108" i="41"/>
  <c r="Y31" i="16"/>
  <c r="Z31" i="16"/>
  <c r="AA31" i="16"/>
  <c r="AB31" i="16"/>
  <c r="AC31" i="16"/>
  <c r="U135" i="63"/>
  <c r="A135" i="63" s="1"/>
  <c r="A1" i="63" s="1"/>
  <c r="E16" i="10" s="1"/>
  <c r="AB35" i="63"/>
  <c r="Z35" i="63"/>
  <c r="E138" i="41" l="1"/>
  <c r="J138" i="41" s="1"/>
  <c r="E140" i="41"/>
  <c r="A140" i="41" s="1"/>
  <c r="P114" i="41"/>
  <c r="P116" i="41" s="1"/>
  <c r="S115" i="41"/>
  <c r="S116" i="41" s="1"/>
  <c r="A1" i="51" l="1"/>
  <c r="E32" i="10" s="1"/>
  <c r="A1" i="52" l="1"/>
  <c r="E33" i="10" s="1"/>
  <c r="W59" i="46" l="1"/>
  <c r="R59" i="46"/>
  <c r="V59" i="46"/>
  <c r="R61" i="46"/>
  <c r="V61" i="46"/>
  <c r="W61" i="46"/>
  <c r="W60" i="46"/>
  <c r="V60" i="46"/>
  <c r="R60" i="46"/>
  <c r="R62" i="46"/>
  <c r="V62" i="46" l="1"/>
  <c r="W62" i="46"/>
  <c r="W63" i="46" l="1"/>
  <c r="T63" i="46"/>
  <c r="R63" i="46"/>
  <c r="W64" i="46"/>
  <c r="V64" i="46"/>
  <c r="R64" i="46"/>
  <c r="R65" i="46"/>
  <c r="W65" i="46"/>
  <c r="V65" i="46"/>
  <c r="V66" i="46"/>
  <c r="W66" i="46"/>
  <c r="R66" i="46"/>
  <c r="I38" i="48" l="1"/>
  <c r="V93" i="15" l="1"/>
  <c r="V79" i="15"/>
  <c r="V95" i="15" l="1"/>
  <c r="A95" i="15" s="1"/>
  <c r="W59" i="16"/>
  <c r="X149" i="41" l="1"/>
  <c r="V45" i="15"/>
  <c r="V96" i="15"/>
  <c r="A96" i="15" s="1"/>
  <c r="W60" i="16"/>
  <c r="X150" i="41" l="1"/>
  <c r="X152" i="41" s="1"/>
  <c r="P160" i="41" s="1"/>
  <c r="Q160" i="41" s="1"/>
  <c r="W13" i="16"/>
  <c r="W21" i="16"/>
  <c r="W29" i="16" s="1"/>
  <c r="W66" i="16"/>
  <c r="S104" i="41" s="1"/>
  <c r="A1" i="79" l="1"/>
  <c r="E24" i="10" s="1"/>
  <c r="X155" i="41"/>
  <c r="A155" i="41" s="1"/>
  <c r="V51" i="15" l="1"/>
  <c r="W79" i="15" l="1"/>
  <c r="W27" i="15"/>
  <c r="W51" i="15"/>
  <c r="A51" i="15" s="1"/>
  <c r="A81" i="15" l="1"/>
  <c r="P283" i="41" l="1"/>
  <c r="P282" i="41"/>
  <c r="Q220" i="41" l="1"/>
  <c r="Q79" i="48" l="1"/>
  <c r="Q208" i="41"/>
  <c r="Q217" i="41" l="1"/>
  <c r="R209" i="41"/>
  <c r="P220" i="41"/>
  <c r="R220" i="41" s="1"/>
  <c r="V79" i="48"/>
  <c r="W79" i="48"/>
  <c r="R79" i="48"/>
  <c r="Q282" i="41" l="1"/>
  <c r="Q283" i="41"/>
  <c r="Q219" i="41" l="1"/>
  <c r="Q218" i="41"/>
  <c r="Q216" i="41"/>
  <c r="Q223" i="41" l="1"/>
  <c r="Q225" i="41" s="1"/>
  <c r="E105" i="48"/>
  <c r="Q75" i="48" l="1"/>
  <c r="Q77" i="48"/>
  <c r="G103" i="48"/>
  <c r="I96" i="48" s="1"/>
  <c r="P208" i="41"/>
  <c r="R206" i="41"/>
  <c r="R210" i="41" l="1"/>
  <c r="P218" i="41"/>
  <c r="R218" i="41" s="1"/>
  <c r="V77" i="48"/>
  <c r="R77" i="48"/>
  <c r="W77" i="48"/>
  <c r="W75" i="48"/>
  <c r="R75" i="48"/>
  <c r="V75" i="48"/>
  <c r="U75" i="48"/>
  <c r="R208" i="41"/>
  <c r="P217" i="41"/>
  <c r="R217" i="41" s="1"/>
  <c r="Q78" i="48" l="1"/>
  <c r="G104" i="48"/>
  <c r="R212" i="41" l="1"/>
  <c r="P216" i="41"/>
  <c r="R216" i="41" s="1"/>
  <c r="R78" i="48"/>
  <c r="W78" i="48"/>
  <c r="V78" i="48"/>
  <c r="F105" i="48" l="1"/>
  <c r="G105" i="48" s="1"/>
  <c r="I99" i="48" s="1"/>
  <c r="G102" i="48"/>
  <c r="I95" i="48" s="1"/>
  <c r="P219" i="41"/>
  <c r="R219" i="41" s="1"/>
  <c r="R221" i="41" s="1"/>
  <c r="S221" i="41" s="1"/>
  <c r="R211" i="41"/>
  <c r="I196" i="41" s="1"/>
  <c r="P223" i="41"/>
  <c r="Q76" i="48"/>
  <c r="R223" i="41" l="1"/>
  <c r="W76" i="48"/>
  <c r="V76" i="48"/>
  <c r="U76" i="48"/>
  <c r="R76" i="48"/>
  <c r="U79" i="48"/>
  <c r="U77" i="48"/>
  <c r="U78" i="48"/>
  <c r="Q80" i="48" l="1"/>
  <c r="AB74" i="48"/>
  <c r="W80" i="48" l="1"/>
  <c r="R80" i="48"/>
  <c r="U80" i="48"/>
  <c r="V80" i="48"/>
  <c r="R282" i="41" l="1"/>
  <c r="R283" i="41"/>
  <c r="I283" i="41" l="1"/>
  <c r="I281" i="41"/>
  <c r="I284" i="41"/>
  <c r="I282" i="41"/>
  <c r="AD10" i="5" l="1"/>
  <c r="AD21" i="5" l="1" a="1"/>
  <c r="AD21" i="5" s="1"/>
  <c r="AD14" i="5" a="1"/>
  <c r="AD14" i="5" s="1"/>
  <c r="AD19" i="5" a="1"/>
  <c r="AD19" i="5" s="1"/>
  <c r="AD23" i="5" a="1"/>
  <c r="AD23" i="5" s="1"/>
  <c r="AD17" i="5" a="1"/>
  <c r="AD17" i="5" s="1"/>
  <c r="AD27" i="5" a="1"/>
  <c r="AD27" i="5" s="1"/>
  <c r="AD20" i="5" a="1"/>
  <c r="AD20" i="5" s="1"/>
  <c r="AD24" i="5" a="1"/>
  <c r="AD24" i="5" s="1"/>
  <c r="AD18" i="5" a="1"/>
  <c r="AD18" i="5" s="1"/>
  <c r="AD28" i="5" a="1"/>
  <c r="AD28" i="5" s="1"/>
  <c r="AE10" i="5"/>
  <c r="Y57" i="16" l="1"/>
  <c r="Y64" i="16"/>
  <c r="T21" i="14"/>
  <c r="T55" i="21"/>
  <c r="Y60" i="16"/>
  <c r="Y58" i="16"/>
  <c r="T41" i="14"/>
  <c r="T47" i="14"/>
  <c r="Y63" i="16"/>
  <c r="T21" i="13"/>
  <c r="T60" i="13" s="1"/>
  <c r="Y21" i="16"/>
  <c r="T44" i="14"/>
  <c r="T43" i="14"/>
  <c r="Y61" i="16"/>
  <c r="Y62" i="16"/>
  <c r="T20" i="28"/>
  <c r="Y59" i="16"/>
  <c r="T36" i="28"/>
  <c r="T42" i="14"/>
  <c r="T45" i="14"/>
  <c r="T40" i="14"/>
  <c r="T46" i="14"/>
  <c r="Y56" i="16"/>
  <c r="AE24" i="5" a="1"/>
  <c r="AE24" i="5" s="1"/>
  <c r="AF10" i="5"/>
  <c r="AE14" i="5" a="1"/>
  <c r="AE14" i="5" s="1"/>
  <c r="AE23" i="5" a="1"/>
  <c r="AE23" i="5" s="1"/>
  <c r="AE17" i="5" a="1"/>
  <c r="AE17" i="5" s="1"/>
  <c r="AE19" i="5" a="1"/>
  <c r="AE19" i="5" s="1"/>
  <c r="AE21" i="5" a="1"/>
  <c r="AE21" i="5" s="1"/>
  <c r="AE18" i="5" a="1"/>
  <c r="AE18" i="5" s="1"/>
  <c r="AE27" i="5" a="1"/>
  <c r="AE27" i="5" s="1"/>
  <c r="AE28" i="5" a="1"/>
  <c r="AE28" i="5" s="1"/>
  <c r="AE20" i="5" a="1"/>
  <c r="AE20" i="5" s="1"/>
  <c r="T109" i="21"/>
  <c r="Y14" i="16"/>
  <c r="T14" i="13"/>
  <c r="T106" i="21"/>
  <c r="T14" i="14"/>
  <c r="T76" i="21"/>
  <c r="T114" i="21"/>
  <c r="T112" i="21"/>
  <c r="T77" i="21"/>
  <c r="T79" i="21"/>
  <c r="T80" i="21"/>
  <c r="T73" i="21"/>
  <c r="T70" i="21"/>
  <c r="T113" i="21"/>
  <c r="T116" i="21"/>
  <c r="T115" i="21"/>
  <c r="Y12" i="16"/>
  <c r="T78" i="21"/>
  <c r="T35" i="28"/>
  <c r="T19" i="28"/>
  <c r="Y66" i="16" l="1"/>
  <c r="U35" i="28"/>
  <c r="U19" i="28"/>
  <c r="U14" i="13"/>
  <c r="Z14" i="16"/>
  <c r="U77" i="21"/>
  <c r="U106" i="21"/>
  <c r="U70" i="21"/>
  <c r="U109" i="21"/>
  <c r="U73" i="21"/>
  <c r="U78" i="21"/>
  <c r="U114" i="21"/>
  <c r="Z12" i="16"/>
  <c r="U76" i="21"/>
  <c r="U79" i="21"/>
  <c r="U112" i="21"/>
  <c r="U113" i="21"/>
  <c r="U14" i="14"/>
  <c r="U115" i="21"/>
  <c r="U116" i="21"/>
  <c r="U80" i="21"/>
  <c r="Z61" i="16"/>
  <c r="Z64" i="16"/>
  <c r="U21" i="13"/>
  <c r="U60" i="13" s="1"/>
  <c r="U41" i="14"/>
  <c r="U44" i="14"/>
  <c r="U46" i="14"/>
  <c r="U21" i="14"/>
  <c r="Z21" i="16"/>
  <c r="U47" i="14"/>
  <c r="Z59" i="16"/>
  <c r="Z63" i="16"/>
  <c r="U36" i="28"/>
  <c r="Z56" i="16"/>
  <c r="U43" i="14"/>
  <c r="U20" i="28"/>
  <c r="U40" i="14"/>
  <c r="U55" i="21"/>
  <c r="Z58" i="16"/>
  <c r="Z60" i="16"/>
  <c r="U42" i="14"/>
  <c r="Z62" i="16"/>
  <c r="U45" i="14"/>
  <c r="Z57" i="16"/>
  <c r="AF27" i="5" a="1"/>
  <c r="AF27" i="5" s="1"/>
  <c r="AF23" i="5" a="1"/>
  <c r="AF23" i="5" s="1"/>
  <c r="AF19" i="5" a="1"/>
  <c r="AF19" i="5" s="1"/>
  <c r="AF18" i="5" a="1"/>
  <c r="AF18" i="5" s="1"/>
  <c r="AF14" i="5" a="1"/>
  <c r="AF14" i="5" s="1"/>
  <c r="AF28" i="5" a="1"/>
  <c r="AF28" i="5" s="1"/>
  <c r="AF20" i="5" a="1"/>
  <c r="AF20" i="5" s="1"/>
  <c r="AF21" i="5" a="1"/>
  <c r="AF21" i="5" s="1"/>
  <c r="AG10" i="5"/>
  <c r="AF17" i="5" a="1"/>
  <c r="AF17" i="5" s="1"/>
  <c r="AF24" i="5" a="1"/>
  <c r="AF24" i="5" s="1"/>
  <c r="T49" i="14"/>
  <c r="V47" i="14" l="1"/>
  <c r="V36" i="28"/>
  <c r="AA60" i="16"/>
  <c r="V21" i="14"/>
  <c r="V40" i="14"/>
  <c r="V43" i="14"/>
  <c r="AA64" i="16"/>
  <c r="V41" i="14"/>
  <c r="AA63" i="16"/>
  <c r="AA57" i="16"/>
  <c r="AA21" i="16"/>
  <c r="V45" i="14"/>
  <c r="V46" i="14"/>
  <c r="AA59" i="16"/>
  <c r="AA58" i="16"/>
  <c r="V21" i="13"/>
  <c r="V60" i="13" s="1"/>
  <c r="AA56" i="16"/>
  <c r="AA61" i="16"/>
  <c r="AA62" i="16"/>
  <c r="V42" i="14"/>
  <c r="V20" i="28"/>
  <c r="V55" i="21"/>
  <c r="V44" i="14"/>
  <c r="U49" i="14"/>
  <c r="V113" i="21"/>
  <c r="AA14" i="16"/>
  <c r="V70" i="21"/>
  <c r="V77" i="21"/>
  <c r="V78" i="21"/>
  <c r="V76" i="21"/>
  <c r="V79" i="21"/>
  <c r="V116" i="21"/>
  <c r="V106" i="21"/>
  <c r="V14" i="14"/>
  <c r="V14" i="13"/>
  <c r="V115" i="21"/>
  <c r="V109" i="21"/>
  <c r="AA12" i="16"/>
  <c r="V80" i="21"/>
  <c r="V112" i="21"/>
  <c r="V73" i="21"/>
  <c r="V114" i="21"/>
  <c r="Z66" i="16"/>
  <c r="AG27" i="5" a="1"/>
  <c r="AG27" i="5" s="1"/>
  <c r="AG20" i="5" a="1"/>
  <c r="AG20" i="5" s="1"/>
  <c r="AG24" i="5" a="1"/>
  <c r="AG24" i="5" s="1"/>
  <c r="AG17" i="5" a="1"/>
  <c r="AG17" i="5" s="1"/>
  <c r="AG18" i="5" a="1"/>
  <c r="AG18" i="5" s="1"/>
  <c r="AG28" i="5" a="1"/>
  <c r="AG28" i="5" s="1"/>
  <c r="AG14" i="5" a="1"/>
  <c r="AG14" i="5" s="1"/>
  <c r="AH10" i="5"/>
  <c r="AG23" i="5" a="1"/>
  <c r="AG23" i="5" s="1"/>
  <c r="AG21" i="5" a="1"/>
  <c r="AG21" i="5" s="1"/>
  <c r="AG19" i="5" a="1"/>
  <c r="AG19" i="5" s="1"/>
  <c r="V35" i="28"/>
  <c r="V19" i="28"/>
  <c r="V49" i="14" l="1"/>
  <c r="T12" i="13"/>
  <c r="T20" i="13"/>
  <c r="W109" i="21"/>
  <c r="W79" i="21"/>
  <c r="W70" i="21"/>
  <c r="W14" i="13"/>
  <c r="W113" i="21"/>
  <c r="W73" i="21"/>
  <c r="W78" i="21"/>
  <c r="W116" i="21"/>
  <c r="W106" i="21"/>
  <c r="W112" i="21"/>
  <c r="W80" i="21"/>
  <c r="W77" i="21"/>
  <c r="W115" i="21"/>
  <c r="W76" i="21"/>
  <c r="AB12" i="16"/>
  <c r="W14" i="14"/>
  <c r="W114" i="21"/>
  <c r="AB14" i="16"/>
  <c r="AA66" i="16"/>
  <c r="W19" i="28"/>
  <c r="W35" i="28"/>
  <c r="W44" i="14"/>
  <c r="AB60" i="16"/>
  <c r="W55" i="21"/>
  <c r="AB61" i="16"/>
  <c r="AB59" i="16"/>
  <c r="W41" i="14"/>
  <c r="W47" i="14"/>
  <c r="W21" i="14"/>
  <c r="AB62" i="16"/>
  <c r="AB21" i="16"/>
  <c r="W43" i="14"/>
  <c r="W40" i="14"/>
  <c r="AB56" i="16"/>
  <c r="W42" i="14"/>
  <c r="W46" i="14"/>
  <c r="W20" i="28"/>
  <c r="W45" i="14"/>
  <c r="AB58" i="16"/>
  <c r="AB64" i="16"/>
  <c r="AB57" i="16"/>
  <c r="AB63" i="16"/>
  <c r="W21" i="13"/>
  <c r="W60" i="13" s="1"/>
  <c r="W36" i="28"/>
  <c r="AH27" i="5" a="1"/>
  <c r="AH27" i="5" s="1"/>
  <c r="AH24" i="5" a="1"/>
  <c r="AH24" i="5" s="1"/>
  <c r="AH28" i="5" a="1"/>
  <c r="AH28" i="5" s="1"/>
  <c r="AH18" i="5" a="1"/>
  <c r="AH18" i="5" s="1"/>
  <c r="AH21" i="5" a="1"/>
  <c r="AH21" i="5" s="1"/>
  <c r="AH14" i="5" a="1"/>
  <c r="AH14" i="5" s="1"/>
  <c r="AH17" i="5" a="1"/>
  <c r="AH17" i="5" s="1"/>
  <c r="AH19" i="5" a="1"/>
  <c r="AH19" i="5" s="1"/>
  <c r="AH23" i="5" a="1"/>
  <c r="AH23" i="5" s="1"/>
  <c r="AH20" i="5" a="1"/>
  <c r="AH20" i="5" s="1"/>
  <c r="Z68" i="41" l="1"/>
  <c r="X19" i="28"/>
  <c r="X35" i="28"/>
  <c r="AB66" i="16"/>
  <c r="W49" i="14"/>
  <c r="AC60" i="16"/>
  <c r="AC61" i="16"/>
  <c r="X46" i="14"/>
  <c r="AC57" i="16"/>
  <c r="X44" i="14"/>
  <c r="X20" i="28"/>
  <c r="AC21" i="16"/>
  <c r="X21" i="13"/>
  <c r="X60" i="13" s="1"/>
  <c r="X42" i="14"/>
  <c r="X40" i="14"/>
  <c r="AC59" i="16"/>
  <c r="X41" i="14"/>
  <c r="AC62" i="16"/>
  <c r="AC58" i="16"/>
  <c r="X43" i="14"/>
  <c r="X21" i="14"/>
  <c r="X55" i="21"/>
  <c r="AC64" i="16"/>
  <c r="AC63" i="16"/>
  <c r="X36" i="28"/>
  <c r="AC56" i="16"/>
  <c r="X45" i="14"/>
  <c r="X47" i="14"/>
  <c r="X112" i="21"/>
  <c r="X114" i="21"/>
  <c r="X109" i="21"/>
  <c r="X70" i="21"/>
  <c r="X106" i="21"/>
  <c r="X78" i="21"/>
  <c r="X115" i="21"/>
  <c r="X113" i="21"/>
  <c r="AC12" i="16"/>
  <c r="AC14" i="16"/>
  <c r="X116" i="21"/>
  <c r="X77" i="21"/>
  <c r="X79" i="21"/>
  <c r="X14" i="14"/>
  <c r="X73" i="21"/>
  <c r="X80" i="21"/>
  <c r="X76" i="21"/>
  <c r="X14" i="13"/>
  <c r="U20" i="13"/>
  <c r="U12" i="13"/>
  <c r="AA68" i="41" l="1"/>
  <c r="AC66" i="16"/>
  <c r="X49" i="14"/>
  <c r="V12" i="13"/>
  <c r="V20" i="13"/>
  <c r="W20" i="13"/>
  <c r="W12" i="13"/>
  <c r="AC68" i="41" l="1"/>
  <c r="AB68" i="41"/>
  <c r="AB27" i="15"/>
  <c r="X27" i="15"/>
  <c r="Y27" i="15"/>
  <c r="Z27" i="15"/>
  <c r="AA27" i="15"/>
  <c r="A27" i="15" l="1"/>
  <c r="A1" i="15" s="1"/>
  <c r="E13" i="10" s="1"/>
  <c r="I53" i="46" l="1"/>
  <c r="Q68" i="46" s="1"/>
  <c r="A1" i="46"/>
  <c r="E27" i="10" s="1"/>
  <c r="J141" i="41"/>
  <c r="A141" i="41" s="1"/>
  <c r="W68" i="46" l="1"/>
  <c r="R68" i="46"/>
  <c r="T68" i="46"/>
  <c r="U67" i="46"/>
  <c r="R67" i="46"/>
  <c r="V67" i="46"/>
  <c r="W67" i="46"/>
  <c r="U42" i="13" l="1"/>
  <c r="U30" i="13"/>
  <c r="U31" i="13"/>
  <c r="U43" i="13"/>
  <c r="T31" i="13"/>
  <c r="T43" i="13"/>
  <c r="V30" i="13"/>
  <c r="V42" i="13"/>
  <c r="T42" i="13"/>
  <c r="T30" i="13"/>
  <c r="T55" i="13" l="1"/>
  <c r="V43" i="13"/>
  <c r="V31" i="13"/>
  <c r="U55" i="13"/>
  <c r="T54" i="13"/>
  <c r="V54" i="13"/>
  <c r="U54" i="13"/>
  <c r="W31" i="13" l="1"/>
  <c r="W43" i="13"/>
  <c r="V55" i="13"/>
  <c r="X30" i="13" l="1"/>
  <c r="X42" i="13"/>
  <c r="W42" i="13"/>
  <c r="W30" i="13"/>
  <c r="W55" i="13"/>
  <c r="I30" i="44" l="1"/>
  <c r="I29" i="44"/>
  <c r="W54" i="13"/>
  <c r="X43" i="13"/>
  <c r="X31" i="13"/>
  <c r="X54" i="13"/>
  <c r="X55" i="13" l="1"/>
  <c r="AC71" i="44" l="1"/>
  <c r="Q78" i="44"/>
  <c r="W78" i="44" l="1"/>
  <c r="U78" i="44"/>
  <c r="V78" i="44"/>
  <c r="R78" i="44"/>
  <c r="AC72" i="44"/>
  <c r="Q79" i="44"/>
  <c r="V79" i="44" l="1"/>
  <c r="U79" i="44"/>
  <c r="R79" i="44"/>
  <c r="W79" i="44"/>
  <c r="S62" i="21" l="1"/>
  <c r="R62" i="21"/>
  <c r="H31" i="51"/>
  <c r="I31" i="51"/>
  <c r="F31" i="51"/>
  <c r="G31" i="51"/>
  <c r="R55" i="21" l="1"/>
  <c r="S55" i="21"/>
  <c r="J30" i="51" l="1"/>
  <c r="E31" i="51"/>
  <c r="J31" i="51" s="1"/>
  <c r="T43" i="21" l="1"/>
  <c r="U43" i="21"/>
  <c r="U147" i="21" l="1"/>
  <c r="U31" i="21"/>
  <c r="T147" i="21"/>
  <c r="T31" i="21"/>
  <c r="V43" i="21" l="1"/>
  <c r="X43" i="21" l="1"/>
  <c r="W43" i="21"/>
  <c r="V147" i="21"/>
  <c r="V31" i="21"/>
  <c r="W147" i="21" l="1"/>
  <c r="W31" i="21"/>
  <c r="X147" i="21"/>
  <c r="X31" i="21"/>
  <c r="I23" i="51" l="1"/>
  <c r="T19" i="21" l="1"/>
  <c r="T12" i="21" s="1"/>
  <c r="U19" i="21" l="1"/>
  <c r="U12" i="21" s="1"/>
  <c r="V19" i="21"/>
  <c r="V12" i="21" s="1"/>
  <c r="W19" i="21" l="1"/>
  <c r="W12" i="21" s="1"/>
  <c r="X19" i="21" l="1"/>
  <c r="X12" i="21" s="1"/>
  <c r="T40" i="21" l="1"/>
  <c r="T144" i="21" l="1"/>
  <c r="T28" i="21"/>
  <c r="T41" i="21" l="1"/>
  <c r="T145" i="21" l="1"/>
  <c r="T29" i="21"/>
  <c r="U92" i="21"/>
  <c r="U74" i="21" s="1"/>
  <c r="U128" i="21"/>
  <c r="W93" i="21"/>
  <c r="W75" i="21" s="1"/>
  <c r="W129" i="21"/>
  <c r="W128" i="21"/>
  <c r="W92" i="21"/>
  <c r="W74" i="21" s="1"/>
  <c r="V128" i="21"/>
  <c r="V92" i="21"/>
  <c r="V74" i="21" s="1"/>
  <c r="U90" i="21"/>
  <c r="U72" i="21" s="1"/>
  <c r="U126" i="21"/>
  <c r="U108" i="21" s="1"/>
  <c r="T126" i="21"/>
  <c r="T108" i="21" s="1"/>
  <c r="T90" i="21"/>
  <c r="T72" i="21" s="1"/>
  <c r="X92" i="21"/>
  <c r="X74" i="21" s="1"/>
  <c r="X128" i="21"/>
  <c r="U93" i="21"/>
  <c r="U75" i="21" s="1"/>
  <c r="U129" i="21"/>
  <c r="X126" i="21"/>
  <c r="X108" i="21" s="1"/>
  <c r="X90" i="21"/>
  <c r="X72" i="21" s="1"/>
  <c r="W90" i="21"/>
  <c r="W72" i="21" s="1"/>
  <c r="W126" i="21"/>
  <c r="W108" i="21" s="1"/>
  <c r="V126" i="21"/>
  <c r="V108" i="21" s="1"/>
  <c r="V90" i="21"/>
  <c r="V72" i="21" s="1"/>
  <c r="V129" i="21"/>
  <c r="V93" i="21"/>
  <c r="V75" i="21" s="1"/>
  <c r="X93" i="21"/>
  <c r="X75" i="21" s="1"/>
  <c r="X129" i="21"/>
  <c r="T92" i="21"/>
  <c r="T74" i="21" s="1"/>
  <c r="T128" i="21"/>
  <c r="T93" i="21"/>
  <c r="T75" i="21" s="1"/>
  <c r="T129" i="21"/>
  <c r="T110" i="21" l="1"/>
  <c r="V111" i="21"/>
  <c r="U111" i="21"/>
  <c r="X111" i="21"/>
  <c r="W110" i="21"/>
  <c r="W111" i="21"/>
  <c r="T111" i="21"/>
  <c r="V110" i="21"/>
  <c r="X110" i="21"/>
  <c r="U110" i="21"/>
  <c r="U125" i="21" l="1"/>
  <c r="U76" i="22"/>
  <c r="U89" i="21"/>
  <c r="X125" i="21"/>
  <c r="X89" i="21"/>
  <c r="X76" i="22"/>
  <c r="V89" i="21"/>
  <c r="V76" i="22"/>
  <c r="V125" i="21"/>
  <c r="W76" i="22"/>
  <c r="W89" i="21"/>
  <c r="W125" i="21"/>
  <c r="U79" i="22" l="1"/>
  <c r="X79" i="22"/>
  <c r="V79" i="22"/>
  <c r="X100" i="21"/>
  <c r="X71" i="21"/>
  <c r="X82" i="21" s="1"/>
  <c r="X136" i="21"/>
  <c r="X107" i="21"/>
  <c r="X118" i="21" s="1"/>
  <c r="V100" i="21"/>
  <c r="V71" i="21"/>
  <c r="V82" i="21" s="1"/>
  <c r="U71" i="21"/>
  <c r="U82" i="21" s="1"/>
  <c r="U100" i="21"/>
  <c r="W79" i="22"/>
  <c r="W107" i="21"/>
  <c r="W118" i="21" s="1"/>
  <c r="W136" i="21"/>
  <c r="W71" i="21"/>
  <c r="W82" i="21" s="1"/>
  <c r="W100" i="21"/>
  <c r="V107" i="21"/>
  <c r="V118" i="21" s="1"/>
  <c r="V136" i="21"/>
  <c r="U136" i="21"/>
  <c r="U107" i="21"/>
  <c r="U118" i="21" s="1"/>
  <c r="T125" i="21" l="1"/>
  <c r="T76" i="22"/>
  <c r="T79" i="22" s="1"/>
  <c r="A79" i="22" s="1"/>
  <c r="T89" i="21"/>
  <c r="T100" i="21" l="1"/>
  <c r="T71" i="21"/>
  <c r="T82" i="21" s="1"/>
  <c r="T107" i="21"/>
  <c r="T118" i="21" s="1"/>
  <c r="T136" i="21"/>
  <c r="U61" i="21" l="1"/>
  <c r="U54" i="21" l="1"/>
  <c r="T61" i="21"/>
  <c r="T54" i="21" l="1"/>
  <c r="V61" i="21" l="1"/>
  <c r="X61" i="21" l="1"/>
  <c r="X54" i="21" s="1"/>
  <c r="V41" i="21"/>
  <c r="V54" i="21"/>
  <c r="T42" i="21"/>
  <c r="T38" i="22" l="1"/>
  <c r="T146" i="21"/>
  <c r="T30" i="21"/>
  <c r="W61" i="21"/>
  <c r="V29" i="21"/>
  <c r="V145" i="21"/>
  <c r="U42" i="21"/>
  <c r="U41" i="21"/>
  <c r="V42" i="21" l="1"/>
  <c r="T44" i="21"/>
  <c r="W54" i="21"/>
  <c r="W40" i="21"/>
  <c r="U145" i="21"/>
  <c r="U29" i="21"/>
  <c r="U30" i="21"/>
  <c r="U146" i="21"/>
  <c r="V40" i="21"/>
  <c r="W41" i="21"/>
  <c r="U40" i="21"/>
  <c r="V30" i="21" l="1"/>
  <c r="V146" i="21"/>
  <c r="T148" i="21"/>
  <c r="T32" i="21"/>
  <c r="T46" i="21"/>
  <c r="T149" i="21" s="1"/>
  <c r="W29" i="21"/>
  <c r="W145" i="21"/>
  <c r="V28" i="21"/>
  <c r="V144" i="21"/>
  <c r="U28" i="21"/>
  <c r="U144" i="21"/>
  <c r="X41" i="21"/>
  <c r="W144" i="21"/>
  <c r="W28" i="21"/>
  <c r="T34" i="21" l="1"/>
  <c r="U364" i="41"/>
  <c r="X42" i="21"/>
  <c r="T41" i="22"/>
  <c r="X29" i="21"/>
  <c r="X145" i="21"/>
  <c r="X40" i="21" l="1"/>
  <c r="W42" i="21"/>
  <c r="X146" i="21"/>
  <c r="X30" i="21"/>
  <c r="W30" i="21" l="1"/>
  <c r="W146" i="21"/>
  <c r="X28" i="21"/>
  <c r="X144" i="21"/>
  <c r="U44" i="21" l="1"/>
  <c r="U38" i="22"/>
  <c r="U41" i="22" l="1"/>
  <c r="U32" i="21"/>
  <c r="U148" i="21"/>
  <c r="U46" i="21"/>
  <c r="U149" i="21" s="1"/>
  <c r="U34" i="21" l="1"/>
  <c r="V364" i="41"/>
  <c r="V44" i="21" l="1"/>
  <c r="V38" i="22"/>
  <c r="V32" i="21" l="1"/>
  <c r="V46" i="21"/>
  <c r="V149" i="21" s="1"/>
  <c r="V148" i="21"/>
  <c r="V41" i="22"/>
  <c r="V34" i="21" l="1"/>
  <c r="W364" i="41"/>
  <c r="W38" i="22" l="1"/>
  <c r="W44" i="21" l="1"/>
  <c r="W46" i="21" s="1"/>
  <c r="W149" i="21" s="1"/>
  <c r="W41" i="22"/>
  <c r="W32" i="21" l="1"/>
  <c r="W148" i="21"/>
  <c r="W34" i="21" l="1"/>
  <c r="X364" i="41"/>
  <c r="X44" i="21" l="1"/>
  <c r="X38" i="22"/>
  <c r="X41" i="22" l="1"/>
  <c r="A41" i="22" s="1"/>
  <c r="A1" i="22" s="1"/>
  <c r="E14" i="10" s="1"/>
  <c r="X32" i="21"/>
  <c r="X148" i="21"/>
  <c r="X46" i="21"/>
  <c r="X149" i="21" s="1"/>
  <c r="X34" i="21" l="1"/>
  <c r="Y364" i="41"/>
  <c r="G134" i="48" l="1"/>
  <c r="F211" i="48"/>
  <c r="I211" i="48"/>
  <c r="H134" i="48"/>
  <c r="G211" i="48"/>
  <c r="I134" i="48"/>
  <c r="F134" i="48"/>
  <c r="H211" i="48"/>
  <c r="E211" i="48"/>
  <c r="E134" i="48"/>
  <c r="J152" i="48" l="1"/>
  <c r="I155" i="48"/>
  <c r="F172" i="48"/>
  <c r="I172" i="48"/>
  <c r="G155" i="48"/>
  <c r="H155" i="48"/>
  <c r="J191" i="48"/>
  <c r="I182" i="48" s="1"/>
  <c r="J133" i="48"/>
  <c r="J134" i="48" s="1"/>
  <c r="J210" i="48"/>
  <c r="I185" i="41"/>
  <c r="I41" i="48"/>
  <c r="H172" i="48"/>
  <c r="J192" i="48"/>
  <c r="I183" i="48" s="1"/>
  <c r="F155" i="48"/>
  <c r="I105" i="46"/>
  <c r="I42" i="48"/>
  <c r="I189" i="41"/>
  <c r="J169" i="48"/>
  <c r="G172" i="48"/>
  <c r="I43" i="48"/>
  <c r="I114" i="48"/>
  <c r="I60" i="48"/>
  <c r="I193" i="41"/>
  <c r="R178" i="48"/>
  <c r="I40" i="48"/>
  <c r="I177" i="41"/>
  <c r="J154" i="48"/>
  <c r="E155" i="48"/>
  <c r="E172" i="48"/>
  <c r="J171" i="48"/>
  <c r="I181" i="41"/>
  <c r="I163" i="48"/>
  <c r="I44" i="48"/>
  <c r="I186" i="48" l="1"/>
  <c r="J211" i="48"/>
  <c r="A211" i="48" s="1"/>
  <c r="A134" i="48"/>
  <c r="J172" i="48"/>
  <c r="A172" i="48" s="1"/>
  <c r="J155" i="48"/>
  <c r="A155" i="48" s="1"/>
  <c r="I174" i="41"/>
  <c r="I20" i="41"/>
  <c r="A1" i="48" l="1"/>
  <c r="E29" i="10" s="1"/>
  <c r="T21" i="12" l="1"/>
  <c r="V21" i="12"/>
  <c r="U21" i="12"/>
  <c r="V12" i="14" l="1"/>
  <c r="V20" i="14"/>
  <c r="V24" i="12"/>
  <c r="T20" i="14"/>
  <c r="T12" i="14"/>
  <c r="T24" i="12"/>
  <c r="J244" i="41"/>
  <c r="A244" i="41" s="1"/>
  <c r="U20" i="14"/>
  <c r="U12" i="14"/>
  <c r="U24" i="12"/>
  <c r="AA256" i="41" l="1"/>
  <c r="AB256" i="41"/>
  <c r="Z256" i="41"/>
  <c r="U44" i="13"/>
  <c r="U32" i="13"/>
  <c r="V31" i="14"/>
  <c r="R224" i="41"/>
  <c r="P225" i="41"/>
  <c r="A225" i="41" s="1"/>
  <c r="U31" i="14"/>
  <c r="V32" i="13"/>
  <c r="V44" i="13"/>
  <c r="T32" i="13"/>
  <c r="T44" i="13"/>
  <c r="T31" i="14"/>
  <c r="Z257" i="41" l="1"/>
  <c r="AB257" i="41"/>
  <c r="AB260" i="41" s="1"/>
  <c r="AA257" i="41"/>
  <c r="AA260" i="41" s="1"/>
  <c r="U56" i="13"/>
  <c r="T56" i="13"/>
  <c r="W21" i="12"/>
  <c r="V56" i="13"/>
  <c r="X21" i="12"/>
  <c r="Z260" i="41" l="1"/>
  <c r="X12" i="14"/>
  <c r="X20" i="14"/>
  <c r="X24" i="12"/>
  <c r="W20" i="14"/>
  <c r="W12" i="14"/>
  <c r="W24" i="12"/>
  <c r="X32" i="13"/>
  <c r="X44" i="13"/>
  <c r="AC256" i="41" l="1"/>
  <c r="AD256" i="41"/>
  <c r="A24" i="12"/>
  <c r="X56" i="13"/>
  <c r="W44" i="13"/>
  <c r="W32" i="13"/>
  <c r="X31" i="14"/>
  <c r="W31" i="14"/>
  <c r="R32" i="78"/>
  <c r="I32" i="78" s="1"/>
  <c r="AD257" i="41" l="1"/>
  <c r="AD260" i="41" s="1"/>
  <c r="AC257" i="41"/>
  <c r="W56" i="13"/>
  <c r="AC260" i="41" l="1"/>
  <c r="A260" i="41" s="1"/>
  <c r="A1" i="41" s="1"/>
  <c r="E23" i="10" s="1"/>
  <c r="P266" i="41"/>
  <c r="Q266" i="41" s="1"/>
  <c r="G62" i="44" l="1"/>
  <c r="AC83" i="44"/>
  <c r="I42" i="44"/>
  <c r="I40" i="44"/>
  <c r="AC73" i="44"/>
  <c r="Q80" i="44"/>
  <c r="I41" i="44" l="1"/>
  <c r="I39" i="44"/>
  <c r="W80" i="44"/>
  <c r="R80" i="44"/>
  <c r="U80" i="44"/>
  <c r="V80" i="44"/>
  <c r="T33" i="13" l="1"/>
  <c r="T45" i="13"/>
  <c r="U45" i="13"/>
  <c r="U33" i="13"/>
  <c r="T46" i="13" l="1"/>
  <c r="T34" i="13"/>
  <c r="T26" i="11"/>
  <c r="U57" i="13"/>
  <c r="T57" i="13"/>
  <c r="T48" i="13" l="1"/>
  <c r="Z63" i="41" s="1"/>
  <c r="T36" i="13"/>
  <c r="W45" i="13"/>
  <c r="W33" i="13"/>
  <c r="V33" i="13"/>
  <c r="V45" i="13"/>
  <c r="T58" i="13"/>
  <c r="X33" i="13"/>
  <c r="X45" i="13"/>
  <c r="Z59" i="41" l="1"/>
  <c r="Z60" i="41"/>
  <c r="Z61" i="41"/>
  <c r="Z62" i="41"/>
  <c r="T59" i="13"/>
  <c r="V57" i="13"/>
  <c r="W57" i="13"/>
  <c r="X57" i="13"/>
  <c r="Z64" i="41" l="1"/>
  <c r="U34" i="13" l="1"/>
  <c r="U46" i="13"/>
  <c r="U26" i="11"/>
  <c r="Q81" i="44" l="1"/>
  <c r="AC74" i="44"/>
  <c r="G63" i="44"/>
  <c r="AC84" i="44"/>
  <c r="U48" i="13"/>
  <c r="U36" i="13"/>
  <c r="U58" i="13"/>
  <c r="AA59" i="41" l="1"/>
  <c r="AA60" i="41"/>
  <c r="AA61" i="41"/>
  <c r="AA62" i="41"/>
  <c r="AA63" i="41"/>
  <c r="U59" i="13"/>
  <c r="U81" i="44"/>
  <c r="R81" i="44"/>
  <c r="W81" i="44"/>
  <c r="V81" i="44"/>
  <c r="AA64" i="41" l="1"/>
  <c r="V34" i="13" l="1"/>
  <c r="V46" i="13"/>
  <c r="V26" i="11"/>
  <c r="V48" i="13" l="1"/>
  <c r="V36" i="13"/>
  <c r="V58" i="13"/>
  <c r="AB59" i="41" l="1"/>
  <c r="AB60" i="41"/>
  <c r="AB61" i="41"/>
  <c r="AB62" i="41"/>
  <c r="AB63" i="41"/>
  <c r="V59" i="13"/>
  <c r="AB64" i="41" l="1"/>
  <c r="W46" i="13" l="1"/>
  <c r="W34" i="13"/>
  <c r="W26" i="11"/>
  <c r="W36" i="13" l="1"/>
  <c r="W48" i="13"/>
  <c r="W58" i="13"/>
  <c r="AC60" i="41" l="1"/>
  <c r="AC59" i="41"/>
  <c r="AC61" i="41"/>
  <c r="AC62" i="41"/>
  <c r="AC63" i="41"/>
  <c r="W59" i="13"/>
  <c r="AC64" i="41" l="1"/>
  <c r="X34" i="13" l="1"/>
  <c r="X46" i="13"/>
  <c r="X26" i="11"/>
  <c r="X58" i="13" l="1"/>
  <c r="X48" i="13"/>
  <c r="X36" i="13"/>
  <c r="X59" i="13" l="1"/>
  <c r="X20" i="13" l="1"/>
  <c r="X12" i="13"/>
  <c r="I25" i="44"/>
  <c r="AD68" i="41" l="1"/>
  <c r="G64" i="44"/>
  <c r="AC85" i="44"/>
  <c r="AC75" i="44"/>
  <c r="Q82" i="44"/>
  <c r="G65" i="44"/>
  <c r="AC86" i="44"/>
  <c r="AB88" i="44"/>
  <c r="AC76" i="44"/>
  <c r="Q87" i="44"/>
  <c r="AB78" i="44"/>
  <c r="AD61" i="41" l="1"/>
  <c r="AD62" i="41"/>
  <c r="AD59" i="41"/>
  <c r="AD60" i="41"/>
  <c r="AD63" i="41"/>
  <c r="P72" i="41"/>
  <c r="Q72" i="41" s="1"/>
  <c r="AC77" i="44"/>
  <c r="U82" i="44"/>
  <c r="W82" i="44"/>
  <c r="V82" i="44"/>
  <c r="R82" i="44"/>
  <c r="Q83" i="44"/>
  <c r="I27" i="41" l="1"/>
  <c r="I26" i="41"/>
  <c r="AD64" i="41"/>
  <c r="T83" i="44"/>
  <c r="W83" i="44"/>
  <c r="R83" i="44"/>
  <c r="G66" i="44" l="1"/>
  <c r="AC87" i="44"/>
  <c r="R44" i="12" l="1"/>
  <c r="A44" i="12" s="1"/>
  <c r="A1" i="12" s="1"/>
  <c r="E12" i="10" s="1"/>
  <c r="E40" i="10" s="1"/>
  <c r="B3" i="79" s="1"/>
  <c r="B3" i="75" l="1"/>
  <c r="B3" i="63"/>
  <c r="B3" i="48"/>
  <c r="B3" i="14"/>
  <c r="B3" i="15"/>
  <c r="B3" i="18"/>
  <c r="B3" i="78"/>
  <c r="B3" i="13"/>
  <c r="B3" i="45"/>
  <c r="B3" i="46"/>
  <c r="B3" i="27"/>
  <c r="B3" i="28"/>
  <c r="B3" i="16"/>
  <c r="B3" i="20"/>
  <c r="B3" i="21"/>
  <c r="B3" i="41"/>
  <c r="B3" i="22"/>
  <c r="B3" i="51"/>
  <c r="B3" i="74"/>
  <c r="B3" i="50"/>
  <c r="B3" i="10"/>
  <c r="B3" i="44"/>
  <c r="B3" i="47"/>
  <c r="B3" i="49"/>
  <c r="B3" i="3"/>
  <c r="B3" i="12"/>
  <c r="B3" i="52"/>
  <c r="B3" i="5"/>
  <c r="B3" i="11"/>
  <c r="B3" i="73"/>
  <c r="B3" i="7"/>
  <c r="I62" i="48" l="1"/>
  <c r="I98" i="48" s="1"/>
  <c r="Q81" i="48"/>
  <c r="T81" i="48" l="1"/>
  <c r="W81" i="48"/>
  <c r="R81" i="48"/>
  <c r="M107" i="75" l="1"/>
  <c r="M346" i="74"/>
  <c r="M105" i="75"/>
  <c r="M344" i="74"/>
  <c r="M106" i="75"/>
  <c r="M345" i="74"/>
  <c r="M104" i="75"/>
  <c r="M343" i="74"/>
  <c r="M103" i="75"/>
  <c r="M342" i="74"/>
  <c r="M102" i="75"/>
  <c r="M341" i="74"/>
  <c r="G108" i="75"/>
  <c r="G347" i="74"/>
  <c r="M108" i="75"/>
  <c r="M347" i="74"/>
  <c r="G107" i="75"/>
  <c r="G346" i="74"/>
  <c r="G106" i="75"/>
  <c r="G345" i="74"/>
  <c r="H108" i="75"/>
  <c r="H347" i="74"/>
  <c r="H104" i="75"/>
  <c r="H343" i="74"/>
  <c r="H341" i="74"/>
  <c r="H102" i="75"/>
  <c r="H106" i="75"/>
  <c r="H345" i="74"/>
  <c r="H344" i="74"/>
  <c r="H105" i="75"/>
  <c r="H342" i="74"/>
  <c r="H103" i="75"/>
  <c r="G104" i="75" l="1"/>
  <c r="G343" i="74"/>
  <c r="G342" i="74"/>
  <c r="G103" i="75"/>
  <c r="G105" i="75"/>
  <c r="G344" i="74"/>
  <c r="H346" i="74"/>
  <c r="H107" i="75"/>
  <c r="G102" i="75"/>
  <c r="G341" i="74"/>
  <c r="I104" i="75" l="1"/>
  <c r="I343" i="74"/>
  <c r="I108" i="75"/>
  <c r="I347" i="74"/>
  <c r="I344" i="74"/>
  <c r="I105" i="75"/>
  <c r="I342" i="74"/>
  <c r="I103" i="75"/>
  <c r="I346" i="74"/>
  <c r="I107" i="75"/>
  <c r="I345" i="74"/>
  <c r="I106" i="75"/>
  <c r="I102" i="75"/>
  <c r="I341" i="74"/>
  <c r="E341" i="74" l="1"/>
  <c r="E102" i="75"/>
  <c r="E343" i="74"/>
  <c r="E104" i="75"/>
  <c r="J103" i="75" l="1"/>
  <c r="J342" i="74"/>
  <c r="J102" i="75"/>
  <c r="J341" i="74"/>
  <c r="K103" i="75" l="1"/>
  <c r="K342" i="74"/>
  <c r="K102" i="75"/>
  <c r="K341" i="74"/>
  <c r="L342" i="74" l="1"/>
  <c r="L103" i="75"/>
  <c r="L102" i="75"/>
  <c r="L341" i="74"/>
  <c r="F341" i="74" l="1"/>
  <c r="F102" i="75"/>
  <c r="F104" i="75" l="1"/>
  <c r="F343" i="74"/>
  <c r="J346" i="74" l="1"/>
  <c r="J107" i="75"/>
  <c r="K107" i="75" l="1"/>
  <c r="K346" i="74"/>
  <c r="L107" i="75" l="1"/>
  <c r="L346" i="74"/>
  <c r="N346" i="74" l="1"/>
  <c r="N107" i="75"/>
  <c r="J347" i="74" l="1"/>
  <c r="J108" i="75"/>
  <c r="K108" i="75" l="1"/>
  <c r="K347" i="74"/>
  <c r="L347" i="74" l="1"/>
  <c r="L108" i="75"/>
  <c r="N108" i="75" l="1"/>
  <c r="N347" i="74"/>
  <c r="J104" i="75" l="1"/>
  <c r="J343" i="74"/>
  <c r="J344" i="74"/>
  <c r="J105" i="75"/>
  <c r="K104" i="75" l="1"/>
  <c r="K343" i="74"/>
  <c r="K344" i="74"/>
  <c r="K105" i="75"/>
  <c r="J345" i="74"/>
  <c r="J106" i="75"/>
  <c r="K106" i="75" l="1"/>
  <c r="K345" i="74"/>
  <c r="L104" i="75"/>
  <c r="L343" i="74"/>
  <c r="L344" i="74"/>
  <c r="L105" i="75"/>
  <c r="L345" i="74" l="1"/>
  <c r="L106" i="75"/>
  <c r="N114" i="75" l="1"/>
  <c r="I286" i="41" s="1"/>
  <c r="I287" i="41"/>
  <c r="I288" i="41" s="1"/>
  <c r="E342" i="74" l="1"/>
  <c r="E103" i="75"/>
  <c r="E108" i="75"/>
  <c r="E347" i="74"/>
  <c r="E106" i="75"/>
  <c r="E345" i="74"/>
  <c r="E346" i="74"/>
  <c r="E107" i="75"/>
  <c r="E105" i="75"/>
  <c r="E344" i="74"/>
  <c r="F103" i="75" l="1"/>
  <c r="F342" i="74"/>
  <c r="F106" i="75"/>
  <c r="F345" i="74"/>
  <c r="F347" i="74"/>
  <c r="F108" i="75"/>
  <c r="F346" i="74"/>
  <c r="F107" i="75"/>
  <c r="F344" i="74"/>
  <c r="F105" i="75"/>
  <c r="H131" i="74" l="1"/>
  <c r="G131" i="74"/>
  <c r="F131" i="74"/>
  <c r="F132" i="74"/>
  <c r="H132" i="74"/>
  <c r="G132" i="74"/>
  <c r="I132" i="74" l="1"/>
  <c r="I131" i="74"/>
  <c r="L85" i="73" l="1"/>
  <c r="K85" i="7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6" authorId="0" shapeId="0" xr:uid="{4525EFA2-AEDC-4C07-859D-6DE795B63CBD}">
      <text>
        <r>
          <rPr>
            <b/>
            <sz val="9"/>
            <color indexed="81"/>
            <rFont val="Tahoma"/>
            <family val="2"/>
          </rPr>
          <t>Power and Water Corporation:</t>
        </r>
        <r>
          <rPr>
            <sz val="9"/>
            <color indexed="81"/>
            <rFont val="Tahoma"/>
            <family val="2"/>
          </rPr>
          <t xml:space="preserve">
Gifted assets added in to FY14 to FY18.</t>
        </r>
      </text>
    </comment>
    <comment ref="R36" authorId="0" shapeId="0" xr:uid="{4197A4B2-8953-461A-96A1-A500C4A4C934}">
      <text>
        <r>
          <rPr>
            <b/>
            <sz val="9"/>
            <color indexed="81"/>
            <rFont val="Tahoma"/>
            <family val="2"/>
          </rPr>
          <t>Power and Water Corporation:</t>
        </r>
        <r>
          <rPr>
            <sz val="9"/>
            <color indexed="81"/>
            <rFont val="Tahoma"/>
            <family val="2"/>
          </rPr>
          <t xml:space="preserve">
Connection capex for FY19-FY21 adjusted to remove generator connections. Gifted assets added in.</t>
        </r>
      </text>
    </comment>
    <comment ref="R48" authorId="0" shapeId="0" xr:uid="{92857C15-96B2-4157-A726-236338B48D4A}">
      <text>
        <r>
          <rPr>
            <b/>
            <sz val="9"/>
            <color indexed="81"/>
            <rFont val="Tahoma"/>
            <family val="2"/>
          </rPr>
          <t>Power and Water Corporation:</t>
        </r>
        <r>
          <rPr>
            <sz val="9"/>
            <color indexed="81"/>
            <rFont val="Tahoma"/>
            <family val="2"/>
          </rPr>
          <t xml:space="preserve">
The RFM for the 2019-24 period was adjusted in the draft decision to input gross capex net of capital contributions into the gross capex input cells.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<sst xmlns="http://schemas.openxmlformats.org/spreadsheetml/2006/main" count="3531" uniqueCount="1608">
  <si>
    <t>Inflation</t>
  </si>
  <si>
    <t>Source</t>
  </si>
  <si>
    <t>Unit</t>
  </si>
  <si>
    <t>Basis</t>
  </si>
  <si>
    <t>Timing</t>
  </si>
  <si>
    <t>Percent</t>
  </si>
  <si>
    <t>N/A</t>
  </si>
  <si>
    <t>Unlagged Index: Real  (EoP) to Nominal (EoP)</t>
  </si>
  <si>
    <t>Calculated</t>
  </si>
  <si>
    <t>Nominal</t>
  </si>
  <si>
    <t>Mid Period</t>
  </si>
  <si>
    <t>End Period</t>
  </si>
  <si>
    <t>Timing_Adj</t>
  </si>
  <si>
    <t>Yes</t>
  </si>
  <si>
    <t>No</t>
  </si>
  <si>
    <t>Number of months in a year</t>
  </si>
  <si>
    <t>Million</t>
  </si>
  <si>
    <t>Yes/No List</t>
  </si>
  <si>
    <t>Cash_Timing</t>
  </si>
  <si>
    <t>Cash flow timing</t>
  </si>
  <si>
    <t>General</t>
  </si>
  <si>
    <t>Model Start Year</t>
  </si>
  <si>
    <t>Inflation Index Period</t>
  </si>
  <si>
    <t>Rounding Decimal Place</t>
  </si>
  <si>
    <t>Mths_In_Yr</t>
  </si>
  <si>
    <t>Round_DP</t>
  </si>
  <si>
    <t>Index_Period</t>
  </si>
  <si>
    <t>Start_Year</t>
  </si>
  <si>
    <t>$</t>
  </si>
  <si>
    <t>$Million</t>
  </si>
  <si>
    <t>Index</t>
  </si>
  <si>
    <t>Not Available / Not Applicable</t>
  </si>
  <si>
    <t>NA</t>
  </si>
  <si>
    <t>Unit_Index</t>
  </si>
  <si>
    <t>Unit_Dollar_M</t>
  </si>
  <si>
    <t>Unit_Dollar</t>
  </si>
  <si>
    <t>Unit_Perc</t>
  </si>
  <si>
    <t>[Spare]</t>
  </si>
  <si>
    <t>Profiles</t>
  </si>
  <si>
    <t>Convert From</t>
  </si>
  <si>
    <t>Convert To</t>
  </si>
  <si>
    <t>Convert From Timing</t>
  </si>
  <si>
    <t>Convert To Timing</t>
  </si>
  <si>
    <t>End</t>
  </si>
  <si>
    <t>RIN Level 1</t>
  </si>
  <si>
    <t>AC_RIN_Lvl_1</t>
  </si>
  <si>
    <t>Connections</t>
  </si>
  <si>
    <t>AC_Asset_Class_Cur</t>
  </si>
  <si>
    <t>Asset Class - Current</t>
  </si>
  <si>
    <t>Yes_No</t>
  </si>
  <si>
    <t>True_False</t>
  </si>
  <si>
    <t>Checks</t>
  </si>
  <si>
    <t>Previous Period</t>
  </si>
  <si>
    <t>Period Headings</t>
  </si>
  <si>
    <t>Current Period</t>
  </si>
  <si>
    <t>Next Period</t>
  </si>
  <si>
    <t>Item</t>
  </si>
  <si>
    <t>Real Input Basis</t>
  </si>
  <si>
    <t>Real_Input</t>
  </si>
  <si>
    <t>Proposed</t>
  </si>
  <si>
    <t>Actual / Estimate</t>
  </si>
  <si>
    <t>Allowed</t>
  </si>
  <si>
    <t>Various</t>
  </si>
  <si>
    <t>Vegetation management</t>
  </si>
  <si>
    <t>Maintenance</t>
  </si>
  <si>
    <t>Non-network</t>
  </si>
  <si>
    <t>Network overheads</t>
  </si>
  <si>
    <t>Corporate overheads</t>
  </si>
  <si>
    <t>Other/Balancing item</t>
  </si>
  <si>
    <t>Replacement expenditure</t>
  </si>
  <si>
    <t>Capitalised network overheads</t>
  </si>
  <si>
    <t>Capitalised corporate overheads</t>
  </si>
  <si>
    <t>Total</t>
  </si>
  <si>
    <t>Non-network - IT</t>
  </si>
  <si>
    <t>Non-network - Other</t>
  </si>
  <si>
    <t>CA RIN 2.1</t>
  </si>
  <si>
    <t>AER FD</t>
  </si>
  <si>
    <t>TGD IP</t>
  </si>
  <si>
    <t>Input_Revenue</t>
  </si>
  <si>
    <t>Input_Opex</t>
  </si>
  <si>
    <t>Input_Capex</t>
  </si>
  <si>
    <t>Inflation Rate [EoP, June to June]</t>
  </si>
  <si>
    <t>CA RIN 2.6</t>
  </si>
  <si>
    <t>Check</t>
  </si>
  <si>
    <t>Reference</t>
  </si>
  <si>
    <t>IP PTRM</t>
  </si>
  <si>
    <t>[insert]</t>
  </si>
  <si>
    <t>Check - Source</t>
  </si>
  <si>
    <t>Return on Capital</t>
  </si>
  <si>
    <t>Operating Expenditure</t>
  </si>
  <si>
    <t>Revenue Adjustments</t>
  </si>
  <si>
    <t>Regulatory depreciation</t>
  </si>
  <si>
    <t>Opex</t>
  </si>
  <si>
    <t>Rev. Adjustments</t>
  </si>
  <si>
    <t>Tax Allowance</t>
  </si>
  <si>
    <t>Reg Period Label</t>
  </si>
  <si>
    <t>Period Type</t>
  </si>
  <si>
    <t>Actual</t>
  </si>
  <si>
    <t>Estimate</t>
  </si>
  <si>
    <t>Forecast</t>
  </si>
  <si>
    <t>Opex Model</t>
  </si>
  <si>
    <t>Real 2024</t>
  </si>
  <si>
    <t>Real 2019</t>
  </si>
  <si>
    <t>AER PTRM</t>
  </si>
  <si>
    <t>Real 2015</t>
  </si>
  <si>
    <t>CA RIN</t>
  </si>
  <si>
    <t>CA RIN 2.6.1</t>
  </si>
  <si>
    <t>RAB_ACS_Metering</t>
  </si>
  <si>
    <t>Mechanical Meters</t>
  </si>
  <si>
    <t>Electronic Meters</t>
  </si>
  <si>
    <t>Metering Communications</t>
  </si>
  <si>
    <t>Dedicated CTs and VTs</t>
  </si>
  <si>
    <t>Non Network Other</t>
  </si>
  <si>
    <t>Non Network IT and Communications</t>
  </si>
  <si>
    <t>Fleet leases</t>
  </si>
  <si>
    <t>Property leases</t>
  </si>
  <si>
    <t>Estimate / Forecast</t>
  </si>
  <si>
    <t>Number</t>
  </si>
  <si>
    <t>Km</t>
  </si>
  <si>
    <t>MW</t>
  </si>
  <si>
    <t>GWh</t>
  </si>
  <si>
    <t>Energy throughput</t>
  </si>
  <si>
    <t>DPA01, DPA02</t>
  </si>
  <si>
    <t>DOPED01</t>
  </si>
  <si>
    <t>RIN B, DOPCN01</t>
  </si>
  <si>
    <t>DOPSD0107</t>
  </si>
  <si>
    <t>Growth Rate</t>
  </si>
  <si>
    <t>Annual movement</t>
  </si>
  <si>
    <t>Augmentation expenditure</t>
  </si>
  <si>
    <t>Inputs - expenditure</t>
  </si>
  <si>
    <t>CA RIN 2.1.1</t>
  </si>
  <si>
    <t>Connection expenditure</t>
  </si>
  <si>
    <t>Capex Model</t>
  </si>
  <si>
    <t>Km per Million spent</t>
  </si>
  <si>
    <t>Actual change in circuit length</t>
  </si>
  <si>
    <t>Forecast change in circuit length</t>
  </si>
  <si>
    <t>Calculation - forecast change in circuit length</t>
  </si>
  <si>
    <t>Avg Km per $m</t>
  </si>
  <si>
    <t>3 Yr Av Growth</t>
  </si>
  <si>
    <t>Inputs | Revenue - SCS</t>
  </si>
  <si>
    <t>Substations</t>
  </si>
  <si>
    <t>Distribution Lines</t>
  </si>
  <si>
    <t>Transmission Lines</t>
  </si>
  <si>
    <t>LV Services</t>
  </si>
  <si>
    <t>Distribution Substations</t>
  </si>
  <si>
    <t>Distribution Switchgear</t>
  </si>
  <si>
    <t>Protection</t>
  </si>
  <si>
    <t>SCADA</t>
  </si>
  <si>
    <t>Communications</t>
  </si>
  <si>
    <t>Land and Easements</t>
  </si>
  <si>
    <t>Property</t>
  </si>
  <si>
    <t>IT and Communications</t>
  </si>
  <si>
    <t>Motor Vehicles</t>
  </si>
  <si>
    <t>Plant and Equipment</t>
  </si>
  <si>
    <t>Property Leases</t>
  </si>
  <si>
    <t>Fleet Leases</t>
  </si>
  <si>
    <t>Buildings</t>
  </si>
  <si>
    <t>In-house software</t>
  </si>
  <si>
    <t>PTRM</t>
  </si>
  <si>
    <t>Overview</t>
  </si>
  <si>
    <t>Values in text</t>
  </si>
  <si>
    <t>Text</t>
  </si>
  <si>
    <t>FY25</t>
  </si>
  <si>
    <t>Return on capital</t>
  </si>
  <si>
    <t>Depreciation</t>
  </si>
  <si>
    <t>Annual revenue requirement (unsmoothed)</t>
  </si>
  <si>
    <t>Gross capex</t>
  </si>
  <si>
    <t>Equity raising costs</t>
  </si>
  <si>
    <t>Revenue adjustments</t>
  </si>
  <si>
    <t>Label</t>
  </si>
  <si>
    <t>Outputs: Links to model suite</t>
  </si>
  <si>
    <t>Equity Raising Costs</t>
  </si>
  <si>
    <t>Inputs: ACS Metering (AMI)</t>
  </si>
  <si>
    <t>Allowed / Proposed</t>
  </si>
  <si>
    <t>PTRMs</t>
  </si>
  <si>
    <t>RINs</t>
  </si>
  <si>
    <t>Real - Allowed / Proposed</t>
  </si>
  <si>
    <t>Input_AMI</t>
  </si>
  <si>
    <t>Real 2014</t>
  </si>
  <si>
    <t>Outputs | Charts</t>
  </si>
  <si>
    <t>Reg. depreciation</t>
  </si>
  <si>
    <t>Rev. adj.</t>
  </si>
  <si>
    <t>Tax allowance</t>
  </si>
  <si>
    <t>in-house software</t>
  </si>
  <si>
    <t>Input_Operating</t>
  </si>
  <si>
    <t>Capitalised overheads</t>
  </si>
  <si>
    <t>Difference</t>
  </si>
  <si>
    <t>Productivity</t>
  </si>
  <si>
    <t>Allowance</t>
  </si>
  <si>
    <t>Input</t>
  </si>
  <si>
    <t>Operating expenditure</t>
  </si>
  <si>
    <t>Fee based</t>
  </si>
  <si>
    <t>Quoted services</t>
  </si>
  <si>
    <t>Inputs: Other ACS</t>
  </si>
  <si>
    <t>Inputs | Fee based and quoted services</t>
  </si>
  <si>
    <t>FB&amp;QS Model</t>
  </si>
  <si>
    <t>Outputs | Fee based service revenue</t>
  </si>
  <si>
    <t>Outputs | Quoted service revenue</t>
  </si>
  <si>
    <t>Input_ACS</t>
  </si>
  <si>
    <t>2024-25</t>
  </si>
  <si>
    <t>2025-26</t>
  </si>
  <si>
    <t>2026-27</t>
  </si>
  <si>
    <t>2027-28</t>
  </si>
  <si>
    <t>2028-29</t>
  </si>
  <si>
    <t>X factors</t>
  </si>
  <si>
    <t>Alice Springs</t>
  </si>
  <si>
    <t>Tennant Creek</t>
  </si>
  <si>
    <t>DER</t>
  </si>
  <si>
    <t>Trend - Output</t>
  </si>
  <si>
    <t>Trend - Price</t>
  </si>
  <si>
    <t>Trend - Productivity</t>
  </si>
  <si>
    <t>Network tariff change request</t>
  </si>
  <si>
    <t>$/kVA</t>
  </si>
  <si>
    <t>A RIN, 8.2.5</t>
  </si>
  <si>
    <t>Darwin</t>
  </si>
  <si>
    <t>POE 50</t>
  </si>
  <si>
    <t>Forecast maximum demand</t>
  </si>
  <si>
    <t>Building Block Revenue</t>
  </si>
  <si>
    <t>Taxation Liability</t>
  </si>
  <si>
    <t>Return on Assets</t>
  </si>
  <si>
    <t>MD - ACS metering - Estimated (at 3%)</t>
  </si>
  <si>
    <t>UC - ACS metering - Estimated (at 3%)</t>
  </si>
  <si>
    <t>Ministerial Direction - Adjusted</t>
  </si>
  <si>
    <t>Smoothed Revenue - SCS only</t>
  </si>
  <si>
    <t>2014 NPD - NTRM - MODIFIED FOR TREASURERS FURTHER DIRECTION (June 2014).XLSM</t>
  </si>
  <si>
    <t>Ministerial Direction</t>
  </si>
  <si>
    <t>UC-NPD-PWC-NTRM.xls</t>
  </si>
  <si>
    <t>UC Determination</t>
  </si>
  <si>
    <t>Value</t>
  </si>
  <si>
    <t>UC Determination (SCS only)</t>
  </si>
  <si>
    <t>2019-24 Period</t>
  </si>
  <si>
    <t>2014-19 Period</t>
  </si>
  <si>
    <t>Match</t>
  </si>
  <si>
    <t>Ref</t>
  </si>
  <si>
    <t>Change</t>
  </si>
  <si>
    <t>Heading</t>
  </si>
  <si>
    <t>Rank</t>
  </si>
  <si>
    <t xml:space="preserve"> </t>
  </si>
  <si>
    <t>Step Changes</t>
  </si>
  <si>
    <t>Opex_RIN_Lvl_1</t>
  </si>
  <si>
    <t>EB RIN /Reg Acc</t>
  </si>
  <si>
    <t>Source - Opex Model</t>
  </si>
  <si>
    <t>Source - PTRM</t>
  </si>
  <si>
    <t>Note: Allocation between categories is based on actual/estimated CA RIN values for the year.</t>
  </si>
  <si>
    <t>AER FD PTRM</t>
  </si>
  <si>
    <t>Source - RFM / PTRM</t>
  </si>
  <si>
    <t>Source - RFM</t>
  </si>
  <si>
    <t>Note: In the current period, Gifted Assets are included in the RFM but not in the CA RIN.</t>
  </si>
  <si>
    <t>RFMs</t>
  </si>
  <si>
    <t>2019-24 FD</t>
  </si>
  <si>
    <t>2024-29 RFM</t>
  </si>
  <si>
    <t>Adjusted Base Year</t>
  </si>
  <si>
    <t>2023-24</t>
  </si>
  <si>
    <t>LV CT</t>
  </si>
  <si>
    <t>HV</t>
  </si>
  <si>
    <t>Scenarios</t>
  </si>
  <si>
    <t>Current Scenario</t>
  </si>
  <si>
    <t>Previous Scenario</t>
  </si>
  <si>
    <t>Inputs: Revenue (SCS)</t>
  </si>
  <si>
    <t>Inputs: Opex (SCS)</t>
  </si>
  <si>
    <t>Inputs: Capex (SCS)</t>
  </si>
  <si>
    <t>Calculations: Revenue - SCS</t>
  </si>
  <si>
    <t>Calculations: Opex - SCS</t>
  </si>
  <si>
    <t>Calculations: Capex - SCS</t>
  </si>
  <si>
    <t>Calculations: ACS Metering (AMI)</t>
  </si>
  <si>
    <t>Calculations: Other ACS</t>
  </si>
  <si>
    <t>Revenue - Allowed / Proposed</t>
  </si>
  <si>
    <t>Expenditure - Actual / Estimated</t>
  </si>
  <si>
    <t>Expenditure - Actual / Estimate</t>
  </si>
  <si>
    <t>CA RIN - 4.3 Fee-based services</t>
  </si>
  <si>
    <t>CA RIN - 4.4 Quoted services</t>
  </si>
  <si>
    <t>Other</t>
  </si>
  <si>
    <t>Tariff</t>
  </si>
  <si>
    <t>◄ Share of capitalised overheads attributed to network overheads in 2019-24 FD</t>
  </si>
  <si>
    <t>Disconnections (implied)</t>
  </si>
  <si>
    <t>Forecast Change in Net Connections</t>
  </si>
  <si>
    <t>Standard Control Services</t>
  </si>
  <si>
    <t>Existing Connections - RIN Data - For Comparison</t>
  </si>
  <si>
    <t>New Connections - RIN Data - For Comparison</t>
  </si>
  <si>
    <t>Single phase meters (including prepayment)</t>
  </si>
  <si>
    <t>Three phase direct connected meters (including 3 single phase meters on a single NMI)</t>
  </si>
  <si>
    <t>Low voltage current transformer metering</t>
  </si>
  <si>
    <t>High voltage metering</t>
  </si>
  <si>
    <t>Exchange or replace meter – three phase</t>
  </si>
  <si>
    <t>Relocation of meter</t>
  </si>
  <si>
    <t>Remove meter</t>
  </si>
  <si>
    <t>General meter inspection</t>
  </si>
  <si>
    <t>Meter program change</t>
  </si>
  <si>
    <t>Historical data requests</t>
  </si>
  <si>
    <t>Standing data requests</t>
  </si>
  <si>
    <t>2022-23</t>
  </si>
  <si>
    <t>2021-22</t>
  </si>
  <si>
    <t>2020-21</t>
  </si>
  <si>
    <t>2019-20</t>
  </si>
  <si>
    <t>Special meter test</t>
  </si>
  <si>
    <t>X-Axis:</t>
  </si>
  <si>
    <t>Raw Base</t>
  </si>
  <si>
    <t>Base Adjustments</t>
  </si>
  <si>
    <t>ICT</t>
  </si>
  <si>
    <t>Labels</t>
  </si>
  <si>
    <t>Totals</t>
  </si>
  <si>
    <t>Clear</t>
  </si>
  <si>
    <t>Above</t>
  </si>
  <si>
    <t>Below</t>
  </si>
  <si>
    <t>Axis Label:</t>
  </si>
  <si>
    <t>Forecast Gross Connections (SCS, Excl Embedded Generation)</t>
  </si>
  <si>
    <t>Gross New Connections (SCS, Excl Embedded Generation)</t>
  </si>
  <si>
    <t>FY22 CA RIN</t>
  </si>
  <si>
    <t>Energeia</t>
  </si>
  <si>
    <t>Non Network - ACS</t>
  </si>
  <si>
    <t>Annual RIN 8.4.1</t>
  </si>
  <si>
    <t>Source - RINs</t>
  </si>
  <si>
    <t>Cyber security</t>
  </si>
  <si>
    <t>◄ Used P50 forecast</t>
  </si>
  <si>
    <t>2024/25</t>
  </si>
  <si>
    <t>2025/26</t>
  </si>
  <si>
    <t>2026/27</t>
  </si>
  <si>
    <t>2027/28</t>
  </si>
  <si>
    <t>2028/29</t>
  </si>
  <si>
    <t>Year</t>
  </si>
  <si>
    <t>PP14</t>
  </si>
  <si>
    <t xml:space="preserve">Actual </t>
  </si>
  <si>
    <t>Forecast 10%POE</t>
  </si>
  <si>
    <t>Forecast 50%POE</t>
  </si>
  <si>
    <t>Forecast 90%POE</t>
  </si>
  <si>
    <t>Meter Population (Number)</t>
  </si>
  <si>
    <t>Rate of return</t>
  </si>
  <si>
    <t>2023/24</t>
  </si>
  <si>
    <t>Dollars</t>
  </si>
  <si>
    <t>Smart Meters</t>
  </si>
  <si>
    <t>Basic Meters</t>
  </si>
  <si>
    <t>RIN Pop Model</t>
  </si>
  <si>
    <t>Note: Allocation between categories currently applying Reset RIN values</t>
  </si>
  <si>
    <t>Actual / Estimated / Forecast Opex</t>
  </si>
  <si>
    <t>Ref.</t>
  </si>
  <si>
    <t>Project Name</t>
  </si>
  <si>
    <t>Project ID</t>
  </si>
  <si>
    <t>RIN categories</t>
  </si>
  <si>
    <t>DNSP category (free-fill)</t>
  </si>
  <si>
    <t>Total: Above</t>
  </si>
  <si>
    <t>Direct escalated costs ($millions, June 2024)</t>
  </si>
  <si>
    <t>Total Current Period</t>
  </si>
  <si>
    <t>Total Next Period</t>
  </si>
  <si>
    <t>Gross capex including overheads ($millions, June 2024)</t>
  </si>
  <si>
    <t>ICT19</t>
  </si>
  <si>
    <t>2015-19 Period</t>
  </si>
  <si>
    <t>2029-30</t>
  </si>
  <si>
    <t>2030-31</t>
  </si>
  <si>
    <t>2031-32</t>
  </si>
  <si>
    <t>Restatement - Generator connections - Removed</t>
  </si>
  <si>
    <t>SCS Share</t>
  </si>
  <si>
    <t>Cloud migration</t>
  </si>
  <si>
    <t>OT capability uplift</t>
  </si>
  <si>
    <t>Future network</t>
  </si>
  <si>
    <t>2018-19</t>
  </si>
  <si>
    <t>Actual / Estimated / Forecast Capex</t>
  </si>
  <si>
    <t>Capital contributions ($millions, June 2024)</t>
  </si>
  <si>
    <t>Major/Minor</t>
  </si>
  <si>
    <t>Project Driver</t>
  </si>
  <si>
    <t>PL1</t>
  </si>
  <si>
    <t>Maximum demand (MW)</t>
  </si>
  <si>
    <t>Total expenditure</t>
  </si>
  <si>
    <t>Provision of 3 phase service</t>
  </si>
  <si>
    <t>Standard temporary builder’s connection</t>
  </si>
  <si>
    <t>Class 1 &amp; 2 PV service</t>
  </si>
  <si>
    <t>Class 3 PV Assessment</t>
  </si>
  <si>
    <t>Complex disconnection</t>
  </si>
  <si>
    <t>Disconnection (and final read)</t>
  </si>
  <si>
    <t>Reconnection</t>
  </si>
  <si>
    <t>Wasted visit fee</t>
  </si>
  <si>
    <t>Installation of Minor Apparatus</t>
  </si>
  <si>
    <t>Install modem on smart ready meter</t>
  </si>
  <si>
    <t>Prepayment Vending Charge</t>
  </si>
  <si>
    <t>Prepayment Meter Support</t>
  </si>
  <si>
    <t>Internal - Tech</t>
  </si>
  <si>
    <t>Internal - Admin</t>
  </si>
  <si>
    <t>Internal - Comms</t>
  </si>
  <si>
    <t>Internal - Engineering</t>
  </si>
  <si>
    <t>After hours</t>
  </si>
  <si>
    <t>◄ Rates deflated using forecast inflation included in the FB&amp;QS model</t>
  </si>
  <si>
    <t>Customer transfers</t>
  </si>
  <si>
    <t>Business hours</t>
  </si>
  <si>
    <t>2024-29 Period</t>
  </si>
  <si>
    <t>Estimated billable quantities for FY23 and FY24</t>
  </si>
  <si>
    <t>Estimated metering charges for FY23 and FY24</t>
  </si>
  <si>
    <t>$/Meter</t>
  </si>
  <si>
    <t>Metering Template</t>
  </si>
  <si>
    <t>X factor</t>
  </si>
  <si>
    <t>Pricing Proposal</t>
  </si>
  <si>
    <t>Inputs | Historical UC and MD revenue</t>
  </si>
  <si>
    <t>Main Asset Class</t>
  </si>
  <si>
    <t>Allocation to SCS</t>
  </si>
  <si>
    <t>PWC</t>
  </si>
  <si>
    <t>Abbreviations</t>
  </si>
  <si>
    <t>Revenue and cost measures</t>
  </si>
  <si>
    <t>LV 0&lt;750 MWh</t>
  </si>
  <si>
    <t>LV &gt;750MWh</t>
  </si>
  <si>
    <t>Stand alone cost</t>
  </si>
  <si>
    <t>Forecast 2024-25 revenue</t>
  </si>
  <si>
    <t>Avoidable cost</t>
  </si>
  <si>
    <t>Proposed revenue lies between standalone and avoidable cost?</t>
  </si>
  <si>
    <t>Voltage Level</t>
  </si>
  <si>
    <t>LRMC at Voltage Level</t>
  </si>
  <si>
    <t>Growth Capital Expenditure</t>
  </si>
  <si>
    <t>Replacement Capital Expenditure</t>
  </si>
  <si>
    <t>Growth Operating Expenditure</t>
  </si>
  <si>
    <t>Total LRMC at voltage level</t>
  </si>
  <si>
    <t>Low Voltage</t>
  </si>
  <si>
    <t>High Voltage</t>
  </si>
  <si>
    <t>T6: HV Smart Meters</t>
  </si>
  <si>
    <t>T6</t>
  </si>
  <si>
    <t>T5: LV Majors</t>
  </si>
  <si>
    <t>T5</t>
  </si>
  <si>
    <t>T4: Unmetered</t>
  </si>
  <si>
    <t>T4</t>
  </si>
  <si>
    <t>T3c: LV Smart Meter - Med Comm</t>
  </si>
  <si>
    <t>T3c</t>
  </si>
  <si>
    <t>T3b: LV Smart Meter - Small Comm</t>
  </si>
  <si>
    <t>T3b</t>
  </si>
  <si>
    <t>T3a: LV Smart Meter - Res</t>
  </si>
  <si>
    <t>T3a</t>
  </si>
  <si>
    <t>T2: Non-Residential Tariff</t>
  </si>
  <si>
    <t>T2</t>
  </si>
  <si>
    <t>T1: Residential Tariff</t>
  </si>
  <si>
    <t>T1</t>
  </si>
  <si>
    <t>Description</t>
  </si>
  <si>
    <t>2024/25 (Year 1)</t>
  </si>
  <si>
    <t>2028/29 (Year 5)</t>
  </si>
  <si>
    <t>Consumption</t>
  </si>
  <si>
    <t>Demand</t>
  </si>
  <si>
    <t>Network bill ($)</t>
  </si>
  <si>
    <t>Network bill impact</t>
  </si>
  <si>
    <r>
      <t>Network component of residential bill</t>
    </r>
    <r>
      <rPr>
        <b/>
        <vertAlign val="superscript"/>
        <sz val="11"/>
        <color rgb="FFFFFFFF"/>
        <rFont val="Calibri"/>
        <family val="2"/>
      </rPr>
      <t>1</t>
    </r>
  </si>
  <si>
    <r>
      <t>Increase in total retail invoice</t>
    </r>
    <r>
      <rPr>
        <b/>
        <vertAlign val="superscript"/>
        <sz val="11"/>
        <color rgb="FFFFFFFF"/>
        <rFont val="Calibri"/>
        <family val="2"/>
      </rPr>
      <t>2</t>
    </r>
  </si>
  <si>
    <t>NMIs</t>
  </si>
  <si>
    <t>%</t>
  </si>
  <si>
    <t>Residential accumulation</t>
  </si>
  <si>
    <t>Non-residential accumulation</t>
  </si>
  <si>
    <t>3a</t>
  </si>
  <si>
    <t>Residential 0-160MWh</t>
  </si>
  <si>
    <t>3b</t>
  </si>
  <si>
    <t>Non-residential 0-160MWh</t>
  </si>
  <si>
    <t>3c</t>
  </si>
  <si>
    <t>Smart meter 160-750MWh</t>
  </si>
  <si>
    <t>Residential Accumulation</t>
  </si>
  <si>
    <t>Non-Residential Accumulation</t>
  </si>
  <si>
    <t>LV Majors</t>
  </si>
  <si>
    <t>HV Smart Meters</t>
  </si>
  <si>
    <t>Figure 6.1: Maximum demand day profile (MW)</t>
  </si>
  <si>
    <t>Indicative rates</t>
  </si>
  <si>
    <t>SAC Price ($/NMI/day)</t>
  </si>
  <si>
    <t>Energy Price ($/kWh)</t>
  </si>
  <si>
    <t>LV Smart Meter - Res</t>
  </si>
  <si>
    <t>Peak Price ($/kWh)</t>
  </si>
  <si>
    <t>Off-peak Price  ($/kWh)</t>
  </si>
  <si>
    <t>Super Off-peak Price  ($/kWh)</t>
  </si>
  <si>
    <t>LV Smart Meter - Small Comm</t>
  </si>
  <si>
    <t>LV Smart Meter - Large Comm</t>
  </si>
  <si>
    <t>Unmetered Supply</t>
  </si>
  <si>
    <t>On-Season Peak Period Price ($/kVA/month)</t>
  </si>
  <si>
    <t>Off-Season Peak Period Price  ($/kVA/month)</t>
  </si>
  <si>
    <t>Service</t>
  </si>
  <si>
    <t>Basis of charging</t>
  </si>
  <si>
    <t xml:space="preserve"> 2024/25</t>
  </si>
  <si>
    <t xml:space="preserve"> 2025/26</t>
  </si>
  <si>
    <t xml:space="preserve"> 2026/27</t>
  </si>
  <si>
    <t xml:space="preserve"> 2027/28</t>
  </si>
  <si>
    <t xml:space="preserve"> 2028/29</t>
  </si>
  <si>
    <t>$/Request</t>
  </si>
  <si>
    <t>Temporary disconnection and reconnection - no dismantling</t>
  </si>
  <si>
    <t>Temporary disconnection and reconnection - physical dismantling</t>
  </si>
  <si>
    <t>Reconnection - after hours</t>
  </si>
  <si>
    <t xml:space="preserve">After Hours ‐ non reconnections ‐ uplift 1.23 x business hours charge </t>
  </si>
  <si>
    <t>Exchange or replace meter - single phase</t>
  </si>
  <si>
    <t>Special meter read - no appointment</t>
  </si>
  <si>
    <t>Special meter read - appointment</t>
  </si>
  <si>
    <t>Table B.2: ACS Quoted Services (ex GST, Real 2024)</t>
  </si>
  <si>
    <t xml:space="preserve"> 2024/25 </t>
  </si>
  <si>
    <t xml:space="preserve"> 2025/26 </t>
  </si>
  <si>
    <t xml:space="preserve"> 2026/27 </t>
  </si>
  <si>
    <t xml:space="preserve"> 2027/28 </t>
  </si>
  <si>
    <t xml:space="preserve"> 2028/29 </t>
  </si>
  <si>
    <t>$/hour</t>
  </si>
  <si>
    <t>Table B.3: ACS Metering (ex GST, Real 2024)</t>
  </si>
  <si>
    <t>$/Day/Meter</t>
  </si>
  <si>
    <t>Figure 1.6: Forecast growth in Solar</t>
  </si>
  <si>
    <t>Figure 1.7: Forecast EV Uptake</t>
  </si>
  <si>
    <t>Figure 1.8: Changes in meter volumes</t>
  </si>
  <si>
    <t>Voltage level</t>
  </si>
  <si>
    <t>LRMC at voltage level</t>
  </si>
  <si>
    <t>Growth capex</t>
  </si>
  <si>
    <t>Replacement capex</t>
  </si>
  <si>
    <t>Growth opex</t>
  </si>
  <si>
    <t>◄ Value from TSS Attachment 11.01</t>
  </si>
  <si>
    <t> Tariff</t>
  </si>
  <si>
    <t>LRMC target</t>
  </si>
  <si>
    <t>Peak kWh</t>
  </si>
  <si>
    <t>Wet MD</t>
  </si>
  <si>
    <t>Dry MD</t>
  </si>
  <si>
    <t>Anytime kWh</t>
  </si>
  <si>
    <t>Daily charge</t>
  </si>
  <si>
    <t>Compliant?</t>
  </si>
  <si>
    <t>◄ Chart copied from TSS Attachment 11.01</t>
  </si>
  <si>
    <t>Figure 4.4: Peak Demand Window</t>
  </si>
  <si>
    <t>◄ Linked to TSS Attachment 11.01</t>
  </si>
  <si>
    <t>Figure 6.3: Maximum demand forecasts across our three networks</t>
  </si>
  <si>
    <t>Figure 6.4: Maximum demand day profile Darwin-Katherine Network (MW)</t>
  </si>
  <si>
    <t>Figure 6.5: Improving utilisation of our network</t>
  </si>
  <si>
    <t>Figure 6.6: Forecast growth in total connections and system peak demand</t>
  </si>
  <si>
    <t>Figure 6.7: Darwin-Katherine Network Minimum Periods (P10)</t>
  </si>
  <si>
    <t>Figure 10.1: Maximum demand forecasts across our three networks</t>
  </si>
  <si>
    <t>Table 3.1: Estimated customer impact by network tariff ($ nominal)</t>
  </si>
  <si>
    <t>◄ Values from TSS Attachment 11.01</t>
  </si>
  <si>
    <t xml:space="preserve">Figure 11.1: Major customer impact </t>
  </si>
  <si>
    <t>Table 3.1: Stand alone and avoidable costs in 2024-25 ($million, real 2023-24)</t>
  </si>
  <si>
    <t>Table 3.2: How different expenditures contributed to our long run marginal cost of peak demand at each voltage level ($/kVA, real 2023-24)</t>
  </si>
  <si>
    <t>Figure 3.2: Residual cost recovery shares by tariff and tariff charging parameters for the 2024-25 year</t>
  </si>
  <si>
    <t>Table 2.2 Tariffs reflect LRMC compliance check in 2024-25 ($million, real 2023-24)</t>
  </si>
  <si>
    <t>System Peak Demand (POE 50)</t>
  </si>
  <si>
    <t>Actual Customers</t>
  </si>
  <si>
    <t>Estimated Customers</t>
  </si>
  <si>
    <t>Forecast Customers</t>
  </si>
  <si>
    <t>Y Axis 1:</t>
  </si>
  <si>
    <t>Y Axis 2:</t>
  </si>
  <si>
    <t>Number of customers</t>
  </si>
  <si>
    <t>System peak demand (MW)</t>
  </si>
  <si>
    <t>Historical Solar Installations</t>
  </si>
  <si>
    <t>Estimated / Forecast Solar Installations</t>
  </si>
  <si>
    <t>Number of solar installations</t>
  </si>
  <si>
    <t>Darwin Katherine</t>
  </si>
  <si>
    <t>2014-15</t>
  </si>
  <si>
    <t>2015-16</t>
  </si>
  <si>
    <t>2016-17</t>
  </si>
  <si>
    <t>2017-18</t>
  </si>
  <si>
    <t>Forecast 10% POE</t>
  </si>
  <si>
    <t>Forecast 50% POE</t>
  </si>
  <si>
    <t>Forecast 90% POE</t>
  </si>
  <si>
    <t>◄ Chart sourced from TSES Attachment 11.02, Figure 6.3</t>
  </si>
  <si>
    <t>Minimum demand (MW)</t>
  </si>
  <si>
    <t>Time of Day</t>
  </si>
  <si>
    <t>Demand (MW)</t>
  </si>
  <si>
    <t>Proportion of EV uptake</t>
  </si>
  <si>
    <t>YoY % Change</t>
  </si>
  <si>
    <t>Customer count</t>
  </si>
  <si>
    <t>Expected change in bill (%)</t>
  </si>
  <si>
    <t>FY25 % Bill Change</t>
  </si>
  <si>
    <t>Y axis:</t>
  </si>
  <si>
    <t>Customer bill impact</t>
  </si>
  <si>
    <t>Estimated bill</t>
  </si>
  <si>
    <t>Avoidable Cost</t>
  </si>
  <si>
    <t>Table 3.3: Movement in customers’ network bills 2023-24 to 2024-25 (excluding GST, nominal)</t>
  </si>
  <si>
    <t>Figure 3.5: Large user customer bill impact analysis (Tariff 5, nominal)</t>
  </si>
  <si>
    <t>Figure 3.4: Residential customer bill impact analysis (%, nominal)</t>
  </si>
  <si>
    <t>Figure 3.3: Residential customer bill impact analysis ($ per year, nominal)</t>
  </si>
  <si>
    <t>Table 2.1: LRMC calculations and inputs ($, kVA, real 2023-24)</t>
  </si>
  <si>
    <t>Figure 5.3: Tariff 5 LV &gt;750 MWh pa - Bill impact analysis (nominal)</t>
  </si>
  <si>
    <t>Figure 5.2: Business customer bill impact analysis of Tariff 2 vs 3b ($ per year, nominal)</t>
  </si>
  <si>
    <t>Figure 5.1: Residential customer bill impact analysis of Tariff 1 vs 3a ($ per year, nominal)</t>
  </si>
  <si>
    <t>Model Name:</t>
  </si>
  <si>
    <t>Note: For FY15 to FY19 values refer to Output 2 in 'PWC - Submission Summary - 2 Nov 18' from previous revised proposal</t>
  </si>
  <si>
    <t>Note: For FY15 to FY19 values refer to 'PWC - Submission Summary - 2 Nov 18' from previous revised proposal</t>
  </si>
  <si>
    <t>Note: Total allowed capex for the 2014-19 period split based on actual/estimate proportions.</t>
  </si>
  <si>
    <t>Note: FY15 to FY19 actual opex may include some ACS fee-based expenditure.</t>
  </si>
  <si>
    <t>Source - RIN working files</t>
  </si>
  <si>
    <t>Model checks</t>
  </si>
  <si>
    <t>Overall check</t>
  </si>
  <si>
    <t>Lookup tables</t>
  </si>
  <si>
    <t>Model constants</t>
  </si>
  <si>
    <t>Inflation index period</t>
  </si>
  <si>
    <t>True/False list</t>
  </si>
  <si>
    <t>Outputs | Operating environment</t>
  </si>
  <si>
    <t>Outputs | Meter volumes (NMIs)</t>
  </si>
  <si>
    <t>Table of contents</t>
  </si>
  <si>
    <t>Inputs: General assumptions and settings</t>
  </si>
  <si>
    <t>Model settings</t>
  </si>
  <si>
    <t>Capex classifications</t>
  </si>
  <si>
    <t>Opex classifications</t>
  </si>
  <si>
    <t>Inputs: Inflation index</t>
  </si>
  <si>
    <t>Inflation index calculation</t>
  </si>
  <si>
    <t>ABS/RBA/PTRM</t>
  </si>
  <si>
    <t>Inputs: Operating environment</t>
  </si>
  <si>
    <t>Inputs | Operating environment</t>
  </si>
  <si>
    <t>Customer numbers</t>
  </si>
  <si>
    <t>Circuit length (Overhead and underground)</t>
  </si>
  <si>
    <t>Maximum demand</t>
  </si>
  <si>
    <t>Growth rate</t>
  </si>
  <si>
    <t>Inputs - Circuit length forecast</t>
  </si>
  <si>
    <t>Inputs - Meter numbers (NMIs)</t>
  </si>
  <si>
    <t>Total meter volume (NMI)</t>
  </si>
  <si>
    <t>1 Phase meters (including Prepayment)</t>
  </si>
  <si>
    <t>3 Phase meters</t>
  </si>
  <si>
    <t>Applied rate of change - Customer growth rate</t>
  </si>
  <si>
    <t>Total meter volumes (NMIs)</t>
  </si>
  <si>
    <t>Smoothed revenue - SCS</t>
  </si>
  <si>
    <t>Building block revenue - SCS - Previous and current period allowances and next period proposed</t>
  </si>
  <si>
    <t>Return of capital (regulatory depreciation)</t>
  </si>
  <si>
    <t>Net tax allowance</t>
  </si>
  <si>
    <t>Annual building block revenue</t>
  </si>
  <si>
    <t>Category heading</t>
  </si>
  <si>
    <t>Inputs | Operating expenditure (excluding DRC)</t>
  </si>
  <si>
    <t>Emergency response</t>
  </si>
  <si>
    <t>Export services</t>
  </si>
  <si>
    <t>Inputs | SCS - Capital expenditure (excluding ERC)</t>
  </si>
  <si>
    <t>RIN Level 1 View - 2.1.1 - Standard Control Services - Capex</t>
  </si>
  <si>
    <t>Excluded - Gifted assets (Type 2)</t>
  </si>
  <si>
    <t>RAB asset class view</t>
  </si>
  <si>
    <t>Actual / Estimate - 2.6.1 - Non network expenditure</t>
  </si>
  <si>
    <t>IT &amp; Communications</t>
  </si>
  <si>
    <t>Motor vehicles</t>
  </si>
  <si>
    <t>Buildings and property</t>
  </si>
  <si>
    <t>Other - DNSP nominated</t>
  </si>
  <si>
    <t>Inputs | Smoothed revenue</t>
  </si>
  <si>
    <t>Inputs | Building block revenue</t>
  </si>
  <si>
    <t>Inputs | Operating expenditure (Excl DRC)</t>
  </si>
  <si>
    <t>Inputs | Capital expenditure</t>
  </si>
  <si>
    <t>Capex project list</t>
  </si>
  <si>
    <t>Total: SCS capex model</t>
  </si>
  <si>
    <t>Outputs | Smoothed revenue - SCS</t>
  </si>
  <si>
    <t>Outputs | Building block revenue - SCS</t>
  </si>
  <si>
    <t>Building block revenue chart data</t>
  </si>
  <si>
    <t>Outputs | Operating expenditure - SCS</t>
  </si>
  <si>
    <t>Outputs | Operating expenditure - SCS - RIN Level 1</t>
  </si>
  <si>
    <t>Outputs | Capital expenditure - SCS</t>
  </si>
  <si>
    <t>Outputs | Capital expenditure - RIN Level 1</t>
  </si>
  <si>
    <t>Outputs | Smoothed revenue</t>
  </si>
  <si>
    <t>Outputs | Building block revenue</t>
  </si>
  <si>
    <t>Outputs | Operating expenditure (Excl DRC)</t>
  </si>
  <si>
    <t>Outputs | Capital expenditure</t>
  </si>
  <si>
    <t>Underlying Maximum Demand in 2020-21</t>
  </si>
  <si>
    <t>Demand delivered from the power system in 2020-21</t>
  </si>
  <si>
    <t>Demand for network electricity on maximum day in FY40 - No demand management</t>
  </si>
  <si>
    <t>Demand for network electricity on maximum day in FY40 - With demand management</t>
  </si>
  <si>
    <t>Global</t>
  </si>
  <si>
    <t>Australia</t>
  </si>
  <si>
    <r>
      <t>Network component of retail bill</t>
    </r>
    <r>
      <rPr>
        <b/>
        <vertAlign val="superscript"/>
        <sz val="11"/>
        <color rgb="FFFFFFFF"/>
        <rFont val="Calibri"/>
        <family val="2"/>
      </rPr>
      <t>1</t>
    </r>
  </si>
  <si>
    <t>Initial Proposal</t>
  </si>
  <si>
    <t>Estimated Bill</t>
  </si>
  <si>
    <t>MD Revenue</t>
  </si>
  <si>
    <t>Difference:</t>
  </si>
  <si>
    <t>Smoothed Revenue</t>
  </si>
  <si>
    <t>Source: FY23</t>
  </si>
  <si>
    <t>Revised Proposal</t>
  </si>
  <si>
    <t>Draft Decision</t>
  </si>
  <si>
    <t>Revised Proposal - Forecast</t>
  </si>
  <si>
    <t>Draft Decision - Forecast</t>
  </si>
  <si>
    <t>Residential Bill Impact - Draft Decision</t>
  </si>
  <si>
    <t>Small Business Bill Impact - Draft Decision</t>
  </si>
  <si>
    <t>Residential Bill Impact - Revised Proposal</t>
  </si>
  <si>
    <t>Small Business Bill Impact - Revised Proposal</t>
  </si>
  <si>
    <t>Initial Proposal - Forecast</t>
  </si>
  <si>
    <t>DD forecast (FY24-FY29):</t>
  </si>
  <si>
    <t>Residential Bill Impact - Initial Proposal</t>
  </si>
  <si>
    <t>Small Business Bill Impact - Initial Proposal</t>
  </si>
  <si>
    <t>Tax</t>
  </si>
  <si>
    <t>RoA</t>
  </si>
  <si>
    <t>Depn</t>
  </si>
  <si>
    <t>Rev Adj</t>
  </si>
  <si>
    <t>Insurance</t>
  </si>
  <si>
    <t>Step</t>
  </si>
  <si>
    <t>Step Δ</t>
  </si>
  <si>
    <t>Inflation (Dec 2022)</t>
  </si>
  <si>
    <t>◄ Based on ABS Data</t>
  </si>
  <si>
    <t>1. Overview</t>
  </si>
  <si>
    <t xml:space="preserve">Figure 1.1: Our role in the NT electricity system </t>
  </si>
  <si>
    <t>Intentionally not included</t>
  </si>
  <si>
    <t xml:space="preserve">Figure 1.2: Snapshot of our networks </t>
  </si>
  <si>
    <t xml:space="preserve">Figure 1.3: Types of services covered by this TSS </t>
  </si>
  <si>
    <t xml:space="preserve">2. Network tariff classes and allocations  </t>
  </si>
  <si>
    <t>Table 2.1: Proposed tariff classes and eligibility</t>
  </si>
  <si>
    <t xml:space="preserve">3. Our approach for setting network tariffs </t>
  </si>
  <si>
    <t xml:space="preserve">3.1 Overview of our approach </t>
  </si>
  <si>
    <t xml:space="preserve">Figure 3.1: Process for setting network tariffs </t>
  </si>
  <si>
    <t xml:space="preserve">3.2 Pricing within stand-alone and avoidable cost </t>
  </si>
  <si>
    <t xml:space="preserve">3.3 Pricing based on LRMC </t>
  </si>
  <si>
    <t xml:space="preserve">3.4 Ensuring our tariffs reflect total efficient costs and seek to minimise distortion </t>
  </si>
  <si>
    <t>3.5 Impact of price changes on customers</t>
  </si>
  <si>
    <t xml:space="preserve">3.6 Bill impacts </t>
  </si>
  <si>
    <t>3.7 Making our distribution network charge structures understandable</t>
  </si>
  <si>
    <t xml:space="preserve">4. Tariff structures and charging parameters for Standard Control Services </t>
  </si>
  <si>
    <t xml:space="preserve">4.1 Pricing principles for tariff design </t>
  </si>
  <si>
    <t xml:space="preserve">Table 4.1: Pricing Principles for Tariff Design </t>
  </si>
  <si>
    <t xml:space="preserve">4.2 Tariff charging parameters </t>
  </si>
  <si>
    <t xml:space="preserve">Figure 4.1: Tariff Charging Parameters </t>
  </si>
  <si>
    <t>4.3 Time of use – energy consumption charge</t>
  </si>
  <si>
    <t xml:space="preserve">Figure 4.2: Time of Use Pricing for Consumption  </t>
  </si>
  <si>
    <t xml:space="preserve">4.4 Demand charge parameters </t>
  </si>
  <si>
    <t xml:space="preserve">4.5 Charging periods and rates  </t>
  </si>
  <si>
    <t xml:space="preserve">Table 4.2: Proposed Network Tariffs by Charging Parameters from 1 July 2024 </t>
  </si>
  <si>
    <t xml:space="preserve">Table 4.3: Demand and Energy Periods </t>
  </si>
  <si>
    <t xml:space="preserve">5. Tariff assignment and reassignment for Standard Control Services </t>
  </si>
  <si>
    <t xml:space="preserve">Table 5.1: Low voltage 0-750MWh per annum tariff eligibility </t>
  </si>
  <si>
    <t xml:space="preserve">Table 5.2: Low voltage greater than 750MWh per annum tariff eligibility </t>
  </si>
  <si>
    <t xml:space="preserve">Table 5.3: High voltage less than 10GWh per annum tariff eligibility </t>
  </si>
  <si>
    <t xml:space="preserve">6. Export tariff transition strategy </t>
  </si>
  <si>
    <t>6.1 Overview</t>
  </si>
  <si>
    <t>6.2 Peak demand and DER exports</t>
  </si>
  <si>
    <t xml:space="preserve">6.3 Export tariff trial </t>
  </si>
  <si>
    <t>6.4 Basic export level</t>
  </si>
  <si>
    <t xml:space="preserve">7. Alternative Control Services </t>
  </si>
  <si>
    <t>7.1 What Alternative Control Services are</t>
  </si>
  <si>
    <t xml:space="preserve">Table 7.1: Alternative Control Service tariff classes </t>
  </si>
  <si>
    <t>Table A.1: Indicative SCS prices (ex GST, Real 2024)</t>
  </si>
  <si>
    <t>Table B.1: Indicative ACS Fee based services rates (ex GST, Real 2024)</t>
  </si>
  <si>
    <t xml:space="preserve">C.1 Compliance requirements </t>
  </si>
  <si>
    <t xml:space="preserve">Table C.1: Compliance requirements contained in the NT NER  </t>
  </si>
  <si>
    <t xml:space="preserve">C.2 Pricing Principles </t>
  </si>
  <si>
    <t xml:space="preserve">Table C.2: Pricing Principles in the NT NER </t>
  </si>
  <si>
    <t xml:space="preserve">D.1 Assignment steps </t>
  </si>
  <si>
    <t xml:space="preserve">D.2 When assignment occurs </t>
  </si>
  <si>
    <t>D.3 How assignment occurs</t>
  </si>
  <si>
    <t>D.4 Reassignment initiated by Power and Water</t>
  </si>
  <si>
    <t xml:space="preserve">D.5 Reassignment initiated by a customer or retailer </t>
  </si>
  <si>
    <t>D.6 Dispute Resolution and Objections</t>
  </si>
  <si>
    <t>1. Background</t>
  </si>
  <si>
    <t>Table OV.1: Overview of proposed changes in 2024-29 TSS</t>
  </si>
  <si>
    <t>1.1 Our network and customers</t>
  </si>
  <si>
    <t>Figure 1.1: Our role in the electricity system</t>
  </si>
  <si>
    <t>Figure 1.2: Comparison of our regulated networks</t>
  </si>
  <si>
    <t>Figure 1.3: Global and local change factors impacting our network</t>
  </si>
  <si>
    <t>1.2 What is the Tariff Structure Statement?</t>
  </si>
  <si>
    <t>1.3 Purpose and scope of the Explanatory Statement</t>
  </si>
  <si>
    <t>1.4 Pricing principles and compliance requirements</t>
  </si>
  <si>
    <t>Table 1.1: How we have addressed the NT NER pricing objective and principles</t>
  </si>
  <si>
    <t>1.5 Classification of distribution services</t>
  </si>
  <si>
    <t>Figure 1.4: AER service classification</t>
  </si>
  <si>
    <t>1.6 Network tariff regulation</t>
  </si>
  <si>
    <t>1.7 Tariff reform journey</t>
  </si>
  <si>
    <t>Table 1.2: AER feedback to 2019-24 TSS</t>
  </si>
  <si>
    <t>Table 1.3: Our pricing objectives</t>
  </si>
  <si>
    <t>Figure 1.5: Drivers for tariff reform</t>
  </si>
  <si>
    <t>2. Our approach to setting tariffs</t>
  </si>
  <si>
    <t>2.1 LRMC methodology and approach</t>
  </si>
  <si>
    <t>2.2 Stand-alone and avoidable costs</t>
  </si>
  <si>
    <t>2.3 Setting price levels</t>
  </si>
  <si>
    <t>2.4 Efficient recovery of residual costs</t>
  </si>
  <si>
    <t>2.5 Recovery of annual revenue requirement across tariffs</t>
  </si>
  <si>
    <t>3. Stakeholder engagement</t>
  </si>
  <si>
    <t>Figure 3.1: Customer segments and revenue impact</t>
  </si>
  <si>
    <t>Figure 3.2: Stakeholder engagement journey</t>
  </si>
  <si>
    <t>Figure 3.3: Tariff reform options discussed at People’s Panels</t>
  </si>
  <si>
    <t>Figure 3.4: Results of People’s Panel tariff reform discussions</t>
  </si>
  <si>
    <t>4. Overview of proposed tariff classes, tariffs and structures</t>
  </si>
  <si>
    <t>4.1 Progress towards LRMC based pricing</t>
  </si>
  <si>
    <t>Figure 4.1: Overview of proposed tariffs and structures for 2024-29</t>
  </si>
  <si>
    <t>4.2 Proposed network tariff classes</t>
  </si>
  <si>
    <t>Table 4.1: Proposed network tariff classes</t>
  </si>
  <si>
    <t>4.3 Proposed network tariffs and charging parameters</t>
  </si>
  <si>
    <t>Table 4.2: Proposed network tariffs by charging parameter from 1 July 2024</t>
  </si>
  <si>
    <t>4.4 Proposed changes to tariffs from 1 July 2024</t>
  </si>
  <si>
    <t>Table 4.3: Proposed changes to Tariff 3</t>
  </si>
  <si>
    <t>Table 4.4: Proposed changes to HV tariffs</t>
  </si>
  <si>
    <t>4.5 Tariff structures and parameters</t>
  </si>
  <si>
    <t>Figure 4.2: Tariff charging parameters</t>
  </si>
  <si>
    <t>Table 4.5: Overview of tariff parameters and reason for change</t>
  </si>
  <si>
    <t>Figure 4.3: Seasonal time of use pricing parameters</t>
  </si>
  <si>
    <t>4.6 Recovery of residual costs</t>
  </si>
  <si>
    <t>4.7 Setting individually calculated tariffs</t>
  </si>
  <si>
    <t>5. Customer and bill impacts</t>
  </si>
  <si>
    <t>5.1 Overview</t>
  </si>
  <si>
    <t>Table 5.1: Movement in customers’ network bills 2023-24 to 2024-25 (excluding GST, nominal)</t>
  </si>
  <si>
    <t>5.2 Residential customers</t>
  </si>
  <si>
    <t>5.3 Small business customers</t>
  </si>
  <si>
    <t>5.4 LV major connected customers</t>
  </si>
  <si>
    <t>5.5 HV connected customers</t>
  </si>
  <si>
    <t>6. Export tariff transition strategy</t>
  </si>
  <si>
    <t>6.2 Future network strategy</t>
  </si>
  <si>
    <t>Figure 6.1: Objectives of the future network strategy</t>
  </si>
  <si>
    <t>6.3 Impact of demand</t>
  </si>
  <si>
    <t>6.4 Network tariff trials</t>
  </si>
  <si>
    <t>6.5 Basic export limits and hosting capacity</t>
  </si>
  <si>
    <t>7. Assignment and reassignment policy</t>
  </si>
  <si>
    <t>7.1 Overview</t>
  </si>
  <si>
    <t>7.2 How assignment occurs</t>
  </si>
  <si>
    <t>7.3 When reassignment occurs</t>
  </si>
  <si>
    <t>8. Alternative Control Services</t>
  </si>
  <si>
    <t>8.1 Overview</t>
  </si>
  <si>
    <t>Table 8.1: Overview of ACS</t>
  </si>
  <si>
    <t>8.2 Fee-based and quoted services</t>
  </si>
  <si>
    <t>Estimate / Forecast | Metered</t>
  </si>
  <si>
    <t>Estimate / Forecast | Unmetered</t>
  </si>
  <si>
    <t>RP forecast (FY24-FY29):</t>
  </si>
  <si>
    <t>IP forecast (FY24-FY29):</t>
  </si>
  <si>
    <t>RP</t>
  </si>
  <si>
    <t>IP</t>
  </si>
  <si>
    <t>DD</t>
  </si>
  <si>
    <t>Revised proposal</t>
  </si>
  <si>
    <t>About this proposal</t>
  </si>
  <si>
    <t>Future networks - hosting capacity</t>
  </si>
  <si>
    <t>Add back capital contributions</t>
  </si>
  <si>
    <t>RFM</t>
  </si>
  <si>
    <t>5.2 Our response</t>
  </si>
  <si>
    <t>6.1 The AER's draft decision</t>
  </si>
  <si>
    <t>6.2 Our response</t>
  </si>
  <si>
    <t>Revised Proposal - Chapter 1: Customer engagement since the initial regulatory proposal</t>
  </si>
  <si>
    <t>Revised Proposal - Chapter 2: Revenue</t>
  </si>
  <si>
    <t>2. Revenue</t>
  </si>
  <si>
    <t>2.1 The AER's draft decision</t>
  </si>
  <si>
    <t>2.2 Our response</t>
  </si>
  <si>
    <t>1. Customer engagement since the initial regulatory proposal</t>
  </si>
  <si>
    <t>1.1 What we have heard</t>
  </si>
  <si>
    <t>Revised Proposal - Chapter 3: Capital expenditure</t>
  </si>
  <si>
    <t>3. Capital expenditure</t>
  </si>
  <si>
    <t>3.1 The AER's draft decision</t>
  </si>
  <si>
    <t>3.2 Our response</t>
  </si>
  <si>
    <t>4.1 The AER's draft determination</t>
  </si>
  <si>
    <t>4.2 Our response</t>
  </si>
  <si>
    <t>5.1 The AER's draft determination</t>
  </si>
  <si>
    <t>A message from the CEO</t>
  </si>
  <si>
    <t>Revised Proposal - Front sections</t>
  </si>
  <si>
    <t>Who is Power and Water?</t>
  </si>
  <si>
    <t>Where are we in the regulatory process?</t>
  </si>
  <si>
    <t>What happens next?</t>
  </si>
  <si>
    <t>How can you provide feedback?</t>
  </si>
  <si>
    <t>Values used in this document</t>
  </si>
  <si>
    <t>This is a x% decrease from the Power and Water’s proposed revenue</t>
  </si>
  <si>
    <t xml:space="preserve">The AER’s draft decision allows Power and Water to recover an estimated $x million ($nominal, smoothed) </t>
  </si>
  <si>
    <t>Constituent decision</t>
  </si>
  <si>
    <t>AER draft decision</t>
  </si>
  <si>
    <t>Our response</t>
  </si>
  <si>
    <t>Classification of services</t>
  </si>
  <si>
    <t>Annual revenue requirement</t>
  </si>
  <si>
    <t>Draft decision</t>
  </si>
  <si>
    <t>Initial proposal</t>
  </si>
  <si>
    <t>Draft decision ($nominal, unsmoothed)</t>
  </si>
  <si>
    <t>Initial proposal ($nominal, unsmoothed)</t>
  </si>
  <si>
    <t>Reduction ($nominal, unsmoothed)</t>
  </si>
  <si>
    <t>Revised proposal ($nominal, unsmoothed)</t>
  </si>
  <si>
    <t>Reduction (%)</t>
  </si>
  <si>
    <t>Regulatory control period</t>
  </si>
  <si>
    <t>Forecast capex</t>
  </si>
  <si>
    <t>Draft decision ($2023-24)</t>
  </si>
  <si>
    <t>Single site consolidation ($2023-24)</t>
  </si>
  <si>
    <t>OT capability uplift ($2023-24)</t>
  </si>
  <si>
    <t>DOE/CER ($2023-24)</t>
  </si>
  <si>
    <t>Contingent projects and trigger events</t>
  </si>
  <si>
    <t>Forecast Opex</t>
  </si>
  <si>
    <t>Initial proposal ($2023-24)</t>
  </si>
  <si>
    <t>Insurance costs</t>
  </si>
  <si>
    <t>Cyber security ($2023-24)</t>
  </si>
  <si>
    <t>Insurance costs ($2023-24)</t>
  </si>
  <si>
    <t>Cloud migration ($2023-24)</t>
  </si>
  <si>
    <t>Future network ($2023-24)</t>
  </si>
  <si>
    <t>Revised opex forecast ($2023-24)</t>
  </si>
  <si>
    <t>Allowed rate of return (%)</t>
  </si>
  <si>
    <t>Value of imputation credits (%)</t>
  </si>
  <si>
    <t>Opening Regulatory Asset Base (RAB)</t>
  </si>
  <si>
    <t>Opening RAB as at 1 July 2024 ($nominal)</t>
  </si>
  <si>
    <t>Cost of tax</t>
  </si>
  <si>
    <t>Depreciation and depreciation approach</t>
  </si>
  <si>
    <t>Increase ($2023-24)</t>
  </si>
  <si>
    <t>Depreciation approach</t>
  </si>
  <si>
    <t>Incentive schemes</t>
  </si>
  <si>
    <t>Reporting designated pricing proposal charges</t>
  </si>
  <si>
    <t>Reporting jurisdictional scheme amounts</t>
  </si>
  <si>
    <t>Pass through events</t>
  </si>
  <si>
    <t>Tariff structure statement</t>
  </si>
  <si>
    <t>Negotiating framework and negotiated distribution services criteria</t>
  </si>
  <si>
    <t>Connections policy</t>
  </si>
  <si>
    <t>Other inputs and values</t>
  </si>
  <si>
    <t>…this is a $x increase compared with the AER’s draft decision</t>
  </si>
  <si>
    <t>...but $x million less than our original proposal</t>
  </si>
  <si>
    <t>...This has the effect of increasing the revenue allowance by $x million</t>
  </si>
  <si>
    <t>...the revenue impact of the proposed $x million project is spread over several regulatory control periods</t>
  </si>
  <si>
    <t>Revenue</t>
  </si>
  <si>
    <t>…to $x million</t>
  </si>
  <si>
    <t xml:space="preserve">...The AER removed $x million of costs </t>
  </si>
  <si>
    <t>OT Capability Uplift:</t>
  </si>
  <si>
    <t>Single Site Consolidation:</t>
  </si>
  <si>
    <t>…reduced the project capex costs by $x million</t>
  </si>
  <si>
    <t>DER Integration</t>
  </si>
  <si>
    <t>…It only allowed $x million</t>
  </si>
  <si>
    <t>…revised cost of addressing voltage issues in the low voltage network down by $x million</t>
  </si>
  <si>
    <t>Forecast opex</t>
  </si>
  <si>
    <t xml:space="preserve">The AER excluded $x million </t>
  </si>
  <si>
    <t>…of the proposed $x million</t>
  </si>
  <si>
    <t>...we are proposing step changes totalling $x million</t>
  </si>
  <si>
    <t>…value of $x million</t>
  </si>
  <si>
    <t>…AER approved the proposed $x million step change</t>
  </si>
  <si>
    <t>…AER excluded our original $x million insurance estimate</t>
  </si>
  <si>
    <t>Operational technology capability uplift</t>
  </si>
  <si>
    <t xml:space="preserve">…AER excluded the OT Capability Uplift capex project and consequently excluded the proposed $x million opex step change </t>
  </si>
  <si>
    <t xml:space="preserve">…AER excluded the bulk of the DER integration capex project and consequently excluded the proposed $xxx million opex step change </t>
  </si>
  <si>
    <t>...the indicative average residential bill impact  over the regulatory period of our revised revenue allowance is less than $x per year higher than the draft decision</t>
  </si>
  <si>
    <t>…or xx%</t>
  </si>
  <si>
    <t>…but $x per year lower than our initial proposal</t>
  </si>
  <si>
    <t xml:space="preserve">Table 1.1: Summary of People’s Panel feedback since the Final Plan was submitted in January 2023 </t>
  </si>
  <si>
    <t>The AER’s draft decision is to allow a total annual revenue requirement of $x million ($ nominal unsmoothed) for the 2024-29 period</t>
  </si>
  <si>
    <t xml:space="preserve">This is a reduction of $x million </t>
  </si>
  <si>
    <t>…or x%</t>
  </si>
  <si>
    <t xml:space="preserve">…from our proposed revenue of $x million </t>
  </si>
  <si>
    <t>Annual expected revenue (smoothed)</t>
  </si>
  <si>
    <t>[Not included in this spreadsheet]</t>
  </si>
  <si>
    <t xml:space="preserve">...proposed total forecast capital expenditure of $x million ($2023–24). </t>
  </si>
  <si>
    <t xml:space="preserve">...an alternative estimate of Power and Water Corporation’s total forecast capex for the 2024–29 regulatory control period of $x million ($2023–24). </t>
  </si>
  <si>
    <t xml:space="preserve">The AER’s draft decision is to substitute our proposed capex of $x million </t>
  </si>
  <si>
    <t>…with its forecast of $x million</t>
  </si>
  <si>
    <t>The AER's reduction of $x million of our proposed capex</t>
  </si>
  <si>
    <t>…or x%, relates to three projects</t>
  </si>
  <si>
    <t>…OT Capability Uplift…the AER removed $x million</t>
  </si>
  <si>
    <t>…Single Site Consolidation…the AER removed $x million</t>
  </si>
  <si>
    <t xml:space="preserve">Shared transmission works to transport generation from a Renewable Energy Hub in Darwin‐Katherine </t>
  </si>
  <si>
    <t>Holtze‐Kowandi land development</t>
  </si>
  <si>
    <t xml:space="preserve">Middle Arm commercial development </t>
  </si>
  <si>
    <t xml:space="preserve">Wishart commercial development </t>
  </si>
  <si>
    <t>Unlocking existing large scale renewable generation in Darwin‐Katherine</t>
  </si>
  <si>
    <t>Constituent component 5: Determination of contingent projects; Constituent component 6: Forecast capex for contingent projects; Constituent component 7: Trigger events for contingent projects</t>
  </si>
  <si>
    <t>The AER’s draft decision is to accept four of our five proposed contingent projects at a total indicative cost of $x million</t>
  </si>
  <si>
    <t>Power and Water's response</t>
  </si>
  <si>
    <t xml:space="preserve">The initial regulatory proposal included $x million of capital investment </t>
  </si>
  <si>
    <t>…this includes</t>
  </si>
  <si>
    <t>...$x million to replace and refresh our network assets</t>
  </si>
  <si>
    <t>...$x million to augment our network as a result of compliance, reliability and demand</t>
  </si>
  <si>
    <t>...$x million to connect new customers</t>
  </si>
  <si>
    <t>...$x million to manage issues on the low voltage network resulting from an increasing uptake of rooftop solar</t>
  </si>
  <si>
    <t>...$x million to maintain our ICT assets and increase our IT and OT capability</t>
  </si>
  <si>
    <t>...$x million in property, plant and fleet asset to support the provision of our network services</t>
  </si>
  <si>
    <t>...$x million in capitalised overhead costs</t>
  </si>
  <si>
    <t>3.2.1 Distributed energy resources (DER) integration</t>
  </si>
  <si>
    <t>In our initial proposal, we included $x million to help us better integrate distributed energy resources, primarily small-scale solar systems, into the network</t>
  </si>
  <si>
    <t>7.1 The AER's draft determination</t>
  </si>
  <si>
    <t>7.2 Our response</t>
  </si>
  <si>
    <t>Gross</t>
  </si>
  <si>
    <t>Disposals</t>
  </si>
  <si>
    <t>Capcons</t>
  </si>
  <si>
    <t>Net</t>
  </si>
  <si>
    <t>1. About Power and Water</t>
  </si>
  <si>
    <t>2. How we recover our costs</t>
  </si>
  <si>
    <t>3. Purpose and scope</t>
  </si>
  <si>
    <t>4. Services we provide</t>
  </si>
  <si>
    <t>5. Our approach to setting network tariffs</t>
  </si>
  <si>
    <t>6. Tariff reform journey</t>
  </si>
  <si>
    <t>7. Network tariff classes and tariffs</t>
  </si>
  <si>
    <t>8. Tariff structures and charging parameters for Standard Control Services</t>
  </si>
  <si>
    <t>8.1 Time of use - energy consumption charge</t>
  </si>
  <si>
    <t>8.2 Demand charge parameters</t>
  </si>
  <si>
    <t>8.3 Why we chose 3-9pm peak period charging window</t>
  </si>
  <si>
    <t>9. Customer stakeholder engagement</t>
  </si>
  <si>
    <t>10. Export tariff transition strategy</t>
  </si>
  <si>
    <t>10.1 Export tariff trial</t>
  </si>
  <si>
    <t>11. Customer impacts</t>
  </si>
  <si>
    <t>◄ Chart copied from TSES Attachment 11.02</t>
  </si>
  <si>
    <t>A.1 Indicative pricing schedule (Standard Control Services)</t>
  </si>
  <si>
    <t>B.1 Indicative price schedule (Alternative Control Services)</t>
  </si>
  <si>
    <t>3.2 What we proposed in our Draft Plan</t>
  </si>
  <si>
    <t>3.3 What we heard on our Draft Plan</t>
  </si>
  <si>
    <t>3.4 How our initial TSS responded</t>
  </si>
  <si>
    <t>3.5 What we heard on our initial TSS proposal and how we have responded</t>
  </si>
  <si>
    <t>Table 3.1 Jacana Energy feedback and our responses</t>
  </si>
  <si>
    <t>◄ Chart copied from TSES Attachment 11.02, Figure 6.5</t>
  </si>
  <si>
    <t>Figure 5.5: Initially proposed Tariff 7 Super Users - Bill impact analysis on revised Tariff 6 assignment proposal (nominal)</t>
  </si>
  <si>
    <t>Revenue Increase + CPI = 11.2%</t>
  </si>
  <si>
    <t>Figure 1.1: Our electricity networks</t>
  </si>
  <si>
    <t>Figure 2.1: Our role in the NT electricity system</t>
  </si>
  <si>
    <t>Figure 4.1: AER service classification</t>
  </si>
  <si>
    <t>Figure 5.1: Process for setting network tariffs</t>
  </si>
  <si>
    <t>Table 6.1: Our pricing objectives</t>
  </si>
  <si>
    <t>Table 7.1: Proposed tariff classes and eligibility</t>
  </si>
  <si>
    <t>Figure 8.1: Tariff charging parameters</t>
  </si>
  <si>
    <t xml:space="preserve">Figure 8.2: Time of day pricing for consumption </t>
  </si>
  <si>
    <t>Table 8.1: Proposed network tariffs by charging parameters from 1 July 2024</t>
  </si>
  <si>
    <t>Figure 9.1: Stakeholder journey on tariff reform</t>
  </si>
  <si>
    <t>Initial Proposal ($2023-24)</t>
  </si>
  <si>
    <t>Revised Proposal ($2023-24)</t>
  </si>
  <si>
    <t>Straightline Depn</t>
  </si>
  <si>
    <t>Regulatory Depn</t>
  </si>
  <si>
    <t>Form of price control</t>
  </si>
  <si>
    <t>Distribution Use of Service (DuoS)</t>
  </si>
  <si>
    <r>
      <t xml:space="preserve">The biggest change in the revenue allowance relates to opex </t>
    </r>
    <r>
      <rPr>
        <b/>
        <sz val="10"/>
        <color rgb="FF4472C4"/>
        <rFont val="Calibri"/>
        <family val="2"/>
      </rPr>
      <t>step changes</t>
    </r>
    <r>
      <rPr>
        <sz val="10"/>
        <color rgb="FF4472C4"/>
        <rFont val="Calibri"/>
        <family val="2"/>
      </rPr>
      <t>, of which $x million were excluded in the draft decision</t>
    </r>
  </si>
  <si>
    <t>◄ Note: includes debt raising costs</t>
  </si>
  <si>
    <t>Residential</t>
  </si>
  <si>
    <t>Small Business</t>
  </si>
  <si>
    <t>…but propose an alternative estimate of our total annual revenue requirement of $xxxx million ($ nominal)</t>
  </si>
  <si>
    <t>Building block ($ million, nominal)</t>
  </si>
  <si>
    <t>◄ Net Capex</t>
  </si>
  <si>
    <t>Revised Proposal - Chapter 5: Operating Expenditure</t>
  </si>
  <si>
    <t>Revised Proposal - Chapter 4: Contingent Projects</t>
  </si>
  <si>
    <t>We propose a revised forecast of $x million which includes:</t>
  </si>
  <si>
    <t>...$x million of forecast capex to better integrate DER</t>
  </si>
  <si>
    <t>...$x million for the Single Site Consolidation project</t>
  </si>
  <si>
    <t>...reintroduction of the $x million OT capability uplift program</t>
  </si>
  <si>
    <t>◄ RP less DD</t>
  </si>
  <si>
    <t xml:space="preserve">….additional $x million in network and corporate overheads </t>
  </si>
  <si>
    <t>◄ Gross Capex</t>
  </si>
  <si>
    <t>Our revised total capex forecast is $x million</t>
  </si>
  <si>
    <t>OT Capability</t>
  </si>
  <si>
    <t>Single Site</t>
  </si>
  <si>
    <t xml:space="preserve">we do not accept PWC’s forecast capex of $x million </t>
  </si>
  <si>
    <t>instead provide an alternative capex forecast of $x million to enable PWC to commence its installer outreach programs</t>
  </si>
  <si>
    <t xml:space="preserve">...modified DER integration program with a revised capex forecast of $x million </t>
  </si>
  <si>
    <t>3.2.2 OT capability uplift</t>
  </si>
  <si>
    <t>Forecast capex for the revised program is estimated at $x million</t>
  </si>
  <si>
    <t>...with an associated opex step change component of $x million</t>
  </si>
  <si>
    <t xml:space="preserve">3.2.3 Single site consolidation </t>
  </si>
  <si>
    <t xml:space="preserve">In our initial proposal, we included $x million for property costs </t>
  </si>
  <si>
    <t>Their draft decision included an additional $x million for capital expenditure associated with the lease extension</t>
  </si>
  <si>
    <t>...updated our capex forecasts…remove the AER’s $x million for the extension of the Mitchell Street lease</t>
  </si>
  <si>
    <t>forecast capex of $x million to be recovered through Standard Control Services</t>
  </si>
  <si>
    <t>4. Contingent Projects</t>
  </si>
  <si>
    <t>Power and Water’s response</t>
  </si>
  <si>
    <t>….do not accept ….decision to exclude the proposed ($x million) ….. unlock existing large scale renewable generation in Darwin‐Katherine</t>
  </si>
  <si>
    <t>5. Operating Expenditure</t>
  </si>
  <si>
    <t>Constituent component 8: Forecast opex</t>
  </si>
  <si>
    <t>draft decision is to not accept ….proposed total forecast operating expenditure, inclusive of debt raising costs, of $x million</t>
  </si>
  <si>
    <t xml:space="preserve">...draft decision ...includes an alternative estimate of ….forecast opex for the 2024–29 ….of $x million ($2023–24) including debt raising costs </t>
  </si>
  <si>
    <t>AER included an alternative opex estimate of $x million</t>
  </si>
  <si>
    <t xml:space="preserve">This is $x million or </t>
  </si>
  <si>
    <t>or x% lower than the forecast in our initial proposal</t>
  </si>
  <si>
    <t>a reduction of $x million in base year opex to account for</t>
  </si>
  <si>
    <t>removal of the DMIA</t>
  </si>
  <si>
    <t>removing movements in provisions</t>
  </si>
  <si>
    <t>latest inflation forecasts</t>
  </si>
  <si>
    <t>a reduction of $x million due to the removal of five of our six proposed step changes</t>
  </si>
  <si>
    <t xml:space="preserve">reductions are partially offset by an increase of $x million in trend growth </t>
  </si>
  <si>
    <t>and $x million in debt raising costs.</t>
  </si>
  <si>
    <t>Draft Decision less Initial Proposal</t>
  </si>
  <si>
    <t xml:space="preserve">AER’s adjusted base opex of $x million </t>
  </si>
  <si>
    <t>reflecting our $x million 2021-22 actual opex</t>
  </si>
  <si>
    <t xml:space="preserve">reintroduction of the cyber security step change </t>
  </si>
  <si>
    <t xml:space="preserve">the reintroduction of the cloud migration step change </t>
  </si>
  <si>
    <t>reintroduction of the $x million step change associated with the OT capability uplift program</t>
  </si>
  <si>
    <t>reintroduction of a step change to better integrate DER in our network</t>
  </si>
  <si>
    <t xml:space="preserve">reintroduction of a step change related to the increase in our insurance premiums...albeit at an increased forecast of $x million </t>
  </si>
  <si>
    <t>compared to our initial proposal forecast of $x million.</t>
  </si>
  <si>
    <t xml:space="preserve">Initial regulatory proposal included $x million of operating and debt raising costs </t>
  </si>
  <si>
    <t>$x million of base opex reflective of our revealed costs in 2021-22</t>
  </si>
  <si>
    <t>price, output and productivity (trend) growth of -$x million</t>
  </si>
  <si>
    <t xml:space="preserve">a $x million increase reflecting the need to increase our cyber security capability </t>
  </si>
  <si>
    <t>a $x million increase to meet our regulatory obligations</t>
  </si>
  <si>
    <t xml:space="preserve">a $x million increase to migrate critical ICT assets to the cloud </t>
  </si>
  <si>
    <t>$x million of operating costs associated with the OT capability uplift program</t>
  </si>
  <si>
    <t>$x million of operating costs associated with our future network program</t>
  </si>
  <si>
    <t>a $x million increase in our insurance premiums</t>
  </si>
  <si>
    <t>$x million in debt raising costs</t>
  </si>
  <si>
    <t>These changes alone have reduced our opex forecast by around $x million,</t>
  </si>
  <si>
    <t>Our revised total opex forecast is $x million</t>
  </si>
  <si>
    <t>5.2.1 Base year opex</t>
  </si>
  <si>
    <t>5.2.2 Trend</t>
  </si>
  <si>
    <t>Base year components</t>
  </si>
  <si>
    <t>customer numbers and line length for 2022/23 and have therefore replaced the placeholder estimate with these actuals</t>
  </si>
  <si>
    <t>Output</t>
  </si>
  <si>
    <t>Price</t>
  </si>
  <si>
    <t>Total trend</t>
  </si>
  <si>
    <t>Updated to labour escalation</t>
  </si>
  <si>
    <t>We do not accept the AER’s draft decision to reduce the Future Networks step change from $x million</t>
  </si>
  <si>
    <t>Our proposed Future Networks step change has reduced from $x million</t>
  </si>
  <si>
    <t>Future networks</t>
  </si>
  <si>
    <t>to $x million</t>
  </si>
  <si>
    <t>Table 5.1: Future networks, DER integration step change, $ million real 2024</t>
  </si>
  <si>
    <t>to $x million.</t>
  </si>
  <si>
    <t>associated recurrent opex has reduced significantly, from $x million</t>
  </si>
  <si>
    <t>Table 5.2: OT capability uplift step change, $ million real 2024</t>
  </si>
  <si>
    <t>5.2.3 Step changes - Future networks</t>
  </si>
  <si>
    <t>5.2.3 Step changes - OT capability uplift</t>
  </si>
  <si>
    <t>5.2.3 Step changes - Insurance</t>
  </si>
  <si>
    <t>We have updated our step change to $x million</t>
  </si>
  <si>
    <t>OT capability uplift step change</t>
  </si>
  <si>
    <t>Table 5.3: Revised insurance step change, $ million real 2024</t>
  </si>
  <si>
    <t>◄ Change future networks and OT Uplift IP vs RP step changes</t>
  </si>
  <si>
    <t>DRC</t>
  </si>
  <si>
    <t>Adj Base Yr</t>
  </si>
  <si>
    <t>Prod.</t>
  </si>
  <si>
    <t>Revised Proposal - Chapter 6: Pass through events</t>
  </si>
  <si>
    <t>6. Pass through events</t>
  </si>
  <si>
    <t>Revised Proposal - Chapter 7: Tariffs</t>
  </si>
  <si>
    <t>7. Tariffs</t>
  </si>
  <si>
    <t>Figure 3.6: Large user customer bill impact analysis (Tariff 6, nominal, including those previously on Tariff 7)</t>
  </si>
  <si>
    <t>Figure 5.4: Tariff 6 All HV Smart Meters – Bill impact analysis (nominal)</t>
  </si>
  <si>
    <t>reducing our total expenditure forecast for the next regulatory period (opex and capex) by $xxx million</t>
  </si>
  <si>
    <t>◄ Excluding DRC and ERC, gross capex</t>
  </si>
  <si>
    <t>2.2.1 Return on capital</t>
  </si>
  <si>
    <t>...which is $xxx million higher than the AER’s draft decision</t>
  </si>
  <si>
    <t xml:space="preserve">...but $xxx million lower than our initial proposal </t>
  </si>
  <si>
    <t>2.2.2 Regulatory Depreciation</t>
  </si>
  <si>
    <t>Property leases - Standard Life - Draft Decision</t>
  </si>
  <si>
    <t>Property leases - Standard Life - Revised Proposal</t>
  </si>
  <si>
    <t>2.2.3 Opex</t>
  </si>
  <si>
    <t>revised opex forecast is $xx million higher than the AER’s draft decision</t>
  </si>
  <si>
    <t>but $xxx lower than our initial proposal</t>
  </si>
  <si>
    <t>2.2.4 Revenue adjustments</t>
  </si>
  <si>
    <t xml:space="preserve">…accepted the AER’s draft decision on revenue adjustments, which are $x million lower than our initial proposal. </t>
  </si>
  <si>
    <t xml:space="preserve">DER:...AER removed the majority of costs ($x million) </t>
  </si>
  <si>
    <t>...only allowed $x million</t>
  </si>
  <si>
    <t>The remaining ~$x million of capex adjustments relate to….</t>
  </si>
  <si>
    <t xml:space="preserve">3.2.1 Future networks – DER integration </t>
  </si>
  <si>
    <r>
      <t>Component</t>
    </r>
    <r>
      <rPr>
        <sz val="8"/>
        <color rgb="FFFFFFFF"/>
        <rFont val="Calibri"/>
        <family val="2"/>
      </rPr>
      <t> </t>
    </r>
  </si>
  <si>
    <t>Check Value</t>
  </si>
  <si>
    <t>Check Target</t>
  </si>
  <si>
    <t>...shorten the life of the 'Property Leases' asset class to x years</t>
  </si>
  <si>
    <t>applied the updated growth rates to our revised opex forecast, which is $x million higher than the draft decision</t>
  </si>
  <si>
    <t>and results in an increase in trend growth of $x.x million.</t>
  </si>
  <si>
    <t>Check - Target</t>
  </si>
  <si>
    <t>8.1. The AER's draft determination</t>
  </si>
  <si>
    <t>8.2. Our response</t>
  </si>
  <si>
    <t xml:space="preserve">Alternative control services: Metering </t>
  </si>
  <si>
    <t>8.2.1 Revised metering replacement program</t>
  </si>
  <si>
    <t>an accelerated roll out would increase the daily charge for single phase residential customers from xc per day under our initial proposal</t>
  </si>
  <si>
    <t>to xc per day under the accelerated roll out</t>
  </si>
  <si>
    <t>Table 8.1: Accelerated smart meter roll out, $ million real 2024</t>
  </si>
  <si>
    <t>Initial meter replacement capex</t>
  </si>
  <si>
    <t>Revised meter replacement capex</t>
  </si>
  <si>
    <t>AER’s draft decision was to….alternate smoothed revenue of $x million ($ nominal).</t>
  </si>
  <si>
    <t>◄ Sum of Electronic meters, Metering communications and Dedicated CTs and VTs asset classes</t>
  </si>
  <si>
    <t>Revised Proposal - Chapter 9: Ancillary services</t>
  </si>
  <si>
    <t>9. Ancillary services</t>
  </si>
  <si>
    <t>9.1 The AER's draft decision</t>
  </si>
  <si>
    <t>9.2 Our response</t>
  </si>
  <si>
    <t>Ancillary services: Fee-based and quoted services</t>
  </si>
  <si>
    <t>Reduced our overhead rate of x%</t>
  </si>
  <si>
    <t>...draft decision has reduced our proposed prices by an average of % over all services offered</t>
  </si>
  <si>
    <t>...with its benchmark rate of x%.</t>
  </si>
  <si>
    <t>Table 9.1: Fee-based meter replacement charges, $ real 2024</t>
  </si>
  <si>
    <t>Service category</t>
  </si>
  <si>
    <t>Meter Servicing (Fee based)</t>
  </si>
  <si>
    <t>Total unweighted change</t>
  </si>
  <si>
    <t>◄ Footnote 14, Page 7 of Attachment 16 Alternative Control Services, September 2023</t>
  </si>
  <si>
    <t>Note: The numbers above were calculated within the Initial Proposal and have been re-used by the AER without updating CPI, WPI, overheads given the forecast will be replaced when the trigger event occurs.</t>
  </si>
  <si>
    <t>Direct escalated</t>
  </si>
  <si>
    <t>Total incl OH</t>
  </si>
  <si>
    <t>Gross Capex including OH ($millions, June 2024)</t>
  </si>
  <si>
    <t>Scenario Choice:</t>
  </si>
  <si>
    <t xml:space="preserve">Recurrent - ArcFM Web XI Tier 2 production license  (8 core) </t>
  </si>
  <si>
    <t>Recurrent - ArcFm Editor 11 Desktop</t>
  </si>
  <si>
    <t>Recurrent - SE Geodatabase Costs GDBM (License)</t>
  </si>
  <si>
    <t>Recurrent - Annual OMS/DMS licence</t>
  </si>
  <si>
    <t>Non Recurrent - Labour (Migration activities and data cleansing)</t>
  </si>
  <si>
    <t>Draft decision meter replacement capex</t>
  </si>
  <si>
    <t>Inputs: Capex project list - SCS - Revised Proposal</t>
  </si>
  <si>
    <t xml:space="preserve">Approximately x per cent of our major customer will experience an impact </t>
  </si>
  <si>
    <t>...greater than x per cent</t>
  </si>
  <si>
    <t>Real$2024 to Nominal (end year)</t>
  </si>
  <si>
    <t>◄ Chart copied from Overview - Tariff structure statement - Attachment 11.07, Figure 11.1</t>
  </si>
  <si>
    <t xml:space="preserve">Figure 1.1 Summarises our engagement journey to date. </t>
  </si>
  <si>
    <t>◄ Years</t>
  </si>
  <si>
    <t>…(or $x.x million in nominal dollars)</t>
  </si>
  <si>
    <t xml:space="preserve">3.2.5 Other capex adjustments </t>
  </si>
  <si>
    <t>3.2.4 Cyber Security</t>
  </si>
  <si>
    <t>FY22 Base Year (Nominal)</t>
  </si>
  <si>
    <t>FY22 Provisions (Nominal)</t>
  </si>
  <si>
    <t>FY22 DMIA (Nominal)</t>
  </si>
  <si>
    <t>Nominal to Real 2024</t>
  </si>
  <si>
    <t>FY22 Adj Base Yr (Nominal)</t>
  </si>
  <si>
    <t>FY22 Adj Base Yr (Real 2024)</t>
  </si>
  <si>
    <t>5 Year total</t>
  </si>
  <si>
    <t>Difference in 5 year totals of adjusted base year in Real 2024 dollars</t>
  </si>
  <si>
    <t>5 year difference of adding this input to the IP</t>
  </si>
  <si>
    <t>5 year difference of correcting the signage of this input in the IP</t>
  </si>
  <si>
    <t>Remaining difference, predominately CPI impact on the nominal base year</t>
  </si>
  <si>
    <t>Real$2022 to Real$2024</t>
  </si>
  <si>
    <t>SCS share</t>
  </si>
  <si>
    <t>Table 8.2: Forecast metering revenue and prices, $ nominal</t>
  </si>
  <si>
    <t>Smoothed revenue ($ million)</t>
  </si>
  <si>
    <t>Initial regulatory proposal</t>
  </si>
  <si>
    <t>Revised regulatory proposal</t>
  </si>
  <si>
    <t>Prices ($ per meter)</t>
  </si>
  <si>
    <t>1 Phase Meters (including Prepayment)</t>
  </si>
  <si>
    <t>3 Phase Meters</t>
  </si>
  <si>
    <t>Smoothed, Real 2024</t>
  </si>
  <si>
    <t>Smoothed, Nominal</t>
  </si>
  <si>
    <t>Current Period Allowance</t>
  </si>
  <si>
    <t>AER also included $x million of capex for cyber security as a placeholder</t>
  </si>
  <si>
    <t>retained the proposed $x million in our proposed capex forecast</t>
  </si>
  <si>
    <t>◄ ICT15</t>
  </si>
  <si>
    <t>majority experiencing an impact less than x per cent</t>
  </si>
  <si>
    <t>◄ Share of major customers experiencing greater impact than 11.2%</t>
  </si>
  <si>
    <t>1.2 Engagement on key projects</t>
  </si>
  <si>
    <t>◄ RP forecast</t>
  </si>
  <si>
    <t>with around $x million being recovered through Standard Control Services over the life of the assets</t>
  </si>
  <si>
    <t>proposed cyber security program as prudent and included our forecast capex of $x million as a placeholder</t>
  </si>
  <si>
    <t>with the SCS share being $x million</t>
  </si>
  <si>
    <t>Distribution share</t>
  </si>
  <si>
    <t>The overall cost of this option is estimated at $x million</t>
  </si>
  <si>
    <t>Table 5.4: ICT cyber security step change, $ million real 2024</t>
  </si>
  <si>
    <t>Table 5.5: ICT cloud migration step change, $ million real 2024</t>
  </si>
  <si>
    <t>Figure 2.1: Forward Looking Avoidable Power System Costs by Tariff Class</t>
  </si>
  <si>
    <t>◄ Linked to ACS Metering PTRM</t>
  </si>
  <si>
    <t>Demand for network electricity on maximum day in FY23</t>
  </si>
  <si>
    <t>Figure 2.2 Residual cost recovery by tariff in 2024-25</t>
  </si>
  <si>
    <t>Figure 2.3 Residual cost recovery by tariff in 2028-29</t>
  </si>
  <si>
    <t>FY29</t>
  </si>
  <si>
    <t>Figure 4.5: Residual cost recovery shares by tariff and tariff charging parameters in 2024-25</t>
  </si>
  <si>
    <t>Capex Category</t>
  </si>
  <si>
    <t>Replacement</t>
  </si>
  <si>
    <t>Network Augmentation</t>
  </si>
  <si>
    <t>Non Network</t>
  </si>
  <si>
    <t>Capitalised Overheads</t>
  </si>
  <si>
    <t>Gross Capex</t>
  </si>
  <si>
    <t>less Capital Contributions</t>
  </si>
  <si>
    <t>less Asset Disposals</t>
  </si>
  <si>
    <t>Net Capex</t>
  </si>
  <si>
    <t>Trend Adjustments</t>
  </si>
  <si>
    <t>Total Step Changes</t>
  </si>
  <si>
    <t>Total (Excluding Debt Raising Costs)</t>
  </si>
  <si>
    <t>Debt Raising Costs</t>
  </si>
  <si>
    <t>Total (Including Debt Raising Costs)</t>
  </si>
  <si>
    <t>Check: Opex Excl DRC</t>
  </si>
  <si>
    <t>Check: Opex Incl DRC</t>
  </si>
  <si>
    <t>Vegetation Management</t>
  </si>
  <si>
    <t>Emergency Response</t>
  </si>
  <si>
    <t>Expensed Overheads</t>
  </si>
  <si>
    <t>Capitalisation Backcast</t>
  </si>
  <si>
    <t>Table 3.1: Future networks – DER integration revised capex forecast, $ million real 2024</t>
  </si>
  <si>
    <t>Table 3.2: Summary of revised OT capability uplift forecast capex 2024-29, $ million real 2024</t>
  </si>
  <si>
    <t>Standard Control Services Gross Capex</t>
  </si>
  <si>
    <t xml:space="preserve">Figure OV.8: Indicative residential and small customer bill impact, $ per customer per year, nominal   </t>
  </si>
  <si>
    <t>Figure OV.7:  Overview of our revised proposal</t>
  </si>
  <si>
    <t>Figure OV.9: Major customer bill impact from 2023-24 to 2024-25 (nominal)</t>
  </si>
  <si>
    <t>Gross Capex Check</t>
  </si>
  <si>
    <t>Augmentation</t>
  </si>
  <si>
    <t>Fleet</t>
  </si>
  <si>
    <t>Other Non Network</t>
  </si>
  <si>
    <t>Net Capex Check</t>
  </si>
  <si>
    <t>Current Period Revenue</t>
  </si>
  <si>
    <t>2014-19 Revenue:</t>
  </si>
  <si>
    <t>2019-24 Revenue:</t>
  </si>
  <si>
    <t>2024-29 Revenue:</t>
  </si>
  <si>
    <t>2014-19 Capex:</t>
  </si>
  <si>
    <t>2019-24 Capex:</t>
  </si>
  <si>
    <t>2024-29 Capex:</t>
  </si>
  <si>
    <t>Overview of our revised proposal</t>
  </si>
  <si>
    <t>A message from our Chair</t>
  </si>
  <si>
    <t>Revised Proposal - Overview of our Revised Proposal</t>
  </si>
  <si>
    <t>Tariff structures</t>
  </si>
  <si>
    <t>Indicative price impact</t>
  </si>
  <si>
    <t>Incentives and pass throughs</t>
  </si>
  <si>
    <t>Metering</t>
  </si>
  <si>
    <t>Table OV.3: Revised meter replacement volumes associated with the accelerated smart meter roll out</t>
  </si>
  <si>
    <t>1 Phase Meters (including repayment)</t>
  </si>
  <si>
    <t>Table OV.4: Metering prices, $ nominal per meter</t>
  </si>
  <si>
    <t>Revised Proposal - Summary of responses</t>
  </si>
  <si>
    <t>Summary of responses to the constituent components of the AER’s draft decision</t>
  </si>
  <si>
    <t>Table OV.5: Overview of how Power and Water is responding to the constituent components of the AER’s draft decision on standard control services</t>
  </si>
  <si>
    <t>Table OV.6: Overview of how Power and Water is responding to the AER’s draft decision on Alternative Control Services</t>
  </si>
  <si>
    <t>Revised Regulatory Proposal</t>
  </si>
  <si>
    <t>Initial Regulatory Proposal</t>
  </si>
  <si>
    <t>Return on assets</t>
  </si>
  <si>
    <t>Reg depreciation</t>
  </si>
  <si>
    <t>Rev Adjustment</t>
  </si>
  <si>
    <t>Annual Building Block Revenue</t>
  </si>
  <si>
    <t>Axis Title:</t>
  </si>
  <si>
    <t>Building block revenue</t>
  </si>
  <si>
    <t>Fee based and quoted services</t>
  </si>
  <si>
    <t>Revised Proposal - Chapter 8: Metering</t>
  </si>
  <si>
    <t>In our initial proposal we included an insurance step change of $x.x million</t>
  </si>
  <si>
    <t>of which $x.x million was allocated to SCS</t>
  </si>
  <si>
    <t>5.2.3 Step changes - Cyber security</t>
  </si>
  <si>
    <t>In our initial proposal we included a cyber security step change of $x.x million</t>
  </si>
  <si>
    <t xml:space="preserve">In its draft decision, the AER ... included a placeholder amount reflective of our forecast of $x.x million </t>
  </si>
  <si>
    <t>However, the initial regulatory proposal and associated step change model showed the incorrect SCS forecast of $x.x million</t>
  </si>
  <si>
    <t>This has increased the forecast step change allocated to SCS by $x.x million</t>
  </si>
  <si>
    <t>In our initial proposal we included a step change of $x.x million</t>
  </si>
  <si>
    <t>This has reduced the forecast step change by $x.x million after allocation to SCS.</t>
  </si>
  <si>
    <t>Hardware and licencing - state estimation engine</t>
  </si>
  <si>
    <t>ICT capabilities / support</t>
  </si>
  <si>
    <t>Communications to inverters</t>
  </si>
  <si>
    <t>CER/DER register</t>
  </si>
  <si>
    <t>Compliance and engagement</t>
  </si>
  <si>
    <t>This results in a revised step change of x million</t>
  </si>
  <si>
    <t xml:space="preserve">In addition to the $x million of opex associated with our installer outreach program accepted by the AER </t>
  </si>
  <si>
    <t>Provisions</t>
  </si>
  <si>
    <t>Raw</t>
  </si>
  <si>
    <t>DMIA</t>
  </si>
  <si>
    <t>Adjusted</t>
  </si>
  <si>
    <t>Base opex ($nominal, FY22)</t>
  </si>
  <si>
    <t>Rate of change</t>
  </si>
  <si>
    <t>Step changes (Real 2024)</t>
  </si>
  <si>
    <t xml:space="preserve">Table OV.1: Revised SCS capex forecast 2025-29, $ million real 2024 </t>
  </si>
  <si>
    <t>Figure OV.4: Revised SCS gross capex forecast by category compared with prior periods, $ million real 2024</t>
  </si>
  <si>
    <t>Figure OV.3: Revised SCS capex forecast vs the initial proposal and draft decision, $ million real 2024</t>
  </si>
  <si>
    <t>Figure OV.5: Change in SCS opex forecast from draft decision to revised proposal by component, $ million real 2024</t>
  </si>
  <si>
    <t xml:space="preserve">Table OV.2: Revised SCS opex forecast 2025-29, $ million real 2024 </t>
  </si>
  <si>
    <t>Figure OV.6: Revised SCS opex forecast by category compared with prior periods (excluding debt raising costs), $ million real 2024</t>
  </si>
  <si>
    <t>Form of control for ancillary network services</t>
  </si>
  <si>
    <t>Fee-based and quoted services</t>
  </si>
  <si>
    <t>Metering capex</t>
  </si>
  <si>
    <t>Metering opex</t>
  </si>
  <si>
    <t>Metering revenue requirement and recovery</t>
  </si>
  <si>
    <t>Metering price caps</t>
  </si>
  <si>
    <t>Smoothed revenue ($ nominal, million)</t>
  </si>
  <si>
    <t xml:space="preserve">We have updated our capex forecast to reflect a modified OT uplift program </t>
  </si>
  <si>
    <t>The cyber security capex forecast remains at $x million.</t>
  </si>
  <si>
    <t>The business case supported a forecast of $x million</t>
  </si>
  <si>
    <t>of which $x million was allocated to SCS</t>
  </si>
  <si>
    <t>5.2.3 Step changes - Cloud Migration - Meter to Cash</t>
  </si>
  <si>
    <t>Increase in replacement expenditure</t>
  </si>
  <si>
    <t xml:space="preserve">Our forecast revenue is x per cent higher than 2019-24 </t>
  </si>
  <si>
    <t>...but still significantly below the $X million allowance set by the jurisdictional regulator – The NT Utilities Commission – in 2014-19</t>
  </si>
  <si>
    <t>Draft Decision - Estimate</t>
  </si>
  <si>
    <t>Revised Proposal - Estimate</t>
  </si>
  <si>
    <t>Actuals</t>
  </si>
  <si>
    <t>...the revised opex forecast reflects a $X million net increase to the trend components</t>
  </si>
  <si>
    <t>…the revised trend components contribute $X million to our revised proposal opex forecast</t>
  </si>
  <si>
    <t>Table 2.1: SCS unsmoothed building block adjustments ($ million, nominal)</t>
  </si>
  <si>
    <t>Figure 2.1: Waterfall of SCS unsmoothed building block movements from initial proposal to the AER’s draft decision and our revised proposal ($ million, nominal)</t>
  </si>
  <si>
    <t xml:space="preserve">Table 2.2: SCS return on capital forecast ($ million, nominal) </t>
  </si>
  <si>
    <t xml:space="preserve">Table 2.3: SCS depreciation forecast ($ million, nominal) </t>
  </si>
  <si>
    <t>Figure 3.1: Waterfall of SCS capex changes, initial proposal, draft decision, revised proposal, $ million real 2024</t>
  </si>
  <si>
    <t xml:space="preserve">Figure 5.1: Change in forecast SCS opex from the initial revenue proposal (IP) to the draft decision (DD) and the revised revenue proposal (RP) by component, $ million real 2024 </t>
  </si>
  <si>
    <t>◄ Sourced from the IRP opex model</t>
  </si>
  <si>
    <t>Figure OV.1: Waterfall of SCS unsmoothed building block movements from initial proposal to the AER’s draft decision and our revised proposal ($ million, nominal)</t>
  </si>
  <si>
    <t>◄ This is a copy of Figure 2.1 in the revenue chapter</t>
  </si>
  <si>
    <t>Figure OV.2: Revised SCS revenue proposal compared with prior regulatory allowances, $ million real 2024</t>
  </si>
  <si>
    <t>...we received a Ministerial Direction to reduce our revenue allowance by X per cent</t>
  </si>
  <si>
    <t>Our revised proposal results in an unsmoothed (i.e., building block) revenue allowance of $x million</t>
  </si>
  <si>
    <t>Unsmoothed, Real 2024</t>
  </si>
  <si>
    <t>◄ Unsmoothed, Real 2024</t>
  </si>
  <si>
    <t>◄ Unsmoothed, Nominal</t>
  </si>
  <si>
    <t>Table 2.4: SCS opex forecast ($ million, nominal )</t>
  </si>
  <si>
    <t>...however, only $X million of this will be recovered via network tariffs.</t>
  </si>
  <si>
    <t>...The full project cost is $X million</t>
  </si>
  <si>
    <t>Figure OV.10: Metering revenue requirement, $ million real 2024</t>
  </si>
  <si>
    <t>3.1 Overview of our initial TSS proposal</t>
  </si>
  <si>
    <t>Communications upgrade</t>
  </si>
  <si>
    <t>…to a revised estimate of $x million</t>
  </si>
  <si>
    <t>Unsmoothed, Nominal</t>
  </si>
  <si>
    <t>Constituent component 4: Forecast capex</t>
  </si>
  <si>
    <t>Power and Water - Revised Proposal - Tables and Charts</t>
  </si>
  <si>
    <t>Future Network</t>
  </si>
  <si>
    <t>Install ZSS Reactors</t>
  </si>
  <si>
    <t>PRJ009</t>
  </si>
  <si>
    <t>ZSS Auxiliary</t>
  </si>
  <si>
    <t>Design and planning projects</t>
  </si>
  <si>
    <t>NDP</t>
  </si>
  <si>
    <t>Cables</t>
  </si>
  <si>
    <t>Transmission line upratings</t>
  </si>
  <si>
    <t>NMP21</t>
  </si>
  <si>
    <t>Poles</t>
  </si>
  <si>
    <t>Overloaded Feeders / Distribution Augmentation Program</t>
  </si>
  <si>
    <t>NOL</t>
  </si>
  <si>
    <t>All regions condition and failure based replacement program</t>
  </si>
  <si>
    <t>NMFCR</t>
  </si>
  <si>
    <t>Volumetric</t>
  </si>
  <si>
    <t>Power quality compliance program</t>
  </si>
  <si>
    <t>NPQ</t>
  </si>
  <si>
    <t>Darwin Northern Suburbs High Voltage Cable Replacement Program</t>
  </si>
  <si>
    <t>NMP1</t>
  </si>
  <si>
    <t>Alice Springs - replacement of corroded poles</t>
  </si>
  <si>
    <t>NMP22</t>
  </si>
  <si>
    <t>Distribution switchgear condition based replacement</t>
  </si>
  <si>
    <t>NMP7</t>
  </si>
  <si>
    <t>Dist Switchgear</t>
  </si>
  <si>
    <t>Services replacement programme</t>
  </si>
  <si>
    <t>PGM005</t>
  </si>
  <si>
    <t>Services</t>
  </si>
  <si>
    <t>MPLS Migration</t>
  </si>
  <si>
    <t>NMSC1</t>
  </si>
  <si>
    <t>Comms</t>
  </si>
  <si>
    <t>Cockatoo conductor replacement program</t>
  </si>
  <si>
    <t>NMP5</t>
  </si>
  <si>
    <t>Conductors</t>
  </si>
  <si>
    <t>Distribution pillars replacement</t>
  </si>
  <si>
    <t>PGM004</t>
  </si>
  <si>
    <t>SY-MR 66kV line replacement</t>
  </si>
  <si>
    <t>PGM001</t>
  </si>
  <si>
    <t>Katherine Voltage Rectification.</t>
  </si>
  <si>
    <t>PRK31430</t>
  </si>
  <si>
    <t>ZSS minor capital asset replacement program</t>
  </si>
  <si>
    <t>NMA</t>
  </si>
  <si>
    <t>Darwin - Hudson Creek Spare 132kV Transformer</t>
  </si>
  <si>
    <t>PRD33230</t>
  </si>
  <si>
    <t>Transformers</t>
  </si>
  <si>
    <t>Replace the remainder of Port Feeder</t>
  </si>
  <si>
    <t>PRD33006</t>
  </si>
  <si>
    <t>Feeder upgrade programme</t>
  </si>
  <si>
    <t>NMF</t>
  </si>
  <si>
    <t>Miscellaneous Comms projects</t>
  </si>
  <si>
    <t>PGM006</t>
  </si>
  <si>
    <t>Single Phase Substation Refurbishment Program</t>
  </si>
  <si>
    <t>NMP17</t>
  </si>
  <si>
    <t>Dist Substations</t>
  </si>
  <si>
    <t xml:space="preserve">EMS software replacement </t>
  </si>
  <si>
    <t>PGM002</t>
  </si>
  <si>
    <t>Condition, obsolescence and functionality based replacement program</t>
  </si>
  <si>
    <t>NPR1</t>
  </si>
  <si>
    <t>Darwin Cullen Bay and bayview Low Voltage Cable Replacement</t>
  </si>
  <si>
    <t>NMP2</t>
  </si>
  <si>
    <t>Battery Replacement Program</t>
  </si>
  <si>
    <t>NMSC2</t>
  </si>
  <si>
    <t>Transmission Line Pole Top Corrosion Replacement Program</t>
  </si>
  <si>
    <t>NMP20</t>
  </si>
  <si>
    <t>Poletops</t>
  </si>
  <si>
    <t>Catch all for actual expenditure</t>
  </si>
  <si>
    <t>Catch-all</t>
  </si>
  <si>
    <t>Darwin - Replace Cosmo Howley Transformers</t>
  </si>
  <si>
    <t>PRD33003</t>
  </si>
  <si>
    <t>Access road and communications hut remediation</t>
  </si>
  <si>
    <t>NSC</t>
  </si>
  <si>
    <t>Low clearance or easement compliance</t>
  </si>
  <si>
    <t>NLC</t>
  </si>
  <si>
    <t>Darwin - Replace Berrimah ZSS</t>
  </si>
  <si>
    <t>PRD30402</t>
  </si>
  <si>
    <t>Code Compliance and Safety Program</t>
  </si>
  <si>
    <t>NMSC4</t>
  </si>
  <si>
    <t>Microwave systems replacement</t>
  </si>
  <si>
    <t>PRJ014</t>
  </si>
  <si>
    <t>CBD cable tunnel refurbishment</t>
  </si>
  <si>
    <t>PRJ006</t>
  </si>
  <si>
    <t>Substation DC System Replacement program</t>
  </si>
  <si>
    <t>NMP16</t>
  </si>
  <si>
    <t>Protective security</t>
  </si>
  <si>
    <t>CGT07</t>
  </si>
  <si>
    <t>DWDM retirement</t>
  </si>
  <si>
    <t>NMSC3</t>
  </si>
  <si>
    <t xml:space="preserve">ASP network reconfiguration </t>
  </si>
  <si>
    <t>PRA30510</t>
  </si>
  <si>
    <t>HV Switchgear</t>
  </si>
  <si>
    <t>Substation fire protection equipment replacement program</t>
  </si>
  <si>
    <t>NMP14</t>
  </si>
  <si>
    <t>Darwin - Coastal Pole Top Corrosion Replacement Program [removed - included in NMFCR]</t>
  </si>
  <si>
    <t>NMP18</t>
  </si>
  <si>
    <t>Darwin - Upgrade - Humpty Doo ZSS</t>
  </si>
  <si>
    <t>PRD30401</t>
  </si>
  <si>
    <t>Darwin - Upgrade DKTL Secondary Systems</t>
  </si>
  <si>
    <t>PRD32117</t>
  </si>
  <si>
    <t>Darwin - Replace 66/11kV Centreyard ZSS</t>
  </si>
  <si>
    <t>PRD33125</t>
  </si>
  <si>
    <t>Tindal Zone Substation and feeder reinforcement</t>
  </si>
  <si>
    <t>PRJ015</t>
  </si>
  <si>
    <t>ASP - Install Sadadeen 11kV switchboard</t>
  </si>
  <si>
    <t>PRK30110</t>
  </si>
  <si>
    <t>66kV HLC Circuit Breaker Replacement Program</t>
  </si>
  <si>
    <t>NMP3</t>
  </si>
  <si>
    <t>Transmission Tower Earthing system Refurbishment Program</t>
  </si>
  <si>
    <t>NMP11</t>
  </si>
  <si>
    <t>TBA</t>
  </si>
  <si>
    <t>Export Services</t>
  </si>
  <si>
    <t>Transmission tower physical protection - Tiger Brennan Drive</t>
  </si>
  <si>
    <t>PRGxxx</t>
  </si>
  <si>
    <t>Tools, Plant and Equipment</t>
  </si>
  <si>
    <t>PE1</t>
  </si>
  <si>
    <t>Non-network capex</t>
  </si>
  <si>
    <t>Plant_and_Equipment</t>
  </si>
  <si>
    <t>Alice Springs TTR/Thumper/VLF Test Set</t>
  </si>
  <si>
    <t>PE2</t>
  </si>
  <si>
    <t xml:space="preserve">19 Mile 3 tonne forklift </t>
  </si>
  <si>
    <t>PE3</t>
  </si>
  <si>
    <t>Glove Machine</t>
  </si>
  <si>
    <t>PE4</t>
  </si>
  <si>
    <t>Darwin TTR/Thumper/VLF Test Set</t>
  </si>
  <si>
    <t>PE5</t>
  </si>
  <si>
    <t>Conductor Recovery Plant</t>
  </si>
  <si>
    <t>PE6</t>
  </si>
  <si>
    <t>D15R1513</t>
  </si>
  <si>
    <t>PE7</t>
  </si>
  <si>
    <t>D15P0127</t>
  </si>
  <si>
    <t>PE8</t>
  </si>
  <si>
    <t>D15P0132</t>
  </si>
  <si>
    <t>PE9</t>
  </si>
  <si>
    <t>D15N0352</t>
  </si>
  <si>
    <t>PE10</t>
  </si>
  <si>
    <t>D15N0383</t>
  </si>
  <si>
    <t>PE11</t>
  </si>
  <si>
    <t>D15N0440</t>
  </si>
  <si>
    <t>PE12</t>
  </si>
  <si>
    <t>D15R0362</t>
  </si>
  <si>
    <t>PE13</t>
  </si>
  <si>
    <t xml:space="preserve">A/Springs Generator trailer </t>
  </si>
  <si>
    <t>PE14</t>
  </si>
  <si>
    <t>ABC Cable trailer</t>
  </si>
  <si>
    <t>PE15</t>
  </si>
  <si>
    <t>Fleet Leases related Trailer</t>
  </si>
  <si>
    <t>PE16</t>
  </si>
  <si>
    <t>Furniture Upgrades Program - PWC MICHELL CENTRE</t>
  </si>
  <si>
    <t>PE17</t>
  </si>
  <si>
    <t>Building Compliance and Remediation - PWC All Sites</t>
  </si>
  <si>
    <t>PP1</t>
  </si>
  <si>
    <t>Minor New Works Program - Corporate Support Projects - PWC Corporate Sites</t>
  </si>
  <si>
    <t>PP2</t>
  </si>
  <si>
    <t>Corporate Sites - Physical Security</t>
  </si>
  <si>
    <t>PP3</t>
  </si>
  <si>
    <t>Facilities Low Value Pool Asset Program - PWC All Sites</t>
  </si>
  <si>
    <t>PP4</t>
  </si>
  <si>
    <t>Minor New Works Program - PWC SADADEEN ASP</t>
  </si>
  <si>
    <t>PP5</t>
  </si>
  <si>
    <t>Minor New Works Program - PWC VHC KATHERINE</t>
  </si>
  <si>
    <t>PP6</t>
  </si>
  <si>
    <t>Minor New Works - Ben Hammond Complex - Building Compliance Remediation Works</t>
  </si>
  <si>
    <t>PP7</t>
  </si>
  <si>
    <t>Minor New Works - Sadadeen Valley Complex - Building Compliance Remediation Works</t>
  </si>
  <si>
    <t>PP8</t>
  </si>
  <si>
    <t>Minor New Works - Victoria Highway Complex - Building Compliance Remediation Works</t>
  </si>
  <si>
    <t>PP9</t>
  </si>
  <si>
    <t>Minor New Works - Tennant Creek Complex - Building Compliance Remediation Works</t>
  </si>
  <si>
    <t>PP10</t>
  </si>
  <si>
    <t>Property Additions - SCI - Current Regulatory Period</t>
  </si>
  <si>
    <t>PP11</t>
  </si>
  <si>
    <t>Property Additions - SCI - Current Regulatory Period - Power Services</t>
  </si>
  <si>
    <t>PP12</t>
  </si>
  <si>
    <t>Single Site Consolidation forecasts</t>
  </si>
  <si>
    <t>Commercial Lease - Michell Centre</t>
  </si>
  <si>
    <t>Property_leases</t>
  </si>
  <si>
    <t>Commercial Lease - Woods St / Jacana House</t>
  </si>
  <si>
    <t>PL2</t>
  </si>
  <si>
    <t>Commercial Lease - Michell Street Switching Station</t>
  </si>
  <si>
    <t>PL6</t>
  </si>
  <si>
    <t>Fleet leases - Power Services</t>
  </si>
  <si>
    <t>FL1</t>
  </si>
  <si>
    <t>Fleet_leases</t>
  </si>
  <si>
    <t>Fleet leases - Corporate</t>
  </si>
  <si>
    <t>FL2</t>
  </si>
  <si>
    <t>Fleet leases - CoreOps - SCADA</t>
  </si>
  <si>
    <t>FL3</t>
  </si>
  <si>
    <t>Fleet leases - CoreOps - SysCtrl</t>
  </si>
  <si>
    <t>FL4</t>
  </si>
  <si>
    <t>WP Hardware Management</t>
  </si>
  <si>
    <t>ICT1</t>
  </si>
  <si>
    <t>IT_and_Communications</t>
  </si>
  <si>
    <t>WP Service Model</t>
  </si>
  <si>
    <t>ICT2</t>
  </si>
  <si>
    <t>WP Information Management including Data and Reporting PRG</t>
  </si>
  <si>
    <t>ICT3</t>
  </si>
  <si>
    <t>Field Device &amp; Telephony upgrade</t>
  </si>
  <si>
    <t>ICT4</t>
  </si>
  <si>
    <t>Integrated Communications (Including Mobile Telephony)</t>
  </si>
  <si>
    <t>ICT5</t>
  </si>
  <si>
    <t>Data Warehouse (Physical)</t>
  </si>
  <si>
    <t>ICT6</t>
  </si>
  <si>
    <t>Software Replacement</t>
  </si>
  <si>
    <t>ICT7</t>
  </si>
  <si>
    <t>Hardware Replacement</t>
  </si>
  <si>
    <t>ICT8</t>
  </si>
  <si>
    <t>Bespoke Applications</t>
  </si>
  <si>
    <t>ICT9</t>
  </si>
  <si>
    <t>ICT Minor Projects</t>
  </si>
  <si>
    <t>ICT10</t>
  </si>
  <si>
    <t>Infrastructure Management</t>
  </si>
  <si>
    <t>ICT11</t>
  </si>
  <si>
    <t>Customer Connectivity</t>
  </si>
  <si>
    <t>ICT12</t>
  </si>
  <si>
    <t>Maximo Technical Upgrade</t>
  </si>
  <si>
    <t>ICT14</t>
  </si>
  <si>
    <t>Cyber Security</t>
  </si>
  <si>
    <t>ICT15</t>
  </si>
  <si>
    <t xml:space="preserve">FMS Technical Upgrade </t>
  </si>
  <si>
    <t>ICT16</t>
  </si>
  <si>
    <t>Physical to Financials</t>
  </si>
  <si>
    <t>ICT17</t>
  </si>
  <si>
    <t>Asset Management</t>
  </si>
  <si>
    <t>ICT18</t>
  </si>
  <si>
    <t>OT Uplift</t>
  </si>
  <si>
    <t>Capability Uplift Meter to Cash Project</t>
  </si>
  <si>
    <t>ICT20</t>
  </si>
  <si>
    <t>SCADA Cyber Security Initiatives</t>
  </si>
  <si>
    <t>ICT21</t>
  </si>
  <si>
    <t>Customer Experience</t>
  </si>
  <si>
    <t>ICT22</t>
  </si>
  <si>
    <t>Service Delivery</t>
  </si>
  <si>
    <t>ICT23</t>
  </si>
  <si>
    <t>Capital Delivery</t>
  </si>
  <si>
    <t>ICT24</t>
  </si>
  <si>
    <t>RESIDENTIAL - Simple connection LV</t>
  </si>
  <si>
    <t>C-BNI-01</t>
  </si>
  <si>
    <t>RESIDENTIAL - Complex connection LV</t>
  </si>
  <si>
    <t>C-BNI-02</t>
  </si>
  <si>
    <t>RESIDENTIAL - Complex connection HV</t>
  </si>
  <si>
    <t>C-BNI-03</t>
  </si>
  <si>
    <t>COMMERCIAL/INDUSTRIAL - Simple connection LV</t>
  </si>
  <si>
    <t>C-BNI-04</t>
  </si>
  <si>
    <t>COMMERCIAL/INDUSTRIAL - Complex connection HV (customer connected at LV, minor HV works)</t>
  </si>
  <si>
    <t>C-BNI-05</t>
  </si>
  <si>
    <t>COMMERCIAL/INDUSTRIAL - Complex connection HV (customer connected at LV, upstream asset works)</t>
  </si>
  <si>
    <t>C-BNI-06</t>
  </si>
  <si>
    <t>COMMERCIAL/INDUSTRIAL - Complex connection HV (customer connected at HV)</t>
  </si>
  <si>
    <t>C-BNI-07</t>
  </si>
  <si>
    <t>SUBDIVISION - Complex connection LV</t>
  </si>
  <si>
    <t>C-BNI-09</t>
  </si>
  <si>
    <t>SUBDIVISION - Complex connection HV (no upstream asset works)</t>
  </si>
  <si>
    <t>C-BNI-10</t>
  </si>
  <si>
    <t>Major</t>
  </si>
  <si>
    <t>Reliability and Quality of Supply</t>
  </si>
  <si>
    <t>Minor</t>
  </si>
  <si>
    <t>Condition and Risk</t>
  </si>
  <si>
    <t>Demand Driven</t>
  </si>
  <si>
    <t>Compliance</t>
  </si>
  <si>
    <t>SCS percentage</t>
  </si>
  <si>
    <t>Vendor support and maintenance</t>
  </si>
  <si>
    <t>Application maintenance</t>
  </si>
  <si>
    <t>Tariff 1</t>
  </si>
  <si>
    <t>Tariff 3a</t>
  </si>
  <si>
    <t>EPO3</t>
  </si>
  <si>
    <t>LV &lt;750MWh</t>
  </si>
  <si>
    <t/>
  </si>
  <si>
    <t>YES</t>
  </si>
  <si>
    <t>Tariff 2</t>
  </si>
  <si>
    <t>Tariff 3b</t>
  </si>
  <si>
    <t>Component</t>
  </si>
  <si>
    <t>SAC</t>
  </si>
  <si>
    <t>Anytime Energy</t>
  </si>
  <si>
    <t>Peak Energy</t>
  </si>
  <si>
    <t>Off-peak Energy</t>
  </si>
  <si>
    <t>Super Off-peak Energy</t>
  </si>
  <si>
    <t>Anytime Energy Price</t>
  </si>
  <si>
    <t>On-Season Demand</t>
  </si>
  <si>
    <t>Off-Season Demand</t>
  </si>
  <si>
    <t>FY23 RIN</t>
  </si>
  <si>
    <t>◄ Note: in the absence of other information, assume that consumption from unmetered customers remains constant over the forecast period.</t>
  </si>
  <si>
    <t>◄ Note: in the absence of other information, assume that the number of unmetered customers remains constant over the forecast period.</t>
  </si>
  <si>
    <t>Note: FY24 values and allocation between categories are currently based on FY23 CA RIN values adjusted for inflation.</t>
  </si>
  <si>
    <t>RFM / PTRM</t>
  </si>
  <si>
    <t>Note: FY24 non network other values split based on FY22 CA RIN values.</t>
  </si>
  <si>
    <t>Tariff Structure Statement - Attachment 7.1</t>
  </si>
  <si>
    <t>Tariff Structure Explanatory Statement - Attachment 7.2</t>
  </si>
  <si>
    <t>Overview - Tariff structure statement - Attachment 7.3</t>
  </si>
  <si>
    <t>[spare 1]</t>
  </si>
  <si>
    <t>[spare 2]</t>
  </si>
  <si>
    <t>[c-i-c]</t>
  </si>
  <si>
    <t>Unescalated (real 2021-22)</t>
  </si>
  <si>
    <t>Escalated (real 2023-24)</t>
  </si>
  <si>
    <t xml:space="preserve">Table 3.3: Capitalised overheads, revised capex forecast, $ million real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</si>
</sst>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-&quot;$&quot;* #,##0_-;\-&quot;$&quot;* #,##0_-;_-&quot;$&quot;* &quot;-&quot;_-;_-@_-"/>
    <numFmt numFmtId="43" formatCode="_-* #,##0.00_-;\-* #,##0.00_-;_-* &quot;-&quot;??_-;_-@_-"/>
    <numFmt numFmtId="164" formatCode="_-* #,##0_-;\-* #,##0_-;_-* &quot;-&quot;??_-;_-@_-"/>
    <numFmt numFmtId="165" formatCode="_(#,##0.00%_);\(#,##0.00%\);_(&quot;-&quot;_)"/>
    <numFmt numFmtId="166" formatCode="_(#,##0.0000_);\(#,##0.0000\);_(&quot;-&quot;_)"/>
    <numFmt numFmtId="167" formatCode="_(&quot;$&quot;#,##0.0_);\(&quot;$&quot;#,##0.0\);_(&quot;-&quot;_)"/>
    <numFmt numFmtId="168" formatCode="_)d\-mmm\-yy_)"/>
    <numFmt numFmtId="169" formatCode="_(#,##0.000_);\(#,##0.000\);_(&quot;-&quot;_)"/>
    <numFmt numFmtId="170" formatCode="_(#,##0.0_);\(#,##0.0\);_(&quot;-&quot;_)"/>
    <numFmt numFmtId="171" formatCode="_(#,##0_);\(#,##0\);_(&quot;-&quot;_)"/>
    <numFmt numFmtId="172" formatCode="[Red]\●;[Red]\●;[Color10]\●"/>
    <numFmt numFmtId="173" formatCode="_(&quot;$&quot;#,##0_);\(&quot;$&quot;#,##0\);_(&quot;-&quot;_)"/>
    <numFmt numFmtId="174" formatCode="_(#,##0.00_);\(#,##0.00\);_(&quot;-&quot;_)"/>
    <numFmt numFmtId="175" formatCode="_(&quot;$&quot;#,##0.00_);\(&quot;$&quot;#,##0.00\);_(&quot;-&quot;_)"/>
    <numFmt numFmtId="176" formatCode="&quot;$&quot;#,##0.00"/>
    <numFmt numFmtId="177" formatCode="&quot;$&quot;#,##0.0000"/>
    <numFmt numFmtId="178" formatCode="_(#,##0.0%_);\(#,##0.0%\);_(&quot;-&quot;_)"/>
    <numFmt numFmtId="179" formatCode="0.0"/>
    <numFmt numFmtId="180" formatCode="_(#,##0%_);\(#,##0%\);_(&quot;-&quot;_)"/>
    <numFmt numFmtId="181" formatCode="&quot;$&quot;#,##0.0;[Red]\-&quot;$&quot;#,##0.0"/>
    <numFmt numFmtId="182" formatCode="#,##0.0;[Red]\-#,##0.0"/>
    <numFmt numFmtId="183" formatCode="[$-F400]h:mm:ss\ AM/PM"/>
    <numFmt numFmtId="184" formatCode="_(&quot;$&quot;#,##0.000_);\(&quot;$&quot;#,##0.000\);_(&quot;-&quot;_)"/>
    <numFmt numFmtId="185" formatCode="#,##0.0"/>
  </numFmts>
  <fonts count="6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theme="1"/>
      <name val="Arial"/>
      <family val="2"/>
    </font>
    <font>
      <sz val="18"/>
      <color theme="3"/>
      <name val="Arial"/>
      <family val="2"/>
    </font>
    <font>
      <i/>
      <sz val="10"/>
      <color theme="4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rgb="FFFF0066"/>
      <name val="Helvetica"/>
      <family val="2"/>
    </font>
    <font>
      <b/>
      <sz val="8"/>
      <color rgb="FFFF0066"/>
      <name val="Helvetica"/>
    </font>
    <font>
      <sz val="11"/>
      <color theme="1"/>
      <name val="Calibri"/>
      <family val="2"/>
    </font>
    <font>
      <b/>
      <sz val="10"/>
      <color rgb="FFFFFFFF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i/>
      <sz val="10"/>
      <color rgb="FF4472C4"/>
      <name val="Arial"/>
      <family val="2"/>
    </font>
    <font>
      <u/>
      <sz val="8"/>
      <color theme="10"/>
      <name val="Helvetica"/>
      <family val="2"/>
    </font>
    <font>
      <sz val="8"/>
      <name val="Helvetica"/>
      <family val="2"/>
    </font>
    <font>
      <sz val="10"/>
      <color rgb="FFFF0066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theme="0" tint="-0.34998626667073579"/>
      <name val="Helvetica"/>
      <family val="2"/>
    </font>
    <font>
      <b/>
      <sz val="10"/>
      <color theme="0" tint="-0.34998626667073579"/>
      <name val="Helvetica"/>
      <family val="2"/>
    </font>
    <font>
      <sz val="10"/>
      <color theme="0" tint="-0.34998626667073579"/>
      <name val="Calibri"/>
      <family val="2"/>
      <scheme val="minor"/>
    </font>
    <font>
      <sz val="10"/>
      <color rgb="FF4472C4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4"/>
      <name val="Calibri"/>
      <family val="2"/>
    </font>
    <font>
      <b/>
      <sz val="10"/>
      <name val="Calibri"/>
      <family val="2"/>
    </font>
    <font>
      <sz val="10"/>
      <color theme="4"/>
      <name val="Calibri"/>
      <family val="2"/>
    </font>
    <font>
      <b/>
      <sz val="15"/>
      <color theme="4"/>
      <name val="Calibri"/>
      <family val="2"/>
    </font>
    <font>
      <b/>
      <sz val="14"/>
      <color theme="0"/>
      <name val="Calibri"/>
      <family val="2"/>
    </font>
    <font>
      <b/>
      <sz val="11"/>
      <color theme="3"/>
      <name val="Calibri"/>
      <family val="2"/>
    </font>
    <font>
      <sz val="18"/>
      <color theme="3"/>
      <name val="Calibri"/>
      <family val="2"/>
    </font>
    <font>
      <u/>
      <sz val="10"/>
      <color theme="1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472C4"/>
      <name val="Calibri"/>
      <family val="2"/>
    </font>
    <font>
      <sz val="10"/>
      <color rgb="FFFF0000"/>
      <name val="Calibri"/>
      <family val="2"/>
    </font>
    <font>
      <b/>
      <sz val="10"/>
      <color theme="0" tint="-0.34998626667073579"/>
      <name val="Calibri"/>
      <family val="2"/>
    </font>
    <font>
      <sz val="10"/>
      <color theme="0" tint="-0.34998626667073579"/>
      <name val="Calibri"/>
      <family val="2"/>
    </font>
    <font>
      <sz val="8"/>
      <color rgb="FFFF006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b/>
      <vertAlign val="superscript"/>
      <sz val="11"/>
      <color rgb="FFFFFFFF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FFFF"/>
      <name val="Calibri"/>
      <family val="2"/>
    </font>
    <font>
      <b/>
      <sz val="10"/>
      <color theme="0" tint="-0.249977111117893"/>
      <name val="Calibri"/>
      <family val="2"/>
    </font>
    <font>
      <b/>
      <sz val="10"/>
      <color theme="0" tint="-0.249977111117893"/>
      <name val="Calibri"/>
      <family val="2"/>
      <scheme val="minor"/>
    </font>
    <font>
      <sz val="11"/>
      <color rgb="FF000000"/>
      <name val="Calibri Light"/>
      <family val="2"/>
    </font>
    <font>
      <sz val="11"/>
      <color rgb="FF4472C4"/>
      <name val="Calibri"/>
      <family val="2"/>
    </font>
    <font>
      <b/>
      <sz val="11"/>
      <color rgb="FF4472C4"/>
      <name val="Calibri"/>
      <family val="2"/>
    </font>
    <font>
      <sz val="8"/>
      <color rgb="FFFFFFFF"/>
      <name val="Calibri"/>
      <family val="2"/>
    </font>
    <font>
      <b/>
      <sz val="11"/>
      <color theme="0" tint="-0.14999847407452621"/>
      <name val="Calibri"/>
      <family val="2"/>
    </font>
    <font>
      <sz val="11"/>
      <color theme="0" tint="-0.14999847407452621"/>
      <name val="Calibri"/>
      <family val="2"/>
    </font>
    <font>
      <sz val="10"/>
      <color rgb="FF4472C4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0" tint="-0.14999847407452621"/>
      <name val="Calibri"/>
      <family val="2"/>
    </font>
    <font>
      <sz val="10"/>
      <color theme="0" tint="-0.1499984740745262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5842F"/>
        <bgColor indexed="64"/>
      </patternFill>
    </fill>
    <fill>
      <patternFill patternType="solid">
        <fgColor rgb="FF2A3D6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007143"/>
        <bgColor indexed="64"/>
      </patternFill>
    </fill>
    <fill>
      <patternFill patternType="solid">
        <fgColor rgb="FF131640"/>
        <bgColor indexed="64"/>
      </patternFill>
    </fill>
    <fill>
      <patternFill patternType="solid">
        <fgColor rgb="FFE7E7E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rgb="FFFFC000"/>
      </patternFill>
    </fill>
    <fill>
      <patternFill patternType="solid">
        <fgColor theme="7"/>
        <bgColor indexed="64"/>
      </patternFill>
    </fill>
  </fills>
  <borders count="8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dotted">
        <color auto="1"/>
      </right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dotted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hair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hair">
        <color auto="1"/>
      </right>
      <top style="hair">
        <color auto="1"/>
      </top>
      <bottom style="thin">
        <color theme="0"/>
      </bottom>
      <diagonal/>
    </border>
    <border>
      <left style="thin">
        <color theme="0"/>
      </left>
      <right style="hair">
        <color auto="1"/>
      </right>
      <top style="thin">
        <color theme="0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131640"/>
      </left>
      <right style="medium">
        <color rgb="FF131640"/>
      </right>
      <top style="medium">
        <color rgb="FF131640"/>
      </top>
      <bottom/>
      <diagonal/>
    </border>
    <border>
      <left/>
      <right style="medium">
        <color rgb="FF131640"/>
      </right>
      <top style="medium">
        <color rgb="FF131640"/>
      </top>
      <bottom/>
      <diagonal/>
    </border>
    <border>
      <left style="medium">
        <color rgb="FF131640"/>
      </left>
      <right style="medium">
        <color rgb="FF131640"/>
      </right>
      <top/>
      <bottom/>
      <diagonal/>
    </border>
    <border>
      <left/>
      <right style="medium">
        <color rgb="FF131640"/>
      </right>
      <top/>
      <bottom/>
      <diagonal/>
    </border>
    <border>
      <left style="medium">
        <color rgb="FF131640"/>
      </left>
      <right style="medium">
        <color rgb="FF131640"/>
      </right>
      <top/>
      <bottom style="medium">
        <color rgb="FF131640"/>
      </bottom>
      <diagonal/>
    </border>
    <border>
      <left/>
      <right style="medium">
        <color rgb="FF131640"/>
      </right>
      <top/>
      <bottom style="medium">
        <color rgb="FF131640"/>
      </bottom>
      <diagonal/>
    </border>
    <border>
      <left/>
      <right style="hair">
        <color auto="1"/>
      </right>
      <top/>
      <bottom/>
      <diagonal/>
    </border>
    <border>
      <left style="dashed">
        <color auto="1"/>
      </left>
      <right style="thin">
        <color theme="0"/>
      </right>
      <top style="dashed">
        <color auto="1"/>
      </top>
      <bottom style="dashed">
        <color auto="1"/>
      </bottom>
      <diagonal/>
    </border>
    <border>
      <left style="thin">
        <color theme="0"/>
      </left>
      <right style="thin">
        <color theme="0"/>
      </right>
      <top style="dashed">
        <color auto="1"/>
      </top>
      <bottom style="dashed">
        <color auto="1"/>
      </bottom>
      <diagonal/>
    </border>
    <border>
      <left style="thin">
        <color theme="0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rgb="FF131640"/>
      </left>
      <right/>
      <top style="medium">
        <color rgb="FF131640"/>
      </top>
      <bottom/>
      <diagonal/>
    </border>
    <border>
      <left style="medium">
        <color rgb="FF13164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rgb="FF131640"/>
      </right>
      <top style="thin">
        <color indexed="64"/>
      </top>
      <bottom/>
      <diagonal/>
    </border>
    <border>
      <left/>
      <right style="medium">
        <color rgb="FF131640"/>
      </right>
      <top style="thin">
        <color indexed="64"/>
      </top>
      <bottom/>
      <diagonal/>
    </border>
    <border>
      <left style="thin">
        <color indexed="64"/>
      </left>
      <right style="medium">
        <color rgb="FF131640"/>
      </right>
      <top/>
      <bottom style="thin">
        <color indexed="64"/>
      </bottom>
      <diagonal/>
    </border>
    <border>
      <left/>
      <right style="medium">
        <color rgb="FF131640"/>
      </right>
      <top/>
      <bottom style="thin">
        <color indexed="64"/>
      </bottom>
      <diagonal/>
    </border>
    <border>
      <left/>
      <right/>
      <top style="medium">
        <color rgb="FF131640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131640"/>
      </right>
      <top style="medium">
        <color indexed="64"/>
      </top>
      <bottom/>
      <diagonal/>
    </border>
    <border>
      <left/>
      <right style="medium">
        <color rgb="FF131640"/>
      </right>
      <top style="medium">
        <color indexed="64"/>
      </top>
      <bottom/>
      <diagonal/>
    </border>
    <border>
      <left style="medium">
        <color rgb="FF131640"/>
      </left>
      <right/>
      <top style="medium">
        <color indexed="64"/>
      </top>
      <bottom/>
      <diagonal/>
    </border>
    <border>
      <left style="medium">
        <color rgb="FF131640"/>
      </left>
      <right style="medium">
        <color rgb="FF131640"/>
      </right>
      <top style="medium">
        <color indexed="64"/>
      </top>
      <bottom/>
      <diagonal/>
    </border>
    <border>
      <left style="medium">
        <color rgb="FF13164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131640"/>
      </right>
      <top/>
      <bottom/>
      <diagonal/>
    </border>
    <border>
      <left style="medium">
        <color rgb="FF13164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131640"/>
      </right>
      <top/>
      <bottom style="medium">
        <color indexed="64"/>
      </bottom>
      <diagonal/>
    </border>
    <border>
      <left/>
      <right style="medium">
        <color rgb="FF13164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131640"/>
      </left>
      <right style="medium">
        <color rgb="FF131640"/>
      </right>
      <top style="medium">
        <color rgb="FF131640"/>
      </top>
      <bottom style="medium">
        <color rgb="FF131640"/>
      </bottom>
      <diagonal/>
    </border>
    <border>
      <left/>
      <right style="medium">
        <color rgb="FF131640"/>
      </right>
      <top style="medium">
        <color rgb="FF131640"/>
      </top>
      <bottom style="medium">
        <color rgb="FF13164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 style="medium">
        <color rgb="FF131640"/>
      </right>
      <top style="thin">
        <color indexed="64"/>
      </top>
      <bottom style="thin">
        <color indexed="64"/>
      </bottom>
      <diagonal/>
    </border>
    <border>
      <left/>
      <right style="medium">
        <color rgb="FF131640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47">
    <xf numFmtId="0" fontId="0" fillId="0" borderId="0"/>
    <xf numFmtId="167" fontId="16" fillId="0" borderId="0" applyFill="0" applyBorder="0">
      <alignment vertical="center"/>
    </xf>
    <xf numFmtId="165" fontId="6" fillId="0" borderId="0" applyFill="0" applyBorder="0">
      <alignment vertical="center"/>
    </xf>
    <xf numFmtId="0" fontId="35" fillId="0" borderId="0" applyNumberFormat="0" applyFill="0" applyBorder="0" applyAlignment="0" applyProtection="0"/>
    <xf numFmtId="0" fontId="33" fillId="9" borderId="0" applyNumberFormat="0" applyBorder="0">
      <alignment vertical="center"/>
    </xf>
    <xf numFmtId="0" fontId="27" fillId="8" borderId="0" applyNumberFormat="0" applyBorder="0">
      <alignment vertical="center"/>
    </xf>
    <xf numFmtId="0" fontId="28" fillId="15" borderId="0" applyNumberFormat="0" applyBorder="0">
      <alignment vertical="center"/>
    </xf>
    <xf numFmtId="0" fontId="34" fillId="0" borderId="0" applyNumberFormat="0" applyFill="0" applyBorder="0">
      <alignment vertical="center"/>
    </xf>
    <xf numFmtId="0" fontId="17" fillId="0" borderId="0" applyFill="0" applyBorder="0">
      <alignment vertical="center"/>
    </xf>
    <xf numFmtId="0" fontId="26" fillId="6" borderId="10">
      <alignment vertical="center"/>
      <protection locked="0"/>
    </xf>
    <xf numFmtId="165" fontId="26" fillId="6" borderId="10">
      <alignment vertical="center"/>
      <protection locked="0"/>
    </xf>
    <xf numFmtId="167" fontId="26" fillId="6" borderId="10">
      <alignment vertical="center"/>
      <protection locked="0"/>
    </xf>
    <xf numFmtId="0" fontId="26" fillId="0" borderId="0" applyFill="0" applyBorder="0">
      <alignment vertical="center"/>
    </xf>
    <xf numFmtId="165" fontId="26" fillId="0" borderId="0" applyFill="0" applyBorder="0">
      <alignment vertical="center"/>
    </xf>
    <xf numFmtId="167" fontId="26" fillId="0" borderId="0" applyFill="0" applyBorder="0">
      <alignment vertical="center"/>
    </xf>
    <xf numFmtId="170" fontId="16" fillId="0" borderId="0" applyFill="0" applyBorder="0">
      <alignment vertical="center"/>
    </xf>
    <xf numFmtId="170" fontId="26" fillId="0" borderId="0" applyFill="0" applyBorder="0">
      <alignment vertical="center"/>
    </xf>
    <xf numFmtId="170" fontId="26" fillId="6" borderId="10">
      <alignment vertical="center"/>
      <protection locked="0"/>
    </xf>
    <xf numFmtId="168" fontId="16" fillId="0" borderId="0" applyFill="0" applyBorder="0">
      <alignment vertical="center"/>
    </xf>
    <xf numFmtId="168" fontId="26" fillId="0" borderId="0" applyFill="0" applyBorder="0">
      <alignment vertical="center"/>
    </xf>
    <xf numFmtId="168" fontId="26" fillId="6" borderId="10">
      <alignment vertical="center"/>
      <protection locked="0"/>
    </xf>
    <xf numFmtId="172" fontId="9" fillId="0" borderId="0">
      <alignment vertical="center"/>
    </xf>
    <xf numFmtId="0" fontId="36" fillId="0" borderId="0" applyNumberFormat="0" applyFill="0" applyBorder="0" applyAlignment="0" applyProtection="0"/>
    <xf numFmtId="0" fontId="28" fillId="7" borderId="0" applyBorder="0">
      <alignment horizontal="left" vertical="center"/>
    </xf>
    <xf numFmtId="0" fontId="30" fillId="0" borderId="0" applyFill="0" applyBorder="0">
      <alignment horizontal="left" vertical="center"/>
    </xf>
    <xf numFmtId="0" fontId="16" fillId="0" borderId="0" applyFill="0" applyBorder="0">
      <alignment vertical="center"/>
    </xf>
    <xf numFmtId="0" fontId="11" fillId="0" borderId="0"/>
    <xf numFmtId="0" fontId="27" fillId="12" borderId="0" applyBorder="0">
      <alignment horizontal="left" vertical="center"/>
    </xf>
    <xf numFmtId="170" fontId="16" fillId="0" borderId="0" applyFill="0" applyBorder="0">
      <alignment horizontal="right" vertical="center"/>
    </xf>
    <xf numFmtId="178" fontId="16" fillId="0" borderId="0" applyFill="0" applyBorder="0">
      <alignment horizontal="right" vertical="center"/>
    </xf>
    <xf numFmtId="0" fontId="29" fillId="14" borderId="0" applyBorder="0">
      <alignment horizontal="left" vertical="center"/>
    </xf>
    <xf numFmtId="0" fontId="19" fillId="0" borderId="0" applyNumberFormat="0" applyFill="0" applyBorder="0">
      <alignment horizontal="left" vertical="center"/>
    </xf>
    <xf numFmtId="0" fontId="32" fillId="0" borderId="0" applyFill="0" applyBorder="0">
      <alignment horizontal="left" vertical="center"/>
    </xf>
    <xf numFmtId="172" fontId="20" fillId="0" borderId="0">
      <alignment horizontal="center" vertical="center"/>
    </xf>
    <xf numFmtId="0" fontId="21" fillId="0" borderId="0"/>
    <xf numFmtId="0" fontId="2" fillId="0" borderId="0"/>
    <xf numFmtId="170" fontId="17" fillId="13" borderId="10">
      <alignment horizontal="right" vertical="center"/>
      <protection locked="0"/>
    </xf>
    <xf numFmtId="9" fontId="11" fillId="0" borderId="0" applyFont="0" applyFill="0" applyBorder="0" applyAlignment="0" applyProtection="0"/>
    <xf numFmtId="170" fontId="31" fillId="4" borderId="10">
      <alignment horizontal="right" vertical="center"/>
      <protection locked="0"/>
    </xf>
    <xf numFmtId="0" fontId="31" fillId="4" borderId="10">
      <alignment horizontal="left" vertical="center"/>
      <protection locked="0"/>
    </xf>
    <xf numFmtId="42" fontId="16" fillId="0" borderId="0" applyFill="0" applyBorder="0" applyAlignment="0" applyProtection="0"/>
    <xf numFmtId="0" fontId="1" fillId="0" borderId="0"/>
    <xf numFmtId="0" fontId="38" fillId="0" borderId="0" applyFill="0" applyBorder="0">
      <alignment horizontal="left" vertical="center"/>
    </xf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97">
    <xf numFmtId="0" fontId="0" fillId="0" borderId="0" xfId="0"/>
    <xf numFmtId="164" fontId="4" fillId="0" borderId="0" xfId="0" applyNumberFormat="1" applyFont="1"/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33" fillId="9" borderId="0" xfId="4">
      <alignment vertical="center"/>
    </xf>
    <xf numFmtId="0" fontId="7" fillId="0" borderId="0" xfId="3" applyFont="1"/>
    <xf numFmtId="0" fontId="17" fillId="0" borderId="0" xfId="8">
      <alignment vertical="center"/>
    </xf>
    <xf numFmtId="0" fontId="26" fillId="0" borderId="0" xfId="12">
      <alignment vertical="center"/>
    </xf>
    <xf numFmtId="0" fontId="26" fillId="6" borderId="1" xfId="9" applyBorder="1" applyAlignment="1">
      <alignment horizontal="center" vertical="center"/>
      <protection locked="0"/>
    </xf>
    <xf numFmtId="0" fontId="26" fillId="0" borderId="0" xfId="12" applyAlignment="1">
      <alignment horizontal="center" vertical="center"/>
    </xf>
    <xf numFmtId="0" fontId="17" fillId="0" borderId="3" xfId="8" applyBorder="1" applyAlignment="1">
      <alignment horizontal="center" vertical="center"/>
    </xf>
    <xf numFmtId="0" fontId="17" fillId="0" borderId="6" xfId="8" applyBorder="1" applyAlignment="1">
      <alignment horizontal="center" vertical="center"/>
    </xf>
    <xf numFmtId="0" fontId="17" fillId="0" borderId="7" xfId="8" applyBorder="1" applyAlignment="1">
      <alignment horizontal="center" vertical="center"/>
    </xf>
    <xf numFmtId="0" fontId="8" fillId="0" borderId="0" xfId="12" applyFont="1" applyFill="1" applyBorder="1">
      <alignment vertical="center"/>
    </xf>
    <xf numFmtId="0" fontId="3" fillId="0" borderId="0" xfId="3" applyFont="1"/>
    <xf numFmtId="0" fontId="33" fillId="9" borderId="0" xfId="4" quotePrefix="1">
      <alignment vertical="center"/>
    </xf>
    <xf numFmtId="164" fontId="34" fillId="0" borderId="0" xfId="7" applyNumberFormat="1">
      <alignment vertical="center"/>
    </xf>
    <xf numFmtId="164" fontId="34" fillId="0" borderId="0" xfId="7" applyNumberFormat="1" applyAlignment="1">
      <alignment horizontal="center" vertical="center"/>
    </xf>
    <xf numFmtId="0" fontId="34" fillId="0" borderId="0" xfId="7" applyAlignment="1">
      <alignment horizontal="center" vertical="center"/>
    </xf>
    <xf numFmtId="169" fontId="16" fillId="0" borderId="0" xfId="15" applyNumberFormat="1" applyAlignment="1">
      <alignment horizontal="center" vertical="center"/>
    </xf>
    <xf numFmtId="165" fontId="26" fillId="6" borderId="2" xfId="10" applyBorder="1" applyAlignment="1">
      <alignment horizontal="center" vertical="center"/>
      <protection locked="0"/>
    </xf>
    <xf numFmtId="0" fontId="17" fillId="0" borderId="0" xfId="8" applyAlignment="1">
      <alignment horizontal="center" vertical="center"/>
    </xf>
    <xf numFmtId="0" fontId="17" fillId="0" borderId="4" xfId="8" applyFill="1" applyBorder="1" applyAlignment="1">
      <alignment horizontal="center" vertical="center" wrapText="1"/>
    </xf>
    <xf numFmtId="0" fontId="17" fillId="0" borderId="5" xfId="8" applyFill="1" applyBorder="1" applyAlignment="1">
      <alignment horizontal="center" vertical="center" wrapText="1"/>
    </xf>
    <xf numFmtId="0" fontId="35" fillId="0" borderId="0" xfId="3"/>
    <xf numFmtId="171" fontId="26" fillId="0" borderId="0" xfId="16" applyNumberFormat="1" applyAlignment="1">
      <alignment horizontal="center" vertical="center"/>
    </xf>
    <xf numFmtId="171" fontId="16" fillId="0" borderId="0" xfId="15" applyNumberFormat="1" applyAlignment="1">
      <alignment horizontal="center" vertical="center"/>
    </xf>
    <xf numFmtId="0" fontId="36" fillId="0" borderId="0" xfId="22"/>
    <xf numFmtId="0" fontId="26" fillId="6" borderId="10" xfId="9">
      <alignment vertical="center"/>
      <protection locked="0"/>
    </xf>
    <xf numFmtId="0" fontId="26" fillId="6" borderId="10" xfId="9" applyAlignment="1">
      <alignment horizontal="center" vertical="center"/>
      <protection locked="0"/>
    </xf>
    <xf numFmtId="171" fontId="26" fillId="6" borderId="10" xfId="17" applyNumberFormat="1" applyAlignment="1">
      <alignment horizontal="center" vertical="center"/>
      <protection locked="0"/>
    </xf>
    <xf numFmtId="170" fontId="26" fillId="6" borderId="10" xfId="17" applyAlignment="1">
      <alignment horizontal="center" vertical="center"/>
      <protection locked="0"/>
    </xf>
    <xf numFmtId="0" fontId="34" fillId="0" borderId="0" xfId="7">
      <alignment vertical="center"/>
    </xf>
    <xf numFmtId="0" fontId="26" fillId="0" borderId="0" xfId="12" applyAlignment="1">
      <alignment horizontal="left" vertical="center"/>
    </xf>
    <xf numFmtId="0" fontId="26" fillId="0" borderId="0" xfId="12" applyFill="1" applyBorder="1" applyAlignment="1">
      <alignment horizontal="center" vertical="center"/>
    </xf>
    <xf numFmtId="0" fontId="17" fillId="0" borderId="0" xfId="8" applyFill="1">
      <alignment vertical="center"/>
    </xf>
    <xf numFmtId="0" fontId="17" fillId="0" borderId="0" xfId="8" applyBorder="1" applyAlignment="1">
      <alignment horizontal="center" vertical="center"/>
    </xf>
    <xf numFmtId="0" fontId="17" fillId="0" borderId="0" xfId="8" applyFill="1" applyAlignment="1">
      <alignment horizontal="center" vertical="center"/>
    </xf>
    <xf numFmtId="0" fontId="28" fillId="15" borderId="0" xfId="6">
      <alignment vertical="center"/>
    </xf>
    <xf numFmtId="0" fontId="10" fillId="9" borderId="0" xfId="4" applyFont="1" applyAlignment="1">
      <alignment horizontal="centerContinuous" vertical="center"/>
    </xf>
    <xf numFmtId="0" fontId="10" fillId="8" borderId="0" xfId="5" applyFont="1" applyAlignment="1">
      <alignment horizontal="centerContinuous" vertical="center"/>
    </xf>
    <xf numFmtId="0" fontId="10" fillId="15" borderId="0" xfId="6" applyFont="1" applyAlignment="1">
      <alignment horizontal="centerContinuous" vertical="center"/>
    </xf>
    <xf numFmtId="0" fontId="8" fillId="3" borderId="0" xfId="12" applyFont="1" applyFill="1" applyBorder="1">
      <alignment vertical="center"/>
    </xf>
    <xf numFmtId="0" fontId="26" fillId="0" borderId="0" xfId="12" applyFill="1">
      <alignment vertical="center"/>
    </xf>
    <xf numFmtId="167" fontId="26" fillId="6" borderId="10" xfId="11">
      <alignment vertical="center"/>
      <protection locked="0"/>
    </xf>
    <xf numFmtId="0" fontId="0" fillId="3" borderId="0" xfId="0" applyFill="1"/>
    <xf numFmtId="0" fontId="34" fillId="0" borderId="0" xfId="7" applyFill="1" applyAlignment="1">
      <alignment horizontal="center" vertical="center"/>
    </xf>
    <xf numFmtId="172" fontId="9" fillId="0" borderId="0" xfId="21" applyAlignment="1">
      <alignment horizontal="right" vertical="center"/>
    </xf>
    <xf numFmtId="167" fontId="9" fillId="0" borderId="0" xfId="1" applyFont="1">
      <alignment vertical="center"/>
    </xf>
    <xf numFmtId="0" fontId="26" fillId="0" borderId="0" xfId="12" applyFill="1" applyAlignment="1">
      <alignment horizontal="center" vertical="center"/>
    </xf>
    <xf numFmtId="172" fontId="9" fillId="0" borderId="0" xfId="21" applyAlignment="1">
      <alignment horizontal="center" vertical="center"/>
    </xf>
    <xf numFmtId="167" fontId="16" fillId="0" borderId="8" xfId="1" applyFill="1" applyBorder="1">
      <alignment vertical="center"/>
    </xf>
    <xf numFmtId="167" fontId="16" fillId="0" borderId="0" xfId="1" applyFill="1" applyBorder="1">
      <alignment vertical="center"/>
    </xf>
    <xf numFmtId="167" fontId="16" fillId="0" borderId="9" xfId="1" applyFill="1" applyBorder="1">
      <alignment vertical="center"/>
    </xf>
    <xf numFmtId="167" fontId="16" fillId="0" borderId="0" xfId="1" applyFill="1">
      <alignment vertical="center"/>
    </xf>
    <xf numFmtId="171" fontId="26" fillId="6" borderId="10" xfId="17" applyNumberFormat="1">
      <alignment vertical="center"/>
      <protection locked="0"/>
    </xf>
    <xf numFmtId="171" fontId="0" fillId="3" borderId="0" xfId="0" applyNumberFormat="1" applyFill="1"/>
    <xf numFmtId="171" fontId="16" fillId="0" borderId="0" xfId="15" applyNumberFormat="1">
      <alignment vertical="center"/>
    </xf>
    <xf numFmtId="0" fontId="30" fillId="0" borderId="0" xfId="24">
      <alignment horizontal="left" vertical="center"/>
    </xf>
    <xf numFmtId="0" fontId="30" fillId="0" borderId="0" xfId="24" applyAlignment="1">
      <alignment horizontal="center" vertical="center"/>
    </xf>
    <xf numFmtId="0" fontId="30" fillId="0" borderId="0" xfId="24" applyBorder="1" applyAlignment="1">
      <alignment horizontal="center" vertical="center"/>
    </xf>
    <xf numFmtId="0" fontId="16" fillId="0" borderId="0" xfId="25">
      <alignment vertical="center"/>
    </xf>
    <xf numFmtId="0" fontId="16" fillId="0" borderId="0" xfId="25" applyFill="1" applyAlignment="1">
      <alignment horizontal="center" vertical="center"/>
    </xf>
    <xf numFmtId="0" fontId="16" fillId="0" borderId="0" xfId="25" applyAlignment="1">
      <alignment horizontal="center" vertical="center"/>
    </xf>
    <xf numFmtId="0" fontId="11" fillId="0" borderId="0" xfId="0" applyFont="1"/>
    <xf numFmtId="167" fontId="26" fillId="6" borderId="11" xfId="11" applyBorder="1" applyAlignment="1">
      <alignment horizontal="center" vertical="center"/>
      <protection locked="0"/>
    </xf>
    <xf numFmtId="167" fontId="26" fillId="6" borderId="10" xfId="11" applyAlignment="1">
      <alignment horizontal="center" vertical="center"/>
      <protection locked="0"/>
    </xf>
    <xf numFmtId="0" fontId="12" fillId="0" borderId="12" xfId="0" applyFont="1" applyBorder="1"/>
    <xf numFmtId="0" fontId="30" fillId="0" borderId="0" xfId="24" applyBorder="1">
      <alignment horizontal="left" vertical="center"/>
    </xf>
    <xf numFmtId="174" fontId="16" fillId="0" borderId="0" xfId="15" applyNumberFormat="1" applyAlignment="1">
      <alignment horizontal="right" vertical="center"/>
    </xf>
    <xf numFmtId="165" fontId="0" fillId="0" borderId="0" xfId="0" applyNumberFormat="1"/>
    <xf numFmtId="167" fontId="0" fillId="0" borderId="0" xfId="0" applyNumberFormat="1"/>
    <xf numFmtId="167" fontId="16" fillId="0" borderId="0" xfId="1" applyFill="1" applyBorder="1" applyAlignment="1">
      <alignment horizontal="center" vertical="center"/>
    </xf>
    <xf numFmtId="176" fontId="0" fillId="0" borderId="0" xfId="0" applyNumberFormat="1"/>
    <xf numFmtId="0" fontId="17" fillId="0" borderId="0" xfId="8" applyFill="1" applyAlignment="1">
      <alignment horizontal="left" vertical="center"/>
    </xf>
    <xf numFmtId="167" fontId="26" fillId="6" borderId="17" xfId="11" applyBorder="1">
      <alignment vertical="center"/>
      <protection locked="0"/>
    </xf>
    <xf numFmtId="167" fontId="26" fillId="6" borderId="18" xfId="11" applyBorder="1" applyAlignment="1">
      <alignment horizontal="center" vertical="center"/>
      <protection locked="0"/>
    </xf>
    <xf numFmtId="167" fontId="16" fillId="0" borderId="8" xfId="1" applyFill="1" applyBorder="1" applyAlignment="1">
      <alignment horizontal="center" vertical="center"/>
    </xf>
    <xf numFmtId="167" fontId="16" fillId="0" borderId="9" xfId="1" applyFill="1" applyBorder="1" applyAlignment="1">
      <alignment horizontal="center" vertical="center"/>
    </xf>
    <xf numFmtId="177" fontId="0" fillId="0" borderId="0" xfId="0" applyNumberFormat="1"/>
    <xf numFmtId="0" fontId="0" fillId="0" borderId="0" xfId="0" applyAlignment="1">
      <alignment horizontal="right"/>
    </xf>
    <xf numFmtId="173" fontId="16" fillId="0" borderId="0" xfId="1" applyNumberFormat="1" applyFill="1" applyBorder="1" applyAlignment="1">
      <alignment horizontal="center" vertical="center"/>
    </xf>
    <xf numFmtId="165" fontId="26" fillId="6" borderId="10" xfId="10" applyAlignment="1">
      <alignment horizontal="center" vertical="center"/>
      <protection locked="0"/>
    </xf>
    <xf numFmtId="173" fontId="16" fillId="0" borderId="8" xfId="1" applyNumberFormat="1" applyFill="1" applyBorder="1" applyAlignment="1">
      <alignment horizontal="center" vertical="center"/>
    </xf>
    <xf numFmtId="173" fontId="16" fillId="0" borderId="9" xfId="1" applyNumberFormat="1" applyFill="1" applyBorder="1" applyAlignment="1">
      <alignment horizontal="center" vertical="center"/>
    </xf>
    <xf numFmtId="0" fontId="26" fillId="0" borderId="0" xfId="12" applyFill="1" applyAlignment="1">
      <alignment horizontal="right" vertical="center"/>
    </xf>
    <xf numFmtId="167" fontId="16" fillId="3" borderId="8" xfId="1" applyFill="1" applyBorder="1" applyAlignment="1">
      <alignment horizontal="center" vertical="center"/>
    </xf>
    <xf numFmtId="167" fontId="16" fillId="3" borderId="0" xfId="1" applyFill="1" applyBorder="1" applyAlignment="1">
      <alignment horizontal="center" vertical="center"/>
    </xf>
    <xf numFmtId="167" fontId="16" fillId="3" borderId="9" xfId="1" applyFill="1" applyBorder="1" applyAlignment="1">
      <alignment horizontal="center" vertical="center"/>
    </xf>
    <xf numFmtId="0" fontId="18" fillId="0" borderId="0" xfId="12" applyFont="1">
      <alignment vertical="center"/>
    </xf>
    <xf numFmtId="171" fontId="16" fillId="0" borderId="0" xfId="15" applyNumberFormat="1" applyAlignment="1">
      <alignment horizontal="left" vertical="center"/>
    </xf>
    <xf numFmtId="167" fontId="26" fillId="3" borderId="10" xfId="11" applyFill="1">
      <alignment vertical="center"/>
      <protection locked="0"/>
    </xf>
    <xf numFmtId="0" fontId="30" fillId="0" borderId="0" xfId="24" applyFill="1" applyBorder="1" applyAlignment="1">
      <alignment horizontal="center" vertical="center"/>
    </xf>
    <xf numFmtId="0" fontId="17" fillId="0" borderId="0" xfId="8" applyFill="1" applyAlignment="1">
      <alignment horizontal="left" vertical="center" indent="1"/>
    </xf>
    <xf numFmtId="0" fontId="17" fillId="0" borderId="0" xfId="8" applyFill="1" applyAlignment="1">
      <alignment horizontal="left" vertical="center" indent="2"/>
    </xf>
    <xf numFmtId="0" fontId="11" fillId="0" borderId="0" xfId="26"/>
    <xf numFmtId="170" fontId="16" fillId="0" borderId="0" xfId="28" applyAlignment="1">
      <alignment horizontal="center" vertical="center"/>
    </xf>
    <xf numFmtId="0" fontId="30" fillId="0" borderId="21" xfId="24" applyBorder="1" applyAlignment="1">
      <alignment horizontal="center" vertical="center"/>
    </xf>
    <xf numFmtId="0" fontId="30" fillId="0" borderId="21" xfId="24" applyBorder="1">
      <alignment horizontal="left" vertical="center"/>
    </xf>
    <xf numFmtId="0" fontId="19" fillId="0" borderId="0" xfId="31">
      <alignment horizontal="left" vertical="center"/>
    </xf>
    <xf numFmtId="172" fontId="20" fillId="0" borderId="0" xfId="33">
      <alignment horizontal="center" vertical="center"/>
    </xf>
    <xf numFmtId="0" fontId="30" fillId="0" borderId="21" xfId="24" applyBorder="1" applyAlignment="1">
      <alignment horizontal="center" vertical="center" wrapText="1"/>
    </xf>
    <xf numFmtId="0" fontId="30" fillId="0" borderId="12" xfId="24" applyBorder="1">
      <alignment horizontal="left" vertical="center"/>
    </xf>
    <xf numFmtId="0" fontId="2" fillId="10" borderId="0" xfId="35" applyFill="1"/>
    <xf numFmtId="0" fontId="22" fillId="10" borderId="0" xfId="35" applyFont="1" applyFill="1"/>
    <xf numFmtId="0" fontId="23" fillId="0" borderId="0" xfId="26" applyFont="1"/>
    <xf numFmtId="0" fontId="16" fillId="0" borderId="0" xfId="25" applyAlignment="1">
      <alignment horizontal="right" vertical="center"/>
    </xf>
    <xf numFmtId="171" fontId="16" fillId="0" borderId="0" xfId="28" applyNumberFormat="1" applyAlignment="1">
      <alignment horizontal="center" vertical="center"/>
    </xf>
    <xf numFmtId="0" fontId="37" fillId="9" borderId="0" xfId="4" applyFont="1" applyAlignment="1">
      <alignment horizontal="centerContinuous" vertical="center"/>
    </xf>
    <xf numFmtId="0" fontId="37" fillId="8" borderId="0" xfId="5" applyFont="1" applyAlignment="1">
      <alignment horizontal="centerContinuous" vertical="center"/>
    </xf>
    <xf numFmtId="0" fontId="37" fillId="15" borderId="0" xfId="6" applyFont="1" applyAlignment="1">
      <alignment horizontal="centerContinuous" vertical="center"/>
    </xf>
    <xf numFmtId="165" fontId="26" fillId="6" borderId="10" xfId="10">
      <alignment vertical="center"/>
      <protection locked="0"/>
    </xf>
    <xf numFmtId="165" fontId="16" fillId="0" borderId="0" xfId="29" applyNumberFormat="1">
      <alignment horizontal="right" vertical="center"/>
    </xf>
    <xf numFmtId="0" fontId="15" fillId="0" borderId="12" xfId="25" applyFont="1" applyBorder="1">
      <alignment vertical="center"/>
    </xf>
    <xf numFmtId="0" fontId="15" fillId="0" borderId="12" xfId="25" applyFont="1" applyBorder="1" applyAlignment="1">
      <alignment horizontal="center" vertical="center"/>
    </xf>
    <xf numFmtId="167" fontId="38" fillId="0" borderId="13" xfId="1" applyFont="1" applyFill="1" applyBorder="1" applyAlignment="1">
      <alignment horizontal="right" vertical="center"/>
    </xf>
    <xf numFmtId="167" fontId="38" fillId="0" borderId="14" xfId="1" applyFont="1" applyFill="1" applyBorder="1" applyAlignment="1">
      <alignment horizontal="right" vertical="center"/>
    </xf>
    <xf numFmtId="167" fontId="38" fillId="0" borderId="15" xfId="1" applyFont="1" applyFill="1" applyBorder="1" applyAlignment="1">
      <alignment horizontal="right" vertical="center"/>
    </xf>
    <xf numFmtId="171" fontId="15" fillId="0" borderId="12" xfId="15" applyNumberFormat="1" applyFont="1" applyBorder="1">
      <alignment vertical="center"/>
    </xf>
    <xf numFmtId="0" fontId="27" fillId="8" borderId="0" xfId="5">
      <alignment vertical="center"/>
    </xf>
    <xf numFmtId="167" fontId="15" fillId="0" borderId="13" xfId="1" applyFont="1" applyFill="1" applyBorder="1">
      <alignment vertical="center"/>
    </xf>
    <xf numFmtId="167" fontId="15" fillId="0" borderId="14" xfId="1" applyFont="1" applyFill="1" applyBorder="1">
      <alignment vertical="center"/>
    </xf>
    <xf numFmtId="167" fontId="15" fillId="0" borderId="15" xfId="1" applyFont="1" applyFill="1" applyBorder="1">
      <alignment vertical="center"/>
    </xf>
    <xf numFmtId="0" fontId="30" fillId="0" borderId="12" xfId="24" applyBorder="1" applyAlignment="1">
      <alignment horizontal="center" vertical="center"/>
    </xf>
    <xf numFmtId="0" fontId="35" fillId="0" borderId="0" xfId="3" applyAlignment="1">
      <alignment horizontal="left" vertical="center"/>
    </xf>
    <xf numFmtId="173" fontId="15" fillId="0" borderId="0" xfId="1" applyNumberFormat="1" applyFont="1" applyAlignment="1">
      <alignment horizontal="center" vertical="center"/>
    </xf>
    <xf numFmtId="167" fontId="15" fillId="0" borderId="13" xfId="1" applyFont="1" applyFill="1" applyBorder="1" applyAlignment="1">
      <alignment horizontal="center" vertical="center"/>
    </xf>
    <xf numFmtId="167" fontId="15" fillId="0" borderId="14" xfId="1" applyFont="1" applyFill="1" applyBorder="1" applyAlignment="1">
      <alignment horizontal="center" vertical="center"/>
    </xf>
    <xf numFmtId="167" fontId="15" fillId="0" borderId="15" xfId="1" applyFont="1" applyFill="1" applyBorder="1" applyAlignment="1">
      <alignment horizontal="center" vertical="center"/>
    </xf>
    <xf numFmtId="0" fontId="30" fillId="0" borderId="12" xfId="24" applyFill="1" applyBorder="1" applyAlignment="1">
      <alignment horizontal="center" vertical="center"/>
    </xf>
    <xf numFmtId="173" fontId="15" fillId="0" borderId="8" xfId="1" applyNumberFormat="1" applyFont="1" applyFill="1" applyBorder="1" applyAlignment="1">
      <alignment horizontal="center" vertical="center"/>
    </xf>
    <xf numFmtId="173" fontId="15" fillId="0" borderId="0" xfId="1" applyNumberFormat="1" applyFont="1" applyFill="1" applyBorder="1" applyAlignment="1">
      <alignment horizontal="center" vertical="center"/>
    </xf>
    <xf numFmtId="173" fontId="15" fillId="0" borderId="9" xfId="1" applyNumberFormat="1" applyFont="1" applyFill="1" applyBorder="1" applyAlignment="1">
      <alignment horizontal="center" vertical="center"/>
    </xf>
    <xf numFmtId="0" fontId="39" fillId="0" borderId="0" xfId="12" applyFont="1" applyFill="1">
      <alignment vertical="center"/>
    </xf>
    <xf numFmtId="173" fontId="16" fillId="0" borderId="0" xfId="1" applyNumberFormat="1" applyAlignment="1">
      <alignment horizontal="right" vertical="center"/>
    </xf>
    <xf numFmtId="42" fontId="16" fillId="0" borderId="0" xfId="40" applyAlignment="1">
      <alignment horizontal="right" vertical="center"/>
    </xf>
    <xf numFmtId="0" fontId="43" fillId="0" borderId="0" xfId="26" applyFont="1"/>
    <xf numFmtId="172" fontId="9" fillId="0" borderId="12" xfId="21" applyBorder="1" applyAlignment="1">
      <alignment horizontal="right" vertical="center"/>
    </xf>
    <xf numFmtId="167" fontId="26" fillId="6" borderId="19" xfId="11" applyBorder="1">
      <alignment vertical="center"/>
      <protection locked="0"/>
    </xf>
    <xf numFmtId="167" fontId="26" fillId="6" borderId="24" xfId="11" applyBorder="1">
      <alignment vertical="center"/>
      <protection locked="0"/>
    </xf>
    <xf numFmtId="167" fontId="26" fillId="6" borderId="22" xfId="11" applyBorder="1">
      <alignment vertical="center"/>
      <protection locked="0"/>
    </xf>
    <xf numFmtId="167" fontId="26" fillId="6" borderId="25" xfId="11" applyBorder="1">
      <alignment vertical="center"/>
      <protection locked="0"/>
    </xf>
    <xf numFmtId="0" fontId="16" fillId="0" borderId="0" xfId="25" applyAlignment="1">
      <alignment horizontal="left" vertical="center" indent="1"/>
    </xf>
    <xf numFmtId="0" fontId="41" fillId="0" borderId="0" xfId="24" applyFont="1" applyAlignment="1">
      <alignment horizontal="right" vertical="center"/>
    </xf>
    <xf numFmtId="0" fontId="41" fillId="0" borderId="0" xfId="24" applyFont="1" applyAlignment="1">
      <alignment horizontal="center" vertical="center"/>
    </xf>
    <xf numFmtId="0" fontId="42" fillId="0" borderId="0" xfId="25" applyFont="1" applyAlignment="1">
      <alignment horizontal="right" vertical="center"/>
    </xf>
    <xf numFmtId="0" fontId="42" fillId="0" borderId="0" xfId="25" applyFont="1">
      <alignment vertical="center"/>
    </xf>
    <xf numFmtId="0" fontId="38" fillId="0" borderId="0" xfId="42" applyAlignment="1">
      <alignment horizontal="center" vertical="center"/>
    </xf>
    <xf numFmtId="0" fontId="38" fillId="0" borderId="0" xfId="42">
      <alignment horizontal="left" vertical="center"/>
    </xf>
    <xf numFmtId="171" fontId="16" fillId="0" borderId="0" xfId="15" applyNumberFormat="1" applyFill="1" applyAlignment="1">
      <alignment horizontal="left" vertical="center"/>
    </xf>
    <xf numFmtId="171" fontId="16" fillId="0" borderId="0" xfId="15" applyNumberFormat="1" applyFill="1" applyAlignment="1">
      <alignment horizontal="center" vertical="center"/>
    </xf>
    <xf numFmtId="170" fontId="16" fillId="0" borderId="0" xfId="15" applyFill="1" applyAlignment="1">
      <alignment horizontal="center" vertical="center"/>
    </xf>
    <xf numFmtId="175" fontId="16" fillId="0" borderId="0" xfId="1" applyNumberFormat="1" applyFill="1" applyBorder="1" applyAlignment="1">
      <alignment horizontal="center" vertical="center"/>
    </xf>
    <xf numFmtId="0" fontId="16" fillId="0" borderId="0" xfId="25" applyAlignment="1">
      <alignment horizontal="left" vertical="center"/>
    </xf>
    <xf numFmtId="0" fontId="20" fillId="0" borderId="0" xfId="26" applyFont="1"/>
    <xf numFmtId="165" fontId="16" fillId="0" borderId="0" xfId="29" applyNumberFormat="1" applyAlignment="1">
      <alignment horizontal="left" vertical="center"/>
    </xf>
    <xf numFmtId="0" fontId="47" fillId="16" borderId="28" xfId="0" applyFont="1" applyFill="1" applyBorder="1" applyAlignment="1">
      <alignment vertical="center" wrapText="1"/>
    </xf>
    <xf numFmtId="0" fontId="46" fillId="0" borderId="30" xfId="0" applyFont="1" applyBorder="1" applyAlignment="1">
      <alignment vertical="center" wrapText="1"/>
    </xf>
    <xf numFmtId="0" fontId="48" fillId="17" borderId="30" xfId="0" applyFont="1" applyFill="1" applyBorder="1" applyAlignment="1">
      <alignment vertical="center" wrapText="1"/>
    </xf>
    <xf numFmtId="0" fontId="48" fillId="17" borderId="32" xfId="0" applyFont="1" applyFill="1" applyBorder="1" applyAlignment="1">
      <alignment vertical="center" wrapText="1"/>
    </xf>
    <xf numFmtId="172" fontId="9" fillId="0" borderId="34" xfId="21" applyBorder="1" applyAlignment="1">
      <alignment horizontal="right" vertical="center"/>
    </xf>
    <xf numFmtId="166" fontId="26" fillId="6" borderId="10" xfId="17" applyNumberFormat="1" applyAlignment="1">
      <alignment horizontal="center" vertical="center"/>
      <protection locked="0"/>
    </xf>
    <xf numFmtId="171" fontId="0" fillId="0" borderId="0" xfId="0" applyNumberFormat="1"/>
    <xf numFmtId="0" fontId="50" fillId="0" borderId="0" xfId="0" applyFont="1" applyAlignment="1">
      <alignment vertical="center"/>
    </xf>
    <xf numFmtId="0" fontId="14" fillId="11" borderId="20" xfId="0" applyFont="1" applyFill="1" applyBorder="1" applyAlignment="1">
      <alignment horizontal="center" vertical="center" wrapText="1"/>
    </xf>
    <xf numFmtId="0" fontId="34" fillId="0" borderId="0" xfId="7" applyFill="1" applyAlignment="1">
      <alignment horizontal="right" vertical="center"/>
    </xf>
    <xf numFmtId="171" fontId="16" fillId="0" borderId="0" xfId="15" applyNumberFormat="1" applyFill="1" applyAlignment="1">
      <alignment horizontal="right" vertical="center"/>
    </xf>
    <xf numFmtId="0" fontId="41" fillId="0" borderId="0" xfId="24" applyFont="1" applyBorder="1" applyAlignment="1">
      <alignment horizontal="right" vertical="center"/>
    </xf>
    <xf numFmtId="0" fontId="41" fillId="0" borderId="0" xfId="24" applyFont="1" applyAlignment="1">
      <alignment horizontal="centerContinuous" vertical="center"/>
    </xf>
    <xf numFmtId="170" fontId="16" fillId="0" borderId="0" xfId="15" applyFill="1" applyBorder="1" applyAlignment="1">
      <alignment horizontal="center" vertical="center"/>
    </xf>
    <xf numFmtId="171" fontId="16" fillId="0" borderId="0" xfId="15" applyNumberFormat="1" applyAlignment="1">
      <alignment horizontal="right" vertical="center"/>
    </xf>
    <xf numFmtId="167" fontId="17" fillId="0" borderId="0" xfId="14" applyFont="1">
      <alignment vertical="center"/>
    </xf>
    <xf numFmtId="0" fontId="9" fillId="0" borderId="0" xfId="0" applyFont="1"/>
    <xf numFmtId="167" fontId="26" fillId="6" borderId="23" xfId="11" applyBorder="1">
      <alignment vertical="center"/>
      <protection locked="0"/>
    </xf>
    <xf numFmtId="167" fontId="26" fillId="6" borderId="26" xfId="11" applyBorder="1">
      <alignment vertical="center"/>
      <protection locked="0"/>
    </xf>
    <xf numFmtId="167" fontId="26" fillId="6" borderId="35" xfId="11" applyBorder="1">
      <alignment vertical="center"/>
      <protection locked="0"/>
    </xf>
    <xf numFmtId="167" fontId="26" fillId="6" borderId="36" xfId="11" applyBorder="1">
      <alignment vertical="center"/>
      <protection locked="0"/>
    </xf>
    <xf numFmtId="167" fontId="26" fillId="6" borderId="37" xfId="11" applyBorder="1">
      <alignment vertical="center"/>
      <protection locked="0"/>
    </xf>
    <xf numFmtId="0" fontId="18" fillId="0" borderId="0" xfId="12" applyFont="1" applyFill="1" applyBorder="1">
      <alignment vertical="center"/>
    </xf>
    <xf numFmtId="172" fontId="20" fillId="0" borderId="0" xfId="33" applyAlignment="1">
      <alignment horizontal="right" vertical="center"/>
    </xf>
    <xf numFmtId="0" fontId="30" fillId="0" borderId="27" xfId="24" applyBorder="1" applyAlignment="1">
      <alignment horizontal="centerContinuous" vertical="center"/>
    </xf>
    <xf numFmtId="0" fontId="11" fillId="0" borderId="6" xfId="26" applyBorder="1" applyAlignment="1">
      <alignment horizontal="centerContinuous"/>
    </xf>
    <xf numFmtId="0" fontId="11" fillId="0" borderId="7" xfId="26" applyBorder="1" applyAlignment="1">
      <alignment horizontal="centerContinuous"/>
    </xf>
    <xf numFmtId="0" fontId="30" fillId="0" borderId="27" xfId="24" applyBorder="1" applyAlignment="1">
      <alignment horizontal="right" vertical="center" wrapText="1"/>
    </xf>
    <xf numFmtId="0" fontId="30" fillId="0" borderId="6" xfId="24" applyBorder="1" applyAlignment="1">
      <alignment horizontal="right" vertical="center" wrapText="1"/>
    </xf>
    <xf numFmtId="0" fontId="30" fillId="0" borderId="7" xfId="24" applyBorder="1" applyAlignment="1">
      <alignment horizontal="right" vertical="center" wrapText="1"/>
    </xf>
    <xf numFmtId="0" fontId="26" fillId="6" borderId="17" xfId="9" applyBorder="1">
      <alignment vertical="center"/>
      <protection locked="0"/>
    </xf>
    <xf numFmtId="167" fontId="26" fillId="6" borderId="40" xfId="11" applyBorder="1">
      <alignment vertical="center"/>
      <protection locked="0"/>
    </xf>
    <xf numFmtId="167" fontId="26" fillId="6" borderId="14" xfId="11" applyBorder="1">
      <alignment vertical="center"/>
      <protection locked="0"/>
    </xf>
    <xf numFmtId="167" fontId="17" fillId="0" borderId="12" xfId="14" applyFont="1" applyBorder="1">
      <alignment vertical="center"/>
    </xf>
    <xf numFmtId="167" fontId="17" fillId="0" borderId="41" xfId="14" applyFont="1" applyBorder="1">
      <alignment vertical="center"/>
    </xf>
    <xf numFmtId="167" fontId="26" fillId="6" borderId="42" xfId="11" applyBorder="1">
      <alignment vertical="center"/>
      <protection locked="0"/>
    </xf>
    <xf numFmtId="167" fontId="17" fillId="0" borderId="0" xfId="14" applyFont="1" applyBorder="1">
      <alignment vertical="center"/>
    </xf>
    <xf numFmtId="167" fontId="17" fillId="0" borderId="43" xfId="14" applyFont="1" applyBorder="1">
      <alignment vertical="center"/>
    </xf>
    <xf numFmtId="167" fontId="26" fillId="6" borderId="44" xfId="11" applyBorder="1">
      <alignment vertical="center"/>
      <protection locked="0"/>
    </xf>
    <xf numFmtId="167" fontId="26" fillId="6" borderId="45" xfId="11" applyBorder="1">
      <alignment vertical="center"/>
      <protection locked="0"/>
    </xf>
    <xf numFmtId="167" fontId="17" fillId="0" borderId="21" xfId="14" applyFont="1" applyBorder="1">
      <alignment vertical="center"/>
    </xf>
    <xf numFmtId="167" fontId="17" fillId="0" borderId="46" xfId="14" applyFont="1" applyBorder="1">
      <alignment vertical="center"/>
    </xf>
    <xf numFmtId="0" fontId="38" fillId="0" borderId="0" xfId="0" applyFont="1" applyAlignment="1">
      <alignment horizontal="right"/>
    </xf>
    <xf numFmtId="0" fontId="26" fillId="0" borderId="0" xfId="8" applyFont="1" applyFill="1" applyAlignment="1">
      <alignment horizontal="left" vertical="center"/>
    </xf>
    <xf numFmtId="167" fontId="17" fillId="0" borderId="43" xfId="14" applyFont="1" applyFill="1" applyBorder="1">
      <alignment vertical="center"/>
    </xf>
    <xf numFmtId="0" fontId="26" fillId="6" borderId="42" xfId="9" applyBorder="1">
      <alignment vertical="center"/>
      <protection locked="0"/>
    </xf>
    <xf numFmtId="0" fontId="26" fillId="6" borderId="47" xfId="9" applyBorder="1">
      <alignment vertical="center"/>
      <protection locked="0"/>
    </xf>
    <xf numFmtId="0" fontId="26" fillId="6" borderId="44" xfId="9" applyBorder="1">
      <alignment vertical="center"/>
      <protection locked="0"/>
    </xf>
    <xf numFmtId="0" fontId="26" fillId="6" borderId="48" xfId="9" applyBorder="1">
      <alignment vertical="center"/>
      <protection locked="0"/>
    </xf>
    <xf numFmtId="165" fontId="38" fillId="0" borderId="0" xfId="2" applyFont="1" applyAlignment="1">
      <alignment horizontal="center" vertical="center"/>
    </xf>
    <xf numFmtId="0" fontId="34" fillId="0" borderId="0" xfId="7" applyFill="1" applyAlignment="1">
      <alignment horizontal="centerContinuous" vertical="center"/>
    </xf>
    <xf numFmtId="0" fontId="0" fillId="0" borderId="0" xfId="0" applyAlignment="1">
      <alignment horizontal="centerContinuous"/>
    </xf>
    <xf numFmtId="0" fontId="16" fillId="0" borderId="0" xfId="25" applyAlignment="1">
      <alignment horizontal="right" vertical="center" indent="1"/>
    </xf>
    <xf numFmtId="0" fontId="30" fillId="0" borderId="0" xfId="24" applyBorder="1" applyAlignment="1">
      <alignment horizontal="centerContinuous" vertical="center"/>
    </xf>
    <xf numFmtId="0" fontId="24" fillId="0" borderId="0" xfId="24" applyFont="1" applyAlignment="1">
      <alignment horizontal="centerContinuous" vertical="center"/>
    </xf>
    <xf numFmtId="170" fontId="26" fillId="6" borderId="10" xfId="17">
      <alignment vertical="center"/>
      <protection locked="0"/>
    </xf>
    <xf numFmtId="0" fontId="13" fillId="0" borderId="31" xfId="0" applyFont="1" applyBorder="1" applyAlignment="1">
      <alignment vertical="center"/>
    </xf>
    <xf numFmtId="0" fontId="49" fillId="17" borderId="31" xfId="0" applyFont="1" applyFill="1" applyBorder="1" applyAlignment="1">
      <alignment vertical="center"/>
    </xf>
    <xf numFmtId="0" fontId="47" fillId="16" borderId="29" xfId="0" applyFont="1" applyFill="1" applyBorder="1" applyAlignment="1">
      <alignment horizontal="right" vertical="center" wrapText="1"/>
    </xf>
    <xf numFmtId="3" fontId="13" fillId="0" borderId="31" xfId="0" applyNumberFormat="1" applyFont="1" applyBorder="1" applyAlignment="1">
      <alignment horizontal="right" vertical="center" wrapText="1"/>
    </xf>
    <xf numFmtId="3" fontId="49" fillId="17" borderId="31" xfId="0" applyNumberFormat="1" applyFont="1" applyFill="1" applyBorder="1" applyAlignment="1">
      <alignment horizontal="right" vertical="center" wrapText="1"/>
    </xf>
    <xf numFmtId="0" fontId="47" fillId="16" borderId="29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31" xfId="0" applyFont="1" applyBorder="1" applyAlignment="1">
      <alignment horizontal="right" vertical="center" wrapText="1"/>
    </xf>
    <xf numFmtId="9" fontId="13" fillId="0" borderId="31" xfId="0" applyNumberFormat="1" applyFont="1" applyBorder="1" applyAlignment="1">
      <alignment horizontal="right" vertical="center" wrapText="1"/>
    </xf>
    <xf numFmtId="0" fontId="49" fillId="17" borderId="30" xfId="0" applyFont="1" applyFill="1" applyBorder="1" applyAlignment="1">
      <alignment vertical="center" wrapText="1"/>
    </xf>
    <xf numFmtId="0" fontId="49" fillId="17" borderId="31" xfId="0" applyFont="1" applyFill="1" applyBorder="1" applyAlignment="1">
      <alignment horizontal="right" vertical="center" wrapText="1"/>
    </xf>
    <xf numFmtId="9" fontId="49" fillId="17" borderId="31" xfId="0" applyNumberFormat="1" applyFont="1" applyFill="1" applyBorder="1" applyAlignment="1">
      <alignment horizontal="right" vertical="center" wrapText="1"/>
    </xf>
    <xf numFmtId="0" fontId="49" fillId="17" borderId="32" xfId="0" applyFont="1" applyFill="1" applyBorder="1" applyAlignment="1">
      <alignment vertical="center" wrapText="1"/>
    </xf>
    <xf numFmtId="0" fontId="49" fillId="17" borderId="33" xfId="0" applyFont="1" applyFill="1" applyBorder="1" applyAlignment="1">
      <alignment horizontal="right" vertical="center" wrapText="1"/>
    </xf>
    <xf numFmtId="0" fontId="21" fillId="0" borderId="0" xfId="43"/>
    <xf numFmtId="0" fontId="21" fillId="0" borderId="54" xfId="43" applyBorder="1"/>
    <xf numFmtId="180" fontId="57" fillId="0" borderId="55" xfId="44" applyNumberFormat="1" applyFont="1" applyBorder="1" applyAlignment="1">
      <alignment horizontal="center" vertical="center" wrapText="1"/>
    </xf>
    <xf numFmtId="0" fontId="54" fillId="0" borderId="54" xfId="44" applyFont="1" applyBorder="1" applyAlignment="1">
      <alignment vertical="center"/>
    </xf>
    <xf numFmtId="9" fontId="45" fillId="0" borderId="55" xfId="45" applyFont="1" applyBorder="1" applyAlignment="1">
      <alignment horizontal="center" vertical="center" wrapText="1"/>
    </xf>
    <xf numFmtId="0" fontId="54" fillId="0" borderId="55" xfId="44" applyFont="1" applyBorder="1" applyAlignment="1">
      <alignment horizontal="center" vertical="center"/>
    </xf>
    <xf numFmtId="0" fontId="54" fillId="0" borderId="55" xfId="44" applyFont="1" applyBorder="1" applyAlignment="1">
      <alignment horizontal="center" vertical="center" wrapText="1"/>
    </xf>
    <xf numFmtId="0" fontId="54" fillId="0" borderId="54" xfId="44" applyFont="1" applyBorder="1" applyAlignment="1">
      <alignment horizontal="left" vertical="center"/>
    </xf>
    <xf numFmtId="0" fontId="37" fillId="19" borderId="55" xfId="44" applyFont="1" applyFill="1" applyBorder="1" applyAlignment="1">
      <alignment horizontal="center" vertical="center" wrapText="1"/>
    </xf>
    <xf numFmtId="0" fontId="55" fillId="19" borderId="55" xfId="44" applyFont="1" applyFill="1" applyBorder="1" applyAlignment="1">
      <alignment horizontal="center" vertical="center" wrapText="1"/>
    </xf>
    <xf numFmtId="0" fontId="37" fillId="19" borderId="55" xfId="44" applyFont="1" applyFill="1" applyBorder="1" applyAlignment="1">
      <alignment horizontal="left" vertical="center" wrapText="1"/>
    </xf>
    <xf numFmtId="0" fontId="47" fillId="16" borderId="29" xfId="0" applyFont="1" applyFill="1" applyBorder="1" applyAlignment="1">
      <alignment horizontal="left" vertical="center" wrapText="1"/>
    </xf>
    <xf numFmtId="0" fontId="47" fillId="16" borderId="31" xfId="0" applyFont="1" applyFill="1" applyBorder="1" applyAlignment="1">
      <alignment horizontal="right" vertical="center" wrapText="1"/>
    </xf>
    <xf numFmtId="0" fontId="49" fillId="17" borderId="31" xfId="0" applyFont="1" applyFill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47" fillId="16" borderId="30" xfId="0" applyFont="1" applyFill="1" applyBorder="1" applyAlignment="1">
      <alignment horizontal="right" vertical="center" wrapText="1"/>
    </xf>
    <xf numFmtId="0" fontId="48" fillId="17" borderId="30" xfId="0" applyFont="1" applyFill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46" fillId="0" borderId="31" xfId="0" applyFont="1" applyBorder="1" applyAlignment="1">
      <alignment vertical="center"/>
    </xf>
    <xf numFmtId="0" fontId="48" fillId="17" borderId="31" xfId="0" applyFont="1" applyFill="1" applyBorder="1" applyAlignment="1">
      <alignment vertical="center"/>
    </xf>
    <xf numFmtId="0" fontId="47" fillId="16" borderId="31" xfId="0" applyFont="1" applyFill="1" applyBorder="1" applyAlignment="1">
      <alignment horizontal="right" vertical="center"/>
    </xf>
    <xf numFmtId="0" fontId="13" fillId="0" borderId="31" xfId="0" applyFont="1" applyBorder="1" applyAlignment="1">
      <alignment horizontal="right" vertical="center"/>
    </xf>
    <xf numFmtId="0" fontId="46" fillId="0" borderId="30" xfId="0" applyFont="1" applyBorder="1" applyAlignment="1">
      <alignment horizontal="center" vertical="center"/>
    </xf>
    <xf numFmtId="0" fontId="48" fillId="17" borderId="30" xfId="0" applyFont="1" applyFill="1" applyBorder="1" applyAlignment="1">
      <alignment horizontal="center" vertical="center"/>
    </xf>
    <xf numFmtId="174" fontId="16" fillId="0" borderId="31" xfId="15" applyNumberFormat="1" applyBorder="1">
      <alignment vertical="center"/>
    </xf>
    <xf numFmtId="174" fontId="16" fillId="17" borderId="31" xfId="15" applyNumberFormat="1" applyFill="1" applyBorder="1">
      <alignment vertical="center"/>
    </xf>
    <xf numFmtId="174" fontId="16" fillId="17" borderId="33" xfId="15" applyNumberFormat="1" applyFill="1" applyBorder="1">
      <alignment vertical="center"/>
    </xf>
    <xf numFmtId="0" fontId="49" fillId="17" borderId="31" xfId="0" applyFont="1" applyFill="1" applyBorder="1" applyAlignment="1">
      <alignment horizontal="center" vertical="center" wrapText="1"/>
    </xf>
    <xf numFmtId="0" fontId="49" fillId="17" borderId="33" xfId="0" applyFont="1" applyFill="1" applyBorder="1" applyAlignment="1">
      <alignment horizontal="center" vertical="center" wrapText="1"/>
    </xf>
    <xf numFmtId="174" fontId="16" fillId="0" borderId="33" xfId="15" applyNumberFormat="1" applyBorder="1">
      <alignment vertical="center"/>
    </xf>
    <xf numFmtId="0" fontId="56" fillId="16" borderId="30" xfId="0" applyFont="1" applyFill="1" applyBorder="1" applyAlignment="1">
      <alignment vertical="top" wrapText="1"/>
    </xf>
    <xf numFmtId="2" fontId="49" fillId="0" borderId="31" xfId="0" applyNumberFormat="1" applyFont="1" applyBorder="1" applyAlignment="1">
      <alignment horizontal="right" vertical="center" wrapText="1"/>
    </xf>
    <xf numFmtId="2" fontId="49" fillId="17" borderId="33" xfId="0" applyNumberFormat="1" applyFont="1" applyFill="1" applyBorder="1" applyAlignment="1">
      <alignment horizontal="right" vertical="center" wrapText="1"/>
    </xf>
    <xf numFmtId="181" fontId="49" fillId="5" borderId="31" xfId="0" applyNumberFormat="1" applyFont="1" applyFill="1" applyBorder="1" applyAlignment="1">
      <alignment horizontal="right" vertical="center" wrapText="1"/>
    </xf>
    <xf numFmtId="181" fontId="49" fillId="17" borderId="31" xfId="0" applyNumberFormat="1" applyFont="1" applyFill="1" applyBorder="1" applyAlignment="1">
      <alignment horizontal="right" vertical="center" wrapText="1"/>
    </xf>
    <xf numFmtId="2" fontId="59" fillId="0" borderId="31" xfId="0" applyNumberFormat="1" applyFont="1" applyBorder="1" applyAlignment="1">
      <alignment horizontal="center" vertical="center" wrapText="1"/>
    </xf>
    <xf numFmtId="2" fontId="59" fillId="17" borderId="33" xfId="0" applyNumberFormat="1" applyFont="1" applyFill="1" applyBorder="1" applyAlignment="1">
      <alignment horizontal="center" vertical="center" wrapText="1"/>
    </xf>
    <xf numFmtId="182" fontId="49" fillId="0" borderId="31" xfId="0" applyNumberFormat="1" applyFont="1" applyBorder="1" applyAlignment="1">
      <alignment horizontal="center" vertical="center"/>
    </xf>
    <xf numFmtId="182" fontId="49" fillId="17" borderId="31" xfId="0" applyNumberFormat="1" applyFont="1" applyFill="1" applyBorder="1" applyAlignment="1">
      <alignment horizontal="center" vertical="center"/>
    </xf>
    <xf numFmtId="171" fontId="42" fillId="0" borderId="0" xfId="15" applyNumberFormat="1" applyFont="1" applyFill="1" applyAlignment="1">
      <alignment horizontal="right" vertical="center"/>
    </xf>
    <xf numFmtId="0" fontId="42" fillId="0" borderId="0" xfId="25" applyFont="1" applyAlignment="1">
      <alignment horizontal="left" vertical="center"/>
    </xf>
    <xf numFmtId="0" fontId="41" fillId="0" borderId="0" xfId="24" applyFont="1" applyBorder="1" applyAlignment="1">
      <alignment horizontal="centerContinuous" vertical="center"/>
    </xf>
    <xf numFmtId="0" fontId="42" fillId="0" borderId="0" xfId="24" applyFont="1" applyAlignment="1">
      <alignment horizontal="right" vertical="center"/>
    </xf>
    <xf numFmtId="171" fontId="42" fillId="0" borderId="0" xfId="15" applyNumberFormat="1" applyFont="1" applyFill="1">
      <alignment vertical="center"/>
    </xf>
    <xf numFmtId="170" fontId="42" fillId="0" borderId="0" xfId="15" applyFont="1" applyFill="1">
      <alignment vertical="center"/>
    </xf>
    <xf numFmtId="0" fontId="42" fillId="0" borderId="0" xfId="25" applyFont="1" applyFill="1" applyAlignment="1">
      <alignment horizontal="left" vertical="center"/>
    </xf>
    <xf numFmtId="183" fontId="25" fillId="0" borderId="0" xfId="0" applyNumberFormat="1" applyFont="1" applyAlignment="1">
      <alignment horizontal="center"/>
    </xf>
    <xf numFmtId="0" fontId="21" fillId="0" borderId="0" xfId="43" applyAlignment="1">
      <alignment vertical="center"/>
    </xf>
    <xf numFmtId="180" fontId="26" fillId="6" borderId="10" xfId="10" applyNumberFormat="1">
      <alignment vertical="center"/>
      <protection locked="0"/>
    </xf>
    <xf numFmtId="0" fontId="30" fillId="0" borderId="21" xfId="24" applyBorder="1" applyAlignment="1">
      <alignment horizontal="center" wrapText="1"/>
    </xf>
    <xf numFmtId="0" fontId="42" fillId="0" borderId="0" xfId="24" applyFont="1">
      <alignment horizontal="left" vertical="center"/>
    </xf>
    <xf numFmtId="178" fontId="26" fillId="6" borderId="10" xfId="17" applyNumberFormat="1">
      <alignment vertical="center"/>
      <protection locked="0"/>
    </xf>
    <xf numFmtId="172" fontId="9" fillId="0" borderId="9" xfId="21" applyBorder="1" applyAlignment="1">
      <alignment horizontal="right" vertical="center"/>
    </xf>
    <xf numFmtId="167" fontId="26" fillId="6" borderId="0" xfId="11" applyBorder="1" applyAlignment="1">
      <alignment horizontal="center" vertical="center"/>
      <protection locked="0"/>
    </xf>
    <xf numFmtId="171" fontId="26" fillId="6" borderId="10" xfId="15" applyNumberFormat="1" applyFont="1" applyFill="1" applyBorder="1">
      <alignment vertical="center"/>
    </xf>
    <xf numFmtId="178" fontId="26" fillId="6" borderId="10" xfId="29" applyFont="1" applyFill="1" applyBorder="1">
      <alignment horizontal="right" vertical="center"/>
    </xf>
    <xf numFmtId="0" fontId="42" fillId="0" borderId="0" xfId="25" applyFont="1" applyFill="1" applyAlignment="1">
      <alignment horizontal="right" vertical="center"/>
    </xf>
    <xf numFmtId="170" fontId="16" fillId="0" borderId="0" xfId="15" applyFill="1" applyAlignment="1">
      <alignment horizontal="right" vertical="center"/>
    </xf>
    <xf numFmtId="0" fontId="38" fillId="0" borderId="0" xfId="42" applyAlignment="1">
      <alignment horizontal="right" vertical="center"/>
    </xf>
    <xf numFmtId="0" fontId="13" fillId="0" borderId="33" xfId="0" applyFont="1" applyBorder="1" applyAlignment="1">
      <alignment horizontal="center" vertical="center" wrapText="1"/>
    </xf>
    <xf numFmtId="175" fontId="26" fillId="6" borderId="10" xfId="11" applyNumberFormat="1" applyAlignment="1">
      <alignment horizontal="center" vertical="center"/>
      <protection locked="0"/>
    </xf>
    <xf numFmtId="167" fontId="26" fillId="6" borderId="45" xfId="11" applyBorder="1" applyAlignment="1">
      <alignment horizontal="center" vertical="center"/>
      <protection locked="0"/>
    </xf>
    <xf numFmtId="171" fontId="26" fillId="18" borderId="10" xfId="17" applyNumberFormat="1" applyFill="1">
      <alignment vertical="center"/>
      <protection locked="0"/>
    </xf>
    <xf numFmtId="165" fontId="16" fillId="18" borderId="0" xfId="29" applyNumberFormat="1" applyFill="1">
      <alignment horizontal="right" vertical="center"/>
    </xf>
    <xf numFmtId="171" fontId="0" fillId="20" borderId="0" xfId="0" applyNumberFormat="1" applyFill="1"/>
    <xf numFmtId="175" fontId="15" fillId="0" borderId="14" xfId="1" applyNumberFormat="1" applyFont="1" applyFill="1" applyBorder="1">
      <alignment vertical="center"/>
    </xf>
    <xf numFmtId="165" fontId="26" fillId="18" borderId="2" xfId="10" applyFill="1" applyBorder="1" applyAlignment="1">
      <alignment horizontal="center" vertical="center"/>
      <protection locked="0"/>
    </xf>
    <xf numFmtId="0" fontId="47" fillId="16" borderId="64" xfId="0" applyFont="1" applyFill="1" applyBorder="1" applyAlignment="1">
      <alignment vertical="center" wrapText="1"/>
    </xf>
    <xf numFmtId="0" fontId="47" fillId="16" borderId="65" xfId="0" applyFont="1" applyFill="1" applyBorder="1" applyAlignment="1">
      <alignment horizontal="left" vertical="center" wrapText="1"/>
    </xf>
    <xf numFmtId="0" fontId="47" fillId="16" borderId="65" xfId="0" applyFont="1" applyFill="1" applyBorder="1" applyAlignment="1">
      <alignment horizontal="right" vertical="center" wrapText="1"/>
    </xf>
    <xf numFmtId="0" fontId="47" fillId="16" borderId="66" xfId="0" applyFont="1" applyFill="1" applyBorder="1" applyAlignment="1">
      <alignment horizontal="center" vertical="center" wrapText="1"/>
    </xf>
    <xf numFmtId="0" fontId="47" fillId="16" borderId="65" xfId="0" applyFont="1" applyFill="1" applyBorder="1" applyAlignment="1">
      <alignment horizontal="center" vertical="center" wrapText="1"/>
    </xf>
    <xf numFmtId="0" fontId="47" fillId="16" borderId="66" xfId="0" applyFont="1" applyFill="1" applyBorder="1" applyAlignment="1">
      <alignment horizontal="right" vertical="center" wrapText="1"/>
    </xf>
    <xf numFmtId="0" fontId="47" fillId="16" borderId="67" xfId="0" applyFont="1" applyFill="1" applyBorder="1" applyAlignment="1">
      <alignment horizontal="right" vertical="center" wrapText="1"/>
    </xf>
    <xf numFmtId="0" fontId="47" fillId="16" borderId="68" xfId="0" applyFont="1" applyFill="1" applyBorder="1" applyAlignment="1">
      <alignment horizontal="right" vertical="center" wrapText="1"/>
    </xf>
    <xf numFmtId="0" fontId="56" fillId="16" borderId="69" xfId="0" applyFont="1" applyFill="1" applyBorder="1" applyAlignment="1">
      <alignment vertical="center" wrapText="1"/>
    </xf>
    <xf numFmtId="0" fontId="47" fillId="16" borderId="70" xfId="0" applyFont="1" applyFill="1" applyBorder="1" applyAlignment="1">
      <alignment horizontal="right" vertical="center" wrapText="1"/>
    </xf>
    <xf numFmtId="0" fontId="48" fillId="17" borderId="69" xfId="0" applyFont="1" applyFill="1" applyBorder="1" applyAlignment="1">
      <alignment horizontal="center" vertical="center" wrapText="1"/>
    </xf>
    <xf numFmtId="0" fontId="49" fillId="17" borderId="71" xfId="0" applyFont="1" applyFill="1" applyBorder="1" applyAlignment="1">
      <alignment horizontal="right" vertical="center" wrapText="1"/>
    </xf>
    <xf numFmtId="0" fontId="46" fillId="0" borderId="69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right" vertical="center" wrapText="1"/>
    </xf>
    <xf numFmtId="9" fontId="13" fillId="0" borderId="71" xfId="0" applyNumberFormat="1" applyFont="1" applyBorder="1" applyAlignment="1">
      <alignment horizontal="right" vertical="center" wrapText="1"/>
    </xf>
    <xf numFmtId="0" fontId="48" fillId="17" borderId="72" xfId="0" applyFont="1" applyFill="1" applyBorder="1" applyAlignment="1">
      <alignment horizontal="center" vertical="center" wrapText="1"/>
    </xf>
    <xf numFmtId="0" fontId="49" fillId="17" borderId="73" xfId="0" applyFont="1" applyFill="1" applyBorder="1" applyAlignment="1">
      <alignment horizontal="left" vertical="center" wrapText="1"/>
    </xf>
    <xf numFmtId="3" fontId="49" fillId="17" borderId="73" xfId="0" applyNumberFormat="1" applyFont="1" applyFill="1" applyBorder="1" applyAlignment="1">
      <alignment horizontal="right" vertical="center" wrapText="1"/>
    </xf>
    <xf numFmtId="9" fontId="49" fillId="17" borderId="73" xfId="0" applyNumberFormat="1" applyFont="1" applyFill="1" applyBorder="1" applyAlignment="1">
      <alignment horizontal="right" vertical="center" wrapText="1"/>
    </xf>
    <xf numFmtId="9" fontId="49" fillId="17" borderId="16" xfId="0" applyNumberFormat="1" applyFont="1" applyFill="1" applyBorder="1" applyAlignment="1">
      <alignment horizontal="right" vertical="center" wrapText="1"/>
    </xf>
    <xf numFmtId="0" fontId="48" fillId="17" borderId="64" xfId="0" applyFont="1" applyFill="1" applyBorder="1" applyAlignment="1">
      <alignment horizontal="center" vertical="center"/>
    </xf>
    <xf numFmtId="0" fontId="48" fillId="17" borderId="65" xfId="0" applyFont="1" applyFill="1" applyBorder="1" applyAlignment="1">
      <alignment vertical="center"/>
    </xf>
    <xf numFmtId="0" fontId="48" fillId="17" borderId="69" xfId="0" applyFont="1" applyFill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8" fillId="17" borderId="72" xfId="0" applyFont="1" applyFill="1" applyBorder="1" applyAlignment="1">
      <alignment horizontal="center" vertical="center"/>
    </xf>
    <xf numFmtId="0" fontId="49" fillId="17" borderId="73" xfId="0" applyFont="1" applyFill="1" applyBorder="1" applyAlignment="1">
      <alignment vertical="center"/>
    </xf>
    <xf numFmtId="0" fontId="47" fillId="16" borderId="75" xfId="0" applyFont="1" applyFill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75" xfId="0" applyFont="1" applyBorder="1" applyAlignment="1">
      <alignment vertical="center" wrapText="1"/>
    </xf>
    <xf numFmtId="0" fontId="13" fillId="0" borderId="75" xfId="0" applyFont="1" applyBorder="1" applyAlignment="1">
      <alignment horizontal="left" vertical="center" wrapText="1" indent="1"/>
    </xf>
    <xf numFmtId="167" fontId="13" fillId="0" borderId="75" xfId="0" applyNumberFormat="1" applyFont="1" applyBorder="1" applyAlignment="1">
      <alignment horizontal="center" vertical="center" wrapText="1"/>
    </xf>
    <xf numFmtId="0" fontId="46" fillId="0" borderId="75" xfId="0" applyFont="1" applyBorder="1" applyAlignment="1">
      <alignment vertical="center" wrapText="1"/>
    </xf>
    <xf numFmtId="0" fontId="46" fillId="0" borderId="32" xfId="0" applyFont="1" applyBorder="1" applyAlignment="1">
      <alignment vertical="center" wrapText="1"/>
    </xf>
    <xf numFmtId="179" fontId="13" fillId="0" borderId="31" xfId="0" applyNumberFormat="1" applyFont="1" applyBorder="1" applyAlignment="1">
      <alignment horizontal="right" vertical="center" wrapText="1"/>
    </xf>
    <xf numFmtId="179" fontId="49" fillId="17" borderId="31" xfId="0" applyNumberFormat="1" applyFont="1" applyFill="1" applyBorder="1" applyAlignment="1">
      <alignment horizontal="right" vertical="center" wrapText="1"/>
    </xf>
    <xf numFmtId="185" fontId="48" fillId="17" borderId="31" xfId="0" applyNumberFormat="1" applyFont="1" applyFill="1" applyBorder="1" applyAlignment="1">
      <alignment horizontal="right" vertical="center" wrapText="1"/>
    </xf>
    <xf numFmtId="185" fontId="46" fillId="0" borderId="33" xfId="0" applyNumberFormat="1" applyFont="1" applyBorder="1" applyAlignment="1">
      <alignment horizontal="right" vertical="center" wrapText="1"/>
    </xf>
    <xf numFmtId="178" fontId="16" fillId="0" borderId="0" xfId="1" applyNumberFormat="1" applyFill="1" applyBorder="1" applyAlignment="1">
      <alignment horizontal="center" vertical="center"/>
    </xf>
    <xf numFmtId="167" fontId="60" fillId="6" borderId="75" xfId="0" applyNumberFormat="1" applyFont="1" applyFill="1" applyBorder="1" applyAlignment="1">
      <alignment horizontal="center" vertical="center" wrapText="1"/>
    </xf>
    <xf numFmtId="167" fontId="60" fillId="6" borderId="77" xfId="0" applyNumberFormat="1" applyFont="1" applyFill="1" applyBorder="1" applyAlignment="1">
      <alignment horizontal="center" vertical="center" wrapText="1"/>
    </xf>
    <xf numFmtId="0" fontId="39" fillId="0" borderId="0" xfId="12" applyFont="1" applyFill="1" applyAlignment="1">
      <alignment horizontal="right" vertical="center"/>
    </xf>
    <xf numFmtId="167" fontId="61" fillId="0" borderId="77" xfId="0" applyNumberFormat="1" applyFont="1" applyBorder="1" applyAlignment="1">
      <alignment horizontal="center" vertical="center" wrapText="1"/>
    </xf>
    <xf numFmtId="178" fontId="13" fillId="0" borderId="75" xfId="0" applyNumberFormat="1" applyFont="1" applyBorder="1" applyAlignment="1">
      <alignment horizontal="center" vertical="center" wrapText="1"/>
    </xf>
    <xf numFmtId="184" fontId="16" fillId="0" borderId="31" xfId="1" applyNumberFormat="1" applyBorder="1">
      <alignment vertical="center"/>
    </xf>
    <xf numFmtId="184" fontId="16" fillId="17" borderId="31" xfId="1" applyNumberFormat="1" applyFill="1" applyBorder="1">
      <alignment vertical="center"/>
    </xf>
    <xf numFmtId="184" fontId="16" fillId="17" borderId="65" xfId="1" applyNumberFormat="1" applyFill="1" applyBorder="1">
      <alignment vertical="center"/>
    </xf>
    <xf numFmtId="184" fontId="16" fillId="17" borderId="74" xfId="1" applyNumberFormat="1" applyFill="1" applyBorder="1">
      <alignment vertical="center"/>
    </xf>
    <xf numFmtId="184" fontId="16" fillId="17" borderId="71" xfId="1" applyNumberFormat="1" applyFill="1" applyBorder="1">
      <alignment vertical="center"/>
    </xf>
    <xf numFmtId="184" fontId="16" fillId="0" borderId="71" xfId="1" applyNumberFormat="1" applyBorder="1">
      <alignment vertical="center"/>
    </xf>
    <xf numFmtId="184" fontId="16" fillId="17" borderId="73" xfId="1" applyNumberFormat="1" applyFill="1" applyBorder="1">
      <alignment vertical="center"/>
    </xf>
    <xf numFmtId="184" fontId="16" fillId="17" borderId="16" xfId="1" applyNumberFormat="1" applyFill="1" applyBorder="1">
      <alignment vertical="center"/>
    </xf>
    <xf numFmtId="0" fontId="47" fillId="16" borderId="76" xfId="0" applyFont="1" applyFill="1" applyBorder="1" applyAlignment="1">
      <alignment horizontal="center" vertical="center" wrapText="1"/>
    </xf>
    <xf numFmtId="165" fontId="26" fillId="6" borderId="75" xfId="10" applyBorder="1" applyAlignment="1">
      <alignment horizontal="center" vertical="center"/>
      <protection locked="0"/>
    </xf>
    <xf numFmtId="0" fontId="26" fillId="0" borderId="0" xfId="12" applyFill="1" applyAlignment="1">
      <alignment horizontal="left" vertical="center" indent="1"/>
    </xf>
    <xf numFmtId="167" fontId="46" fillId="0" borderId="75" xfId="0" applyNumberFormat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 indent="1"/>
    </xf>
    <xf numFmtId="0" fontId="46" fillId="0" borderId="32" xfId="0" applyFont="1" applyBorder="1" applyAlignment="1">
      <alignment horizontal="left" vertical="center" wrapText="1"/>
    </xf>
    <xf numFmtId="179" fontId="46" fillId="0" borderId="33" xfId="46" applyNumberFormat="1" applyFont="1" applyBorder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179" fontId="16" fillId="0" borderId="0" xfId="46" applyNumberFormat="1" applyFont="1" applyBorder="1" applyAlignment="1">
      <alignment vertical="center"/>
    </xf>
    <xf numFmtId="179" fontId="46" fillId="0" borderId="0" xfId="46" applyNumberFormat="1" applyFont="1" applyBorder="1" applyAlignment="1">
      <alignment horizontal="right" vertical="center" wrapText="1"/>
    </xf>
    <xf numFmtId="0" fontId="16" fillId="0" borderId="0" xfId="25" quotePrefix="1">
      <alignment vertical="center"/>
    </xf>
    <xf numFmtId="178" fontId="16" fillId="0" borderId="0" xfId="29" applyFill="1" applyBorder="1" applyAlignment="1">
      <alignment horizontal="center" vertical="center"/>
    </xf>
    <xf numFmtId="175" fontId="16" fillId="0" borderId="31" xfId="1" applyNumberFormat="1" applyBorder="1">
      <alignment vertical="center"/>
    </xf>
    <xf numFmtId="165" fontId="26" fillId="13" borderId="10" xfId="10" applyFill="1" applyAlignment="1">
      <alignment horizontal="center" vertical="center"/>
      <protection locked="0"/>
    </xf>
    <xf numFmtId="0" fontId="63" fillId="19" borderId="78" xfId="0" applyFont="1" applyFill="1" applyBorder="1" applyAlignment="1">
      <alignment vertical="center" wrapText="1"/>
    </xf>
    <xf numFmtId="0" fontId="63" fillId="19" borderId="78" xfId="0" applyFont="1" applyFill="1" applyBorder="1" applyAlignment="1">
      <alignment horizontal="right" vertical="center" wrapText="1"/>
    </xf>
    <xf numFmtId="0" fontId="63" fillId="0" borderId="78" xfId="0" applyFont="1" applyBorder="1" applyAlignment="1">
      <alignment vertical="center"/>
    </xf>
    <xf numFmtId="179" fontId="64" fillId="0" borderId="78" xfId="0" applyNumberFormat="1" applyFont="1" applyBorder="1" applyAlignment="1">
      <alignment horizontal="right" vertical="center" wrapText="1"/>
    </xf>
    <xf numFmtId="0" fontId="63" fillId="17" borderId="78" xfId="0" applyFont="1" applyFill="1" applyBorder="1" applyAlignment="1">
      <alignment vertical="center"/>
    </xf>
    <xf numFmtId="179" fontId="64" fillId="17" borderId="78" xfId="0" applyNumberFormat="1" applyFont="1" applyFill="1" applyBorder="1" applyAlignment="1">
      <alignment horizontal="right" vertical="center" wrapText="1"/>
    </xf>
    <xf numFmtId="185" fontId="63" fillId="17" borderId="78" xfId="0" applyNumberFormat="1" applyFont="1" applyFill="1" applyBorder="1" applyAlignment="1">
      <alignment horizontal="right" vertical="center" wrapText="1"/>
    </xf>
    <xf numFmtId="185" fontId="63" fillId="0" borderId="78" xfId="0" applyNumberFormat="1" applyFont="1" applyBorder="1" applyAlignment="1">
      <alignment horizontal="right" vertical="center" wrapText="1"/>
    </xf>
    <xf numFmtId="0" fontId="16" fillId="0" borderId="0" xfId="25" applyAlignment="1">
      <alignment horizontal="centerContinuous" vertical="center"/>
    </xf>
    <xf numFmtId="0" fontId="26" fillId="21" borderId="10" xfId="9" applyFill="1">
      <alignment vertical="center"/>
      <protection locked="0"/>
    </xf>
    <xf numFmtId="167" fontId="16" fillId="0" borderId="31" xfId="1" applyBorder="1" applyAlignment="1">
      <alignment horizontal="center" vertical="center"/>
    </xf>
    <xf numFmtId="167" fontId="16" fillId="17" borderId="31" xfId="1" applyFill="1" applyBorder="1" applyAlignment="1">
      <alignment horizontal="center" vertical="center"/>
    </xf>
    <xf numFmtId="167" fontId="15" fillId="0" borderId="33" xfId="1" applyFont="1" applyBorder="1" applyAlignment="1">
      <alignment horizontal="center" vertical="center"/>
    </xf>
    <xf numFmtId="169" fontId="16" fillId="0" borderId="0" xfId="15" applyNumberFormat="1" applyAlignment="1">
      <alignment horizontal="right" vertical="center"/>
    </xf>
    <xf numFmtId="178" fontId="26" fillId="6" borderId="10" xfId="10" applyNumberFormat="1">
      <alignment vertical="center"/>
      <protection locked="0"/>
    </xf>
    <xf numFmtId="171" fontId="16" fillId="0" borderId="61" xfId="15" applyNumberFormat="1" applyFill="1" applyBorder="1" applyAlignment="1">
      <alignment horizontal="left" vertical="center"/>
    </xf>
    <xf numFmtId="167" fontId="26" fillId="6" borderId="14" xfId="11" applyBorder="1" applyAlignment="1">
      <alignment horizontal="center" vertical="center"/>
      <protection locked="0"/>
    </xf>
    <xf numFmtId="171" fontId="16" fillId="0" borderId="62" xfId="15" applyNumberFormat="1" applyFill="1" applyBorder="1" applyAlignment="1">
      <alignment horizontal="left" vertical="center"/>
    </xf>
    <xf numFmtId="171" fontId="16" fillId="0" borderId="63" xfId="15" applyNumberFormat="1" applyFill="1" applyBorder="1" applyAlignment="1">
      <alignment horizontal="left" vertical="center"/>
    </xf>
    <xf numFmtId="0" fontId="47" fillId="16" borderId="79" xfId="0" applyFont="1" applyFill="1" applyBorder="1" applyAlignment="1">
      <alignment vertical="center" wrapText="1"/>
    </xf>
    <xf numFmtId="0" fontId="47" fillId="16" borderId="80" xfId="0" applyFont="1" applyFill="1" applyBorder="1" applyAlignment="1">
      <alignment horizontal="center" vertical="center" wrapText="1"/>
    </xf>
    <xf numFmtId="0" fontId="47" fillId="16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74" fontId="26" fillId="6" borderId="10" xfId="11" applyNumberFormat="1" applyAlignment="1">
      <alignment horizontal="center" vertical="center"/>
      <protection locked="0"/>
    </xf>
    <xf numFmtId="165" fontId="65" fillId="6" borderId="10" xfId="2" applyFont="1" applyFill="1" applyBorder="1" applyAlignment="1">
      <alignment horizontal="center" vertical="center"/>
    </xf>
    <xf numFmtId="0" fontId="49" fillId="17" borderId="28" xfId="0" applyFont="1" applyFill="1" applyBorder="1" applyAlignment="1">
      <alignment vertical="center" wrapText="1"/>
    </xf>
    <xf numFmtId="167" fontId="16" fillId="17" borderId="29" xfId="1" applyFill="1" applyBorder="1" applyAlignment="1">
      <alignment horizontal="center" vertical="center"/>
    </xf>
    <xf numFmtId="0" fontId="66" fillId="0" borderId="32" xfId="0" applyFont="1" applyBorder="1" applyAlignment="1">
      <alignment horizontal="left" vertical="center" wrapText="1" indent="1"/>
    </xf>
    <xf numFmtId="0" fontId="13" fillId="0" borderId="32" xfId="0" applyFont="1" applyBorder="1" applyAlignment="1">
      <alignment horizontal="left" vertical="center" wrapText="1" indent="2"/>
    </xf>
    <xf numFmtId="0" fontId="49" fillId="0" borderId="32" xfId="0" applyFont="1" applyBorder="1" applyAlignment="1">
      <alignment vertical="center" wrapText="1"/>
    </xf>
    <xf numFmtId="0" fontId="49" fillId="0" borderId="33" xfId="0" applyFont="1" applyBorder="1" applyAlignment="1">
      <alignment horizontal="left" vertical="center" wrapText="1"/>
    </xf>
    <xf numFmtId="175" fontId="16" fillId="0" borderId="33" xfId="1" applyNumberFormat="1" applyFill="1" applyBorder="1">
      <alignment vertical="center"/>
    </xf>
    <xf numFmtId="175" fontId="16" fillId="17" borderId="31" xfId="1" applyNumberFormat="1" applyFill="1" applyBorder="1">
      <alignment vertical="center"/>
    </xf>
    <xf numFmtId="167" fontId="15" fillId="0" borderId="77" xfId="1" applyFont="1" applyBorder="1" applyAlignment="1">
      <alignment horizontal="center" vertical="center"/>
    </xf>
    <xf numFmtId="0" fontId="67" fillId="0" borderId="0" xfId="12" applyFont="1" applyFill="1" applyAlignment="1">
      <alignment horizontal="right" vertical="center"/>
    </xf>
    <xf numFmtId="167" fontId="67" fillId="0" borderId="10" xfId="11" applyFont="1" applyFill="1" applyAlignment="1">
      <alignment horizontal="center" vertical="center"/>
      <protection locked="0"/>
    </xf>
    <xf numFmtId="167" fontId="67" fillId="0" borderId="0" xfId="1" applyFont="1" applyFill="1" applyBorder="1" applyAlignment="1">
      <alignment horizontal="center" vertical="center"/>
    </xf>
    <xf numFmtId="0" fontId="68" fillId="0" borderId="0" xfId="0" applyFont="1"/>
    <xf numFmtId="178" fontId="6" fillId="0" borderId="0" xfId="2" applyNumberFormat="1">
      <alignment vertical="center"/>
    </xf>
    <xf numFmtId="179" fontId="0" fillId="0" borderId="0" xfId="0" applyNumberFormat="1"/>
    <xf numFmtId="0" fontId="67" fillId="0" borderId="0" xfId="12" applyFont="1" applyFill="1">
      <alignment vertical="center"/>
    </xf>
    <xf numFmtId="178" fontId="67" fillId="0" borderId="0" xfId="1" applyNumberFormat="1" applyFont="1" applyFill="1" applyBorder="1" applyAlignment="1">
      <alignment horizontal="center" vertical="center"/>
    </xf>
    <xf numFmtId="170" fontId="15" fillId="0" borderId="33" xfId="15" applyFont="1" applyBorder="1">
      <alignment vertical="center"/>
    </xf>
    <xf numFmtId="179" fontId="16" fillId="0" borderId="33" xfId="46" applyNumberFormat="1" applyFont="1" applyFill="1" applyBorder="1" applyAlignment="1">
      <alignment horizontal="center" vertical="center"/>
    </xf>
    <xf numFmtId="0" fontId="13" fillId="0" borderId="49" xfId="0" applyFont="1" applyBorder="1" applyAlignment="1">
      <alignment vertical="center" wrapText="1"/>
    </xf>
    <xf numFmtId="179" fontId="16" fillId="0" borderId="50" xfId="46" applyNumberFormat="1" applyFont="1" applyFill="1" applyBorder="1" applyAlignment="1">
      <alignment horizontal="center" vertical="center"/>
    </xf>
    <xf numFmtId="179" fontId="48" fillId="0" borderId="46" xfId="46" applyNumberFormat="1" applyFont="1" applyFill="1" applyBorder="1" applyAlignment="1">
      <alignment horizontal="center" vertical="center" wrapText="1"/>
    </xf>
    <xf numFmtId="170" fontId="16" fillId="0" borderId="75" xfId="15" applyBorder="1" applyAlignment="1">
      <alignment horizontal="center" vertical="center"/>
    </xf>
    <xf numFmtId="0" fontId="47" fillId="16" borderId="64" xfId="0" applyFont="1" applyFill="1" applyBorder="1" applyAlignment="1">
      <alignment horizontal="left" vertical="center"/>
    </xf>
    <xf numFmtId="0" fontId="47" fillId="16" borderId="65" xfId="0" applyFont="1" applyFill="1" applyBorder="1" applyAlignment="1">
      <alignment horizontal="center" vertical="center"/>
    </xf>
    <xf numFmtId="0" fontId="47" fillId="16" borderId="74" xfId="0" applyFont="1" applyFill="1" applyBorder="1" applyAlignment="1">
      <alignment horizontal="center" vertical="center"/>
    </xf>
    <xf numFmtId="0" fontId="13" fillId="0" borderId="69" xfId="0" applyFont="1" applyBorder="1" applyAlignment="1">
      <alignment horizontal="left" vertical="center"/>
    </xf>
    <xf numFmtId="182" fontId="49" fillId="0" borderId="71" xfId="0" applyNumberFormat="1" applyFont="1" applyBorder="1" applyAlignment="1">
      <alignment horizontal="center" vertical="center"/>
    </xf>
    <xf numFmtId="0" fontId="49" fillId="17" borderId="69" xfId="0" applyFont="1" applyFill="1" applyBorder="1" applyAlignment="1">
      <alignment horizontal="left" vertical="center"/>
    </xf>
    <xf numFmtId="182" fontId="49" fillId="17" borderId="71" xfId="0" applyNumberFormat="1" applyFont="1" applyFill="1" applyBorder="1" applyAlignment="1">
      <alignment horizontal="center" vertical="center"/>
    </xf>
    <xf numFmtId="0" fontId="49" fillId="17" borderId="72" xfId="0" applyFont="1" applyFill="1" applyBorder="1" applyAlignment="1">
      <alignment horizontal="left" vertical="center"/>
    </xf>
    <xf numFmtId="182" fontId="49" fillId="17" borderId="73" xfId="0" applyNumberFormat="1" applyFont="1" applyFill="1" applyBorder="1" applyAlignment="1">
      <alignment horizontal="center" vertical="center"/>
    </xf>
    <xf numFmtId="182" fontId="49" fillId="17" borderId="16" xfId="0" applyNumberFormat="1" applyFont="1" applyFill="1" applyBorder="1" applyAlignment="1">
      <alignment horizontal="center" vertical="center"/>
    </xf>
    <xf numFmtId="171" fontId="16" fillId="0" borderId="81" xfId="15" applyNumberFormat="1" applyFill="1" applyBorder="1" applyAlignment="1">
      <alignment horizontal="right" vertical="center"/>
    </xf>
    <xf numFmtId="171" fontId="16" fillId="0" borderId="82" xfId="15" applyNumberFormat="1" applyFill="1" applyBorder="1" applyAlignment="1">
      <alignment horizontal="right" vertical="center"/>
    </xf>
    <xf numFmtId="171" fontId="16" fillId="0" borderId="34" xfId="15" applyNumberFormat="1" applyFill="1" applyBorder="1" applyAlignment="1">
      <alignment horizontal="right" vertical="center"/>
    </xf>
    <xf numFmtId="171" fontId="16" fillId="0" borderId="83" xfId="15" applyNumberFormat="1" applyFill="1" applyBorder="1" applyAlignment="1">
      <alignment horizontal="right" vertical="center"/>
    </xf>
    <xf numFmtId="0" fontId="46" fillId="0" borderId="28" xfId="0" applyFont="1" applyBorder="1" applyAlignment="1">
      <alignment vertical="center" wrapText="1"/>
    </xf>
    <xf numFmtId="179" fontId="13" fillId="0" borderId="29" xfId="0" applyNumberFormat="1" applyFont="1" applyBorder="1" applyAlignment="1">
      <alignment horizontal="right" vertical="center" wrapText="1"/>
    </xf>
    <xf numFmtId="185" fontId="48" fillId="17" borderId="33" xfId="0" applyNumberFormat="1" applyFont="1" applyFill="1" applyBorder="1" applyAlignment="1">
      <alignment horizontal="right" vertical="center" wrapText="1"/>
    </xf>
    <xf numFmtId="0" fontId="49" fillId="17" borderId="30" xfId="0" applyFont="1" applyFill="1" applyBorder="1" applyAlignment="1">
      <alignment horizontal="left" vertical="center" wrapText="1" indent="1"/>
    </xf>
    <xf numFmtId="0" fontId="13" fillId="0" borderId="30" xfId="0" applyFont="1" applyBorder="1" applyAlignment="1">
      <alignment horizontal="left" vertical="center" wrapText="1" indent="1"/>
    </xf>
    <xf numFmtId="0" fontId="30" fillId="0" borderId="21" xfId="24" applyBorder="1" applyAlignment="1">
      <alignment horizontal="right" vertical="center" wrapText="1"/>
    </xf>
    <xf numFmtId="171" fontId="16" fillId="3" borderId="0" xfId="15" applyNumberFormat="1" applyFill="1" applyAlignment="1">
      <alignment horizontal="right" vertical="center"/>
    </xf>
    <xf numFmtId="171" fontId="16" fillId="3" borderId="34" xfId="15" applyNumberFormat="1" applyFill="1" applyBorder="1" applyAlignment="1">
      <alignment horizontal="right" vertical="center"/>
    </xf>
    <xf numFmtId="178" fontId="26" fillId="6" borderId="10" xfId="10" applyNumberFormat="1" applyAlignment="1">
      <alignment horizontal="center" vertical="center"/>
      <protection locked="0"/>
    </xf>
    <xf numFmtId="167" fontId="16" fillId="0" borderId="31" xfId="1" applyFill="1" applyBorder="1" applyAlignment="1">
      <alignment horizontal="center" vertical="center"/>
    </xf>
    <xf numFmtId="167" fontId="15" fillId="0" borderId="33" xfId="1" applyFont="1" applyFill="1" applyBorder="1" applyAlignment="1">
      <alignment horizontal="center" vertical="center"/>
    </xf>
    <xf numFmtId="178" fontId="16" fillId="0" borderId="0" xfId="29" applyAlignment="1">
      <alignment horizontal="center" vertical="center"/>
    </xf>
    <xf numFmtId="170" fontId="26" fillId="6" borderId="10" xfId="17" applyAlignment="1">
      <alignment horizontal="left" vertical="center"/>
      <protection locked="0"/>
    </xf>
    <xf numFmtId="0" fontId="64" fillId="17" borderId="30" xfId="0" applyFont="1" applyFill="1" applyBorder="1" applyAlignment="1">
      <alignment vertical="center" wrapText="1"/>
    </xf>
    <xf numFmtId="0" fontId="64" fillId="0" borderId="30" xfId="0" applyFont="1" applyBorder="1" applyAlignment="1">
      <alignment vertical="center" wrapText="1"/>
    </xf>
    <xf numFmtId="167" fontId="67" fillId="0" borderId="31" xfId="1" applyFont="1" applyBorder="1" applyAlignment="1">
      <alignment horizontal="center" vertical="center"/>
    </xf>
    <xf numFmtId="167" fontId="67" fillId="17" borderId="31" xfId="1" applyFont="1" applyFill="1" applyBorder="1" applyAlignment="1">
      <alignment horizontal="center" vertical="center"/>
    </xf>
    <xf numFmtId="179" fontId="49" fillId="17" borderId="33" xfId="0" applyNumberFormat="1" applyFont="1" applyFill="1" applyBorder="1" applyAlignment="1">
      <alignment horizontal="right" vertical="center" wrapText="1"/>
    </xf>
    <xf numFmtId="171" fontId="13" fillId="0" borderId="31" xfId="0" applyNumberFormat="1" applyFont="1" applyBorder="1" applyAlignment="1">
      <alignment horizontal="right" vertical="center" wrapText="1"/>
    </xf>
    <xf numFmtId="171" fontId="49" fillId="17" borderId="31" xfId="0" applyNumberFormat="1" applyFont="1" applyFill="1" applyBorder="1" applyAlignment="1">
      <alignment horizontal="right" vertical="center" wrapText="1"/>
    </xf>
    <xf numFmtId="171" fontId="13" fillId="0" borderId="29" xfId="0" applyNumberFormat="1" applyFont="1" applyBorder="1" applyAlignment="1">
      <alignment horizontal="right" vertical="center" wrapText="1"/>
    </xf>
    <xf numFmtId="171" fontId="49" fillId="17" borderId="31" xfId="46" applyNumberFormat="1" applyFont="1" applyFill="1" applyBorder="1" applyAlignment="1">
      <alignment horizontal="right" vertical="center" wrapText="1"/>
    </xf>
    <xf numFmtId="171" fontId="13" fillId="0" borderId="31" xfId="46" applyNumberFormat="1" applyFont="1" applyBorder="1" applyAlignment="1">
      <alignment horizontal="right" vertical="center" wrapText="1"/>
    </xf>
    <xf numFmtId="171" fontId="49" fillId="17" borderId="33" xfId="46" applyNumberFormat="1" applyFont="1" applyFill="1" applyBorder="1" applyAlignment="1">
      <alignment horizontal="right" vertical="center" wrapText="1"/>
    </xf>
    <xf numFmtId="173" fontId="42" fillId="0" borderId="8" xfId="1" applyNumberFormat="1" applyFont="1" applyFill="1" applyBorder="1" applyAlignment="1">
      <alignment horizontal="center" vertical="center"/>
    </xf>
    <xf numFmtId="173" fontId="42" fillId="0" borderId="0" xfId="1" applyNumberFormat="1" applyFont="1" applyFill="1" applyBorder="1" applyAlignment="1">
      <alignment horizontal="center" vertical="center"/>
    </xf>
    <xf numFmtId="173" fontId="42" fillId="0" borderId="9" xfId="1" applyNumberFormat="1" applyFont="1" applyFill="1" applyBorder="1" applyAlignment="1">
      <alignment horizontal="center" vertical="center"/>
    </xf>
    <xf numFmtId="0" fontId="41" fillId="0" borderId="12" xfId="24" applyFont="1" applyBorder="1" applyAlignment="1">
      <alignment horizontal="right" vertical="center"/>
    </xf>
    <xf numFmtId="173" fontId="41" fillId="0" borderId="13" xfId="1" applyNumberFormat="1" applyFont="1" applyFill="1" applyBorder="1" applyAlignment="1">
      <alignment horizontal="center" vertical="center"/>
    </xf>
    <xf numFmtId="173" fontId="41" fillId="0" borderId="14" xfId="1" applyNumberFormat="1" applyFont="1" applyFill="1" applyBorder="1" applyAlignment="1">
      <alignment horizontal="center" vertical="center"/>
    </xf>
    <xf numFmtId="173" fontId="41" fillId="0" borderId="15" xfId="1" applyNumberFormat="1" applyFont="1" applyFill="1" applyBorder="1" applyAlignment="1">
      <alignment horizontal="center" vertical="center"/>
    </xf>
    <xf numFmtId="170" fontId="67" fillId="0" borderId="31" xfId="15" applyFont="1" applyFill="1" applyBorder="1">
      <alignment vertical="center"/>
    </xf>
    <xf numFmtId="0" fontId="64" fillId="0" borderId="30" xfId="0" applyFont="1" applyBorder="1" applyAlignment="1">
      <alignment vertical="center"/>
    </xf>
    <xf numFmtId="0" fontId="17" fillId="0" borderId="0" xfId="8" applyFill="1" applyAlignment="1">
      <alignment horizontal="right" vertical="center"/>
    </xf>
    <xf numFmtId="175" fontId="26" fillId="6" borderId="10" xfId="11" applyNumberFormat="1">
      <alignment vertical="center"/>
      <protection locked="0"/>
    </xf>
    <xf numFmtId="0" fontId="49" fillId="17" borderId="31" xfId="0" applyFont="1" applyFill="1" applyBorder="1" applyAlignment="1">
      <alignment vertical="center" wrapText="1"/>
    </xf>
    <xf numFmtId="0" fontId="49" fillId="17" borderId="33" xfId="0" applyFont="1" applyFill="1" applyBorder="1" applyAlignment="1">
      <alignment vertical="center" wrapText="1"/>
    </xf>
    <xf numFmtId="178" fontId="44" fillId="0" borderId="0" xfId="2" applyNumberFormat="1" applyFont="1" applyFill="1" applyBorder="1" applyAlignment="1">
      <alignment horizontal="center" vertical="center"/>
    </xf>
    <xf numFmtId="0" fontId="49" fillId="17" borderId="32" xfId="0" applyFont="1" applyFill="1" applyBorder="1" applyAlignment="1">
      <alignment horizontal="left" vertical="center" wrapText="1" indent="1"/>
    </xf>
    <xf numFmtId="167" fontId="15" fillId="0" borderId="41" xfId="1" applyFont="1" applyFill="1" applyBorder="1" applyAlignment="1">
      <alignment horizontal="center" vertical="center"/>
    </xf>
    <xf numFmtId="167" fontId="15" fillId="0" borderId="43" xfId="1" applyFont="1" applyFill="1" applyBorder="1" applyAlignment="1">
      <alignment horizontal="center" vertical="center"/>
    </xf>
    <xf numFmtId="167" fontId="15" fillId="0" borderId="46" xfId="1" applyFont="1" applyFill="1" applyBorder="1" applyAlignment="1">
      <alignment horizontal="center" vertical="center"/>
    </xf>
    <xf numFmtId="170" fontId="16" fillId="0" borderId="33" xfId="15" applyBorder="1">
      <alignment vertical="center"/>
    </xf>
    <xf numFmtId="179" fontId="15" fillId="0" borderId="33" xfId="46" applyNumberFormat="1" applyFont="1" applyBorder="1" applyAlignment="1">
      <alignment horizontal="center" vertical="center"/>
    </xf>
    <xf numFmtId="179" fontId="13" fillId="0" borderId="33" xfId="46" applyNumberFormat="1" applyFont="1" applyBorder="1" applyAlignment="1">
      <alignment horizontal="center" vertical="center" wrapText="1"/>
    </xf>
    <xf numFmtId="179" fontId="13" fillId="0" borderId="41" xfId="46" applyNumberFormat="1" applyFont="1" applyFill="1" applyBorder="1" applyAlignment="1">
      <alignment horizontal="center" vertical="center" wrapText="1"/>
    </xf>
    <xf numFmtId="0" fontId="48" fillId="0" borderId="51" xfId="0" applyFont="1" applyBorder="1" applyAlignment="1">
      <alignment vertical="center" wrapText="1"/>
    </xf>
    <xf numFmtId="179" fontId="15" fillId="0" borderId="52" xfId="46" applyNumberFormat="1" applyFont="1" applyFill="1" applyBorder="1" applyAlignment="1">
      <alignment horizontal="center" vertical="center"/>
    </xf>
    <xf numFmtId="0" fontId="30" fillId="0" borderId="0" xfId="24" applyAlignment="1">
      <alignment horizontal="center" vertical="center" wrapText="1"/>
    </xf>
    <xf numFmtId="165" fontId="44" fillId="0" borderId="0" xfId="2" applyFont="1" applyAlignment="1">
      <alignment horizontal="center" vertical="center"/>
    </xf>
    <xf numFmtId="167" fontId="40" fillId="2" borderId="10" xfId="11" applyFont="1" applyFill="1" applyAlignment="1">
      <alignment horizontal="right" vertical="center"/>
      <protection locked="0"/>
    </xf>
    <xf numFmtId="167" fontId="40" fillId="2" borderId="0" xfId="14" applyFont="1" applyFill="1" applyBorder="1" applyAlignment="1">
      <alignment horizontal="right" vertical="center"/>
    </xf>
    <xf numFmtId="167" fontId="40" fillId="2" borderId="43" xfId="14" applyFont="1" applyFill="1" applyBorder="1" applyAlignment="1">
      <alignment horizontal="right" vertical="center"/>
    </xf>
    <xf numFmtId="0" fontId="41" fillId="0" borderId="0" xfId="24" applyFont="1" applyAlignment="1">
      <alignment horizontal="center" vertical="center"/>
    </xf>
    <xf numFmtId="0" fontId="47" fillId="16" borderId="38" xfId="0" applyFont="1" applyFill="1" applyBorder="1" applyAlignment="1">
      <alignment vertical="center" wrapText="1"/>
    </xf>
    <xf numFmtId="0" fontId="47" fillId="16" borderId="29" xfId="0" applyFont="1" applyFill="1" applyBorder="1" applyAlignment="1">
      <alignment vertical="center" wrapText="1"/>
    </xf>
    <xf numFmtId="0" fontId="47" fillId="16" borderId="39" xfId="0" applyFont="1" applyFill="1" applyBorder="1" applyAlignment="1">
      <alignment vertical="center" wrapText="1"/>
    </xf>
    <xf numFmtId="0" fontId="47" fillId="16" borderId="31" xfId="0" applyFont="1" applyFill="1" applyBorder="1" applyAlignment="1">
      <alignment vertical="center" wrapText="1"/>
    </xf>
    <xf numFmtId="0" fontId="47" fillId="16" borderId="38" xfId="0" applyFont="1" applyFill="1" applyBorder="1" applyAlignment="1">
      <alignment horizontal="center" vertical="center"/>
    </xf>
    <xf numFmtId="0" fontId="47" fillId="16" borderId="53" xfId="0" applyFont="1" applyFill="1" applyBorder="1" applyAlignment="1">
      <alignment horizontal="center" vertical="center"/>
    </xf>
    <xf numFmtId="0" fontId="47" fillId="16" borderId="29" xfId="0" applyFont="1" applyFill="1" applyBorder="1" applyAlignment="1">
      <alignment horizontal="center" vertical="center"/>
    </xf>
    <xf numFmtId="0" fontId="54" fillId="0" borderId="60" xfId="44" applyFont="1" applyBorder="1" applyAlignment="1">
      <alignment horizontal="center" vertical="center" wrapText="1"/>
    </xf>
    <xf numFmtId="0" fontId="54" fillId="0" borderId="59" xfId="44" applyFont="1" applyBorder="1" applyAlignment="1">
      <alignment horizontal="center" vertical="center" wrapText="1"/>
    </xf>
    <xf numFmtId="0" fontId="54" fillId="0" borderId="58" xfId="44" applyFont="1" applyBorder="1" applyAlignment="1">
      <alignment horizontal="center" vertical="center" wrapText="1"/>
    </xf>
    <xf numFmtId="0" fontId="58" fillId="0" borderId="57" xfId="44" applyFont="1" applyBorder="1" applyAlignment="1">
      <alignment horizontal="right" vertical="center"/>
    </xf>
    <xf numFmtId="0" fontId="58" fillId="0" borderId="56" xfId="44" applyFont="1" applyBorder="1" applyAlignment="1">
      <alignment horizontal="right" vertical="center"/>
    </xf>
    <xf numFmtId="0" fontId="54" fillId="0" borderId="55" xfId="44" applyFont="1" applyBorder="1" applyAlignment="1">
      <alignment horizontal="center" vertical="center" wrapText="1"/>
    </xf>
    <xf numFmtId="0" fontId="47" fillId="16" borderId="28" xfId="0" applyFont="1" applyFill="1" applyBorder="1" applyAlignment="1">
      <alignment horizontal="right" vertical="center" wrapText="1"/>
    </xf>
    <xf numFmtId="0" fontId="47" fillId="16" borderId="30" xfId="0" applyFont="1" applyFill="1" applyBorder="1" applyAlignment="1">
      <alignment horizontal="right" vertical="center" wrapText="1"/>
    </xf>
    <xf numFmtId="0" fontId="47" fillId="16" borderId="38" xfId="0" applyFont="1" applyFill="1" applyBorder="1" applyAlignment="1">
      <alignment horizontal="center" vertical="center" wrapText="1"/>
    </xf>
    <xf numFmtId="0" fontId="47" fillId="16" borderId="29" xfId="0" applyFont="1" applyFill="1" applyBorder="1" applyAlignment="1">
      <alignment horizontal="center" vertical="center" wrapText="1"/>
    </xf>
    <xf numFmtId="0" fontId="47" fillId="16" borderId="38" xfId="0" applyFont="1" applyFill="1" applyBorder="1" applyAlignment="1">
      <alignment horizontal="right" vertical="center" wrapText="1"/>
    </xf>
    <xf numFmtId="0" fontId="47" fillId="16" borderId="29" xfId="0" applyFont="1" applyFill="1" applyBorder="1" applyAlignment="1">
      <alignment horizontal="right" vertical="center" wrapText="1"/>
    </xf>
  </cellXfs>
  <cellStyles count="47">
    <cellStyle name="Check" xfId="21" xr:uid="{5BC1F1CF-CDB1-47BC-A8EA-514AF1EC31C3}"/>
    <cellStyle name="Check RedRedGreen" xfId="33" xr:uid="{73C521E5-E15F-4DF7-B99E-F257DEC3C731}"/>
    <cellStyle name="Comma" xfId="46" builtinId="3"/>
    <cellStyle name="Currency" xfId="1" builtinId="4" customBuiltin="1"/>
    <cellStyle name="Currency [0]" xfId="40" builtinId="7" customBuiltin="1"/>
    <cellStyle name="Currency Assumptions" xfId="11" xr:uid="{B07909AE-99CA-4066-B56A-BF90FE72C5AA}"/>
    <cellStyle name="Currency Input" xfId="14" xr:uid="{E34164CA-1F66-4324-B7D7-EFAADD1DD661}"/>
    <cellStyle name="Date" xfId="18" xr:uid="{353327EA-7E7F-4F27-901A-BF74434BAA2E}"/>
    <cellStyle name="Date Assumptions" xfId="20" xr:uid="{06DAE045-9FD8-49BC-A32A-0EAA2387309D}"/>
    <cellStyle name="Date Input" xfId="19" xr:uid="{38239753-FB62-473A-8861-52F2F08C395D}"/>
    <cellStyle name="External Link" xfId="36" xr:uid="{CD2796DE-860D-4743-854D-1CCA204156E2}"/>
    <cellStyle name="Heading 1" xfId="4" builtinId="16" customBuiltin="1"/>
    <cellStyle name="Heading 1 2" xfId="27" xr:uid="{CA4C5B91-D1EF-4D4F-A7D2-D981A7BD5141}"/>
    <cellStyle name="Heading 2" xfId="5" builtinId="17" customBuiltin="1"/>
    <cellStyle name="Heading 2 Input" xfId="23" xr:uid="{884A8271-DB65-4516-BF3E-E052BEFBBC0E}"/>
    <cellStyle name="Heading 2 Input 2" xfId="30" xr:uid="{4A546375-9686-4ACD-8FEA-B9C81F9D062B}"/>
    <cellStyle name="Heading 3" xfId="6" builtinId="18" customBuiltin="1"/>
    <cellStyle name="Heading 3 Input" xfId="42" xr:uid="{3379C063-97D4-4DAD-9667-AA6C05BA59FB}"/>
    <cellStyle name="Heading 3 Output" xfId="24" xr:uid="{99A69E45-930B-4C3D-B596-24B401D1F4F4}"/>
    <cellStyle name="Heading 4" xfId="7" builtinId="19" customBuiltin="1"/>
    <cellStyle name="Heading 4 Assumptions" xfId="39" xr:uid="{1EDC883D-F2E0-4F86-AAF7-34FF293A1321}"/>
    <cellStyle name="Heading 4 Output" xfId="25" xr:uid="{E2FC9370-333F-4706-89C6-166538373EA2}"/>
    <cellStyle name="Heading 5" xfId="8" xr:uid="{DC2C5997-5744-444A-A25A-333D83A5E0DF}"/>
    <cellStyle name="Heading 5 Assumptions" xfId="9" xr:uid="{DD753C98-0E27-4621-803F-E4B40DF5F71B}"/>
    <cellStyle name="Heading 5 Input" xfId="12" xr:uid="{9FDF15F9-EE6B-4AEE-BDF1-C00A0EEB939F}"/>
    <cellStyle name="Hyperlink" xfId="22" builtinId="8" customBuiltin="1"/>
    <cellStyle name="Hyperlink 2" xfId="31" xr:uid="{D0346D68-7501-449A-8061-FD3375CAA507}"/>
    <cellStyle name="Normal" xfId="0" builtinId="0" customBuiltin="1"/>
    <cellStyle name="Normal 2" xfId="26" xr:uid="{C1B12644-1AD4-4CF0-BD01-2DAC06EBDF75}"/>
    <cellStyle name="Normal 3" xfId="41" xr:uid="{0DB64943-B81B-4DE2-98FE-A6B4C6636FEF}"/>
    <cellStyle name="Normal 3 2" xfId="35" xr:uid="{0BF47F0D-AB6E-4925-AEC0-D8CF27A39AB2}"/>
    <cellStyle name="Normal 4" xfId="34" xr:uid="{4078CD60-E931-4DE8-80F3-AADC44C1CC6B}"/>
    <cellStyle name="Normal 4 8" xfId="43" xr:uid="{6A147C2D-9DF8-4875-8861-2545A88A13C7}"/>
    <cellStyle name="Normal 45" xfId="44" xr:uid="{05849BAF-19F4-4D19-8363-2C7A1BC6AC87}"/>
    <cellStyle name="Number" xfId="15" xr:uid="{C5D245AD-E86E-491E-913E-0EB218DCDB06}"/>
    <cellStyle name="Number 2" xfId="28" xr:uid="{3DB03DF6-447E-4BBB-9FAA-1CEE37B87D0C}"/>
    <cellStyle name="Number Assumptions" xfId="17" xr:uid="{83A4C5A8-8020-4F2C-A171-922BC2245413}"/>
    <cellStyle name="Number Assumptions 2" xfId="38" xr:uid="{3FA35200-CB08-415F-B34F-31773169E718}"/>
    <cellStyle name="Number Input" xfId="16" xr:uid="{287A7DC1-763C-4650-A67F-6B9BFE331AC9}"/>
    <cellStyle name="Percent" xfId="2" builtinId="5" customBuiltin="1"/>
    <cellStyle name="Percent 2" xfId="37" xr:uid="{6CB73D1D-520B-4C91-A900-FCF95FD36BF1}"/>
    <cellStyle name="Percent 50" xfId="45" xr:uid="{BFB04DF2-F316-4EA6-9CB8-A3E2154EAA77}"/>
    <cellStyle name="Percent Assumptions" xfId="10" xr:uid="{D2FA05B9-774D-48D1-BF4C-6B135CFE05D7}"/>
    <cellStyle name="Percent Input" xfId="13" xr:uid="{7DB7D3AF-970B-42F6-A767-DB9ED7D5503C}"/>
    <cellStyle name="Percentage" xfId="29" xr:uid="{7F475C73-CED5-4CCD-8664-F7E739FA9268}"/>
    <cellStyle name="Sheet Title Input" xfId="32" xr:uid="{59FE62E1-7E70-4724-A2FA-7E4F611885D5}"/>
    <cellStyle name="Title" xfId="3" builtinId="15" customBuiltin="1"/>
  </cellStyles>
  <dxfs count="0"/>
  <tableStyles count="0" defaultTableStyle="TableStyleMedium2" defaultPivotStyle="PivotStyleLight16"/>
  <colors>
    <mruColors>
      <color rgb="FF007143"/>
      <color rgb="FFEF7D17"/>
      <color rgb="FF4472C4"/>
      <color rgb="FFD9E1F2"/>
      <color rgb="FF2A3D6F"/>
      <color rgb="FF4BB0E4"/>
      <color rgb="FF75842F"/>
      <color rgb="FF71738C"/>
      <color rgb="FFFFD339"/>
      <color rgb="FF213D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sheetMetadata" Target="metadata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Overview!$O$293</c:f>
              <c:strCache>
                <c:ptCount val="1"/>
                <c:pt idx="0">
                  <c:v>Residential Bill Impact - Draft Decision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Overview!$P$292:$Y$292</c15:sqref>
                  </c15:fullRef>
                </c:ext>
              </c:extLst>
              <c:f>Overview!$T$292:$Y$292</c:f>
              <c:strCache>
                <c:ptCount val="6"/>
                <c:pt idx="0">
                  <c:v>FY24</c:v>
                </c:pt>
                <c:pt idx="1">
                  <c:v>FY25</c:v>
                </c:pt>
                <c:pt idx="2">
                  <c:v>FY26</c:v>
                </c:pt>
                <c:pt idx="3">
                  <c:v>FY27</c:v>
                </c:pt>
                <c:pt idx="4">
                  <c:v>FY28</c:v>
                </c:pt>
                <c:pt idx="5">
                  <c:v>FY29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Overview!$P$293:$Y$293</c15:sqref>
                  </c15:fullRef>
                </c:ext>
              </c:extLst>
              <c:f>Overview!$T$293:$Y$293</c:f>
              <c:numCache>
                <c:formatCode>General</c:formatCode>
                <c:ptCount val="6"/>
                <c:pt idx="0" formatCode="_(&quot;$&quot;#,##0.0_);\(&quot;$&quot;#,##0.0\);_(&quot;-&quot;_)">
                  <c:v>1157.75</c:v>
                </c:pt>
                <c:pt idx="1" formatCode="_(&quot;$&quot;#,##0.0_);\(&quot;$&quot;#,##0.0\);_(&quot;-&quot;_)">
                  <c:v>1211.4631278343584</c:v>
                </c:pt>
                <c:pt idx="2" formatCode="_(&quot;$&quot;#,##0.0_);\(&quot;$&quot;#,##0.0\);_(&quot;-&quot;_)">
                  <c:v>1311.8698591818811</c:v>
                </c:pt>
                <c:pt idx="3" formatCode="_(&quot;$&quot;#,##0.0_);\(&quot;$&quot;#,##0.0\);_(&quot;-&quot;_)">
                  <c:v>1427.316687873217</c:v>
                </c:pt>
                <c:pt idx="4" formatCode="_(&quot;$&quot;#,##0.0_);\(&quot;$&quot;#,##0.0\);_(&quot;-&quot;_)">
                  <c:v>1565.4145847539164</c:v>
                </c:pt>
                <c:pt idx="5" formatCode="_(&quot;$&quot;#,##0.0_);\(&quot;$&quot;#,##0.0\);_(&quot;-&quot;_)">
                  <c:v>1662.8217045982242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1-44FB-A275-09BE568E8321}"/>
            </c:ext>
          </c:extLst>
        </c:ser>
        <c:ser>
          <c:idx val="1"/>
          <c:order val="1"/>
          <c:tx>
            <c:strRef>
              <c:f>Overview!$O$294</c:f>
              <c:strCache>
                <c:ptCount val="1"/>
                <c:pt idx="0">
                  <c:v>Residential Bill Impact - Revised Proposal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Overview!$P$292:$Y$292</c15:sqref>
                  </c15:fullRef>
                </c:ext>
              </c:extLst>
              <c:f>Overview!$T$292:$Y$292</c:f>
              <c:strCache>
                <c:ptCount val="6"/>
                <c:pt idx="0">
                  <c:v>FY24</c:v>
                </c:pt>
                <c:pt idx="1">
                  <c:v>FY25</c:v>
                </c:pt>
                <c:pt idx="2">
                  <c:v>FY26</c:v>
                </c:pt>
                <c:pt idx="3">
                  <c:v>FY27</c:v>
                </c:pt>
                <c:pt idx="4">
                  <c:v>FY28</c:v>
                </c:pt>
                <c:pt idx="5">
                  <c:v>FY29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Overview!$P$294:$Y$294</c15:sqref>
                  </c15:fullRef>
                </c:ext>
              </c:extLst>
              <c:f>Overview!$T$294:$Y$294</c:f>
              <c:numCache>
                <c:formatCode>General</c:formatCode>
                <c:ptCount val="6"/>
                <c:pt idx="0" formatCode="_(&quot;$&quot;#,##0.0_);\(&quot;$&quot;#,##0.0\);_(&quot;-&quot;_)">
                  <c:v>1157.75</c:v>
                </c:pt>
                <c:pt idx="1" formatCode="_(&quot;$&quot;#,##0.0_);\(&quot;$&quot;#,##0.0\);_(&quot;-&quot;_)">
                  <c:v>1223.6414334409278</c:v>
                </c:pt>
                <c:pt idx="2" formatCode="_(&quot;$&quot;#,##0.0_);\(&quot;$&quot;#,##0.0\);_(&quot;-&quot;_)">
                  <c:v>1338.3777293926064</c:v>
                </c:pt>
                <c:pt idx="3" formatCode="_(&quot;$&quot;#,##0.0_);\(&quot;$&quot;#,##0.0\);_(&quot;-&quot;_)">
                  <c:v>1470.7954051406414</c:v>
                </c:pt>
                <c:pt idx="4" formatCode="_(&quot;$&quot;#,##0.0_);\(&quot;$&quot;#,##0.0\);_(&quot;-&quot;_)">
                  <c:v>1629.3158049596907</c:v>
                </c:pt>
                <c:pt idx="5" formatCode="_(&quot;$&quot;#,##0.0_);\(&quot;$&quot;#,##0.0\);_(&quot;-&quot;_)">
                  <c:v>1743.6718407459239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1-44FB-A275-09BE568E8321}"/>
            </c:ext>
          </c:extLst>
        </c:ser>
        <c:ser>
          <c:idx val="4"/>
          <c:order val="2"/>
          <c:tx>
            <c:strRef>
              <c:f>Overview!$O$297</c:f>
              <c:strCache>
                <c:ptCount val="1"/>
                <c:pt idx="0">
                  <c:v>Residential Bill Impact - Initial Proposal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Overview!$P$292:$Y$292</c15:sqref>
                  </c15:fullRef>
                </c:ext>
              </c:extLst>
              <c:f>Overview!$T$292:$Y$292</c:f>
              <c:strCache>
                <c:ptCount val="6"/>
                <c:pt idx="0">
                  <c:v>FY24</c:v>
                </c:pt>
                <c:pt idx="1">
                  <c:v>FY25</c:v>
                </c:pt>
                <c:pt idx="2">
                  <c:v>FY26</c:v>
                </c:pt>
                <c:pt idx="3">
                  <c:v>FY27</c:v>
                </c:pt>
                <c:pt idx="4">
                  <c:v>FY28</c:v>
                </c:pt>
                <c:pt idx="5">
                  <c:v>FY29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Overview!$P$297:$Y$297</c15:sqref>
                  </c15:fullRef>
                </c:ext>
              </c:extLst>
              <c:f>Overview!$T$297:$Y$297</c:f>
              <c:numCache>
                <c:formatCode>General</c:formatCode>
                <c:ptCount val="6"/>
                <c:pt idx="0" formatCode="_(&quot;$&quot;#,##0.0_);\(&quot;$&quot;#,##0.0\);_(&quot;-&quot;_)">
                  <c:v>1157.75</c:v>
                </c:pt>
                <c:pt idx="1" formatCode="_(&quot;$&quot;#,##0.0_);\(&quot;$&quot;#,##0.0\);_(&quot;-&quot;_)">
                  <c:v>1240.5449458103203</c:v>
                </c:pt>
                <c:pt idx="2" formatCode="_(&quot;$&quot;#,##0.0_);\(&quot;$&quot;#,##0.0\);_(&quot;-&quot;_)">
                  <c:v>1375.6101148044736</c:v>
                </c:pt>
                <c:pt idx="3" formatCode="_(&quot;$&quot;#,##0.0_);\(&quot;$&quot;#,##0.0\);_(&quot;-&quot;_)">
                  <c:v>1532.5944664549299</c:v>
                </c:pt>
                <c:pt idx="4" formatCode="_(&quot;$&quot;#,##0.0_);\(&quot;$&quot;#,##0.0\);_(&quot;-&quot;_)">
                  <c:v>1721.2287384729952</c:v>
                </c:pt>
                <c:pt idx="5" formatCode="_(&quot;$&quot;#,##0.0_);\(&quot;$&quot;#,##0.0\);_(&quot;-&quot;_)">
                  <c:v>1812.2538567860115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A1-44FB-A275-09BE568E8321}"/>
            </c:ext>
          </c:extLst>
        </c:ser>
        <c:ser>
          <c:idx val="2"/>
          <c:order val="3"/>
          <c:tx>
            <c:strRef>
              <c:f>Overview!$O$295</c:f>
              <c:strCache>
                <c:ptCount val="1"/>
                <c:pt idx="0">
                  <c:v>Small Business Bill Impact - Draft Decision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2"/>
              </a:solidFill>
              <a:ln w="9525">
                <a:solidFill>
                  <a:schemeClr val="bg2"/>
                </a:solidFill>
                <a:prstDash val="solid"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Overview!$P$292:$Y$292</c15:sqref>
                  </c15:fullRef>
                </c:ext>
              </c:extLst>
              <c:f>Overview!$T$292:$Y$292</c:f>
              <c:strCache>
                <c:ptCount val="6"/>
                <c:pt idx="0">
                  <c:v>FY24</c:v>
                </c:pt>
                <c:pt idx="1">
                  <c:v>FY25</c:v>
                </c:pt>
                <c:pt idx="2">
                  <c:v>FY26</c:v>
                </c:pt>
                <c:pt idx="3">
                  <c:v>FY27</c:v>
                </c:pt>
                <c:pt idx="4">
                  <c:v>FY28</c:v>
                </c:pt>
                <c:pt idx="5">
                  <c:v>FY29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Overview!$P$295:$Y$295</c15:sqref>
                  </c15:fullRef>
                </c:ext>
              </c:extLst>
              <c:f>Overview!$T$295:$Y$295</c:f>
              <c:numCache>
                <c:formatCode>General</c:formatCode>
                <c:ptCount val="6"/>
                <c:pt idx="0" formatCode="_(&quot;$&quot;#,##0.0_);\(&quot;$&quot;#,##0.0\);_(&quot;-&quot;_)">
                  <c:v>3264.03</c:v>
                </c:pt>
                <c:pt idx="1" formatCode="_(&quot;$&quot;#,##0.0_);\(&quot;$&quot;#,##0.0\);_(&quot;-&quot;_)">
                  <c:v>3415.4627451048859</c:v>
                </c:pt>
                <c:pt idx="2" formatCode="_(&quot;$&quot;#,##0.0_);\(&quot;$&quot;#,##0.0\);_(&quot;-&quot;_)">
                  <c:v>3698.5381787652223</c:v>
                </c:pt>
                <c:pt idx="3" formatCode="_(&quot;$&quot;#,##0.0_);\(&quot;$&quot;#,##0.0\);_(&quot;-&quot;_)">
                  <c:v>4024.0159695260786</c:v>
                </c:pt>
                <c:pt idx="4" formatCode="_(&quot;$&quot;#,##0.0_);\(&quot;$&quot;#,##0.0\);_(&quot;-&quot;_)">
                  <c:v>4413.3536316772424</c:v>
                </c:pt>
                <c:pt idx="5" formatCode="_(&quot;$&quot;#,##0.0_);\(&quot;$&quot;#,##0.0\);_(&quot;-&quot;_)">
                  <c:v>4687.9722983888951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A1-44FB-A275-09BE568E8321}"/>
            </c:ext>
          </c:extLst>
        </c:ser>
        <c:ser>
          <c:idx val="3"/>
          <c:order val="4"/>
          <c:tx>
            <c:strRef>
              <c:f>Overview!$O$296</c:f>
              <c:strCache>
                <c:ptCount val="1"/>
                <c:pt idx="0">
                  <c:v>Small Business Bill Impact - Revised Proposal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bg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Overview!$P$292:$Y$292</c15:sqref>
                  </c15:fullRef>
                </c:ext>
              </c:extLst>
              <c:f>Overview!$T$292:$Y$292</c:f>
              <c:strCache>
                <c:ptCount val="6"/>
                <c:pt idx="0">
                  <c:v>FY24</c:v>
                </c:pt>
                <c:pt idx="1">
                  <c:v>FY25</c:v>
                </c:pt>
                <c:pt idx="2">
                  <c:v>FY26</c:v>
                </c:pt>
                <c:pt idx="3">
                  <c:v>FY27</c:v>
                </c:pt>
                <c:pt idx="4">
                  <c:v>FY28</c:v>
                </c:pt>
                <c:pt idx="5">
                  <c:v>FY29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Overview!$P$296:$Y$296</c15:sqref>
                  </c15:fullRef>
                </c:ext>
              </c:extLst>
              <c:f>Overview!$T$296:$Y$296</c:f>
              <c:numCache>
                <c:formatCode>General</c:formatCode>
                <c:ptCount val="6"/>
                <c:pt idx="0" formatCode="_(&quot;$&quot;#,##0.0_);\(&quot;$&quot;#,##0.0\);_(&quot;-&quot;_)">
                  <c:v>3264.03</c:v>
                </c:pt>
                <c:pt idx="1" formatCode="_(&quot;$&quot;#,##0.0_);\(&quot;$&quot;#,##0.0\);_(&quot;-&quot;_)">
                  <c:v>3449.796888787901</c:v>
                </c:pt>
                <c:pt idx="2" formatCode="_(&quot;$&quot;#,##0.0_);\(&quot;$&quot;#,##0.0\);_(&quot;-&quot;_)">
                  <c:v>3773.2714835407901</c:v>
                </c:pt>
                <c:pt idx="3" formatCode="_(&quot;$&quot;#,##0.0_);\(&quot;$&quot;#,##0.0\);_(&quot;-&quot;_)">
                  <c:v>4146.5949697613551</c:v>
                </c:pt>
                <c:pt idx="4" formatCode="_(&quot;$&quot;#,##0.0_);\(&quot;$&quot;#,##0.0\);_(&quot;-&quot;_)">
                  <c:v>4593.5095373462154</c:v>
                </c:pt>
                <c:pt idx="5" formatCode="_(&quot;$&quot;#,##0.0_);\(&quot;$&quot;#,##0.0\);_(&quot;-&quot;_)">
                  <c:v>4915.9120694017884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A1-44FB-A275-09BE568E8321}"/>
            </c:ext>
          </c:extLst>
        </c:ser>
        <c:ser>
          <c:idx val="5"/>
          <c:order val="5"/>
          <c:tx>
            <c:strRef>
              <c:f>Overview!$O$298</c:f>
              <c:strCache>
                <c:ptCount val="1"/>
                <c:pt idx="0">
                  <c:v>Small Business Bill Impact - Initial Proposal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Overview!$P$292:$Y$292</c15:sqref>
                  </c15:fullRef>
                </c:ext>
              </c:extLst>
              <c:f>Overview!$T$292:$Y$292</c:f>
              <c:strCache>
                <c:ptCount val="6"/>
                <c:pt idx="0">
                  <c:v>FY24</c:v>
                </c:pt>
                <c:pt idx="1">
                  <c:v>FY25</c:v>
                </c:pt>
                <c:pt idx="2">
                  <c:v>FY26</c:v>
                </c:pt>
                <c:pt idx="3">
                  <c:v>FY27</c:v>
                </c:pt>
                <c:pt idx="4">
                  <c:v>FY28</c:v>
                </c:pt>
                <c:pt idx="5">
                  <c:v>FY29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Overview!$P$298:$Y$298</c15:sqref>
                  </c15:fullRef>
                </c:ext>
              </c:extLst>
              <c:f>Overview!$T$298:$Y$298</c:f>
              <c:numCache>
                <c:formatCode>General</c:formatCode>
                <c:ptCount val="6"/>
                <c:pt idx="0" formatCode="_(&quot;$&quot;#,##0.0_);\(&quot;$&quot;#,##0.0\);_(&quot;-&quot;_)">
                  <c:v>3264.03</c:v>
                </c:pt>
                <c:pt idx="1" formatCode="_(&quot;$&quot;#,##0.0_);\(&quot;$&quot;#,##0.0\);_(&quot;-&quot;_)">
                  <c:v>3497.4527484113669</c:v>
                </c:pt>
                <c:pt idx="2" formatCode="_(&quot;$&quot;#,##0.0_);\(&quot;$&quot;#,##0.0\);_(&quot;-&quot;_)">
                  <c:v>3878.2402790112255</c:v>
                </c:pt>
                <c:pt idx="3" formatCode="_(&quot;$&quot;#,##0.0_);\(&quot;$&quot;#,##0.0\);_(&quot;-&quot;_)">
                  <c:v>4320.8242853317952</c:v>
                </c:pt>
                <c:pt idx="4" formatCode="_(&quot;$&quot;#,##0.0_);\(&quot;$&quot;#,##0.0\);_(&quot;-&quot;_)">
                  <c:v>4852.6385137015859</c:v>
                </c:pt>
                <c:pt idx="5" formatCode="_(&quot;$&quot;#,##0.0_);\(&quot;$&quot;#,##0.0\);_(&quot;-&quot;_)">
                  <c:v>5109.2644838395545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A1-44FB-A275-09BE568E8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60104"/>
        <c:axId val="1008859024"/>
      </c:lineChart>
      <c:catAx>
        <c:axId val="100886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59024"/>
        <c:crosses val="autoZero"/>
        <c:auto val="1"/>
        <c:lblAlgn val="ctr"/>
        <c:lblOffset val="100"/>
        <c:noMultiLvlLbl val="0"/>
      </c:catAx>
      <c:valAx>
        <c:axId val="1008859024"/>
        <c:scaling>
          <c:orientation val="minMax"/>
          <c:max val="55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6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455518914836492E-2"/>
          <c:y val="0.84498379563739501"/>
          <c:w val="0.92205487134620989"/>
          <c:h val="0.15501618574626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50207714101962"/>
          <c:y val="5.3830227743271224E-2"/>
          <c:w val="0.72666857867932066"/>
          <c:h val="0.6740784313725488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Overview!$R$214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EF8-42A6-8EB0-A8B280F238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F8-42A6-8EB0-A8B280F238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F8-42A6-8EB0-A8B280F238AA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F8-42A6-8EB0-A8B280F238A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F8-42A6-8EB0-A8B280F238AA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F8-42A6-8EB0-A8B280F238AA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F8-42A6-8EB0-A8B280F238AA}"/>
              </c:ext>
            </c:extLst>
          </c:dPt>
          <c:dLbls>
            <c:dLbl>
              <c:idx val="0"/>
              <c:layout>
                <c:manualLayout>
                  <c:x val="-4.178933746699779E-2"/>
                  <c:y val="-3.956478733926805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F8-42A6-8EB0-A8B280F238AA}"/>
                </c:ext>
              </c:extLst>
            </c:dLbl>
            <c:dLbl>
              <c:idx val="1"/>
              <c:layout>
                <c:manualLayout>
                  <c:x val="3.9889822127588799E-2"/>
                  <c:y val="1.186943620178048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F8-42A6-8EB0-A8B280F238A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Overview!$O$216:$O$220</c:f>
              <c:strCache>
                <c:ptCount val="5"/>
                <c:pt idx="0">
                  <c:v>Trend - Productivity</c:v>
                </c:pt>
                <c:pt idx="1">
                  <c:v>Adjusted Base Year</c:v>
                </c:pt>
                <c:pt idx="2">
                  <c:v>Trend - Price</c:v>
                </c:pt>
                <c:pt idx="3">
                  <c:v>Trend - Output</c:v>
                </c:pt>
                <c:pt idx="4">
                  <c:v>Step Changes</c:v>
                </c:pt>
              </c:strCache>
            </c:strRef>
          </c:cat>
          <c:val>
            <c:numRef>
              <c:f>Overview!$R$216:$R$220</c:f>
              <c:numCache>
                <c:formatCode>_(#,##0.0_);\(#,##0.0\);_("-"_)</c:formatCode>
                <c:ptCount val="5"/>
                <c:pt idx="0">
                  <c:v>-0.15497354255410301</c:v>
                </c:pt>
                <c:pt idx="1">
                  <c:v>0</c:v>
                </c:pt>
                <c:pt idx="2">
                  <c:v>1.7339764299965912</c:v>
                </c:pt>
                <c:pt idx="3">
                  <c:v>4.7082856738134264</c:v>
                </c:pt>
                <c:pt idx="4">
                  <c:v>16.4508065947748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F8-42A6-8EB0-A8B280F23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115654832"/>
        <c:axId val="1115648272"/>
      </c:barChart>
      <c:catAx>
        <c:axId val="111565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285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648272"/>
        <c:crosses val="autoZero"/>
        <c:auto val="1"/>
        <c:lblAlgn val="ctr"/>
        <c:lblOffset val="100"/>
        <c:noMultiLvlLbl val="0"/>
      </c:catAx>
      <c:valAx>
        <c:axId val="111564827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&quot;M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65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9718233893471"/>
          <c:y val="5.3524904214559389E-2"/>
          <c:w val="0.87764161673654506"/>
          <c:h val="0.5541829628741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Overview!$O$104</c:f>
              <c:strCache>
                <c:ptCount val="1"/>
                <c:pt idx="0">
                  <c:v>Actuals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Overview!$P$101:$Y$103</c:f>
              <c:multiLvlStrCache>
                <c:ptCount val="10"/>
                <c:lvl>
                  <c:pt idx="0">
                    <c:v>FY20</c:v>
                  </c:pt>
                  <c:pt idx="1">
                    <c:v>FY21</c:v>
                  </c:pt>
                  <c:pt idx="2">
                    <c:v>FY22</c:v>
                  </c:pt>
                  <c:pt idx="3">
                    <c:v>FY23</c:v>
                  </c:pt>
                  <c:pt idx="4">
                    <c:v>FY24</c:v>
                  </c:pt>
                  <c:pt idx="5">
                    <c:v>FY25</c:v>
                  </c:pt>
                  <c:pt idx="6">
                    <c:v>FY26</c:v>
                  </c:pt>
                  <c:pt idx="7">
                    <c:v>FY27</c:v>
                  </c:pt>
                  <c:pt idx="8">
                    <c:v>FY28</c:v>
                  </c:pt>
                  <c:pt idx="9">
                    <c:v>FY29</c:v>
                  </c:pt>
                </c:lvl>
                <c:lvl>
                  <c:pt idx="0">
                    <c:v>Actual</c:v>
                  </c:pt>
                  <c:pt idx="4">
                    <c:v>Estimate</c:v>
                  </c:pt>
                  <c:pt idx="5">
                    <c:v>Forecast</c:v>
                  </c:pt>
                </c:lvl>
                <c:lvl>
                  <c:pt idx="0">
                    <c:v>Current Period</c:v>
                  </c:pt>
                  <c:pt idx="5">
                    <c:v>Next Period</c:v>
                  </c:pt>
                </c:lvl>
              </c:multiLvlStrCache>
            </c:multiLvlStrRef>
          </c:cat>
          <c:val>
            <c:numRef>
              <c:f>Overview!$P$104:$Y$104</c:f>
              <c:numCache>
                <c:formatCode>_(#,##0_);\(#,##0\);_("-"_)</c:formatCode>
                <c:ptCount val="10"/>
                <c:pt idx="0">
                  <c:v>81.709872472645955</c:v>
                </c:pt>
                <c:pt idx="1">
                  <c:v>56.711165775225176</c:v>
                </c:pt>
                <c:pt idx="2">
                  <c:v>80.321126732669541</c:v>
                </c:pt>
                <c:pt idx="3">
                  <c:v>108.73210717255522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C-4975-8598-555F01BEB8EC}"/>
            </c:ext>
          </c:extLst>
        </c:ser>
        <c:ser>
          <c:idx val="5"/>
          <c:order val="1"/>
          <c:tx>
            <c:strRef>
              <c:f>Overview!$O$105</c:f>
              <c:strCache>
                <c:ptCount val="1"/>
                <c:pt idx="0">
                  <c:v>Draft Decision - Estimate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Overview!$P$101:$Y$103</c:f>
              <c:multiLvlStrCache>
                <c:ptCount val="10"/>
                <c:lvl>
                  <c:pt idx="0">
                    <c:v>FY20</c:v>
                  </c:pt>
                  <c:pt idx="1">
                    <c:v>FY21</c:v>
                  </c:pt>
                  <c:pt idx="2">
                    <c:v>FY22</c:v>
                  </c:pt>
                  <c:pt idx="3">
                    <c:v>FY23</c:v>
                  </c:pt>
                  <c:pt idx="4">
                    <c:v>FY24</c:v>
                  </c:pt>
                  <c:pt idx="5">
                    <c:v>FY25</c:v>
                  </c:pt>
                  <c:pt idx="6">
                    <c:v>FY26</c:v>
                  </c:pt>
                  <c:pt idx="7">
                    <c:v>FY27</c:v>
                  </c:pt>
                  <c:pt idx="8">
                    <c:v>FY28</c:v>
                  </c:pt>
                  <c:pt idx="9">
                    <c:v>FY29</c:v>
                  </c:pt>
                </c:lvl>
                <c:lvl>
                  <c:pt idx="0">
                    <c:v>Actual</c:v>
                  </c:pt>
                  <c:pt idx="4">
                    <c:v>Estimate</c:v>
                  </c:pt>
                  <c:pt idx="5">
                    <c:v>Forecast</c:v>
                  </c:pt>
                </c:lvl>
                <c:lvl>
                  <c:pt idx="0">
                    <c:v>Current Period</c:v>
                  </c:pt>
                  <c:pt idx="5">
                    <c:v>Next Period</c:v>
                  </c:pt>
                </c:lvl>
              </c:multiLvlStrCache>
            </c:multiLvlStrRef>
          </c:cat>
          <c:val>
            <c:numRef>
              <c:f>Overview!$P$105:$Y$105</c:f>
              <c:numCache>
                <c:formatCode>_(#,##0_);\(#,##0\);_("-"_)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121.39478273678213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B-4AD9-B213-1BB9698C6DE6}"/>
            </c:ext>
          </c:extLst>
        </c:ser>
        <c:ser>
          <c:idx val="1"/>
          <c:order val="2"/>
          <c:tx>
            <c:strRef>
              <c:f>Overview!$O$106</c:f>
              <c:strCache>
                <c:ptCount val="1"/>
                <c:pt idx="0">
                  <c:v>Draft Decision - Forecast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Overview!$P$101:$Y$103</c:f>
              <c:multiLvlStrCache>
                <c:ptCount val="10"/>
                <c:lvl>
                  <c:pt idx="0">
                    <c:v>FY20</c:v>
                  </c:pt>
                  <c:pt idx="1">
                    <c:v>FY21</c:v>
                  </c:pt>
                  <c:pt idx="2">
                    <c:v>FY22</c:v>
                  </c:pt>
                  <c:pt idx="3">
                    <c:v>FY23</c:v>
                  </c:pt>
                  <c:pt idx="4">
                    <c:v>FY24</c:v>
                  </c:pt>
                  <c:pt idx="5">
                    <c:v>FY25</c:v>
                  </c:pt>
                  <c:pt idx="6">
                    <c:v>FY26</c:v>
                  </c:pt>
                  <c:pt idx="7">
                    <c:v>FY27</c:v>
                  </c:pt>
                  <c:pt idx="8">
                    <c:v>FY28</c:v>
                  </c:pt>
                  <c:pt idx="9">
                    <c:v>FY29</c:v>
                  </c:pt>
                </c:lvl>
                <c:lvl>
                  <c:pt idx="0">
                    <c:v>Actual</c:v>
                  </c:pt>
                  <c:pt idx="4">
                    <c:v>Estimate</c:v>
                  </c:pt>
                  <c:pt idx="5">
                    <c:v>Forecast</c:v>
                  </c:pt>
                </c:lvl>
                <c:lvl>
                  <c:pt idx="0">
                    <c:v>Current Period</c:v>
                  </c:pt>
                  <c:pt idx="5">
                    <c:v>Next Period</c:v>
                  </c:pt>
                </c:lvl>
              </c:multiLvlStrCache>
            </c:multiLvlStrRef>
          </c:cat>
          <c:val>
            <c:numRef>
              <c:f>Overview!$P$106:$Y$106</c:f>
              <c:numCache>
                <c:formatCode>_(#,##0_);\(#,##0\);_("-"_)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106.63424035303686</c:v>
                </c:pt>
                <c:pt idx="6">
                  <c:v>102.59260308244785</c:v>
                </c:pt>
                <c:pt idx="7">
                  <c:v>94.118047319932344</c:v>
                </c:pt>
                <c:pt idx="8">
                  <c:v>67.980482363956284</c:v>
                </c:pt>
                <c:pt idx="9">
                  <c:v>68.621534057770063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FC-4975-8598-555F01BEB8EC}"/>
            </c:ext>
          </c:extLst>
        </c:ser>
        <c:ser>
          <c:idx val="6"/>
          <c:order val="3"/>
          <c:tx>
            <c:strRef>
              <c:f>Overview!$O$107</c:f>
              <c:strCache>
                <c:ptCount val="1"/>
                <c:pt idx="0">
                  <c:v>Revised Proposal - Estimate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Overview!$P$101:$Y$103</c:f>
              <c:multiLvlStrCache>
                <c:ptCount val="10"/>
                <c:lvl>
                  <c:pt idx="0">
                    <c:v>FY20</c:v>
                  </c:pt>
                  <c:pt idx="1">
                    <c:v>FY21</c:v>
                  </c:pt>
                  <c:pt idx="2">
                    <c:v>FY22</c:v>
                  </c:pt>
                  <c:pt idx="3">
                    <c:v>FY23</c:v>
                  </c:pt>
                  <c:pt idx="4">
                    <c:v>FY24</c:v>
                  </c:pt>
                  <c:pt idx="5">
                    <c:v>FY25</c:v>
                  </c:pt>
                  <c:pt idx="6">
                    <c:v>FY26</c:v>
                  </c:pt>
                  <c:pt idx="7">
                    <c:v>FY27</c:v>
                  </c:pt>
                  <c:pt idx="8">
                    <c:v>FY28</c:v>
                  </c:pt>
                  <c:pt idx="9">
                    <c:v>FY29</c:v>
                  </c:pt>
                </c:lvl>
                <c:lvl>
                  <c:pt idx="0">
                    <c:v>Actual</c:v>
                  </c:pt>
                  <c:pt idx="4">
                    <c:v>Estimate</c:v>
                  </c:pt>
                  <c:pt idx="5">
                    <c:v>Forecast</c:v>
                  </c:pt>
                </c:lvl>
                <c:lvl>
                  <c:pt idx="0">
                    <c:v>Current Period</c:v>
                  </c:pt>
                  <c:pt idx="5">
                    <c:v>Next Period</c:v>
                  </c:pt>
                </c:lvl>
              </c:multiLvlStrCache>
            </c:multiLvlStrRef>
          </c:cat>
          <c:val>
            <c:numRef>
              <c:f>Overview!$P$107:$Y$107</c:f>
              <c:numCache>
                <c:formatCode>_(#,##0_);\(#,##0\);_("-"_)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128.89581045225097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B-4AD9-B213-1BB9698C6DE6}"/>
            </c:ext>
          </c:extLst>
        </c:ser>
        <c:ser>
          <c:idx val="9"/>
          <c:order val="4"/>
          <c:tx>
            <c:strRef>
              <c:f>Overview!$O$108</c:f>
              <c:strCache>
                <c:ptCount val="1"/>
                <c:pt idx="0">
                  <c:v>Revised Proposal - Forecast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Overview!$P$101:$Y$103</c:f>
              <c:multiLvlStrCache>
                <c:ptCount val="10"/>
                <c:lvl>
                  <c:pt idx="0">
                    <c:v>FY20</c:v>
                  </c:pt>
                  <c:pt idx="1">
                    <c:v>FY21</c:v>
                  </c:pt>
                  <c:pt idx="2">
                    <c:v>FY22</c:v>
                  </c:pt>
                  <c:pt idx="3">
                    <c:v>FY23</c:v>
                  </c:pt>
                  <c:pt idx="4">
                    <c:v>FY24</c:v>
                  </c:pt>
                  <c:pt idx="5">
                    <c:v>FY25</c:v>
                  </c:pt>
                  <c:pt idx="6">
                    <c:v>FY26</c:v>
                  </c:pt>
                  <c:pt idx="7">
                    <c:v>FY27</c:v>
                  </c:pt>
                  <c:pt idx="8">
                    <c:v>FY28</c:v>
                  </c:pt>
                  <c:pt idx="9">
                    <c:v>FY29</c:v>
                  </c:pt>
                </c:lvl>
                <c:lvl>
                  <c:pt idx="0">
                    <c:v>Actual</c:v>
                  </c:pt>
                  <c:pt idx="4">
                    <c:v>Estimate</c:v>
                  </c:pt>
                  <c:pt idx="5">
                    <c:v>Forecast</c:v>
                  </c:pt>
                </c:lvl>
                <c:lvl>
                  <c:pt idx="0">
                    <c:v>Current Period</c:v>
                  </c:pt>
                  <c:pt idx="5">
                    <c:v>Next Period</c:v>
                  </c:pt>
                </c:lvl>
              </c:multiLvlStrCache>
            </c:multiLvlStrRef>
          </c:cat>
          <c:val>
            <c:numRef>
              <c:f>Overview!$P$108:$Y$108</c:f>
              <c:numCache>
                <c:formatCode>_(#,##0_);\(#,##0\);_("-"_)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106.10227890649801</c:v>
                </c:pt>
                <c:pt idx="6">
                  <c:v>103.35611323930785</c:v>
                </c:pt>
                <c:pt idx="7">
                  <c:v>88.135694241606842</c:v>
                </c:pt>
                <c:pt idx="8">
                  <c:v>124.40257112667038</c:v>
                </c:pt>
                <c:pt idx="9">
                  <c:v>123.12635510487118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FC-4975-8598-555F01BEB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45"/>
        <c:axId val="1477017264"/>
        <c:axId val="1477028088"/>
      </c:barChart>
      <c:lineChart>
        <c:grouping val="standard"/>
        <c:varyColors val="0"/>
        <c:ser>
          <c:idx val="3"/>
          <c:order val="5"/>
          <c:tx>
            <c:strRef>
              <c:f>Overview!$O$109</c:f>
              <c:strCache>
                <c:ptCount val="1"/>
                <c:pt idx="0">
                  <c:v>Initial Proposal - Forecast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Overview!$P$101:$Y$103</c:f>
              <c:multiLvlStrCache>
                <c:ptCount val="10"/>
                <c:lvl>
                  <c:pt idx="0">
                    <c:v>FY20</c:v>
                  </c:pt>
                  <c:pt idx="1">
                    <c:v>FY21</c:v>
                  </c:pt>
                  <c:pt idx="2">
                    <c:v>FY22</c:v>
                  </c:pt>
                  <c:pt idx="3">
                    <c:v>FY23</c:v>
                  </c:pt>
                  <c:pt idx="4">
                    <c:v>FY24</c:v>
                  </c:pt>
                  <c:pt idx="5">
                    <c:v>FY25</c:v>
                  </c:pt>
                  <c:pt idx="6">
                    <c:v>FY26</c:v>
                  </c:pt>
                  <c:pt idx="7">
                    <c:v>FY27</c:v>
                  </c:pt>
                  <c:pt idx="8">
                    <c:v>FY28</c:v>
                  </c:pt>
                  <c:pt idx="9">
                    <c:v>FY29</c:v>
                  </c:pt>
                </c:lvl>
                <c:lvl>
                  <c:pt idx="0">
                    <c:v>Actual</c:v>
                  </c:pt>
                  <c:pt idx="4">
                    <c:v>Estimate</c:v>
                  </c:pt>
                  <c:pt idx="5">
                    <c:v>Forecast</c:v>
                  </c:pt>
                </c:lvl>
                <c:lvl>
                  <c:pt idx="0">
                    <c:v>Current Period</c:v>
                  </c:pt>
                  <c:pt idx="5">
                    <c:v>Next Period</c:v>
                  </c:pt>
                </c:lvl>
              </c:multiLvlStrCache>
            </c:multiLvlStrRef>
          </c:cat>
          <c:val>
            <c:numRef>
              <c:f>Overview!$P$109:$Y$109</c:f>
              <c:numCache>
                <c:formatCode>_(#,##0_);\(#,##0\);_("-"_)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121.16854600607334</c:v>
                </c:pt>
                <c:pt idx="5">
                  <c:v>107.25731742779362</c:v>
                </c:pt>
                <c:pt idx="6">
                  <c:v>104.32940597347731</c:v>
                </c:pt>
                <c:pt idx="7">
                  <c:v>92.798496020427223</c:v>
                </c:pt>
                <c:pt idx="8">
                  <c:v>122.42378313379528</c:v>
                </c:pt>
                <c:pt idx="9">
                  <c:v>147.99819385288083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FC-4975-8598-555F01BEB8EC}"/>
            </c:ext>
          </c:extLst>
        </c:ser>
        <c:ser>
          <c:idx val="4"/>
          <c:order val="6"/>
          <c:tx>
            <c:strRef>
              <c:f>Overview!$O$110</c:f>
              <c:strCache>
                <c:ptCount val="1"/>
                <c:pt idx="0">
                  <c:v>Current Period Allowance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Overview!$P$101:$Y$103</c:f>
              <c:multiLvlStrCache>
                <c:ptCount val="10"/>
                <c:lvl>
                  <c:pt idx="0">
                    <c:v>FY20</c:v>
                  </c:pt>
                  <c:pt idx="1">
                    <c:v>FY21</c:v>
                  </c:pt>
                  <c:pt idx="2">
                    <c:v>FY22</c:v>
                  </c:pt>
                  <c:pt idx="3">
                    <c:v>FY23</c:v>
                  </c:pt>
                  <c:pt idx="4">
                    <c:v>FY24</c:v>
                  </c:pt>
                  <c:pt idx="5">
                    <c:v>FY25</c:v>
                  </c:pt>
                  <c:pt idx="6">
                    <c:v>FY26</c:v>
                  </c:pt>
                  <c:pt idx="7">
                    <c:v>FY27</c:v>
                  </c:pt>
                  <c:pt idx="8">
                    <c:v>FY28</c:v>
                  </c:pt>
                  <c:pt idx="9">
                    <c:v>FY29</c:v>
                  </c:pt>
                </c:lvl>
                <c:lvl>
                  <c:pt idx="0">
                    <c:v>Actual</c:v>
                  </c:pt>
                  <c:pt idx="4">
                    <c:v>Estimate</c:v>
                  </c:pt>
                  <c:pt idx="5">
                    <c:v>Forecast</c:v>
                  </c:pt>
                </c:lvl>
                <c:lvl>
                  <c:pt idx="0">
                    <c:v>Current Period</c:v>
                  </c:pt>
                  <c:pt idx="5">
                    <c:v>Next Period</c:v>
                  </c:pt>
                </c:lvl>
              </c:multiLvlStrCache>
            </c:multiLvlStrRef>
          </c:cat>
          <c:val>
            <c:numRef>
              <c:f>Overview!$P$110:$Y$110</c:f>
              <c:numCache>
                <c:formatCode>_(#,##0_);\(#,##0\);_("-"_)</c:formatCode>
                <c:ptCount val="10"/>
                <c:pt idx="0">
                  <c:v>116.02436878020985</c:v>
                </c:pt>
                <c:pt idx="1">
                  <c:v>94.170328229753466</c:v>
                </c:pt>
                <c:pt idx="2">
                  <c:v>106.47646780360037</c:v>
                </c:pt>
                <c:pt idx="3">
                  <c:v>76.072577346470979</c:v>
                </c:pt>
                <c:pt idx="4">
                  <c:v>72.724546094232707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FC-4975-8598-555F01BEB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017264"/>
        <c:axId val="1477028088"/>
      </c:lineChart>
      <c:catAx>
        <c:axId val="147701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7028088"/>
        <c:crosses val="autoZero"/>
        <c:auto val="1"/>
        <c:lblAlgn val="ctr"/>
        <c:lblOffset val="100"/>
        <c:noMultiLvlLbl val="0"/>
      </c:catAx>
      <c:valAx>
        <c:axId val="147702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Overview!$P$112</c:f>
              <c:strCache>
                <c:ptCount val="1"/>
                <c:pt idx="0">
                  <c:v>Actual / Estimated / Forecast Capex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701726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73629151056976E-2"/>
          <c:y val="0.84730444622565892"/>
          <c:w val="0.96336375076403125"/>
          <c:h val="0.15269550525914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4451689389449"/>
          <c:y val="5.3603152494637769E-2"/>
          <c:w val="0.86444288767940225"/>
          <c:h val="0.86416416301190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TSS_O!$K$112</c:f>
              <c:strCache>
                <c:ptCount val="1"/>
                <c:pt idx="0">
                  <c:v>YoY % Change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yVal>
            <c:numRef>
              <c:f>TSS_O!$K$113:$K$332</c:f>
              <c:numCache>
                <c:formatCode>_(#,##0.0%_);\(#,##0.0%\);_("-"_)</c:formatCode>
                <c:ptCount val="220"/>
                <c:pt idx="0">
                  <c:v>-0.34663381948202676</c:v>
                </c:pt>
                <c:pt idx="1">
                  <c:v>-0.237696562363753</c:v>
                </c:pt>
                <c:pt idx="2">
                  <c:v>-0.18882725711447981</c:v>
                </c:pt>
                <c:pt idx="3">
                  <c:v>-0.13900349252692187</c:v>
                </c:pt>
                <c:pt idx="4">
                  <c:v>-0.13076096242074176</c:v>
                </c:pt>
                <c:pt idx="5">
                  <c:v>-0.11988485400468367</c:v>
                </c:pt>
                <c:pt idx="6">
                  <c:v>-0.10725260869206832</c:v>
                </c:pt>
                <c:pt idx="7">
                  <c:v>-0.10592684432290711</c:v>
                </c:pt>
                <c:pt idx="8">
                  <c:v>-0.10208620705854651</c:v>
                </c:pt>
                <c:pt idx="9">
                  <c:v>-9.9973753411121261E-2</c:v>
                </c:pt>
                <c:pt idx="10">
                  <c:v>-9.9294126702905702E-2</c:v>
                </c:pt>
                <c:pt idx="11">
                  <c:v>-9.7791784863753894E-2</c:v>
                </c:pt>
                <c:pt idx="12">
                  <c:v>-9.7330860683964071E-2</c:v>
                </c:pt>
                <c:pt idx="13">
                  <c:v>-9.7314815834521479E-2</c:v>
                </c:pt>
                <c:pt idx="14">
                  <c:v>-9.599682247552567E-2</c:v>
                </c:pt>
                <c:pt idx="15">
                  <c:v>-9.523648587007616E-2</c:v>
                </c:pt>
                <c:pt idx="16">
                  <c:v>-9.1221127035423052E-2</c:v>
                </c:pt>
                <c:pt idx="17">
                  <c:v>-9.0429460349449486E-2</c:v>
                </c:pt>
                <c:pt idx="18">
                  <c:v>-9.0381262511824323E-2</c:v>
                </c:pt>
                <c:pt idx="19">
                  <c:v>-9.036011230135825E-2</c:v>
                </c:pt>
                <c:pt idx="20">
                  <c:v>-8.5810727067428025E-2</c:v>
                </c:pt>
                <c:pt idx="21">
                  <c:v>-8.3863958100959105E-2</c:v>
                </c:pt>
                <c:pt idx="22">
                  <c:v>-8.0728849595447461E-2</c:v>
                </c:pt>
                <c:pt idx="23">
                  <c:v>-7.9820251067397582E-2</c:v>
                </c:pt>
                <c:pt idx="24">
                  <c:v>-6.6300078422906999E-2</c:v>
                </c:pt>
                <c:pt idx="25">
                  <c:v>-6.4899076699458061E-2</c:v>
                </c:pt>
                <c:pt idx="26">
                  <c:v>-6.4855722868962642E-2</c:v>
                </c:pt>
                <c:pt idx="27">
                  <c:v>-6.4703493743359194E-2</c:v>
                </c:pt>
                <c:pt idx="28">
                  <c:v>-6.1548024356816756E-2</c:v>
                </c:pt>
                <c:pt idx="29">
                  <c:v>-6.1413997178586859E-2</c:v>
                </c:pt>
                <c:pt idx="30">
                  <c:v>-5.910017598373557E-2</c:v>
                </c:pt>
                <c:pt idx="31">
                  <c:v>-5.737091430412971E-2</c:v>
                </c:pt>
                <c:pt idx="32">
                  <c:v>-5.2860010682834795E-2</c:v>
                </c:pt>
                <c:pt idx="33">
                  <c:v>-4.7182008117809225E-2</c:v>
                </c:pt>
                <c:pt idx="34">
                  <c:v>-4.3740542274417309E-2</c:v>
                </c:pt>
                <c:pt idx="35">
                  <c:v>-4.3481308230450114E-2</c:v>
                </c:pt>
                <c:pt idx="36">
                  <c:v>-4.0990419619962533E-2</c:v>
                </c:pt>
                <c:pt idx="37">
                  <c:v>-3.2635744129926446E-2</c:v>
                </c:pt>
                <c:pt idx="38">
                  <c:v>-3.2108837604418718E-2</c:v>
                </c:pt>
                <c:pt idx="39">
                  <c:v>-3.0833465886462776E-2</c:v>
                </c:pt>
                <c:pt idx="40">
                  <c:v>-2.9510301250199062E-2</c:v>
                </c:pt>
                <c:pt idx="41">
                  <c:v>-2.8491958214856748E-2</c:v>
                </c:pt>
                <c:pt idx="42">
                  <c:v>-2.6770453482209546E-2</c:v>
                </c:pt>
                <c:pt idx="43">
                  <c:v>-2.5401132465296548E-2</c:v>
                </c:pt>
                <c:pt idx="44">
                  <c:v>-2.508792091687042E-2</c:v>
                </c:pt>
                <c:pt idx="45">
                  <c:v>-2.4809989692188741E-2</c:v>
                </c:pt>
                <c:pt idx="46">
                  <c:v>-2.3851854318814075E-2</c:v>
                </c:pt>
                <c:pt idx="47">
                  <c:v>-2.0630286596776799E-2</c:v>
                </c:pt>
                <c:pt idx="48">
                  <c:v>-1.9588124441091728E-2</c:v>
                </c:pt>
                <c:pt idx="49">
                  <c:v>-1.8297334764632744E-2</c:v>
                </c:pt>
                <c:pt idx="50">
                  <c:v>-1.7482316792807498E-2</c:v>
                </c:pt>
                <c:pt idx="51">
                  <c:v>-1.5614877459299006E-2</c:v>
                </c:pt>
                <c:pt idx="52">
                  <c:v>-1.4293890296946997E-2</c:v>
                </c:pt>
                <c:pt idx="53">
                  <c:v>-1.3961299129028248E-2</c:v>
                </c:pt>
                <c:pt idx="54">
                  <c:v>-1.0569461217144723E-2</c:v>
                </c:pt>
                <c:pt idx="55">
                  <c:v>-8.2776710341285701E-3</c:v>
                </c:pt>
                <c:pt idx="56">
                  <c:v>-4.6924457886590451E-3</c:v>
                </c:pt>
                <c:pt idx="57">
                  <c:v>-3.5261373059112967E-3</c:v>
                </c:pt>
                <c:pt idx="58">
                  <c:v>-2.4551151356803249E-3</c:v>
                </c:pt>
                <c:pt idx="59">
                  <c:v>-2.2771310515587136E-4</c:v>
                </c:pt>
                <c:pt idx="60">
                  <c:v>4.581583804173187E-4</c:v>
                </c:pt>
                <c:pt idx="61">
                  <c:v>3.7182774108928248E-3</c:v>
                </c:pt>
                <c:pt idx="62">
                  <c:v>4.6556096092726955E-3</c:v>
                </c:pt>
                <c:pt idx="63">
                  <c:v>8.9468767854772209E-3</c:v>
                </c:pt>
                <c:pt idx="64">
                  <c:v>1.0172654707937505E-2</c:v>
                </c:pt>
                <c:pt idx="65">
                  <c:v>1.0424175144729732E-2</c:v>
                </c:pt>
                <c:pt idx="66">
                  <c:v>1.0670728813247436E-2</c:v>
                </c:pt>
                <c:pt idx="67">
                  <c:v>1.2282463858278185E-2</c:v>
                </c:pt>
                <c:pt idx="68">
                  <c:v>1.2672089736356274E-2</c:v>
                </c:pt>
                <c:pt idx="69">
                  <c:v>1.271965014549622E-2</c:v>
                </c:pt>
                <c:pt idx="70">
                  <c:v>1.3929016484080559E-2</c:v>
                </c:pt>
                <c:pt idx="71">
                  <c:v>1.5114795180549421E-2</c:v>
                </c:pt>
                <c:pt idx="72">
                  <c:v>1.5554225705909634E-2</c:v>
                </c:pt>
                <c:pt idx="73">
                  <c:v>1.6072098843383623E-2</c:v>
                </c:pt>
                <c:pt idx="74">
                  <c:v>1.6482790388196621E-2</c:v>
                </c:pt>
                <c:pt idx="75">
                  <c:v>1.6796581671116518E-2</c:v>
                </c:pt>
                <c:pt idx="76">
                  <c:v>1.6972679195296988E-2</c:v>
                </c:pt>
                <c:pt idx="77">
                  <c:v>1.8975950972787394E-2</c:v>
                </c:pt>
                <c:pt idx="78">
                  <c:v>1.9918722213049873E-2</c:v>
                </c:pt>
                <c:pt idx="79">
                  <c:v>2.2353806615985152E-2</c:v>
                </c:pt>
                <c:pt idx="80">
                  <c:v>2.7439554698770047E-2</c:v>
                </c:pt>
                <c:pt idx="81">
                  <c:v>2.9550585449906051E-2</c:v>
                </c:pt>
                <c:pt idx="82">
                  <c:v>3.0293610456135503E-2</c:v>
                </c:pt>
                <c:pt idx="83">
                  <c:v>3.0353339394786252E-2</c:v>
                </c:pt>
                <c:pt idx="84">
                  <c:v>3.0928842942981677E-2</c:v>
                </c:pt>
                <c:pt idx="85">
                  <c:v>3.1754171183599258E-2</c:v>
                </c:pt>
                <c:pt idx="86">
                  <c:v>3.7944408173042954E-2</c:v>
                </c:pt>
                <c:pt idx="87">
                  <c:v>3.8262752215596725E-2</c:v>
                </c:pt>
                <c:pt idx="88">
                  <c:v>3.9028382495852242E-2</c:v>
                </c:pt>
                <c:pt idx="89">
                  <c:v>4.0453320053697048E-2</c:v>
                </c:pt>
                <c:pt idx="90">
                  <c:v>4.055226972606385E-2</c:v>
                </c:pt>
                <c:pt idx="91">
                  <c:v>4.139275177290222E-2</c:v>
                </c:pt>
                <c:pt idx="92">
                  <c:v>4.2988118104570462E-2</c:v>
                </c:pt>
                <c:pt idx="93">
                  <c:v>4.3974877877907742E-2</c:v>
                </c:pt>
                <c:pt idx="94">
                  <c:v>4.6829813039374259E-2</c:v>
                </c:pt>
                <c:pt idx="95">
                  <c:v>4.7203646376646063E-2</c:v>
                </c:pt>
                <c:pt idx="96">
                  <c:v>4.7496665046676767E-2</c:v>
                </c:pt>
                <c:pt idx="97">
                  <c:v>4.833119516923913E-2</c:v>
                </c:pt>
                <c:pt idx="98">
                  <c:v>4.9616512614626407E-2</c:v>
                </c:pt>
                <c:pt idx="99">
                  <c:v>4.9873319357820634E-2</c:v>
                </c:pt>
                <c:pt idx="100">
                  <c:v>5.2303056572180297E-2</c:v>
                </c:pt>
                <c:pt idx="101">
                  <c:v>5.2983635472529211E-2</c:v>
                </c:pt>
                <c:pt idx="102">
                  <c:v>5.3606148965675962E-2</c:v>
                </c:pt>
                <c:pt idx="103">
                  <c:v>5.4348457105506433E-2</c:v>
                </c:pt>
                <c:pt idx="104">
                  <c:v>5.4396378066283717E-2</c:v>
                </c:pt>
                <c:pt idx="105">
                  <c:v>5.5419539851011418E-2</c:v>
                </c:pt>
                <c:pt idx="106">
                  <c:v>5.5796093136179774E-2</c:v>
                </c:pt>
                <c:pt idx="107">
                  <c:v>5.617796891895923E-2</c:v>
                </c:pt>
                <c:pt idx="108">
                  <c:v>5.7054492785158471E-2</c:v>
                </c:pt>
                <c:pt idx="109">
                  <c:v>5.7211241264578744E-2</c:v>
                </c:pt>
                <c:pt idx="110">
                  <c:v>5.9246708554538584E-2</c:v>
                </c:pt>
                <c:pt idx="111">
                  <c:v>6.0433506710704799E-2</c:v>
                </c:pt>
                <c:pt idx="112">
                  <c:v>6.3433643084674113E-2</c:v>
                </c:pt>
                <c:pt idx="113">
                  <c:v>6.403449398502864E-2</c:v>
                </c:pt>
                <c:pt idx="114">
                  <c:v>6.4373718092624641E-2</c:v>
                </c:pt>
                <c:pt idx="115">
                  <c:v>6.4707051752853448E-2</c:v>
                </c:pt>
                <c:pt idx="116">
                  <c:v>6.6210633321691942E-2</c:v>
                </c:pt>
                <c:pt idx="117">
                  <c:v>6.6378404046690029E-2</c:v>
                </c:pt>
                <c:pt idx="118">
                  <c:v>6.7078899330452163E-2</c:v>
                </c:pt>
                <c:pt idx="119">
                  <c:v>6.7428852022473576E-2</c:v>
                </c:pt>
                <c:pt idx="120">
                  <c:v>6.8451801524280695E-2</c:v>
                </c:pt>
                <c:pt idx="121">
                  <c:v>6.8610257459872703E-2</c:v>
                </c:pt>
                <c:pt idx="122">
                  <c:v>6.8986638201086192E-2</c:v>
                </c:pt>
                <c:pt idx="123">
                  <c:v>6.927650758883637E-2</c:v>
                </c:pt>
                <c:pt idx="124">
                  <c:v>7.0066542955208477E-2</c:v>
                </c:pt>
                <c:pt idx="125">
                  <c:v>7.0537764446639076E-2</c:v>
                </c:pt>
                <c:pt idx="126">
                  <c:v>7.1275155370214588E-2</c:v>
                </c:pt>
                <c:pt idx="127">
                  <c:v>7.2811069991305988E-2</c:v>
                </c:pt>
                <c:pt idx="128">
                  <c:v>7.3507299636621434E-2</c:v>
                </c:pt>
                <c:pt idx="129">
                  <c:v>7.4706393262441384E-2</c:v>
                </c:pt>
                <c:pt idx="130">
                  <c:v>7.5342601046754679E-2</c:v>
                </c:pt>
                <c:pt idx="131">
                  <c:v>7.5386635378867542E-2</c:v>
                </c:pt>
                <c:pt idx="132">
                  <c:v>7.5738810641686236E-2</c:v>
                </c:pt>
                <c:pt idx="133">
                  <c:v>7.623117773821031E-2</c:v>
                </c:pt>
                <c:pt idx="134">
                  <c:v>7.6768425602739165E-2</c:v>
                </c:pt>
                <c:pt idx="135">
                  <c:v>7.6962769076460311E-2</c:v>
                </c:pt>
                <c:pt idx="136">
                  <c:v>7.839786980061296E-2</c:v>
                </c:pt>
                <c:pt idx="137">
                  <c:v>8.1624906994801336E-2</c:v>
                </c:pt>
                <c:pt idx="138">
                  <c:v>8.1796002826923495E-2</c:v>
                </c:pt>
                <c:pt idx="139">
                  <c:v>8.1839013842212538E-2</c:v>
                </c:pt>
                <c:pt idx="140">
                  <c:v>8.244259901023189E-2</c:v>
                </c:pt>
                <c:pt idx="141">
                  <c:v>8.2883549019453981E-2</c:v>
                </c:pt>
                <c:pt idx="142">
                  <c:v>8.3923388628387732E-2</c:v>
                </c:pt>
                <c:pt idx="143">
                  <c:v>8.4231128199944758E-2</c:v>
                </c:pt>
                <c:pt idx="144">
                  <c:v>8.4783821902782594E-2</c:v>
                </c:pt>
                <c:pt idx="145">
                  <c:v>8.5003729189253807E-2</c:v>
                </c:pt>
                <c:pt idx="146">
                  <c:v>8.5035949115196671E-2</c:v>
                </c:pt>
                <c:pt idx="147">
                  <c:v>8.5261127108484866E-2</c:v>
                </c:pt>
                <c:pt idx="148">
                  <c:v>8.592421797836472E-2</c:v>
                </c:pt>
                <c:pt idx="149">
                  <c:v>8.712545985853816E-2</c:v>
                </c:pt>
                <c:pt idx="150">
                  <c:v>8.8646322551245854E-2</c:v>
                </c:pt>
                <c:pt idx="151">
                  <c:v>8.8710050765899703E-2</c:v>
                </c:pt>
                <c:pt idx="152">
                  <c:v>9.084853050277425E-2</c:v>
                </c:pt>
                <c:pt idx="153">
                  <c:v>9.1208492362797475E-2</c:v>
                </c:pt>
                <c:pt idx="154">
                  <c:v>9.2702221733732382E-2</c:v>
                </c:pt>
                <c:pt idx="155">
                  <c:v>9.3153963988403615E-2</c:v>
                </c:pt>
                <c:pt idx="156">
                  <c:v>9.3685827333789246E-2</c:v>
                </c:pt>
                <c:pt idx="157">
                  <c:v>9.3860757188752364E-2</c:v>
                </c:pt>
                <c:pt idx="158">
                  <c:v>9.4956498915901466E-2</c:v>
                </c:pt>
                <c:pt idx="159">
                  <c:v>9.6692427453249116E-2</c:v>
                </c:pt>
                <c:pt idx="160">
                  <c:v>9.699453551912568E-2</c:v>
                </c:pt>
                <c:pt idx="161">
                  <c:v>9.699453551912568E-2</c:v>
                </c:pt>
                <c:pt idx="162">
                  <c:v>9.699453551912568E-2</c:v>
                </c:pt>
                <c:pt idx="163">
                  <c:v>9.699453551912568E-2</c:v>
                </c:pt>
                <c:pt idx="164">
                  <c:v>9.699453551912568E-2</c:v>
                </c:pt>
                <c:pt idx="165">
                  <c:v>9.699453551912568E-2</c:v>
                </c:pt>
                <c:pt idx="166">
                  <c:v>9.699453551912568E-2</c:v>
                </c:pt>
                <c:pt idx="167">
                  <c:v>9.7943332033236866E-2</c:v>
                </c:pt>
                <c:pt idx="168">
                  <c:v>9.8040510267686953E-2</c:v>
                </c:pt>
                <c:pt idx="169">
                  <c:v>9.9303411242097267E-2</c:v>
                </c:pt>
                <c:pt idx="170">
                  <c:v>9.9392775005353845E-2</c:v>
                </c:pt>
                <c:pt idx="171">
                  <c:v>9.9685683827416702E-2</c:v>
                </c:pt>
                <c:pt idx="172">
                  <c:v>0.10160392837183095</c:v>
                </c:pt>
                <c:pt idx="173">
                  <c:v>0.101748139232437</c:v>
                </c:pt>
                <c:pt idx="174">
                  <c:v>0.10252666642691345</c:v>
                </c:pt>
                <c:pt idx="175">
                  <c:v>0.10365495493348925</c:v>
                </c:pt>
                <c:pt idx="176">
                  <c:v>0.10626246612573952</c:v>
                </c:pt>
                <c:pt idx="177">
                  <c:v>0.10650405345817276</c:v>
                </c:pt>
                <c:pt idx="178">
                  <c:v>0.10697611724306327</c:v>
                </c:pt>
                <c:pt idx="179">
                  <c:v>0.10769917834619777</c:v>
                </c:pt>
                <c:pt idx="180">
                  <c:v>0.10803074242464944</c:v>
                </c:pt>
                <c:pt idx="181">
                  <c:v>0.1088939210134931</c:v>
                </c:pt>
                <c:pt idx="182">
                  <c:v>0.10895006239374753</c:v>
                </c:pt>
                <c:pt idx="183">
                  <c:v>0.10908897734494449</c:v>
                </c:pt>
                <c:pt idx="184">
                  <c:v>0.10929880467909303</c:v>
                </c:pt>
                <c:pt idx="185">
                  <c:v>0.10965947674947887</c:v>
                </c:pt>
                <c:pt idx="186">
                  <c:v>0.10993923618414154</c:v>
                </c:pt>
                <c:pt idx="187">
                  <c:v>0.11111988166139371</c:v>
                </c:pt>
                <c:pt idx="188">
                  <c:v>0.11227667249384594</c:v>
                </c:pt>
                <c:pt idx="189">
                  <c:v>0.11240757009977075</c:v>
                </c:pt>
                <c:pt idx="190">
                  <c:v>0.1127101404871543</c:v>
                </c:pt>
                <c:pt idx="191">
                  <c:v>0.11281001162415792</c:v>
                </c:pt>
                <c:pt idx="192">
                  <c:v>0.11307996786579705</c:v>
                </c:pt>
                <c:pt idx="193">
                  <c:v>0.11482027358407883</c:v>
                </c:pt>
                <c:pt idx="194">
                  <c:v>0.11507144929332284</c:v>
                </c:pt>
                <c:pt idx="195">
                  <c:v>0.11619163408301864</c:v>
                </c:pt>
                <c:pt idx="196">
                  <c:v>0.11705087037706825</c:v>
                </c:pt>
                <c:pt idx="197">
                  <c:v>0.1181709841957909</c:v>
                </c:pt>
                <c:pt idx="198">
                  <c:v>0.11923454957574921</c:v>
                </c:pt>
                <c:pt idx="199">
                  <c:v>0.12025757771267176</c:v>
                </c:pt>
                <c:pt idx="200">
                  <c:v>0.12047345405911075</c:v>
                </c:pt>
                <c:pt idx="201">
                  <c:v>0.12114752549235358</c:v>
                </c:pt>
                <c:pt idx="202">
                  <c:v>0.1246324642663227</c:v>
                </c:pt>
                <c:pt idx="203">
                  <c:v>0.12584014324019077</c:v>
                </c:pt>
                <c:pt idx="204">
                  <c:v>0.12662632495156428</c:v>
                </c:pt>
                <c:pt idx="205">
                  <c:v>0.12720692233777495</c:v>
                </c:pt>
                <c:pt idx="206">
                  <c:v>0.1281133789718851</c:v>
                </c:pt>
                <c:pt idx="207">
                  <c:v>0.13057106278329692</c:v>
                </c:pt>
                <c:pt idx="208">
                  <c:v>0.1308635507115361</c:v>
                </c:pt>
                <c:pt idx="209">
                  <c:v>0.13256727764503948</c:v>
                </c:pt>
                <c:pt idx="210">
                  <c:v>0.13380751608806832</c:v>
                </c:pt>
                <c:pt idx="211">
                  <c:v>0.13484758867323332</c:v>
                </c:pt>
                <c:pt idx="212">
                  <c:v>0.13803504854629253</c:v>
                </c:pt>
                <c:pt idx="213">
                  <c:v>0.14542142895091439</c:v>
                </c:pt>
                <c:pt idx="214">
                  <c:v>0.15127737410037229</c:v>
                </c:pt>
                <c:pt idx="215">
                  <c:v>0.1535406388662888</c:v>
                </c:pt>
                <c:pt idx="216">
                  <c:v>0.15980497049544307</c:v>
                </c:pt>
                <c:pt idx="217">
                  <c:v>0.16004255217806621</c:v>
                </c:pt>
                <c:pt idx="218">
                  <c:v>0.16934297905682114</c:v>
                </c:pt>
                <c:pt idx="219">
                  <c:v>0.17264104523526258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F3-4F43-8D5C-55CDBD83759D}"/>
            </c:ext>
          </c:extLst>
        </c:ser>
        <c:ser>
          <c:idx val="1"/>
          <c:order val="1"/>
          <c:tx>
            <c:strRef>
              <c:f>TSS_O!$L$112</c:f>
              <c:strCache>
                <c:ptCount val="1"/>
                <c:pt idx="0">
                  <c:v>Revenue Increase + CPI = 11.2%</c:v>
                </c:pt>
              </c:strCache>
            </c:strRef>
          </c:tx>
          <c:spPr>
            <a:ln w="381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dLbls>
            <c:dLbl>
              <c:idx val="43"/>
              <c:layout>
                <c:manualLayout>
                  <c:x val="-0.14098200159384383"/>
                  <c:y val="-2.9164593078557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62421539947172"/>
                      <c:h val="5.34569415672143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EF3-4F43-8D5C-55CDBD837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TSS_O!$L$113:$L$332</c:f>
              <c:numCache>
                <c:formatCode>_(#,##0.0%_);\(#,##0.0%\);_("-"_)</c:formatCode>
                <c:ptCount val="220"/>
                <c:pt idx="0">
                  <c:v>0.1122328118842657</c:v>
                </c:pt>
                <c:pt idx="1">
                  <c:v>0.1122328118842657</c:v>
                </c:pt>
                <c:pt idx="2">
                  <c:v>0.1122328118842657</c:v>
                </c:pt>
                <c:pt idx="3">
                  <c:v>0.1122328118842657</c:v>
                </c:pt>
                <c:pt idx="4">
                  <c:v>0.1122328118842657</c:v>
                </c:pt>
                <c:pt idx="5">
                  <c:v>0.1122328118842657</c:v>
                </c:pt>
                <c:pt idx="6">
                  <c:v>0.1122328118842657</c:v>
                </c:pt>
                <c:pt idx="7">
                  <c:v>0.1122328118842657</c:v>
                </c:pt>
                <c:pt idx="8">
                  <c:v>0.1122328118842657</c:v>
                </c:pt>
                <c:pt idx="9">
                  <c:v>0.1122328118842657</c:v>
                </c:pt>
                <c:pt idx="10">
                  <c:v>0.1122328118842657</c:v>
                </c:pt>
                <c:pt idx="11">
                  <c:v>0.1122328118842657</c:v>
                </c:pt>
                <c:pt idx="12">
                  <c:v>0.1122328118842657</c:v>
                </c:pt>
                <c:pt idx="13">
                  <c:v>0.1122328118842657</c:v>
                </c:pt>
                <c:pt idx="14">
                  <c:v>0.1122328118842657</c:v>
                </c:pt>
                <c:pt idx="15">
                  <c:v>0.1122328118842657</c:v>
                </c:pt>
                <c:pt idx="16">
                  <c:v>0.1122328118842657</c:v>
                </c:pt>
                <c:pt idx="17">
                  <c:v>0.1122328118842657</c:v>
                </c:pt>
                <c:pt idx="18">
                  <c:v>0.1122328118842657</c:v>
                </c:pt>
                <c:pt idx="19">
                  <c:v>0.1122328118842657</c:v>
                </c:pt>
                <c:pt idx="20">
                  <c:v>0.1122328118842657</c:v>
                </c:pt>
                <c:pt idx="21">
                  <c:v>0.1122328118842657</c:v>
                </c:pt>
                <c:pt idx="22">
                  <c:v>0.1122328118842657</c:v>
                </c:pt>
                <c:pt idx="23">
                  <c:v>0.1122328118842657</c:v>
                </c:pt>
                <c:pt idx="24">
                  <c:v>0.1122328118842657</c:v>
                </c:pt>
                <c:pt idx="25">
                  <c:v>0.1122328118842657</c:v>
                </c:pt>
                <c:pt idx="26">
                  <c:v>0.1122328118842657</c:v>
                </c:pt>
                <c:pt idx="27">
                  <c:v>0.1122328118842657</c:v>
                </c:pt>
                <c:pt idx="28">
                  <c:v>0.1122328118842657</c:v>
                </c:pt>
                <c:pt idx="29">
                  <c:v>0.1122328118842657</c:v>
                </c:pt>
                <c:pt idx="30">
                  <c:v>0.1122328118842657</c:v>
                </c:pt>
                <c:pt idx="31">
                  <c:v>0.1122328118842657</c:v>
                </c:pt>
                <c:pt idx="32">
                  <c:v>0.1122328118842657</c:v>
                </c:pt>
                <c:pt idx="33">
                  <c:v>0.1122328118842657</c:v>
                </c:pt>
                <c:pt idx="34">
                  <c:v>0.1122328118842657</c:v>
                </c:pt>
                <c:pt idx="35">
                  <c:v>0.1122328118842657</c:v>
                </c:pt>
                <c:pt idx="36">
                  <c:v>0.1122328118842657</c:v>
                </c:pt>
                <c:pt idx="37">
                  <c:v>0.1122328118842657</c:v>
                </c:pt>
                <c:pt idx="38">
                  <c:v>0.1122328118842657</c:v>
                </c:pt>
                <c:pt idx="39">
                  <c:v>0.1122328118842657</c:v>
                </c:pt>
                <c:pt idx="40">
                  <c:v>0.1122328118842657</c:v>
                </c:pt>
                <c:pt idx="41">
                  <c:v>0.1122328118842657</c:v>
                </c:pt>
                <c:pt idx="42">
                  <c:v>0.1122328118842657</c:v>
                </c:pt>
                <c:pt idx="43">
                  <c:v>0.1122328118842657</c:v>
                </c:pt>
                <c:pt idx="44">
                  <c:v>0.1122328118842657</c:v>
                </c:pt>
                <c:pt idx="45">
                  <c:v>0.1122328118842657</c:v>
                </c:pt>
                <c:pt idx="46">
                  <c:v>0.1122328118842657</c:v>
                </c:pt>
                <c:pt idx="47">
                  <c:v>0.1122328118842657</c:v>
                </c:pt>
                <c:pt idx="48">
                  <c:v>0.1122328118842657</c:v>
                </c:pt>
                <c:pt idx="49">
                  <c:v>0.1122328118842657</c:v>
                </c:pt>
                <c:pt idx="50">
                  <c:v>0.1122328118842657</c:v>
                </c:pt>
                <c:pt idx="51">
                  <c:v>0.1122328118842657</c:v>
                </c:pt>
                <c:pt idx="52">
                  <c:v>0.1122328118842657</c:v>
                </c:pt>
                <c:pt idx="53">
                  <c:v>0.1122328118842657</c:v>
                </c:pt>
                <c:pt idx="54">
                  <c:v>0.1122328118842657</c:v>
                </c:pt>
                <c:pt idx="55">
                  <c:v>0.1122328118842657</c:v>
                </c:pt>
                <c:pt idx="56">
                  <c:v>0.1122328118842657</c:v>
                </c:pt>
                <c:pt idx="57">
                  <c:v>0.1122328118842657</c:v>
                </c:pt>
                <c:pt idx="58">
                  <c:v>0.1122328118842657</c:v>
                </c:pt>
                <c:pt idx="59">
                  <c:v>0.1122328118842657</c:v>
                </c:pt>
                <c:pt idx="60">
                  <c:v>0.1122328118842657</c:v>
                </c:pt>
                <c:pt idx="61">
                  <c:v>0.1122328118842657</c:v>
                </c:pt>
                <c:pt idx="62">
                  <c:v>0.1122328118842657</c:v>
                </c:pt>
                <c:pt idx="63">
                  <c:v>0.1122328118842657</c:v>
                </c:pt>
                <c:pt idx="64">
                  <c:v>0.1122328118842657</c:v>
                </c:pt>
                <c:pt idx="65">
                  <c:v>0.1122328118842657</c:v>
                </c:pt>
                <c:pt idx="66">
                  <c:v>0.1122328118842657</c:v>
                </c:pt>
                <c:pt idx="67">
                  <c:v>0.1122328118842657</c:v>
                </c:pt>
                <c:pt idx="68">
                  <c:v>0.1122328118842657</c:v>
                </c:pt>
                <c:pt idx="69">
                  <c:v>0.1122328118842657</c:v>
                </c:pt>
                <c:pt idx="70">
                  <c:v>0.1122328118842657</c:v>
                </c:pt>
                <c:pt idx="71">
                  <c:v>0.1122328118842657</c:v>
                </c:pt>
                <c:pt idx="72">
                  <c:v>0.1122328118842657</c:v>
                </c:pt>
                <c:pt idx="73">
                  <c:v>0.1122328118842657</c:v>
                </c:pt>
                <c:pt idx="74">
                  <c:v>0.1122328118842657</c:v>
                </c:pt>
                <c:pt idx="75">
                  <c:v>0.1122328118842657</c:v>
                </c:pt>
                <c:pt idx="76">
                  <c:v>0.1122328118842657</c:v>
                </c:pt>
                <c:pt idx="77">
                  <c:v>0.1122328118842657</c:v>
                </c:pt>
                <c:pt idx="78">
                  <c:v>0.1122328118842657</c:v>
                </c:pt>
                <c:pt idx="79">
                  <c:v>0.1122328118842657</c:v>
                </c:pt>
                <c:pt idx="80">
                  <c:v>0.1122328118842657</c:v>
                </c:pt>
                <c:pt idx="81">
                  <c:v>0.1122328118842657</c:v>
                </c:pt>
                <c:pt idx="82">
                  <c:v>0.1122328118842657</c:v>
                </c:pt>
                <c:pt idx="83">
                  <c:v>0.1122328118842657</c:v>
                </c:pt>
                <c:pt idx="84">
                  <c:v>0.1122328118842657</c:v>
                </c:pt>
                <c:pt idx="85">
                  <c:v>0.1122328118842657</c:v>
                </c:pt>
                <c:pt idx="86">
                  <c:v>0.1122328118842657</c:v>
                </c:pt>
                <c:pt idx="87">
                  <c:v>0.1122328118842657</c:v>
                </c:pt>
                <c:pt idx="88">
                  <c:v>0.1122328118842657</c:v>
                </c:pt>
                <c:pt idx="89">
                  <c:v>0.1122328118842657</c:v>
                </c:pt>
                <c:pt idx="90">
                  <c:v>0.1122328118842657</c:v>
                </c:pt>
                <c:pt idx="91">
                  <c:v>0.1122328118842657</c:v>
                </c:pt>
                <c:pt idx="92">
                  <c:v>0.1122328118842657</c:v>
                </c:pt>
                <c:pt idx="93">
                  <c:v>0.1122328118842657</c:v>
                </c:pt>
                <c:pt idx="94">
                  <c:v>0.1122328118842657</c:v>
                </c:pt>
                <c:pt idx="95">
                  <c:v>0.1122328118842657</c:v>
                </c:pt>
                <c:pt idx="96">
                  <c:v>0.1122328118842657</c:v>
                </c:pt>
                <c:pt idx="97">
                  <c:v>0.1122328118842657</c:v>
                </c:pt>
                <c:pt idx="98">
                  <c:v>0.1122328118842657</c:v>
                </c:pt>
                <c:pt idx="99">
                  <c:v>0.1122328118842657</c:v>
                </c:pt>
                <c:pt idx="100">
                  <c:v>0.1122328118842657</c:v>
                </c:pt>
                <c:pt idx="101">
                  <c:v>0.1122328118842657</c:v>
                </c:pt>
                <c:pt idx="102">
                  <c:v>0.1122328118842657</c:v>
                </c:pt>
                <c:pt idx="103">
                  <c:v>0.1122328118842657</c:v>
                </c:pt>
                <c:pt idx="104">
                  <c:v>0.1122328118842657</c:v>
                </c:pt>
                <c:pt idx="105">
                  <c:v>0.1122328118842657</c:v>
                </c:pt>
                <c:pt idx="106">
                  <c:v>0.1122328118842657</c:v>
                </c:pt>
                <c:pt idx="107">
                  <c:v>0.1122328118842657</c:v>
                </c:pt>
                <c:pt idx="108">
                  <c:v>0.1122328118842657</c:v>
                </c:pt>
                <c:pt idx="109">
                  <c:v>0.1122328118842657</c:v>
                </c:pt>
                <c:pt idx="110">
                  <c:v>0.1122328118842657</c:v>
                </c:pt>
                <c:pt idx="111">
                  <c:v>0.1122328118842657</c:v>
                </c:pt>
                <c:pt idx="112">
                  <c:v>0.1122328118842657</c:v>
                </c:pt>
                <c:pt idx="113">
                  <c:v>0.1122328118842657</c:v>
                </c:pt>
                <c:pt idx="114">
                  <c:v>0.1122328118842657</c:v>
                </c:pt>
                <c:pt idx="115">
                  <c:v>0.1122328118842657</c:v>
                </c:pt>
                <c:pt idx="116">
                  <c:v>0.1122328118842657</c:v>
                </c:pt>
                <c:pt idx="117">
                  <c:v>0.1122328118842657</c:v>
                </c:pt>
                <c:pt idx="118">
                  <c:v>0.1122328118842657</c:v>
                </c:pt>
                <c:pt idx="119">
                  <c:v>0.1122328118842657</c:v>
                </c:pt>
                <c:pt idx="120">
                  <c:v>0.1122328118842657</c:v>
                </c:pt>
                <c:pt idx="121">
                  <c:v>0.1122328118842657</c:v>
                </c:pt>
                <c:pt idx="122">
                  <c:v>0.1122328118842657</c:v>
                </c:pt>
                <c:pt idx="123">
                  <c:v>0.1122328118842657</c:v>
                </c:pt>
                <c:pt idx="124">
                  <c:v>0.1122328118842657</c:v>
                </c:pt>
                <c:pt idx="125">
                  <c:v>0.1122328118842657</c:v>
                </c:pt>
                <c:pt idx="126">
                  <c:v>0.1122328118842657</c:v>
                </c:pt>
                <c:pt idx="127">
                  <c:v>0.1122328118842657</c:v>
                </c:pt>
                <c:pt idx="128">
                  <c:v>0.1122328118842657</c:v>
                </c:pt>
                <c:pt idx="129">
                  <c:v>0.1122328118842657</c:v>
                </c:pt>
                <c:pt idx="130">
                  <c:v>0.1122328118842657</c:v>
                </c:pt>
                <c:pt idx="131">
                  <c:v>0.1122328118842657</c:v>
                </c:pt>
                <c:pt idx="132">
                  <c:v>0.1122328118842657</c:v>
                </c:pt>
                <c:pt idx="133">
                  <c:v>0.1122328118842657</c:v>
                </c:pt>
                <c:pt idx="134">
                  <c:v>0.1122328118842657</c:v>
                </c:pt>
                <c:pt idx="135">
                  <c:v>0.1122328118842657</c:v>
                </c:pt>
                <c:pt idx="136">
                  <c:v>0.1122328118842657</c:v>
                </c:pt>
                <c:pt idx="137">
                  <c:v>0.1122328118842657</c:v>
                </c:pt>
                <c:pt idx="138">
                  <c:v>0.1122328118842657</c:v>
                </c:pt>
                <c:pt idx="139">
                  <c:v>0.1122328118842657</c:v>
                </c:pt>
                <c:pt idx="140">
                  <c:v>0.1122328118842657</c:v>
                </c:pt>
                <c:pt idx="141">
                  <c:v>0.1122328118842657</c:v>
                </c:pt>
                <c:pt idx="142">
                  <c:v>0.1122328118842657</c:v>
                </c:pt>
                <c:pt idx="143">
                  <c:v>0.1122328118842657</c:v>
                </c:pt>
                <c:pt idx="144">
                  <c:v>0.1122328118842657</c:v>
                </c:pt>
                <c:pt idx="145">
                  <c:v>0.1122328118842657</c:v>
                </c:pt>
                <c:pt idx="146">
                  <c:v>0.1122328118842657</c:v>
                </c:pt>
                <c:pt idx="147">
                  <c:v>0.1122328118842657</c:v>
                </c:pt>
                <c:pt idx="148">
                  <c:v>0.1122328118842657</c:v>
                </c:pt>
                <c:pt idx="149">
                  <c:v>0.1122328118842657</c:v>
                </c:pt>
                <c:pt idx="150">
                  <c:v>0.1122328118842657</c:v>
                </c:pt>
                <c:pt idx="151">
                  <c:v>0.1122328118842657</c:v>
                </c:pt>
                <c:pt idx="152">
                  <c:v>0.1122328118842657</c:v>
                </c:pt>
                <c:pt idx="153">
                  <c:v>0.1122328118842657</c:v>
                </c:pt>
                <c:pt idx="154">
                  <c:v>0.1122328118842657</c:v>
                </c:pt>
                <c:pt idx="155">
                  <c:v>0.1122328118842657</c:v>
                </c:pt>
                <c:pt idx="156">
                  <c:v>0.1122328118842657</c:v>
                </c:pt>
                <c:pt idx="157">
                  <c:v>0.1122328118842657</c:v>
                </c:pt>
                <c:pt idx="158">
                  <c:v>0.1122328118842657</c:v>
                </c:pt>
                <c:pt idx="159">
                  <c:v>0.1122328118842657</c:v>
                </c:pt>
                <c:pt idx="160">
                  <c:v>0.1122328118842657</c:v>
                </c:pt>
                <c:pt idx="161">
                  <c:v>0.1122328118842657</c:v>
                </c:pt>
                <c:pt idx="162">
                  <c:v>0.1122328118842657</c:v>
                </c:pt>
                <c:pt idx="163">
                  <c:v>0.1122328118842657</c:v>
                </c:pt>
                <c:pt idx="164">
                  <c:v>0.1122328118842657</c:v>
                </c:pt>
                <c:pt idx="165">
                  <c:v>0.1122328118842657</c:v>
                </c:pt>
                <c:pt idx="166">
                  <c:v>0.1122328118842657</c:v>
                </c:pt>
                <c:pt idx="167">
                  <c:v>0.1122328118842657</c:v>
                </c:pt>
                <c:pt idx="168">
                  <c:v>0.1122328118842657</c:v>
                </c:pt>
                <c:pt idx="169">
                  <c:v>0.1122328118842657</c:v>
                </c:pt>
                <c:pt idx="170">
                  <c:v>0.1122328118842657</c:v>
                </c:pt>
                <c:pt idx="171">
                  <c:v>0.1122328118842657</c:v>
                </c:pt>
                <c:pt idx="172">
                  <c:v>0.1122328118842657</c:v>
                </c:pt>
                <c:pt idx="173">
                  <c:v>0.1122328118842657</c:v>
                </c:pt>
                <c:pt idx="174">
                  <c:v>0.1122328118842657</c:v>
                </c:pt>
                <c:pt idx="175">
                  <c:v>0.1122328118842657</c:v>
                </c:pt>
                <c:pt idx="176">
                  <c:v>0.1122328118842657</c:v>
                </c:pt>
                <c:pt idx="177">
                  <c:v>0.1122328118842657</c:v>
                </c:pt>
                <c:pt idx="178">
                  <c:v>0.1122328118842657</c:v>
                </c:pt>
                <c:pt idx="179">
                  <c:v>0.1122328118842657</c:v>
                </c:pt>
                <c:pt idx="180">
                  <c:v>0.1122328118842657</c:v>
                </c:pt>
                <c:pt idx="181">
                  <c:v>0.1122328118842657</c:v>
                </c:pt>
                <c:pt idx="182">
                  <c:v>0.1122328118842657</c:v>
                </c:pt>
                <c:pt idx="183">
                  <c:v>0.1122328118842657</c:v>
                </c:pt>
                <c:pt idx="184">
                  <c:v>0.1122328118842657</c:v>
                </c:pt>
                <c:pt idx="185">
                  <c:v>0.1122328118842657</c:v>
                </c:pt>
                <c:pt idx="186">
                  <c:v>0.1122328118842657</c:v>
                </c:pt>
                <c:pt idx="187">
                  <c:v>0.1122328118842657</c:v>
                </c:pt>
                <c:pt idx="188">
                  <c:v>0.1122328118842657</c:v>
                </c:pt>
                <c:pt idx="189">
                  <c:v>0.1122328118842657</c:v>
                </c:pt>
                <c:pt idx="190">
                  <c:v>0.1122328118842657</c:v>
                </c:pt>
                <c:pt idx="191">
                  <c:v>0.1122328118842657</c:v>
                </c:pt>
                <c:pt idx="192">
                  <c:v>0.1122328118842657</c:v>
                </c:pt>
                <c:pt idx="193">
                  <c:v>0.1122328118842657</c:v>
                </c:pt>
                <c:pt idx="194">
                  <c:v>0.1122328118842657</c:v>
                </c:pt>
                <c:pt idx="195">
                  <c:v>0.1122328118842657</c:v>
                </c:pt>
                <c:pt idx="196">
                  <c:v>0.1122328118842657</c:v>
                </c:pt>
                <c:pt idx="197">
                  <c:v>0.1122328118842657</c:v>
                </c:pt>
                <c:pt idx="198">
                  <c:v>0.1122328118842657</c:v>
                </c:pt>
                <c:pt idx="199">
                  <c:v>0.1122328118842657</c:v>
                </c:pt>
                <c:pt idx="200">
                  <c:v>0.1122328118842657</c:v>
                </c:pt>
                <c:pt idx="201">
                  <c:v>0.1122328118842657</c:v>
                </c:pt>
                <c:pt idx="202">
                  <c:v>0.1122328118842657</c:v>
                </c:pt>
                <c:pt idx="203">
                  <c:v>0.1122328118842657</c:v>
                </c:pt>
                <c:pt idx="204">
                  <c:v>0.1122328118842657</c:v>
                </c:pt>
                <c:pt idx="205">
                  <c:v>0.1122328118842657</c:v>
                </c:pt>
                <c:pt idx="206">
                  <c:v>0.1122328118842657</c:v>
                </c:pt>
                <c:pt idx="207">
                  <c:v>0.1122328118842657</c:v>
                </c:pt>
                <c:pt idx="208">
                  <c:v>0.1122328118842657</c:v>
                </c:pt>
                <c:pt idx="209">
                  <c:v>0.1122328118842657</c:v>
                </c:pt>
                <c:pt idx="210">
                  <c:v>0.1122328118842657</c:v>
                </c:pt>
                <c:pt idx="211">
                  <c:v>0.1122328118842657</c:v>
                </c:pt>
                <c:pt idx="212">
                  <c:v>0.1122328118842657</c:v>
                </c:pt>
                <c:pt idx="213">
                  <c:v>0.1122328118842657</c:v>
                </c:pt>
                <c:pt idx="214">
                  <c:v>0.1122328118842657</c:v>
                </c:pt>
                <c:pt idx="215">
                  <c:v>0.1122328118842657</c:v>
                </c:pt>
                <c:pt idx="216">
                  <c:v>0.1122328118842657</c:v>
                </c:pt>
                <c:pt idx="217">
                  <c:v>0.1122328118842657</c:v>
                </c:pt>
                <c:pt idx="218">
                  <c:v>0.1122328118842657</c:v>
                </c:pt>
                <c:pt idx="219">
                  <c:v>0.1122328118842657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F3-4F43-8D5C-55CDBD837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734639"/>
        <c:axId val="1288734967"/>
      </c:scatterChart>
      <c:valAx>
        <c:axId val="1288734639"/>
        <c:scaling>
          <c:orientation val="minMax"/>
          <c:max val="220"/>
          <c:min val="0"/>
        </c:scaling>
        <c:delete val="0"/>
        <c:axPos val="b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734967"/>
        <c:crosses val="autoZero"/>
        <c:crossBetween val="midCat"/>
      </c:valAx>
      <c:valAx>
        <c:axId val="1288734967"/>
        <c:scaling>
          <c:orientation val="minMax"/>
          <c:max val="0.25"/>
          <c:min val="-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TSS_O!$K$334</c:f>
              <c:strCache>
                <c:ptCount val="1"/>
                <c:pt idx="0">
                  <c:v>Expected change in bill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734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39073387574637E-2"/>
          <c:y val="0.17142857142857143"/>
          <c:w val="0.8811318704773764"/>
          <c:h val="0.45525039370078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Overview!$O$147</c:f>
              <c:strCache>
                <c:ptCount val="1"/>
                <c:pt idx="0">
                  <c:v>Replacement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Overview!$P$145:$AD$146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Overview!$P$147:$AD$147</c:f>
              <c:numCache>
                <c:formatCode>_(#,##0_);\(#,##0\);_("-"_)</c:formatCode>
                <c:ptCount val="15"/>
                <c:pt idx="0">
                  <c:v>57.685651001597286</c:v>
                </c:pt>
                <c:pt idx="1">
                  <c:v>54.436462515110378</c:v>
                </c:pt>
                <c:pt idx="2">
                  <c:v>35.693615366993974</c:v>
                </c:pt>
                <c:pt idx="3">
                  <c:v>23.115455106023774</c:v>
                </c:pt>
                <c:pt idx="4">
                  <c:v>19.819156421345891</c:v>
                </c:pt>
                <c:pt idx="5">
                  <c:v>19.84351580929383</c:v>
                </c:pt>
                <c:pt idx="6">
                  <c:v>21.232780834616825</c:v>
                </c:pt>
                <c:pt idx="7">
                  <c:v>22.067189573587498</c:v>
                </c:pt>
                <c:pt idx="8">
                  <c:v>32.343789077535881</c:v>
                </c:pt>
                <c:pt idx="9">
                  <c:v>47.944172762622976</c:v>
                </c:pt>
                <c:pt idx="10">
                  <c:v>47.482378411260413</c:v>
                </c:pt>
                <c:pt idx="11">
                  <c:v>43.716079596462826</c:v>
                </c:pt>
                <c:pt idx="12">
                  <c:v>30.173874312226513</c:v>
                </c:pt>
                <c:pt idx="13">
                  <c:v>27.224724818316563</c:v>
                </c:pt>
                <c:pt idx="14">
                  <c:v>26.947576970723329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D-4B24-ACAD-2F86316E3EF5}"/>
            </c:ext>
          </c:extLst>
        </c:ser>
        <c:ser>
          <c:idx val="1"/>
          <c:order val="1"/>
          <c:tx>
            <c:strRef>
              <c:f>Overview!$O$148</c:f>
              <c:strCache>
                <c:ptCount val="1"/>
                <c:pt idx="0">
                  <c:v>Network Augmentation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Overview!$P$145:$AD$146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Overview!$P$148:$AD$148</c:f>
              <c:numCache>
                <c:formatCode>_(#,##0_);\(#,##0\);_("-"_)</c:formatCode>
                <c:ptCount val="15"/>
                <c:pt idx="0">
                  <c:v>52.36319753928062</c:v>
                </c:pt>
                <c:pt idx="1">
                  <c:v>40.188039681870535</c:v>
                </c:pt>
                <c:pt idx="2">
                  <c:v>30.981617030854594</c:v>
                </c:pt>
                <c:pt idx="3">
                  <c:v>34.461059287415054</c:v>
                </c:pt>
                <c:pt idx="4">
                  <c:v>17.212101361768017</c:v>
                </c:pt>
                <c:pt idx="5">
                  <c:v>22.840404919039145</c:v>
                </c:pt>
                <c:pt idx="6">
                  <c:v>20.850686576720079</c:v>
                </c:pt>
                <c:pt idx="7">
                  <c:v>16.972297188940065</c:v>
                </c:pt>
                <c:pt idx="8">
                  <c:v>20.592335910422939</c:v>
                </c:pt>
                <c:pt idx="9">
                  <c:v>21.11501298196071</c:v>
                </c:pt>
                <c:pt idx="10">
                  <c:v>10.905805835045548</c:v>
                </c:pt>
                <c:pt idx="11">
                  <c:v>7.5137271177859812</c:v>
                </c:pt>
                <c:pt idx="12">
                  <c:v>9.6561489433256149</c:v>
                </c:pt>
                <c:pt idx="13">
                  <c:v>8.232634909575717</c:v>
                </c:pt>
                <c:pt idx="14">
                  <c:v>7.3612837783290219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B24-ACAD-2F86316E3EF5}"/>
            </c:ext>
          </c:extLst>
        </c:ser>
        <c:ser>
          <c:idx val="2"/>
          <c:order val="2"/>
          <c:tx>
            <c:strRef>
              <c:f>Overview!$O$149</c:f>
              <c:strCache>
                <c:ptCount val="1"/>
                <c:pt idx="0">
                  <c:v>ICT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Overview!$P$145:$AD$146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Overview!$P$149:$AD$149</c:f>
              <c:numCache>
                <c:formatCode>_(#,##0_);\(#,##0\);_("-"_)</c:formatCode>
                <c:ptCount val="15"/>
                <c:pt idx="0">
                  <c:v>0.54518083592510214</c:v>
                </c:pt>
                <c:pt idx="1">
                  <c:v>1.1472560440146109</c:v>
                </c:pt>
                <c:pt idx="2">
                  <c:v>3.4572463874826105</c:v>
                </c:pt>
                <c:pt idx="3">
                  <c:v>3.6531476142359107</c:v>
                </c:pt>
                <c:pt idx="4">
                  <c:v>1.9537993246422678</c:v>
                </c:pt>
                <c:pt idx="5">
                  <c:v>6.7767222655723494</c:v>
                </c:pt>
                <c:pt idx="6">
                  <c:v>1.8973152266708992</c:v>
                </c:pt>
                <c:pt idx="7">
                  <c:v>4.2411701716282337</c:v>
                </c:pt>
                <c:pt idx="8">
                  <c:v>18.229122314682645</c:v>
                </c:pt>
                <c:pt idx="9">
                  <c:v>19.548453124904182</c:v>
                </c:pt>
                <c:pt idx="10">
                  <c:v>15.195574283853276</c:v>
                </c:pt>
                <c:pt idx="11">
                  <c:v>18.547632452429632</c:v>
                </c:pt>
                <c:pt idx="12">
                  <c:v>11.249363944702427</c:v>
                </c:pt>
                <c:pt idx="13">
                  <c:v>9.7453969219687053</c:v>
                </c:pt>
                <c:pt idx="14">
                  <c:v>9.2801447622374109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9D-4B24-ACAD-2F86316E3EF5}"/>
            </c:ext>
          </c:extLst>
        </c:ser>
        <c:ser>
          <c:idx val="3"/>
          <c:order val="3"/>
          <c:tx>
            <c:strRef>
              <c:f>Overview!$O$150</c:f>
              <c:strCache>
                <c:ptCount val="1"/>
                <c:pt idx="0">
                  <c:v>Non Network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Overview!$P$145:$AD$146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Overview!$P$150:$AD$150</c:f>
              <c:numCache>
                <c:formatCode>_(#,##0_);\(#,##0\);_("-"_)</c:formatCode>
                <c:ptCount val="15"/>
                <c:pt idx="0">
                  <c:v>0.88346439438558322</c:v>
                </c:pt>
                <c:pt idx="1">
                  <c:v>0.46549313315379531</c:v>
                </c:pt>
                <c:pt idx="2">
                  <c:v>0.61865429386585791</c:v>
                </c:pt>
                <c:pt idx="3">
                  <c:v>1.4230765431427681</c:v>
                </c:pt>
                <c:pt idx="4">
                  <c:v>1.171394301194685</c:v>
                </c:pt>
                <c:pt idx="5">
                  <c:v>18.91442741191198</c:v>
                </c:pt>
                <c:pt idx="6">
                  <c:v>7.5691111331083452</c:v>
                </c:pt>
                <c:pt idx="7">
                  <c:v>13.122448568617916</c:v>
                </c:pt>
                <c:pt idx="8">
                  <c:v>4.8065286706181922</c:v>
                </c:pt>
                <c:pt idx="9">
                  <c:v>8.4881675654382533</c:v>
                </c:pt>
                <c:pt idx="10">
                  <c:v>4.5185272541263259</c:v>
                </c:pt>
                <c:pt idx="11">
                  <c:v>6.2727515625339398</c:v>
                </c:pt>
                <c:pt idx="12">
                  <c:v>13.447441023845927</c:v>
                </c:pt>
                <c:pt idx="13">
                  <c:v>45.432778575846022</c:v>
                </c:pt>
                <c:pt idx="14">
                  <c:v>45.612755827973473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9D-4B24-ACAD-2F86316E3EF5}"/>
            </c:ext>
          </c:extLst>
        </c:ser>
        <c:ser>
          <c:idx val="4"/>
          <c:order val="4"/>
          <c:tx>
            <c:strRef>
              <c:f>Overview!$O$151</c:f>
              <c:strCache>
                <c:ptCount val="1"/>
                <c:pt idx="0">
                  <c:v>Capitalised Overheads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Overview!$P$145:$AD$146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Overview!$P$151:$AD$151</c:f>
              <c:numCache>
                <c:formatCode>_(#,##0_);\(#,##0\);_("-"_)</c:formatCode>
                <c:ptCount val="15"/>
                <c:pt idx="0">
                  <c:v>0.249083290321502</c:v>
                </c:pt>
                <c:pt idx="1">
                  <c:v>0.17284574358874139</c:v>
                </c:pt>
                <c:pt idx="2">
                  <c:v>0.13467722323827144</c:v>
                </c:pt>
                <c:pt idx="3">
                  <c:v>0.31536286329115393</c:v>
                </c:pt>
                <c:pt idx="4">
                  <c:v>13.335476836349104</c:v>
                </c:pt>
                <c:pt idx="5">
                  <c:v>13.334802066828647</c:v>
                </c:pt>
                <c:pt idx="6">
                  <c:v>5.1612720041090299</c:v>
                </c:pt>
                <c:pt idx="7">
                  <c:v>23.918021229895832</c:v>
                </c:pt>
                <c:pt idx="8">
                  <c:v>32.760331199295564</c:v>
                </c:pt>
                <c:pt idx="9">
                  <c:v>31.800004017324859</c:v>
                </c:pt>
                <c:pt idx="10">
                  <c:v>27.999993122212459</c:v>
                </c:pt>
                <c:pt idx="11">
                  <c:v>27.305922510095478</c:v>
                </c:pt>
                <c:pt idx="12">
                  <c:v>23.608866017506351</c:v>
                </c:pt>
                <c:pt idx="13">
                  <c:v>33.767035900963386</c:v>
                </c:pt>
                <c:pt idx="14">
                  <c:v>33.924593765607952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9D-4B24-ACAD-2F86316E3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9234240"/>
        <c:axId val="1229240720"/>
      </c:barChart>
      <c:lineChart>
        <c:grouping val="standard"/>
        <c:varyColors val="0"/>
        <c:ser>
          <c:idx val="5"/>
          <c:order val="5"/>
          <c:tx>
            <c:strRef>
              <c:f>Overview!$O$152</c:f>
              <c:strCache>
                <c:ptCount val="1"/>
                <c:pt idx="0">
                  <c:v>Gross Capex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Overview!$P$152:$AD$152</c:f>
              <c:numCache>
                <c:formatCode>_(#,##0_);\(#,##0\);_("-"_)</c:formatCode>
                <c:ptCount val="15"/>
                <c:pt idx="0">
                  <c:v>111.72657706151011</c:v>
                </c:pt>
                <c:pt idx="1">
                  <c:v>96.410097117738061</c:v>
                </c:pt>
                <c:pt idx="2">
                  <c:v>70.885810302435303</c:v>
                </c:pt>
                <c:pt idx="3">
                  <c:v>62.968101414108666</c:v>
                </c:pt>
                <c:pt idx="4">
                  <c:v>53.491928245299967</c:v>
                </c:pt>
                <c:pt idx="5">
                  <c:v>81.709872472645941</c:v>
                </c:pt>
                <c:pt idx="6">
                  <c:v>56.711165775225176</c:v>
                </c:pt>
                <c:pt idx="7">
                  <c:v>80.321126732669541</c:v>
                </c:pt>
                <c:pt idx="8">
                  <c:v>108.73210717255522</c:v>
                </c:pt>
                <c:pt idx="9">
                  <c:v>128.89581045225097</c:v>
                </c:pt>
                <c:pt idx="10">
                  <c:v>106.10227890649801</c:v>
                </c:pt>
                <c:pt idx="11">
                  <c:v>103.35611323930786</c:v>
                </c:pt>
                <c:pt idx="12">
                  <c:v>88.135694241606842</c:v>
                </c:pt>
                <c:pt idx="13">
                  <c:v>124.40257112667038</c:v>
                </c:pt>
                <c:pt idx="14">
                  <c:v>123.12635510487119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9D-4B24-ACAD-2F86316E3EF5}"/>
            </c:ext>
          </c:extLst>
        </c:ser>
        <c:ser>
          <c:idx val="6"/>
          <c:order val="6"/>
          <c:tx>
            <c:strRef>
              <c:f>Overview!$O$153</c:f>
              <c:strCache>
                <c:ptCount val="1"/>
                <c:pt idx="0">
                  <c:v>Allowance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Overview!$P$153:$AD$153</c:f>
              <c:numCache>
                <c:formatCode>_(#,##0_);\(#,##0\);_("-"_)</c:formatCode>
                <c:ptCount val="15"/>
                <c:pt idx="0">
                  <c:v>108.40276781177975</c:v>
                </c:pt>
                <c:pt idx="1">
                  <c:v>77.249333646023871</c:v>
                </c:pt>
                <c:pt idx="2">
                  <c:v>61.556187685743751</c:v>
                </c:pt>
                <c:pt idx="3">
                  <c:v>72.700862794512062</c:v>
                </c:pt>
                <c:pt idx="4">
                  <c:v>86.451709318768124</c:v>
                </c:pt>
                <c:pt idx="5">
                  <c:v>116.02436878020985</c:v>
                </c:pt>
                <c:pt idx="6">
                  <c:v>94.170328229753466</c:v>
                </c:pt>
                <c:pt idx="7">
                  <c:v>106.47646780360037</c:v>
                </c:pt>
                <c:pt idx="8">
                  <c:v>76.072577346470979</c:v>
                </c:pt>
                <c:pt idx="9">
                  <c:v>72.724546094232707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9D-4B24-ACAD-2F86316E3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234240"/>
        <c:axId val="1229240720"/>
      </c:lineChart>
      <c:catAx>
        <c:axId val="12292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240720"/>
        <c:crosses val="autoZero"/>
        <c:auto val="1"/>
        <c:lblAlgn val="ctr"/>
        <c:lblOffset val="100"/>
        <c:noMultiLvlLbl val="0"/>
      </c:catAx>
      <c:valAx>
        <c:axId val="122924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Overview!$P$157</c:f>
              <c:strCache>
                <c:ptCount val="1"/>
                <c:pt idx="0">
                  <c:v>Standard Control Services Gross Capex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23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3.4175033247099099E-2"/>
          <c:y val="0.84776025384886589"/>
          <c:w val="0.95831645419069433"/>
          <c:h val="0.128359149136208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39058386729599E-2"/>
          <c:y val="0.1109995322528535"/>
          <c:w val="0.88113188879604665"/>
          <c:h val="0.449320259720219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Overview!$O$250</c:f>
              <c:strCache>
                <c:ptCount val="1"/>
                <c:pt idx="0">
                  <c:v>Vegetation Management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Overview!$P$248:$AD$249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Overview!$P$250:$AD$250</c:f>
              <c:numCache>
                <c:formatCode>_(#,##0_);\(#,##0\);_("-"_)</c:formatCode>
                <c:ptCount val="15"/>
                <c:pt idx="0">
                  <c:v>7.9768126495221559</c:v>
                </c:pt>
                <c:pt idx="1">
                  <c:v>6.5083381387702071</c:v>
                </c:pt>
                <c:pt idx="2">
                  <c:v>5.8438412997668729</c:v>
                </c:pt>
                <c:pt idx="3">
                  <c:v>5.0910384844422705</c:v>
                </c:pt>
                <c:pt idx="4">
                  <c:v>6.0340819827200134</c:v>
                </c:pt>
                <c:pt idx="5">
                  <c:v>3.8283692157385985</c:v>
                </c:pt>
                <c:pt idx="6">
                  <c:v>4.0554285723209658</c:v>
                </c:pt>
                <c:pt idx="7">
                  <c:v>2.8812802621867877</c:v>
                </c:pt>
                <c:pt idx="8">
                  <c:v>4.0160861417195584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C-4E18-8062-C62A05DB3B60}"/>
            </c:ext>
          </c:extLst>
        </c:ser>
        <c:ser>
          <c:idx val="1"/>
          <c:order val="1"/>
          <c:tx>
            <c:strRef>
              <c:f>Overview!$O$251</c:f>
              <c:strCache>
                <c:ptCount val="1"/>
                <c:pt idx="0">
                  <c:v>Maintenance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Overview!$P$248:$AD$249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Overview!$P$251:$AD$251</c:f>
              <c:numCache>
                <c:formatCode>_(#,##0_);\(#,##0\);_("-"_)</c:formatCode>
                <c:ptCount val="15"/>
                <c:pt idx="0">
                  <c:v>26.015172828646161</c:v>
                </c:pt>
                <c:pt idx="1">
                  <c:v>22.260197745352684</c:v>
                </c:pt>
                <c:pt idx="2">
                  <c:v>21.314536038801844</c:v>
                </c:pt>
                <c:pt idx="3">
                  <c:v>17.452429038490369</c:v>
                </c:pt>
                <c:pt idx="4">
                  <c:v>16.672043728948729</c:v>
                </c:pt>
                <c:pt idx="5">
                  <c:v>16.950193170690572</c:v>
                </c:pt>
                <c:pt idx="6">
                  <c:v>20.235451995104324</c:v>
                </c:pt>
                <c:pt idx="7">
                  <c:v>16.610918349601821</c:v>
                </c:pt>
                <c:pt idx="8">
                  <c:v>15.317084601406091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C-4E18-8062-C62A05DB3B60}"/>
            </c:ext>
          </c:extLst>
        </c:ser>
        <c:ser>
          <c:idx val="2"/>
          <c:order val="2"/>
          <c:tx>
            <c:strRef>
              <c:f>Overview!$O$252</c:f>
              <c:strCache>
                <c:ptCount val="1"/>
                <c:pt idx="0">
                  <c:v>Emergency Response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Overview!$P$248:$AD$249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Overview!$P$252:$AD$252</c:f>
              <c:numCache>
                <c:formatCode>_(#,##0_);\(#,##0\);_("-"_)</c:formatCode>
                <c:ptCount val="15"/>
                <c:pt idx="0">
                  <c:v>8.671523454557466</c:v>
                </c:pt>
                <c:pt idx="1">
                  <c:v>8.1622605438858358</c:v>
                </c:pt>
                <c:pt idx="2">
                  <c:v>8.1591779973464131</c:v>
                </c:pt>
                <c:pt idx="3">
                  <c:v>11.081312318509985</c:v>
                </c:pt>
                <c:pt idx="4">
                  <c:v>8.0178953672316666</c:v>
                </c:pt>
                <c:pt idx="5">
                  <c:v>7.4763607199664932</c:v>
                </c:pt>
                <c:pt idx="6">
                  <c:v>11.45900359458405</c:v>
                </c:pt>
                <c:pt idx="7">
                  <c:v>8.6113071182018945</c:v>
                </c:pt>
                <c:pt idx="8">
                  <c:v>9.1681563937323887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CC-4E18-8062-C62A05DB3B60}"/>
            </c:ext>
          </c:extLst>
        </c:ser>
        <c:ser>
          <c:idx val="3"/>
          <c:order val="3"/>
          <c:tx>
            <c:strRef>
              <c:f>Overview!$O$253</c:f>
              <c:strCache>
                <c:ptCount val="1"/>
                <c:pt idx="0">
                  <c:v>Non Network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Overview!$P$248:$AD$249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Overview!$P$253:$AD$253</c:f>
              <c:numCache>
                <c:formatCode>_(#,##0_);\(#,##0\);_("-"_)</c:formatCode>
                <c:ptCount val="15"/>
                <c:pt idx="0">
                  <c:v>9.2155781060077331</c:v>
                </c:pt>
                <c:pt idx="1">
                  <c:v>8.748754309182992</c:v>
                </c:pt>
                <c:pt idx="2">
                  <c:v>9.2627780270860232</c:v>
                </c:pt>
                <c:pt idx="3">
                  <c:v>8.8421036238516564</c:v>
                </c:pt>
                <c:pt idx="4">
                  <c:v>8.4828726954967522</c:v>
                </c:pt>
                <c:pt idx="5">
                  <c:v>4.1203531290903594</c:v>
                </c:pt>
                <c:pt idx="6">
                  <c:v>3.1649390387616574</c:v>
                </c:pt>
                <c:pt idx="7">
                  <c:v>4.7024742309815561</c:v>
                </c:pt>
                <c:pt idx="8">
                  <c:v>4.1175011599959799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CC-4E18-8062-C62A05DB3B60}"/>
            </c:ext>
          </c:extLst>
        </c:ser>
        <c:ser>
          <c:idx val="4"/>
          <c:order val="4"/>
          <c:tx>
            <c:strRef>
              <c:f>Overview!$O$254</c:f>
              <c:strCache>
                <c:ptCount val="1"/>
                <c:pt idx="0">
                  <c:v>Expensed Overheads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Overview!$P$248:$AD$249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Overview!$P$254:$AD$254</c:f>
              <c:numCache>
                <c:formatCode>_(#,##0_);\(#,##0\);_("-"_)</c:formatCode>
                <c:ptCount val="15"/>
                <c:pt idx="0">
                  <c:v>44.970539589588569</c:v>
                </c:pt>
                <c:pt idx="1">
                  <c:v>58.773556408818415</c:v>
                </c:pt>
                <c:pt idx="2">
                  <c:v>46.305053737541016</c:v>
                </c:pt>
                <c:pt idx="3">
                  <c:v>38.56071031392456</c:v>
                </c:pt>
                <c:pt idx="4">
                  <c:v>44.930968272913347</c:v>
                </c:pt>
                <c:pt idx="5">
                  <c:v>48.992498886170651</c:v>
                </c:pt>
                <c:pt idx="6">
                  <c:v>32.670534983796401</c:v>
                </c:pt>
                <c:pt idx="7">
                  <c:v>39.900690259396093</c:v>
                </c:pt>
                <c:pt idx="8">
                  <c:v>37.239475660359091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CC-4E18-8062-C62A05DB3B60}"/>
            </c:ext>
          </c:extLst>
        </c:ser>
        <c:ser>
          <c:idx val="5"/>
          <c:order val="5"/>
          <c:tx>
            <c:strRef>
              <c:f>Overview!$O$255</c:f>
              <c:strCache>
                <c:ptCount val="1"/>
                <c:pt idx="0">
                  <c:v>Capitalisation Backcast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Overview!$P$248:$AD$249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Overview!$P$255:$AD$255</c:f>
              <c:numCache>
                <c:formatCode>_(#,##0_);\(#,##0\);_("-"_)</c:formatCode>
                <c:ptCount val="15"/>
                <c:pt idx="3">
                  <c:v>25.170646081648435</c:v>
                </c:pt>
                <c:pt idx="4">
                  <c:v>24.163521096677027</c:v>
                </c:pt>
                <c:pt idx="5">
                  <c:v>25.529507529309154</c:v>
                </c:pt>
                <c:pt idx="6">
                  <c:v>22.065347683019443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CC-4E18-8062-C62A05DB3B60}"/>
            </c:ext>
          </c:extLst>
        </c:ser>
        <c:ser>
          <c:idx val="6"/>
          <c:order val="6"/>
          <c:tx>
            <c:strRef>
              <c:f>Overview!$O$256</c:f>
              <c:strCache>
                <c:ptCount val="1"/>
                <c:pt idx="0">
                  <c:v>Forecast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Overview!$P$248:$AD$249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Overview!$P$256:$AD$256</c:f>
              <c:numCache>
                <c:formatCode>_(#,##0_);\(#,##0\);_("-"_)</c:formatCode>
                <c:ptCount val="15"/>
                <c:pt idx="9">
                  <c:v>69.054145392076393</c:v>
                </c:pt>
                <c:pt idx="10">
                  <c:v>75.18407329124922</c:v>
                </c:pt>
                <c:pt idx="11">
                  <c:v>76.192017940977578</c:v>
                </c:pt>
                <c:pt idx="12">
                  <c:v>76.651420075481582</c:v>
                </c:pt>
                <c:pt idx="13">
                  <c:v>77.676357781767294</c:v>
                </c:pt>
                <c:pt idx="14">
                  <c:v>78.018343595474704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CC-4E18-8062-C62A05DB3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915855"/>
        <c:axId val="205912255"/>
      </c:barChart>
      <c:lineChart>
        <c:grouping val="standard"/>
        <c:varyColors val="0"/>
        <c:ser>
          <c:idx val="7"/>
          <c:order val="7"/>
          <c:tx>
            <c:strRef>
              <c:f>Overview!$O$257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Overview!$P$257:$AD$257</c:f>
              <c:numCache>
                <c:formatCode>_(#,##0_);\(#,##0\);_("-"_)</c:formatCode>
                <c:ptCount val="15"/>
                <c:pt idx="0">
                  <c:v>96.849626628322085</c:v>
                </c:pt>
                <c:pt idx="1">
                  <c:v>104.45310714601013</c:v>
                </c:pt>
                <c:pt idx="2">
                  <c:v>90.885387100542175</c:v>
                </c:pt>
                <c:pt idx="3">
                  <c:v>106.19823986086729</c:v>
                </c:pt>
                <c:pt idx="4">
                  <c:v>108.30138314398754</c:v>
                </c:pt>
                <c:pt idx="5">
                  <c:v>106.89728265096583</c:v>
                </c:pt>
                <c:pt idx="6">
                  <c:v>93.650705867586836</c:v>
                </c:pt>
                <c:pt idx="7">
                  <c:v>72.706670220368153</c:v>
                </c:pt>
                <c:pt idx="8">
                  <c:v>69.85830395721311</c:v>
                </c:pt>
                <c:pt idx="9">
                  <c:v>69.054145392076393</c:v>
                </c:pt>
                <c:pt idx="10">
                  <c:v>75.18407329124922</c:v>
                </c:pt>
                <c:pt idx="11">
                  <c:v>76.192017940977578</c:v>
                </c:pt>
                <c:pt idx="12">
                  <c:v>76.651420075481582</c:v>
                </c:pt>
                <c:pt idx="13">
                  <c:v>77.676357781767294</c:v>
                </c:pt>
                <c:pt idx="14">
                  <c:v>78.018343595474704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CC-4E18-8062-C62A05DB3B60}"/>
            </c:ext>
          </c:extLst>
        </c:ser>
        <c:ser>
          <c:idx val="8"/>
          <c:order val="8"/>
          <c:tx>
            <c:strRef>
              <c:f>Overview!$O$258</c:f>
              <c:strCache>
                <c:ptCount val="1"/>
                <c:pt idx="0">
                  <c:v>Allowance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Overview!$P$258:$AD$258</c:f>
              <c:numCache>
                <c:formatCode>_(#,##0_);\(#,##0\);_("-"_)</c:formatCode>
                <c:ptCount val="15"/>
                <c:pt idx="0">
                  <c:v>124.27969350934558</c:v>
                </c:pt>
                <c:pt idx="1">
                  <c:v>116.41118806826745</c:v>
                </c:pt>
                <c:pt idx="2">
                  <c:v>111.90173620601161</c:v>
                </c:pt>
                <c:pt idx="3">
                  <c:v>102.86488062596666</c:v>
                </c:pt>
                <c:pt idx="4">
                  <c:v>93.730229634560231</c:v>
                </c:pt>
                <c:pt idx="5">
                  <c:v>80.700122526951134</c:v>
                </c:pt>
                <c:pt idx="6">
                  <c:v>80.063269958147245</c:v>
                </c:pt>
                <c:pt idx="7">
                  <c:v>79.688918527181769</c:v>
                </c:pt>
                <c:pt idx="8">
                  <c:v>79.173241653886095</c:v>
                </c:pt>
                <c:pt idx="9">
                  <c:v>78.668685765827917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CC-4E18-8062-C62A05DB3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15855"/>
        <c:axId val="205912255"/>
      </c:lineChart>
      <c:catAx>
        <c:axId val="20591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12255"/>
        <c:crosses val="autoZero"/>
        <c:auto val="1"/>
        <c:lblAlgn val="ctr"/>
        <c:lblOffset val="100"/>
        <c:noMultiLvlLbl val="0"/>
      </c:catAx>
      <c:valAx>
        <c:axId val="20591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Overview!$P$262</c:f>
              <c:strCache>
                <c:ptCount val="1"/>
                <c:pt idx="0">
                  <c:v>Actual / Estimated / Forecast Opex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1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2.5075065616797905E-2"/>
          <c:y val="0.78276787484605692"/>
          <c:w val="0.95175463067116606"/>
          <c:h val="0.193587964191197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4047139075392E-2"/>
          <c:y val="4.1904761904761903E-2"/>
          <c:w val="0.89396169564665229"/>
          <c:h val="0.6433460817397825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Overview!$O$61</c:f>
              <c:strCache>
                <c:ptCount val="1"/>
                <c:pt idx="0">
                  <c:v>Opex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Overview!$P$57:$AD$58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Overview!$P$61:$AD$61</c:f>
              <c:numCache>
                <c:formatCode>_(#,##0_);\(#,##0\);_("-"_)</c:formatCode>
                <c:ptCount val="15"/>
                <c:pt idx="0">
                  <c:v>133.98749653637034</c:v>
                </c:pt>
                <c:pt idx="1">
                  <c:v>139.00545850022741</c:v>
                </c:pt>
                <c:pt idx="2">
                  <c:v>144.97813722543503</c:v>
                </c:pt>
                <c:pt idx="3">
                  <c:v>135.5006342392272</c:v>
                </c:pt>
                <c:pt idx="4">
                  <c:v>126.12634822076778</c:v>
                </c:pt>
                <c:pt idx="5">
                  <c:v>84.610602331797864</c:v>
                </c:pt>
                <c:pt idx="6">
                  <c:v>81.782996873120183</c:v>
                </c:pt>
                <c:pt idx="7">
                  <c:v>80.6120041408102</c:v>
                </c:pt>
                <c:pt idx="8">
                  <c:v>78.303398973844253</c:v>
                </c:pt>
                <c:pt idx="9">
                  <c:v>76.200687151293948</c:v>
                </c:pt>
                <c:pt idx="10">
                  <c:v>71.139656673210766</c:v>
                </c:pt>
                <c:pt idx="11">
                  <c:v>75.158470473246041</c:v>
                </c:pt>
                <c:pt idx="12">
                  <c:v>78.417262217815775</c:v>
                </c:pt>
                <c:pt idx="13">
                  <c:v>81.51878951674351</c:v>
                </c:pt>
                <c:pt idx="14">
                  <c:v>81.119270462846416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BC-4F00-A3C6-67DC6B59E325}"/>
            </c:ext>
          </c:extLst>
        </c:ser>
        <c:ser>
          <c:idx val="0"/>
          <c:order val="1"/>
          <c:tx>
            <c:strRef>
              <c:f>Overview!$O$59</c:f>
              <c:strCache>
                <c:ptCount val="1"/>
                <c:pt idx="0">
                  <c:v>Return on Capital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Overview!$P$57:$AD$58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Overview!$P$59:$AD$59</c:f>
              <c:numCache>
                <c:formatCode>_(#,##0_);\(#,##0\);_("-"_)</c:formatCode>
                <c:ptCount val="15"/>
                <c:pt idx="0">
                  <c:v>52.091491163879013</c:v>
                </c:pt>
                <c:pt idx="1">
                  <c:v>58.455867328202025</c:v>
                </c:pt>
                <c:pt idx="2">
                  <c:v>62.501837672456418</c:v>
                </c:pt>
                <c:pt idx="3">
                  <c:v>62.150735115629118</c:v>
                </c:pt>
                <c:pt idx="4">
                  <c:v>62.553039235931216</c:v>
                </c:pt>
                <c:pt idx="5">
                  <c:v>57.535462137025839</c:v>
                </c:pt>
                <c:pt idx="6">
                  <c:v>57.96527281361611</c:v>
                </c:pt>
                <c:pt idx="7">
                  <c:v>57.490294430579233</c:v>
                </c:pt>
                <c:pt idx="8">
                  <c:v>57.008132258279403</c:v>
                </c:pt>
                <c:pt idx="9">
                  <c:v>58.69361860730104</c:v>
                </c:pt>
                <c:pt idx="10">
                  <c:v>65.752163196004688</c:v>
                </c:pt>
                <c:pt idx="11">
                  <c:v>71.926485388228372</c:v>
                </c:pt>
                <c:pt idx="12">
                  <c:v>78.23542173913188</c:v>
                </c:pt>
                <c:pt idx="13">
                  <c:v>82.997733438235841</c:v>
                </c:pt>
                <c:pt idx="14">
                  <c:v>86.929043004069399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C-4F00-A3C6-67DC6B59E325}"/>
            </c:ext>
          </c:extLst>
        </c:ser>
        <c:ser>
          <c:idx val="1"/>
          <c:order val="2"/>
          <c:tx>
            <c:strRef>
              <c:f>Overview!$O$60</c:f>
              <c:strCache>
                <c:ptCount val="1"/>
                <c:pt idx="0">
                  <c:v>Regulatory depreciation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Overview!$P$57:$AD$58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Overview!$P$60:$AD$60</c:f>
              <c:numCache>
                <c:formatCode>_(#,##0_);\(#,##0\);_("-"_)</c:formatCode>
                <c:ptCount val="15"/>
                <c:pt idx="0">
                  <c:v>36.986094322406139</c:v>
                </c:pt>
                <c:pt idx="1">
                  <c:v>43.769867916666264</c:v>
                </c:pt>
                <c:pt idx="2">
                  <c:v>40.300978068465731</c:v>
                </c:pt>
                <c:pt idx="3">
                  <c:v>42.733190674672194</c:v>
                </c:pt>
                <c:pt idx="4">
                  <c:v>46.031797330807336</c:v>
                </c:pt>
                <c:pt idx="5">
                  <c:v>22.637037380387834</c:v>
                </c:pt>
                <c:pt idx="6">
                  <c:v>27.408559594287976</c:v>
                </c:pt>
                <c:pt idx="7">
                  <c:v>30.024256606021279</c:v>
                </c:pt>
                <c:pt idx="8">
                  <c:v>33.354665199722888</c:v>
                </c:pt>
                <c:pt idx="9">
                  <c:v>35.170185988031086</c:v>
                </c:pt>
                <c:pt idx="10">
                  <c:v>32.854767987838791</c:v>
                </c:pt>
                <c:pt idx="11">
                  <c:v>34.468599159846043</c:v>
                </c:pt>
                <c:pt idx="12">
                  <c:v>37.524016132422069</c:v>
                </c:pt>
                <c:pt idx="13">
                  <c:v>43.149914244505304</c:v>
                </c:pt>
                <c:pt idx="14">
                  <c:v>45.461268251503476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C-4F00-A3C6-67DC6B59E325}"/>
            </c:ext>
          </c:extLst>
        </c:ser>
        <c:ser>
          <c:idx val="3"/>
          <c:order val="3"/>
          <c:tx>
            <c:strRef>
              <c:f>Overview!$O$62</c:f>
              <c:strCache>
                <c:ptCount val="1"/>
                <c:pt idx="0">
                  <c:v>Rev. Adjustments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Overview!$P$57:$AD$58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Overview!$P$62:$AD$62</c:f>
              <c:numCache>
                <c:formatCode>_(#,##0_);\(#,##0\);_("-"_)</c:formatCode>
                <c:ptCount val="15"/>
                <c:pt idx="0">
                  <c:v>9.5658212229658623</c:v>
                </c:pt>
                <c:pt idx="1">
                  <c:v>11.134653517453202</c:v>
                </c:pt>
                <c:pt idx="2">
                  <c:v>12.700301697301962</c:v>
                </c:pt>
                <c:pt idx="3">
                  <c:v>13.57156991788427</c:v>
                </c:pt>
                <c:pt idx="4">
                  <c:v>14.569032228191102</c:v>
                </c:pt>
                <c:pt idx="5">
                  <c:v>5.5916567329829664E-2</c:v>
                </c:pt>
                <c:pt idx="6">
                  <c:v>5.9428969754847023E-2</c:v>
                </c:pt>
                <c:pt idx="7">
                  <c:v>6.176637311809547E-2</c:v>
                </c:pt>
                <c:pt idx="8">
                  <c:v>6.4079459836314273E-2</c:v>
                </c:pt>
                <c:pt idx="9">
                  <c:v>6.4546496388057331E-2</c:v>
                </c:pt>
                <c:pt idx="10">
                  <c:v>-1.0203156467238463</c:v>
                </c:pt>
                <c:pt idx="11">
                  <c:v>-1.0635860687084293</c:v>
                </c:pt>
                <c:pt idx="12">
                  <c:v>-1.1028624127715689</c:v>
                </c:pt>
                <c:pt idx="13">
                  <c:v>-1.1313759354614097</c:v>
                </c:pt>
                <c:pt idx="14">
                  <c:v>-1.1205897231658948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BC-4F00-A3C6-67DC6B59E325}"/>
            </c:ext>
          </c:extLst>
        </c:ser>
        <c:ser>
          <c:idx val="4"/>
          <c:order val="4"/>
          <c:tx>
            <c:strRef>
              <c:f>Overview!$O$63</c:f>
              <c:strCache>
                <c:ptCount val="1"/>
                <c:pt idx="0">
                  <c:v>Tax Allowance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Overview!$P$57:$AD$58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Overview!$P$63:$AD$63</c:f>
              <c:numCache>
                <c:formatCode>_(#,##0_);\(#,##0\);_("-"_)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2.126526075575609</c:v>
                </c:pt>
                <c:pt idx="6">
                  <c:v>1.2153078805612716</c:v>
                </c:pt>
                <c:pt idx="7">
                  <c:v>1.2434564977394187</c:v>
                </c:pt>
                <c:pt idx="8">
                  <c:v>0.92763979501349203</c:v>
                </c:pt>
                <c:pt idx="9">
                  <c:v>1.225456600549131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BC-4F00-A3C6-67DC6B59E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46278304"/>
        <c:axId val="2046276144"/>
      </c:barChart>
      <c:lineChart>
        <c:grouping val="standard"/>
        <c:varyColors val="0"/>
        <c:ser>
          <c:idx val="5"/>
          <c:order val="5"/>
          <c:tx>
            <c:strRef>
              <c:f>Overview!$O$64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Overview!$P$57:$AD$58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Overview!$P$64:$AD$64</c:f>
              <c:numCache>
                <c:formatCode>_(#,##0_);\(#,##0\);_("-"_)</c:formatCode>
                <c:ptCount val="15"/>
                <c:pt idx="0">
                  <c:v>232.63090324562137</c:v>
                </c:pt>
                <c:pt idx="1">
                  <c:v>252.36584726254893</c:v>
                </c:pt>
                <c:pt idx="2">
                  <c:v>260.48125466365912</c:v>
                </c:pt>
                <c:pt idx="3">
                  <c:v>253.95612994741276</c:v>
                </c:pt>
                <c:pt idx="4">
                  <c:v>249.28021701569745</c:v>
                </c:pt>
                <c:pt idx="5">
                  <c:v>166.96554449211698</c:v>
                </c:pt>
                <c:pt idx="6">
                  <c:v>168.43156613134039</c:v>
                </c:pt>
                <c:pt idx="7">
                  <c:v>169.43177804826823</c:v>
                </c:pt>
                <c:pt idx="8">
                  <c:v>169.65791568669636</c:v>
                </c:pt>
                <c:pt idx="9">
                  <c:v>171.35449484356326</c:v>
                </c:pt>
                <c:pt idx="10">
                  <c:v>168.72627221033039</c:v>
                </c:pt>
                <c:pt idx="11">
                  <c:v>180.48996895261203</c:v>
                </c:pt>
                <c:pt idx="12">
                  <c:v>193.07383767659815</c:v>
                </c:pt>
                <c:pt idx="13">
                  <c:v>206.53506126402323</c:v>
                </c:pt>
                <c:pt idx="14">
                  <c:v>212.38899199525338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BC-4F00-A3C6-67DC6B59E325}"/>
            </c:ext>
          </c:extLst>
        </c:ser>
        <c:ser>
          <c:idx val="6"/>
          <c:order val="6"/>
          <c:tx>
            <c:strRef>
              <c:f>Overview!$O$65</c:f>
              <c:strCache>
                <c:ptCount val="1"/>
                <c:pt idx="0">
                  <c:v>MD Revenue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Overview!$P$57:$AD$58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Previous Period</c:v>
                  </c:pt>
                  <c:pt idx="5">
                    <c:v>Current Period</c:v>
                  </c:pt>
                  <c:pt idx="10">
                    <c:v>Next Period</c:v>
                  </c:pt>
                </c:lvl>
              </c:multiLvlStrCache>
            </c:multiLvlStrRef>
          </c:cat>
          <c:val>
            <c:numRef>
              <c:f>Overview!$P$65:$AD$65</c:f>
              <c:numCache>
                <c:formatCode>_(#,##0_);\(#,##0\);_("-"_)</c:formatCode>
                <c:ptCount val="15"/>
                <c:pt idx="0">
                  <c:v>191.6240062267936</c:v>
                </c:pt>
                <c:pt idx="1">
                  <c:v>208.38126089728502</c:v>
                </c:pt>
                <c:pt idx="2">
                  <c:v>207.88306591526987</c:v>
                </c:pt>
                <c:pt idx="3">
                  <c:v>206.66586457250716</c:v>
                </c:pt>
                <c:pt idx="4">
                  <c:v>207.49396821103809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BC-4F00-A3C6-67DC6B59E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278304"/>
        <c:axId val="2046276144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Overview!$O$66</c15:sqref>
                        </c15:formulaRef>
                      </c:ext>
                    </c:extLst>
                    <c:strCache>
                      <c:ptCount val="1"/>
                      <c:pt idx="0">
                        <c:v>Current Period Revenue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Overview!$P$57:$AD$58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2014/15</c:v>
                        </c:pt>
                        <c:pt idx="1">
                          <c:v>2015/16</c:v>
                        </c:pt>
                        <c:pt idx="2">
                          <c:v>2016/17</c:v>
                        </c:pt>
                        <c:pt idx="3">
                          <c:v>2017/18</c:v>
                        </c:pt>
                        <c:pt idx="4">
                          <c:v>2018/19</c:v>
                        </c:pt>
                        <c:pt idx="5">
                          <c:v>2019/20</c:v>
                        </c:pt>
                        <c:pt idx="6">
                          <c:v>2020/21</c:v>
                        </c:pt>
                        <c:pt idx="7">
                          <c:v>2021/22</c:v>
                        </c:pt>
                        <c:pt idx="8">
                          <c:v>2022/23</c:v>
                        </c:pt>
                        <c:pt idx="9">
                          <c:v>2023/24</c:v>
                        </c:pt>
                        <c:pt idx="10">
                          <c:v>2024/25</c:v>
                        </c:pt>
                        <c:pt idx="11">
                          <c:v>2025/26</c:v>
                        </c:pt>
                        <c:pt idx="12">
                          <c:v>2026/27</c:v>
                        </c:pt>
                        <c:pt idx="13">
                          <c:v>2027/28</c:v>
                        </c:pt>
                        <c:pt idx="14">
                          <c:v>2028/29</c:v>
                        </c:pt>
                      </c:lvl>
                      <c:lvl>
                        <c:pt idx="0">
                          <c:v>Previous Period</c:v>
                        </c:pt>
                        <c:pt idx="5">
                          <c:v>Current Period</c:v>
                        </c:pt>
                        <c:pt idx="10">
                          <c:v>Next Period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Overview!$P$66:$AD$66</c15:sqref>
                        </c15:formulaRef>
                      </c:ext>
                    </c:extLst>
                    <c:numCache>
                      <c:formatCode>_(#,##0_);\(#,##0\);_("-"_)</c:formatCode>
                      <c:ptCount val="15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137.89919148426418</c:v>
                      </c:pt>
                      <c:pt idx="6">
                        <c:v>144.46038396631681</c:v>
                      </c:pt>
                      <c:pt idx="7">
                        <c:v>154.24773387580836</c:v>
                      </c:pt>
                      <c:pt idx="8">
                        <c:v>163.76246687905055</c:v>
                      </c:pt>
                      <c:pt idx="9">
                        <c:v>171.35449484356332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5BC-4F00-A3C6-67DC6B59E325}"/>
                  </c:ext>
                </c:extLst>
              </c15:ser>
            </c15:filteredLineSeries>
          </c:ext>
        </c:extLst>
      </c:lineChart>
      <c:catAx>
        <c:axId val="204627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276144"/>
        <c:crosses val="autoZero"/>
        <c:auto val="1"/>
        <c:lblAlgn val="ctr"/>
        <c:lblOffset val="100"/>
        <c:noMultiLvlLbl val="0"/>
      </c:catAx>
      <c:valAx>
        <c:axId val="2046276144"/>
        <c:scaling>
          <c:orientation val="minMax"/>
          <c:max val="2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Overview!$O$68</c:f>
              <c:strCache>
                <c:ptCount val="1"/>
                <c:pt idx="0">
                  <c:v>Smoothed Revenue (Real 2024)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27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3064028761111"/>
          <c:y val="4.3650793650793648E-2"/>
          <c:w val="0.8741194997684113"/>
          <c:h val="0.573845210727969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Overview!$J$361</c:f>
              <c:strCache>
                <c:ptCount val="1"/>
                <c:pt idx="0">
                  <c:v>Opex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Overview!$K$357:$Y$358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2014-19 Period</c:v>
                  </c:pt>
                  <c:pt idx="5">
                    <c:v>2019-24 Period</c:v>
                  </c:pt>
                  <c:pt idx="10">
                    <c:v>2024-29 Period</c:v>
                  </c:pt>
                </c:lvl>
              </c:multiLvlStrCache>
            </c:multiLvlStrRef>
          </c:cat>
          <c:val>
            <c:numRef>
              <c:f>Overview!$K$361:$Y$361</c:f>
              <c:numCache>
                <c:formatCode>_("$"#,##0_);\("$"#,##0\);_("-"_)</c:formatCode>
                <c:ptCount val="15"/>
                <c:pt idx="0">
                  <c:v>3.586644796595623</c:v>
                </c:pt>
                <c:pt idx="1">
                  <c:v>3.7326498441080913</c:v>
                </c:pt>
                <c:pt idx="2">
                  <c:v>3.7980626827019437</c:v>
                </c:pt>
                <c:pt idx="3">
                  <c:v>3.6401429561158278</c:v>
                </c:pt>
                <c:pt idx="4">
                  <c:v>3.4758318230631748</c:v>
                </c:pt>
                <c:pt idx="5">
                  <c:v>6.5708456762364635</c:v>
                </c:pt>
                <c:pt idx="6">
                  <c:v>6.4828521674567758</c:v>
                </c:pt>
                <c:pt idx="7">
                  <c:v>6.4072286528105806</c:v>
                </c:pt>
                <c:pt idx="8">
                  <c:v>6.3182732547463356</c:v>
                </c:pt>
                <c:pt idx="9">
                  <c:v>6.2381142237716212</c:v>
                </c:pt>
                <c:pt idx="10">
                  <c:v>6.572076500624072</c:v>
                </c:pt>
                <c:pt idx="11">
                  <c:v>6.6386933589378012</c:v>
                </c:pt>
                <c:pt idx="12">
                  <c:v>6.7119499541636438</c:v>
                </c:pt>
                <c:pt idx="13">
                  <c:v>6.7887759029885801</c:v>
                </c:pt>
                <c:pt idx="14">
                  <c:v>6.8519919588775391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D-43AF-BFC3-DA96B8412917}"/>
            </c:ext>
          </c:extLst>
        </c:ser>
        <c:ser>
          <c:idx val="1"/>
          <c:order val="1"/>
          <c:tx>
            <c:strRef>
              <c:f>Overview!$J$360</c:f>
              <c:strCache>
                <c:ptCount val="1"/>
                <c:pt idx="0">
                  <c:v>Reg depreciation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Overview!$K$357:$Y$358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2014-19 Period</c:v>
                  </c:pt>
                  <c:pt idx="5">
                    <c:v>2019-24 Period</c:v>
                  </c:pt>
                  <c:pt idx="10">
                    <c:v>2024-29 Period</c:v>
                  </c:pt>
                </c:lvl>
              </c:multiLvlStrCache>
            </c:multiLvlStrRef>
          </c:cat>
          <c:val>
            <c:numRef>
              <c:f>Overview!$K$360:$Y$360</c:f>
              <c:numCache>
                <c:formatCode>_("$"#,##0_);\("$"#,##0\);_("-"_)</c:formatCode>
                <c:ptCount val="15"/>
                <c:pt idx="0">
                  <c:v>0.99006240266489309</c:v>
                </c:pt>
                <c:pt idx="1">
                  <c:v>1.1753321949980029</c:v>
                </c:pt>
                <c:pt idx="2">
                  <c:v>1.0557842982919445</c:v>
                </c:pt>
                <c:pt idx="3">
                  <c:v>1.1480014385182091</c:v>
                </c:pt>
                <c:pt idx="4">
                  <c:v>1.2685595697669574</c:v>
                </c:pt>
                <c:pt idx="5">
                  <c:v>0.60603745916627894</c:v>
                </c:pt>
                <c:pt idx="6">
                  <c:v>1.0449003787708968</c:v>
                </c:pt>
                <c:pt idx="7">
                  <c:v>1.2862760900528358</c:v>
                </c:pt>
                <c:pt idx="8">
                  <c:v>1.5398942515041245</c:v>
                </c:pt>
                <c:pt idx="9">
                  <c:v>2.0225970318511157</c:v>
                </c:pt>
                <c:pt idx="10">
                  <c:v>2.2937825388517505</c:v>
                </c:pt>
                <c:pt idx="11">
                  <c:v>2.8727321488314117</c:v>
                </c:pt>
                <c:pt idx="12">
                  <c:v>3.4463377269893192</c:v>
                </c:pt>
                <c:pt idx="13">
                  <c:v>4.1402003210108624</c:v>
                </c:pt>
                <c:pt idx="14">
                  <c:v>4.8027950552612602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D-43AF-BFC3-DA96B8412917}"/>
            </c:ext>
          </c:extLst>
        </c:ser>
        <c:ser>
          <c:idx val="2"/>
          <c:order val="2"/>
          <c:tx>
            <c:strRef>
              <c:f>Overview!$J$359</c:f>
              <c:strCache>
                <c:ptCount val="1"/>
                <c:pt idx="0">
                  <c:v>Return on assets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Overview!$K$357:$Y$358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2014-19 Period</c:v>
                  </c:pt>
                  <c:pt idx="5">
                    <c:v>2019-24 Period</c:v>
                  </c:pt>
                  <c:pt idx="10">
                    <c:v>2024-29 Period</c:v>
                  </c:pt>
                </c:lvl>
              </c:multiLvlStrCache>
            </c:multiLvlStrRef>
          </c:cat>
          <c:val>
            <c:numRef>
              <c:f>Overview!$K$359:$Y$359</c:f>
              <c:numCache>
                <c:formatCode>_("$"#,##0_);\("$"#,##0\);_("-"_)</c:formatCode>
                <c:ptCount val="15"/>
                <c:pt idx="0">
                  <c:v>1.394411273884189</c:v>
                </c:pt>
                <c:pt idx="1">
                  <c:v>1.5696886037713376</c:v>
                </c:pt>
                <c:pt idx="2">
                  <c:v>1.6373910012026565</c:v>
                </c:pt>
                <c:pt idx="3">
                  <c:v>1.669642078937831</c:v>
                </c:pt>
                <c:pt idx="4">
                  <c:v>1.72385744511525</c:v>
                </c:pt>
                <c:pt idx="5">
                  <c:v>0.80746775358258893</c:v>
                </c:pt>
                <c:pt idx="6">
                  <c:v>1.1524169708430168</c:v>
                </c:pt>
                <c:pt idx="7">
                  <c:v>1.2876305826031953</c:v>
                </c:pt>
                <c:pt idx="8">
                  <c:v>1.421043689925384</c:v>
                </c:pt>
                <c:pt idx="9">
                  <c:v>1.7649270992630139</c:v>
                </c:pt>
                <c:pt idx="10">
                  <c:v>2.6469937319325036</c:v>
                </c:pt>
                <c:pt idx="11">
                  <c:v>3.2164371712739315</c:v>
                </c:pt>
                <c:pt idx="12">
                  <c:v>3.7700339408515418</c:v>
                </c:pt>
                <c:pt idx="13">
                  <c:v>4.3057878439251231</c:v>
                </c:pt>
                <c:pt idx="14">
                  <c:v>4.908119789874628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D-43AF-BFC3-DA96B8412917}"/>
            </c:ext>
          </c:extLst>
        </c:ser>
        <c:ser>
          <c:idx val="3"/>
          <c:order val="3"/>
          <c:tx>
            <c:strRef>
              <c:f>Overview!$J$362</c:f>
              <c:strCache>
                <c:ptCount val="1"/>
                <c:pt idx="0">
                  <c:v>Rev Adjustment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Overview!$K$357:$Y$358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2014-19 Period</c:v>
                  </c:pt>
                  <c:pt idx="5">
                    <c:v>2019-24 Period</c:v>
                  </c:pt>
                  <c:pt idx="10">
                    <c:v>2024-29 Period</c:v>
                  </c:pt>
                </c:lvl>
              </c:multiLvlStrCache>
            </c:multiLvlStrRef>
          </c:cat>
          <c:val>
            <c:numRef>
              <c:f>Overview!$K$362:$Y$362</c:f>
              <c:numCache>
                <c:formatCode>_("$"#,##0_);\("$"#,##0\);_("-"_)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6D-43AF-BFC3-DA96B8412917}"/>
            </c:ext>
          </c:extLst>
        </c:ser>
        <c:ser>
          <c:idx val="4"/>
          <c:order val="4"/>
          <c:tx>
            <c:strRef>
              <c:f>Overview!$J$363</c:f>
              <c:strCache>
                <c:ptCount val="1"/>
                <c:pt idx="0">
                  <c:v>Tax allowance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Overview!$K$357:$Y$358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2014-19 Period</c:v>
                  </c:pt>
                  <c:pt idx="5">
                    <c:v>2019-24 Period</c:v>
                  </c:pt>
                  <c:pt idx="10">
                    <c:v>2024-29 Period</c:v>
                  </c:pt>
                </c:lvl>
              </c:multiLvlStrCache>
            </c:multiLvlStrRef>
          </c:cat>
          <c:val>
            <c:numRef>
              <c:f>Overview!$K$363:$Y$363</c:f>
              <c:numCache>
                <c:formatCode>_("$"#,##0_);\("$"#,##0\);_("-"_)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6D-43AF-BFC3-DA96B8412917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38380912"/>
        <c:axId val="1038379928"/>
      </c:barChart>
      <c:lineChart>
        <c:grouping val="standard"/>
        <c:varyColors val="0"/>
        <c:ser>
          <c:idx val="7"/>
          <c:order val="5"/>
          <c:tx>
            <c:strRef>
              <c:f>Overview!$J$364</c:f>
              <c:strCache>
                <c:ptCount val="1"/>
                <c:pt idx="0">
                  <c:v>Annual Building Block Revenue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multiLvlStrRef>
              <c:f>Overview!$K$357:$Y$358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2014-19 Period</c:v>
                  </c:pt>
                  <c:pt idx="5">
                    <c:v>2019-24 Period</c:v>
                  </c:pt>
                  <c:pt idx="10">
                    <c:v>2024-29 Period</c:v>
                  </c:pt>
                </c:lvl>
              </c:multiLvlStrCache>
            </c:multiLvlStrRef>
          </c:cat>
          <c:val>
            <c:numRef>
              <c:f>Overview!$K$364:$Y$364</c:f>
              <c:numCache>
                <c:formatCode>_("$"#,##0_);\("$"#,##0\);_("-"_)</c:formatCode>
                <c:ptCount val="15"/>
                <c:pt idx="0">
                  <c:v>5.9711184731447045</c:v>
                </c:pt>
                <c:pt idx="1">
                  <c:v>6.477670642877432</c:v>
                </c:pt>
                <c:pt idx="2">
                  <c:v>6.4912379821965445</c:v>
                </c:pt>
                <c:pt idx="3">
                  <c:v>6.4577864735718684</c:v>
                </c:pt>
                <c:pt idx="4">
                  <c:v>6.4682488379453815</c:v>
                </c:pt>
                <c:pt idx="5">
                  <c:v>7.9843508889853316</c:v>
                </c:pt>
                <c:pt idx="6">
                  <c:v>8.6801695170706896</c:v>
                </c:pt>
                <c:pt idx="7">
                  <c:v>8.981135325466612</c:v>
                </c:pt>
                <c:pt idx="8">
                  <c:v>9.2792111961758437</c:v>
                </c:pt>
                <c:pt idx="9">
                  <c:v>10.02563835488575</c:v>
                </c:pt>
                <c:pt idx="10">
                  <c:v>11.512852771408326</c:v>
                </c:pt>
                <c:pt idx="11">
                  <c:v>12.727862679043145</c:v>
                </c:pt>
                <c:pt idx="12">
                  <c:v>13.928321622004503</c:v>
                </c:pt>
                <c:pt idx="13">
                  <c:v>15.234764067924566</c:v>
                </c:pt>
                <c:pt idx="14">
                  <c:v>16.56290680401343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6D-43AF-BFC3-DA96B8412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380912"/>
        <c:axId val="1038379928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Overview!$J$365</c15:sqref>
                        </c15:formulaRef>
                      </c:ext>
                    </c:extLst>
                    <c:strCache>
                      <c:ptCount val="1"/>
                      <c:pt idx="0">
                        <c:v>Actual / Estimate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5"/>
                    <c:pt idx="0">
                      <c:v>2014/15</c:v>
                    </c:pt>
                    <c:pt idx="1">
                      <c:v>2015/16</c:v>
                    </c:pt>
                    <c:pt idx="2">
                      <c:v>2016/17</c:v>
                    </c:pt>
                    <c:pt idx="3">
                      <c:v>2017/18</c:v>
                    </c:pt>
                    <c:pt idx="4">
                      <c:v>2018/19</c:v>
                    </c:pt>
                    <c:pt idx="5">
                      <c:v>2019/20</c:v>
                    </c:pt>
                    <c:pt idx="6">
                      <c:v>2020/21</c:v>
                    </c:pt>
                    <c:pt idx="7">
                      <c:v>2021/22</c:v>
                    </c:pt>
                    <c:pt idx="8">
                      <c:v>2022/23</c:v>
                    </c:pt>
                    <c:pt idx="9">
                      <c:v>2023/24</c:v>
                    </c:pt>
                    <c:pt idx="10">
                      <c:v>2024/25</c:v>
                    </c:pt>
                    <c:pt idx="11">
                      <c:v>2025/26</c:v>
                    </c:pt>
                    <c:pt idx="12">
                      <c:v>2026/27</c:v>
                    </c:pt>
                    <c:pt idx="13">
                      <c:v>2027/28</c:v>
                    </c:pt>
                    <c:pt idx="14">
                      <c:v>2028/29</c:v>
                    </c:pt>
                  </c:strLit>
                </c:cat>
                <c:val>
                  <c:numRef>
                    <c:extLst>
                      <c:ext uri="{02D57815-91ED-43cb-92C2-25804820EDAC}">
                        <c15:formulaRef>
                          <c15:sqref>Overview!$K$365:$Y$365</c15:sqref>
                        </c15:formulaRef>
                      </c:ext>
                    </c:extLst>
                    <c:numCache>
                      <c:formatCode>_("$"#,##0_);\("$"#,##0\);_("-"_)</c:formatCode>
                      <c:ptCount val="15"/>
                      <c:pt idx="0">
                        <c:v>5.7223241740235258</c:v>
                      </c:pt>
                      <c:pt idx="1">
                        <c:v>6.5214820802158577</c:v>
                      </c:pt>
                      <c:pt idx="2">
                        <c:v>6.5193945667071329</c:v>
                      </c:pt>
                      <c:pt idx="3">
                        <c:v>6.0439414027131901</c:v>
                      </c:pt>
                      <c:pt idx="4">
                        <c:v>6.2269452463483645</c:v>
                      </c:pt>
                      <c:pt idx="5">
                        <c:v>6.1928178214453515</c:v>
                      </c:pt>
                      <c:pt idx="6">
                        <c:v>7.0587571357048216</c:v>
                      </c:pt>
                      <c:pt idx="7">
                        <c:v>7.1072502802552382</c:v>
                      </c:pt>
                      <c:pt idx="8">
                        <c:v>7.0669513693461159</c:v>
                      </c:pt>
                      <c:pt idx="9">
                        <c:v>7.5651082862859482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206D-43AF-BFC3-DA96B8412917}"/>
                  </c:ext>
                </c:extLst>
              </c15:ser>
            </c15:filteredLineSeries>
          </c:ext>
        </c:extLst>
      </c:lineChart>
      <c:catAx>
        <c:axId val="103838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379928"/>
        <c:crosses val="autoZero"/>
        <c:auto val="1"/>
        <c:lblAlgn val="ctr"/>
        <c:lblOffset val="100"/>
        <c:noMultiLvlLbl val="0"/>
      </c:catAx>
      <c:valAx>
        <c:axId val="103837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Overview!$K$367</c:f>
              <c:strCache>
                <c:ptCount val="1"/>
                <c:pt idx="0">
                  <c:v>Building block revenue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38091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4.478197778147823E-2"/>
          <c:y val="0.89629976433126035"/>
          <c:w val="0.77119932998719021"/>
          <c:h val="7.8998993685653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50054384613334E-2"/>
          <c:y val="6.9359226324992931E-2"/>
          <c:w val="0.92030703863763474"/>
          <c:h val="0.78093005284153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'2'!$T$70</c:f>
              <c:strCache>
                <c:ptCount val="1"/>
                <c:pt idx="0">
                  <c:v>Totals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'2'!$P$71:$P$83</c:f>
              <c:strCache>
                <c:ptCount val="13"/>
                <c:pt idx="0">
                  <c:v>Initial Proposal</c:v>
                </c:pt>
                <c:pt idx="1">
                  <c:v>RoA</c:v>
                </c:pt>
                <c:pt idx="2">
                  <c:v>Depn</c:v>
                </c:pt>
                <c:pt idx="3">
                  <c:v>Opex</c:v>
                </c:pt>
                <c:pt idx="4">
                  <c:v>Rev Adj</c:v>
                </c:pt>
                <c:pt idx="5">
                  <c:v>Tax</c:v>
                </c:pt>
                <c:pt idx="6">
                  <c:v>Draft Decision</c:v>
                </c:pt>
                <c:pt idx="7">
                  <c:v>RoA</c:v>
                </c:pt>
                <c:pt idx="8">
                  <c:v>Depn</c:v>
                </c:pt>
                <c:pt idx="9">
                  <c:v>Opex</c:v>
                </c:pt>
                <c:pt idx="10">
                  <c:v>Rev Adj</c:v>
                </c:pt>
                <c:pt idx="11">
                  <c:v>Tax</c:v>
                </c:pt>
                <c:pt idx="12">
                  <c:v>Revised Proposal</c:v>
                </c:pt>
              </c:strCache>
            </c:strRef>
          </c:cat>
          <c:val>
            <c:numRef>
              <c:f>'2'!$T$71:$T$83</c:f>
              <c:numCache>
                <c:formatCode>_(#,##0_);\(#,##0\);_("-"_)</c:formatCode>
                <c:ptCount val="13"/>
                <c:pt idx="0">
                  <c:v>1087.1683120103235</c:v>
                </c:pt>
                <c:pt idx="6">
                  <c:v>1013.953691380505</c:v>
                </c:pt>
                <c:pt idx="12">
                  <c:v>1045.501912339563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D-4A6B-BD97-A8F3AF48FB96}"/>
            </c:ext>
          </c:extLst>
        </c:ser>
        <c:ser>
          <c:idx val="1"/>
          <c:order val="1"/>
          <c:tx>
            <c:strRef>
              <c:f>'2'!$U$70</c:f>
              <c:strCache>
                <c:ptCount val="1"/>
                <c:pt idx="0">
                  <c:v>Clear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'2'!$P$71:$P$83</c:f>
              <c:strCache>
                <c:ptCount val="13"/>
                <c:pt idx="0">
                  <c:v>Initial Proposal</c:v>
                </c:pt>
                <c:pt idx="1">
                  <c:v>RoA</c:v>
                </c:pt>
                <c:pt idx="2">
                  <c:v>Depn</c:v>
                </c:pt>
                <c:pt idx="3">
                  <c:v>Opex</c:v>
                </c:pt>
                <c:pt idx="4">
                  <c:v>Rev Adj</c:v>
                </c:pt>
                <c:pt idx="5">
                  <c:v>Tax</c:v>
                </c:pt>
                <c:pt idx="6">
                  <c:v>Draft Decision</c:v>
                </c:pt>
                <c:pt idx="7">
                  <c:v>RoA</c:v>
                </c:pt>
                <c:pt idx="8">
                  <c:v>Depn</c:v>
                </c:pt>
                <c:pt idx="9">
                  <c:v>Opex</c:v>
                </c:pt>
                <c:pt idx="10">
                  <c:v>Rev Adj</c:v>
                </c:pt>
                <c:pt idx="11">
                  <c:v>Tax</c:v>
                </c:pt>
                <c:pt idx="12">
                  <c:v>Revised Proposal</c:v>
                </c:pt>
              </c:strCache>
            </c:strRef>
          </c:cat>
          <c:val>
            <c:numRef>
              <c:f>'2'!$U$71:$U$83</c:f>
              <c:numCache>
                <c:formatCode>_(#,##0_);\(#,##0\);_("-"_)</c:formatCode>
                <c:ptCount val="13"/>
                <c:pt idx="1">
                  <c:v>1071.2793465668958</c:v>
                </c:pt>
                <c:pt idx="2">
                  <c:v>1071.2793465668958</c:v>
                </c:pt>
                <c:pt idx="3">
                  <c:v>1015.3021958280234</c:v>
                </c:pt>
                <c:pt idx="4">
                  <c:v>1015.0990836916571</c:v>
                </c:pt>
                <c:pt idx="5">
                  <c:v>1013.953691380505</c:v>
                </c:pt>
                <c:pt idx="7">
                  <c:v>1013.953691380505</c:v>
                </c:pt>
                <c:pt idx="8">
                  <c:v>1021.0950500741299</c:v>
                </c:pt>
                <c:pt idx="9">
                  <c:v>1025.5733511365675</c:v>
                </c:pt>
                <c:pt idx="10">
                  <c:v>1045.501912339563</c:v>
                </c:pt>
                <c:pt idx="11">
                  <c:v>1045.501912339563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D-4A6B-BD97-A8F3AF48FB96}"/>
            </c:ext>
          </c:extLst>
        </c:ser>
        <c:ser>
          <c:idx val="2"/>
          <c:order val="2"/>
          <c:tx>
            <c:strRef>
              <c:f>'2'!$V$70</c:f>
              <c:strCache>
                <c:ptCount val="1"/>
                <c:pt idx="0">
                  <c:v>Above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1D-4A6B-BD97-A8F3AF48FB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1D-4A6B-BD97-A8F3AF48FB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D-4A6B-BD97-A8F3AF48FB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1D-4A6B-BD97-A8F3AF48FB9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01D-4A6B-BD97-A8F3AF48FB9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01D-4A6B-BD97-A8F3AF48FB9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01D-4A6B-BD97-A8F3AF48FB9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1D-4A6B-BD97-A8F3AF48FB9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1D-4A6B-BD97-A8F3AF48F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'2'!$P$71:$P$83</c:f>
              <c:strCache>
                <c:ptCount val="13"/>
                <c:pt idx="0">
                  <c:v>Initial Proposal</c:v>
                </c:pt>
                <c:pt idx="1">
                  <c:v>RoA</c:v>
                </c:pt>
                <c:pt idx="2">
                  <c:v>Depn</c:v>
                </c:pt>
                <c:pt idx="3">
                  <c:v>Opex</c:v>
                </c:pt>
                <c:pt idx="4">
                  <c:v>Rev Adj</c:v>
                </c:pt>
                <c:pt idx="5">
                  <c:v>Tax</c:v>
                </c:pt>
                <c:pt idx="6">
                  <c:v>Draft Decision</c:v>
                </c:pt>
                <c:pt idx="7">
                  <c:v>RoA</c:v>
                </c:pt>
                <c:pt idx="8">
                  <c:v>Depn</c:v>
                </c:pt>
                <c:pt idx="9">
                  <c:v>Opex</c:v>
                </c:pt>
                <c:pt idx="10">
                  <c:v>Rev Adj</c:v>
                </c:pt>
                <c:pt idx="11">
                  <c:v>Tax</c:v>
                </c:pt>
                <c:pt idx="12">
                  <c:v>Revised Proposal</c:v>
                </c:pt>
              </c:strCache>
            </c:strRef>
          </c:cat>
          <c:val>
            <c:numRef>
              <c:f>'2'!$V$71:$V$83</c:f>
              <c:numCache>
                <c:formatCode>_(#,##0_);\(#,##0\);_("-"_)</c:formatCode>
                <c:ptCount val="13"/>
                <c:pt idx="1">
                  <c:v>0</c:v>
                </c:pt>
                <c:pt idx="2">
                  <c:v>1.0942216222103127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7.1413586936249089</c:v>
                </c:pt>
                <c:pt idx="8">
                  <c:v>4.4783010624375095</c:v>
                </c:pt>
                <c:pt idx="9">
                  <c:v>24.894013467557386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01D-4A6B-BD97-A8F3AF48FB96}"/>
            </c:ext>
          </c:extLst>
        </c:ser>
        <c:ser>
          <c:idx val="3"/>
          <c:order val="3"/>
          <c:tx>
            <c:strRef>
              <c:f>'2'!$W$70</c:f>
              <c:strCache>
                <c:ptCount val="1"/>
                <c:pt idx="0">
                  <c:v>Below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001D-4A6B-BD97-A8F3AF48FB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1D-4A6B-BD97-A8F3AF48FB9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01D-4A6B-BD97-A8F3AF48FB9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1D-4A6B-BD97-A8F3AF48FB9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1D-4A6B-BD97-A8F3AF48FB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1D-4A6B-BD97-A8F3AF48FB9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1D-4A6B-BD97-A8F3AF48FB9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01D-4A6B-BD97-A8F3AF48FB9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1D-4A6B-BD97-A8F3AF48FB9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1D-4A6B-BD97-A8F3AF48F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'2'!$P$71:$P$83</c:f>
              <c:strCache>
                <c:ptCount val="13"/>
                <c:pt idx="0">
                  <c:v>Initial Proposal</c:v>
                </c:pt>
                <c:pt idx="1">
                  <c:v>RoA</c:v>
                </c:pt>
                <c:pt idx="2">
                  <c:v>Depn</c:v>
                </c:pt>
                <c:pt idx="3">
                  <c:v>Opex</c:v>
                </c:pt>
                <c:pt idx="4">
                  <c:v>Rev Adj</c:v>
                </c:pt>
                <c:pt idx="5">
                  <c:v>Tax</c:v>
                </c:pt>
                <c:pt idx="6">
                  <c:v>Draft Decision</c:v>
                </c:pt>
                <c:pt idx="7">
                  <c:v>RoA</c:v>
                </c:pt>
                <c:pt idx="8">
                  <c:v>Depn</c:v>
                </c:pt>
                <c:pt idx="9">
                  <c:v>Opex</c:v>
                </c:pt>
                <c:pt idx="10">
                  <c:v>Rev Adj</c:v>
                </c:pt>
                <c:pt idx="11">
                  <c:v>Tax</c:v>
                </c:pt>
                <c:pt idx="12">
                  <c:v>Revised Proposal</c:v>
                </c:pt>
              </c:strCache>
            </c:strRef>
          </c:cat>
          <c:val>
            <c:numRef>
              <c:f>'2'!$W$71:$W$83</c:f>
              <c:numCache>
                <c:formatCode>_(#,##0_);\(#,##0\);_("-"_)</c:formatCode>
                <c:ptCount val="13"/>
                <c:pt idx="1">
                  <c:v>15.888965443427708</c:v>
                </c:pt>
                <c:pt idx="2">
                  <c:v>0</c:v>
                </c:pt>
                <c:pt idx="3">
                  <c:v>57.071372361082808</c:v>
                </c:pt>
                <c:pt idx="4">
                  <c:v>0.20311213636631009</c:v>
                </c:pt>
                <c:pt idx="5">
                  <c:v>1.1453923111521589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4.9654522645618826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01D-4A6B-BD97-A8F3AF48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3240528"/>
        <c:axId val="1213241360"/>
      </c:barChart>
      <c:catAx>
        <c:axId val="12132405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241360"/>
        <c:crosses val="max"/>
        <c:auto val="1"/>
        <c:lblAlgn val="ctr"/>
        <c:lblOffset val="100"/>
        <c:noMultiLvlLbl val="0"/>
      </c:catAx>
      <c:valAx>
        <c:axId val="1213241360"/>
        <c:scaling>
          <c:orientation val="minMax"/>
          <c:max val="1100"/>
          <c:min val="950"/>
        </c:scaling>
        <c:delete val="1"/>
        <c:axPos val="l"/>
        <c:title>
          <c:tx>
            <c:strRef>
              <c:f>'2'!$Q$89</c:f>
              <c:strCache>
                <c:ptCount val="1"/>
                <c:pt idx="0">
                  <c:v>Nominal, $Million, Unsmoothed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#,##0_);\(#,##0\);_(#,##0_)" sourceLinked="0"/>
        <c:majorTickMark val="out"/>
        <c:minorTickMark val="none"/>
        <c:tickLblPos val="nextTo"/>
        <c:crossAx val="121324052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50054384613334E-2"/>
          <c:y val="6.9359226324992931E-2"/>
          <c:w val="0.92030703863763474"/>
          <c:h val="0.78093005284153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'2'!$T$70</c:f>
              <c:strCache>
                <c:ptCount val="1"/>
                <c:pt idx="0">
                  <c:v>Totals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'2'!$P$71:$P$83</c:f>
              <c:strCache>
                <c:ptCount val="13"/>
                <c:pt idx="0">
                  <c:v>Initial Proposal</c:v>
                </c:pt>
                <c:pt idx="1">
                  <c:v>RoA</c:v>
                </c:pt>
                <c:pt idx="2">
                  <c:v>Depn</c:v>
                </c:pt>
                <c:pt idx="3">
                  <c:v>Opex</c:v>
                </c:pt>
                <c:pt idx="4">
                  <c:v>Rev Adj</c:v>
                </c:pt>
                <c:pt idx="5">
                  <c:v>Tax</c:v>
                </c:pt>
                <c:pt idx="6">
                  <c:v>Draft Decision</c:v>
                </c:pt>
                <c:pt idx="7">
                  <c:v>RoA</c:v>
                </c:pt>
                <c:pt idx="8">
                  <c:v>Depn</c:v>
                </c:pt>
                <c:pt idx="9">
                  <c:v>Opex</c:v>
                </c:pt>
                <c:pt idx="10">
                  <c:v>Rev Adj</c:v>
                </c:pt>
                <c:pt idx="11">
                  <c:v>Tax</c:v>
                </c:pt>
                <c:pt idx="12">
                  <c:v>Revised Proposal</c:v>
                </c:pt>
              </c:strCache>
            </c:strRef>
          </c:cat>
          <c:val>
            <c:numRef>
              <c:f>'2'!$T$71:$T$83</c:f>
              <c:numCache>
                <c:formatCode>_(#,##0_);\(#,##0\);_("-"_)</c:formatCode>
                <c:ptCount val="13"/>
                <c:pt idx="0">
                  <c:v>1087.1683120103235</c:v>
                </c:pt>
                <c:pt idx="6">
                  <c:v>1013.953691380505</c:v>
                </c:pt>
                <c:pt idx="12">
                  <c:v>1045.501912339563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2B-4D8F-B0DC-C9A555E7F957}"/>
            </c:ext>
          </c:extLst>
        </c:ser>
        <c:ser>
          <c:idx val="1"/>
          <c:order val="1"/>
          <c:tx>
            <c:strRef>
              <c:f>'2'!$U$70</c:f>
              <c:strCache>
                <c:ptCount val="1"/>
                <c:pt idx="0">
                  <c:v>Clear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'2'!$P$71:$P$83</c:f>
              <c:strCache>
                <c:ptCount val="13"/>
                <c:pt idx="0">
                  <c:v>Initial Proposal</c:v>
                </c:pt>
                <c:pt idx="1">
                  <c:v>RoA</c:v>
                </c:pt>
                <c:pt idx="2">
                  <c:v>Depn</c:v>
                </c:pt>
                <c:pt idx="3">
                  <c:v>Opex</c:v>
                </c:pt>
                <c:pt idx="4">
                  <c:v>Rev Adj</c:v>
                </c:pt>
                <c:pt idx="5">
                  <c:v>Tax</c:v>
                </c:pt>
                <c:pt idx="6">
                  <c:v>Draft Decision</c:v>
                </c:pt>
                <c:pt idx="7">
                  <c:v>RoA</c:v>
                </c:pt>
                <c:pt idx="8">
                  <c:v>Depn</c:v>
                </c:pt>
                <c:pt idx="9">
                  <c:v>Opex</c:v>
                </c:pt>
                <c:pt idx="10">
                  <c:v>Rev Adj</c:v>
                </c:pt>
                <c:pt idx="11">
                  <c:v>Tax</c:v>
                </c:pt>
                <c:pt idx="12">
                  <c:v>Revised Proposal</c:v>
                </c:pt>
              </c:strCache>
            </c:strRef>
          </c:cat>
          <c:val>
            <c:numRef>
              <c:f>'2'!$U$71:$U$83</c:f>
              <c:numCache>
                <c:formatCode>_(#,##0_);\(#,##0\);_("-"_)</c:formatCode>
                <c:ptCount val="13"/>
                <c:pt idx="1">
                  <c:v>1071.2793465668958</c:v>
                </c:pt>
                <c:pt idx="2">
                  <c:v>1071.2793465668958</c:v>
                </c:pt>
                <c:pt idx="3">
                  <c:v>1015.3021958280234</c:v>
                </c:pt>
                <c:pt idx="4">
                  <c:v>1015.0990836916571</c:v>
                </c:pt>
                <c:pt idx="5">
                  <c:v>1013.953691380505</c:v>
                </c:pt>
                <c:pt idx="7">
                  <c:v>1013.953691380505</c:v>
                </c:pt>
                <c:pt idx="8">
                  <c:v>1021.0950500741299</c:v>
                </c:pt>
                <c:pt idx="9">
                  <c:v>1025.5733511365675</c:v>
                </c:pt>
                <c:pt idx="10">
                  <c:v>1045.501912339563</c:v>
                </c:pt>
                <c:pt idx="11">
                  <c:v>1045.501912339563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2B-4D8F-B0DC-C9A555E7F957}"/>
            </c:ext>
          </c:extLst>
        </c:ser>
        <c:ser>
          <c:idx val="2"/>
          <c:order val="2"/>
          <c:tx>
            <c:strRef>
              <c:f>'2'!$V$70</c:f>
              <c:strCache>
                <c:ptCount val="1"/>
                <c:pt idx="0">
                  <c:v>Above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2B-4D8F-B0DC-C9A555E7F9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2B-4D8F-B0DC-C9A555E7F9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2B-4D8F-B0DC-C9A555E7F9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2B-4D8F-B0DC-C9A555E7F957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604-4007-B663-B5EAECBC8CD9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604-4007-B663-B5EAECBC8CD9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604-4007-B663-B5EAECBC8CD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2B-4D8F-B0DC-C9A555E7F95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2B-4D8F-B0DC-C9A555E7F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'2'!$P$71:$P$83</c:f>
              <c:strCache>
                <c:ptCount val="13"/>
                <c:pt idx="0">
                  <c:v>Initial Proposal</c:v>
                </c:pt>
                <c:pt idx="1">
                  <c:v>RoA</c:v>
                </c:pt>
                <c:pt idx="2">
                  <c:v>Depn</c:v>
                </c:pt>
                <c:pt idx="3">
                  <c:v>Opex</c:v>
                </c:pt>
                <c:pt idx="4">
                  <c:v>Rev Adj</c:v>
                </c:pt>
                <c:pt idx="5">
                  <c:v>Tax</c:v>
                </c:pt>
                <c:pt idx="6">
                  <c:v>Draft Decision</c:v>
                </c:pt>
                <c:pt idx="7">
                  <c:v>RoA</c:v>
                </c:pt>
                <c:pt idx="8">
                  <c:v>Depn</c:v>
                </c:pt>
                <c:pt idx="9">
                  <c:v>Opex</c:v>
                </c:pt>
                <c:pt idx="10">
                  <c:v>Rev Adj</c:v>
                </c:pt>
                <c:pt idx="11">
                  <c:v>Tax</c:v>
                </c:pt>
                <c:pt idx="12">
                  <c:v>Revised Proposal</c:v>
                </c:pt>
              </c:strCache>
            </c:strRef>
          </c:cat>
          <c:val>
            <c:numRef>
              <c:f>'2'!$V$71:$V$83</c:f>
              <c:numCache>
                <c:formatCode>_(#,##0_);\(#,##0\);_("-"_)</c:formatCode>
                <c:ptCount val="13"/>
                <c:pt idx="1">
                  <c:v>0</c:v>
                </c:pt>
                <c:pt idx="2">
                  <c:v>1.0942216222103127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7.1413586936249089</c:v>
                </c:pt>
                <c:pt idx="8">
                  <c:v>4.4783010624375095</c:v>
                </c:pt>
                <c:pt idx="9">
                  <c:v>24.894013467557386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2B-4D8F-B0DC-C9A555E7F957}"/>
            </c:ext>
          </c:extLst>
        </c:ser>
        <c:ser>
          <c:idx val="3"/>
          <c:order val="3"/>
          <c:tx>
            <c:strRef>
              <c:f>'2'!$W$70</c:f>
              <c:strCache>
                <c:ptCount val="1"/>
                <c:pt idx="0">
                  <c:v>Below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42B-4D8F-B0DC-C9A555E7F9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2B-4D8F-B0DC-C9A555E7F95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42B-4D8F-B0DC-C9A555E7F9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2B-4D8F-B0DC-C9A555E7F9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2B-4D8F-B0DC-C9A555E7F9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2B-4D8F-B0DC-C9A555E7F9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2B-4D8F-B0DC-C9A555E7F957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F42B-4D8F-B0DC-C9A555E7F95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2B-4D8F-B0DC-C9A555E7F9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2B-4D8F-B0DC-C9A555E7F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'2'!$P$71:$P$83</c:f>
              <c:strCache>
                <c:ptCount val="13"/>
                <c:pt idx="0">
                  <c:v>Initial Proposal</c:v>
                </c:pt>
                <c:pt idx="1">
                  <c:v>RoA</c:v>
                </c:pt>
                <c:pt idx="2">
                  <c:v>Depn</c:v>
                </c:pt>
                <c:pt idx="3">
                  <c:v>Opex</c:v>
                </c:pt>
                <c:pt idx="4">
                  <c:v>Rev Adj</c:v>
                </c:pt>
                <c:pt idx="5">
                  <c:v>Tax</c:v>
                </c:pt>
                <c:pt idx="6">
                  <c:v>Draft Decision</c:v>
                </c:pt>
                <c:pt idx="7">
                  <c:v>RoA</c:v>
                </c:pt>
                <c:pt idx="8">
                  <c:v>Depn</c:v>
                </c:pt>
                <c:pt idx="9">
                  <c:v>Opex</c:v>
                </c:pt>
                <c:pt idx="10">
                  <c:v>Rev Adj</c:v>
                </c:pt>
                <c:pt idx="11">
                  <c:v>Tax</c:v>
                </c:pt>
                <c:pt idx="12">
                  <c:v>Revised Proposal</c:v>
                </c:pt>
              </c:strCache>
            </c:strRef>
          </c:cat>
          <c:val>
            <c:numRef>
              <c:f>'2'!$W$71:$W$83</c:f>
              <c:numCache>
                <c:formatCode>_(#,##0_);\(#,##0\);_("-"_)</c:formatCode>
                <c:ptCount val="13"/>
                <c:pt idx="1">
                  <c:v>15.888965443427708</c:v>
                </c:pt>
                <c:pt idx="2">
                  <c:v>0</c:v>
                </c:pt>
                <c:pt idx="3">
                  <c:v>57.071372361082808</c:v>
                </c:pt>
                <c:pt idx="4">
                  <c:v>0.20311213636631009</c:v>
                </c:pt>
                <c:pt idx="5">
                  <c:v>1.1453923111521589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4.9654522645618826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42B-4D8F-B0DC-C9A555E7F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3240528"/>
        <c:axId val="1213241360"/>
      </c:barChart>
      <c:catAx>
        <c:axId val="12132405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241360"/>
        <c:crosses val="max"/>
        <c:auto val="1"/>
        <c:lblAlgn val="ctr"/>
        <c:lblOffset val="100"/>
        <c:noMultiLvlLbl val="0"/>
      </c:catAx>
      <c:valAx>
        <c:axId val="1213241360"/>
        <c:scaling>
          <c:orientation val="minMax"/>
          <c:max val="1100"/>
          <c:min val="950"/>
        </c:scaling>
        <c:delete val="1"/>
        <c:axPos val="l"/>
        <c:title>
          <c:tx>
            <c:strRef>
              <c:f>'2'!$Q$89</c:f>
              <c:strCache>
                <c:ptCount val="1"/>
                <c:pt idx="0">
                  <c:v>Nominal, $Million, Unsmoothed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#,##0_);\(#,##0\);_(#,##0_)" sourceLinked="0"/>
        <c:majorTickMark val="out"/>
        <c:minorTickMark val="none"/>
        <c:tickLblPos val="nextTo"/>
        <c:crossAx val="121324052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291650424885004E-2"/>
          <c:y val="6.9359226324992931E-2"/>
          <c:w val="0.953665445284686"/>
          <c:h val="0.78093005284153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'3'!$T$57</c:f>
              <c:strCache>
                <c:ptCount val="1"/>
                <c:pt idx="0">
                  <c:v>Totals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'3'!$P$58:$P$68</c:f>
              <c:strCache>
                <c:ptCount val="11"/>
                <c:pt idx="0">
                  <c:v>Initial Proposal</c:v>
                </c:pt>
                <c:pt idx="1">
                  <c:v>DER</c:v>
                </c:pt>
                <c:pt idx="2">
                  <c:v>OT Capability</c:v>
                </c:pt>
                <c:pt idx="3">
                  <c:v>Single Site</c:v>
                </c:pt>
                <c:pt idx="4">
                  <c:v>Other</c:v>
                </c:pt>
                <c:pt idx="5">
                  <c:v>Draft Decision</c:v>
                </c:pt>
                <c:pt idx="6">
                  <c:v>DER</c:v>
                </c:pt>
                <c:pt idx="7">
                  <c:v>OT Capability</c:v>
                </c:pt>
                <c:pt idx="8">
                  <c:v>Single Site</c:v>
                </c:pt>
                <c:pt idx="9">
                  <c:v>Other</c:v>
                </c:pt>
                <c:pt idx="10">
                  <c:v>Revised Proposal</c:v>
                </c:pt>
              </c:strCache>
            </c:strRef>
          </c:cat>
          <c:val>
            <c:numRef>
              <c:f>'3'!$T$58:$T$68</c:f>
              <c:numCache>
                <c:formatCode>_(#,##0_);\(#,##0\);_("-"_)</c:formatCode>
                <c:ptCount val="11"/>
                <c:pt idx="0">
                  <c:v>568.02877389502839</c:v>
                </c:pt>
                <c:pt idx="5">
                  <c:v>432.78389070376568</c:v>
                </c:pt>
                <c:pt idx="10">
                  <c:v>538.23135679426014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2-4EC9-A441-B8B1608E8557}"/>
            </c:ext>
          </c:extLst>
        </c:ser>
        <c:ser>
          <c:idx val="1"/>
          <c:order val="1"/>
          <c:tx>
            <c:strRef>
              <c:f>'3'!$U$57</c:f>
              <c:strCache>
                <c:ptCount val="1"/>
                <c:pt idx="0">
                  <c:v>Clear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'3'!$P$58:$P$68</c:f>
              <c:strCache>
                <c:ptCount val="11"/>
                <c:pt idx="0">
                  <c:v>Initial Proposal</c:v>
                </c:pt>
                <c:pt idx="1">
                  <c:v>DER</c:v>
                </c:pt>
                <c:pt idx="2">
                  <c:v>OT Capability</c:v>
                </c:pt>
                <c:pt idx="3">
                  <c:v>Single Site</c:v>
                </c:pt>
                <c:pt idx="4">
                  <c:v>Other</c:v>
                </c:pt>
                <c:pt idx="5">
                  <c:v>Draft Decision</c:v>
                </c:pt>
                <c:pt idx="6">
                  <c:v>DER</c:v>
                </c:pt>
                <c:pt idx="7">
                  <c:v>OT Capability</c:v>
                </c:pt>
                <c:pt idx="8">
                  <c:v>Single Site</c:v>
                </c:pt>
                <c:pt idx="9">
                  <c:v>Other</c:v>
                </c:pt>
                <c:pt idx="10">
                  <c:v>Revised Proposal</c:v>
                </c:pt>
              </c:strCache>
            </c:strRef>
          </c:cat>
          <c:val>
            <c:numRef>
              <c:f>'3'!$U$58:$U$68</c:f>
              <c:numCache>
                <c:formatCode>_(#,##0_);\(#,##0\);_("-"_)</c:formatCode>
                <c:ptCount val="11"/>
                <c:pt idx="1">
                  <c:v>555.93121239411823</c:v>
                </c:pt>
                <c:pt idx="2">
                  <c:v>534.37199769299309</c:v>
                </c:pt>
                <c:pt idx="3">
                  <c:v>450.07627833305122</c:v>
                </c:pt>
                <c:pt idx="4">
                  <c:v>432.78389070376568</c:v>
                </c:pt>
                <c:pt idx="6">
                  <c:v>432.78389070376568</c:v>
                </c:pt>
                <c:pt idx="7">
                  <c:v>435.37395100958997</c:v>
                </c:pt>
                <c:pt idx="8">
                  <c:v>451.18230282314994</c:v>
                </c:pt>
                <c:pt idx="9">
                  <c:v>521.69731407252232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F2-4EC9-A441-B8B1608E8557}"/>
            </c:ext>
          </c:extLst>
        </c:ser>
        <c:ser>
          <c:idx val="2"/>
          <c:order val="2"/>
          <c:tx>
            <c:strRef>
              <c:f>'3'!$V$57</c:f>
              <c:strCache>
                <c:ptCount val="1"/>
                <c:pt idx="0">
                  <c:v>Above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9-4B57-83D7-FF438B5DE8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9-4B57-83D7-FF438B5DE8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9-4B57-83D7-FF438B5DE8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81-4EE1-9C38-BB08A5ADFF3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EF2-4EC9-A441-B8B1608E85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'3'!$P$58:$P$68</c:f>
              <c:strCache>
                <c:ptCount val="11"/>
                <c:pt idx="0">
                  <c:v>Initial Proposal</c:v>
                </c:pt>
                <c:pt idx="1">
                  <c:v>DER</c:v>
                </c:pt>
                <c:pt idx="2">
                  <c:v>OT Capability</c:v>
                </c:pt>
                <c:pt idx="3">
                  <c:v>Single Site</c:v>
                </c:pt>
                <c:pt idx="4">
                  <c:v>Other</c:v>
                </c:pt>
                <c:pt idx="5">
                  <c:v>Draft Decision</c:v>
                </c:pt>
                <c:pt idx="6">
                  <c:v>DER</c:v>
                </c:pt>
                <c:pt idx="7">
                  <c:v>OT Capability</c:v>
                </c:pt>
                <c:pt idx="8">
                  <c:v>Single Site</c:v>
                </c:pt>
                <c:pt idx="9">
                  <c:v>Other</c:v>
                </c:pt>
                <c:pt idx="10">
                  <c:v>Revised Proposal</c:v>
                </c:pt>
              </c:strCache>
            </c:strRef>
          </c:cat>
          <c:val>
            <c:numRef>
              <c:f>'3'!$V$58:$V$68</c:f>
              <c:numCache>
                <c:formatCode>_(#,##0_);\(#,##0\);_("-"_)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2.5900603058242821</c:v>
                </c:pt>
                <c:pt idx="7">
                  <c:v>15.808351813559963</c:v>
                </c:pt>
                <c:pt idx="8">
                  <c:v>70.515011249372392</c:v>
                </c:pt>
                <c:pt idx="9">
                  <c:v>16.534042721737819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F2-4EC9-A441-B8B1608E8557}"/>
            </c:ext>
          </c:extLst>
        </c:ser>
        <c:ser>
          <c:idx val="3"/>
          <c:order val="3"/>
          <c:tx>
            <c:strRef>
              <c:f>'3'!$W$57</c:f>
              <c:strCache>
                <c:ptCount val="1"/>
                <c:pt idx="0">
                  <c:v>Below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F2-4EC9-A441-B8B1608E85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F2-4EC9-A441-B8B1608E85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F2-4EC9-A441-B8B1608E85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F2-4EC9-A441-B8B1608E85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81-4EE1-9C38-BB08A5ADFF3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F2-4EC9-A441-B8B1608E85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'3'!$P$58:$P$68</c:f>
              <c:strCache>
                <c:ptCount val="11"/>
                <c:pt idx="0">
                  <c:v>Initial Proposal</c:v>
                </c:pt>
                <c:pt idx="1">
                  <c:v>DER</c:v>
                </c:pt>
                <c:pt idx="2">
                  <c:v>OT Capability</c:v>
                </c:pt>
                <c:pt idx="3">
                  <c:v>Single Site</c:v>
                </c:pt>
                <c:pt idx="4">
                  <c:v>Other</c:v>
                </c:pt>
                <c:pt idx="5">
                  <c:v>Draft Decision</c:v>
                </c:pt>
                <c:pt idx="6">
                  <c:v>DER</c:v>
                </c:pt>
                <c:pt idx="7">
                  <c:v>OT Capability</c:v>
                </c:pt>
                <c:pt idx="8">
                  <c:v>Single Site</c:v>
                </c:pt>
                <c:pt idx="9">
                  <c:v>Other</c:v>
                </c:pt>
                <c:pt idx="10">
                  <c:v>Revised Proposal</c:v>
                </c:pt>
              </c:strCache>
            </c:strRef>
          </c:cat>
          <c:val>
            <c:numRef>
              <c:f>'3'!$W$58:$W$68</c:f>
              <c:numCache>
                <c:formatCode>_(#,##0_);\(#,##0\);_("-"_)</c:formatCode>
                <c:ptCount val="11"/>
                <c:pt idx="1">
                  <c:v>12.097561500910203</c:v>
                </c:pt>
                <c:pt idx="2">
                  <c:v>21.559214701125139</c:v>
                </c:pt>
                <c:pt idx="3">
                  <c:v>84.295719359941884</c:v>
                </c:pt>
                <c:pt idx="4">
                  <c:v>17.292387629285543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EF2-4EC9-A441-B8B1608E8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3240528"/>
        <c:axId val="1213241360"/>
      </c:barChart>
      <c:catAx>
        <c:axId val="12132405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241360"/>
        <c:crosses val="max"/>
        <c:auto val="1"/>
        <c:lblAlgn val="ctr"/>
        <c:lblOffset val="100"/>
        <c:noMultiLvlLbl val="0"/>
      </c:catAx>
      <c:valAx>
        <c:axId val="1213241360"/>
        <c:scaling>
          <c:orientation val="minMax"/>
          <c:max val="600"/>
          <c:min val="400"/>
        </c:scaling>
        <c:delete val="0"/>
        <c:axPos val="l"/>
        <c:numFmt formatCode="_(#,##0_);\(#,##0\);_(#,##0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24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291650424885004E-2"/>
          <c:y val="6.9359226324992931E-2"/>
          <c:w val="0.953665445284686"/>
          <c:h val="0.78093005284153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'5'!$T$66</c:f>
              <c:strCache>
                <c:ptCount val="1"/>
                <c:pt idx="0">
                  <c:v>Totals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'5'!$P$67:$P$81</c:f>
              <c:strCache>
                <c:ptCount val="15"/>
                <c:pt idx="0">
                  <c:v>IP</c:v>
                </c:pt>
                <c:pt idx="1">
                  <c:v>Adj Base Yr</c:v>
                </c:pt>
                <c:pt idx="2">
                  <c:v>Output</c:v>
                </c:pt>
                <c:pt idx="3">
                  <c:v>Price</c:v>
                </c:pt>
                <c:pt idx="4">
                  <c:v>Prod.</c:v>
                </c:pt>
                <c:pt idx="5">
                  <c:v>Step Δ</c:v>
                </c:pt>
                <c:pt idx="6">
                  <c:v>DRC</c:v>
                </c:pt>
                <c:pt idx="7">
                  <c:v>DD</c:v>
                </c:pt>
                <c:pt idx="8">
                  <c:v>Adj Base Yr</c:v>
                </c:pt>
                <c:pt idx="9">
                  <c:v>Output</c:v>
                </c:pt>
                <c:pt idx="10">
                  <c:v>Price</c:v>
                </c:pt>
                <c:pt idx="11">
                  <c:v>Prod.</c:v>
                </c:pt>
                <c:pt idx="12">
                  <c:v>Step Δ</c:v>
                </c:pt>
                <c:pt idx="13">
                  <c:v>DRC</c:v>
                </c:pt>
                <c:pt idx="14">
                  <c:v>RP</c:v>
                </c:pt>
              </c:strCache>
            </c:strRef>
          </c:cat>
          <c:val>
            <c:numRef>
              <c:f>'5'!$T$67:$T$81</c:f>
              <c:numCache>
                <c:formatCode>_(#,##0_);\(#,##0\);_("-"_)</c:formatCode>
                <c:ptCount val="15"/>
                <c:pt idx="0">
                  <c:v>415.33893781191102</c:v>
                </c:pt>
                <c:pt idx="7">
                  <c:v>364.44347893107653</c:v>
                </c:pt>
                <c:pt idx="14">
                  <c:v>387.23917029821496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9-4AE7-B11A-B496A59E3E17}"/>
            </c:ext>
          </c:extLst>
        </c:ser>
        <c:ser>
          <c:idx val="1"/>
          <c:order val="1"/>
          <c:tx>
            <c:strRef>
              <c:f>'5'!$U$66</c:f>
              <c:strCache>
                <c:ptCount val="1"/>
                <c:pt idx="0">
                  <c:v>Clear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'5'!$P$67:$P$81</c:f>
              <c:strCache>
                <c:ptCount val="15"/>
                <c:pt idx="0">
                  <c:v>IP</c:v>
                </c:pt>
                <c:pt idx="1">
                  <c:v>Adj Base Yr</c:v>
                </c:pt>
                <c:pt idx="2">
                  <c:v>Output</c:v>
                </c:pt>
                <c:pt idx="3">
                  <c:v>Price</c:v>
                </c:pt>
                <c:pt idx="4">
                  <c:v>Prod.</c:v>
                </c:pt>
                <c:pt idx="5">
                  <c:v>Step Δ</c:v>
                </c:pt>
                <c:pt idx="6">
                  <c:v>DRC</c:v>
                </c:pt>
                <c:pt idx="7">
                  <c:v>DD</c:v>
                </c:pt>
                <c:pt idx="8">
                  <c:v>Adj Base Yr</c:v>
                </c:pt>
                <c:pt idx="9">
                  <c:v>Output</c:v>
                </c:pt>
                <c:pt idx="10">
                  <c:v>Price</c:v>
                </c:pt>
                <c:pt idx="11">
                  <c:v>Prod.</c:v>
                </c:pt>
                <c:pt idx="12">
                  <c:v>Step Δ</c:v>
                </c:pt>
                <c:pt idx="13">
                  <c:v>DRC</c:v>
                </c:pt>
                <c:pt idx="14">
                  <c:v>RP</c:v>
                </c:pt>
              </c:strCache>
            </c:strRef>
          </c:cat>
          <c:val>
            <c:numRef>
              <c:f>'5'!$U$67:$U$81</c:f>
              <c:numCache>
                <c:formatCode>_(#,##0_);\(#,##0\);_("-"_)</c:formatCode>
                <c:ptCount val="15"/>
                <c:pt idx="1">
                  <c:v>410.01576274507011</c:v>
                </c:pt>
                <c:pt idx="2">
                  <c:v>409.88385197257583</c:v>
                </c:pt>
                <c:pt idx="3">
                  <c:v>409.88385197257583</c:v>
                </c:pt>
                <c:pt idx="4">
                  <c:v>410.94182084996106</c:v>
                </c:pt>
                <c:pt idx="5">
                  <c:v>364.3214829490629</c:v>
                </c:pt>
                <c:pt idx="6">
                  <c:v>364.3214829490629</c:v>
                </c:pt>
                <c:pt idx="8">
                  <c:v>364.44347893107653</c:v>
                </c:pt>
                <c:pt idx="9">
                  <c:v>364.44347893107653</c:v>
                </c:pt>
                <c:pt idx="10">
                  <c:v>369.15176460488993</c:v>
                </c:pt>
                <c:pt idx="11">
                  <c:v>370.7307674923324</c:v>
                </c:pt>
                <c:pt idx="12">
                  <c:v>370.7307674923324</c:v>
                </c:pt>
                <c:pt idx="13">
                  <c:v>387.18157408710721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49-4AE7-B11A-B496A59E3E17}"/>
            </c:ext>
          </c:extLst>
        </c:ser>
        <c:ser>
          <c:idx val="2"/>
          <c:order val="2"/>
          <c:tx>
            <c:strRef>
              <c:f>'5'!$V$66</c:f>
              <c:strCache>
                <c:ptCount val="1"/>
                <c:pt idx="0">
                  <c:v>Above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49-4AE7-B11A-B496A59E3E1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49-4AE7-B11A-B496A59E3E1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949-4AE7-B11A-B496A59E3E1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9949-4AE7-B11A-B496A59E3E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49-4AE7-B11A-B496A59E3E1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949-4AE7-B11A-B496A59E3E1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949-4AE7-B11A-B496A59E3E17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9949-4AE7-B11A-B496A59E3E1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49-4AE7-B11A-B496A59E3E17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9949-4AE7-B11A-B496A59E3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'5'!$P$67:$P$81</c:f>
              <c:strCache>
                <c:ptCount val="15"/>
                <c:pt idx="0">
                  <c:v>IP</c:v>
                </c:pt>
                <c:pt idx="1">
                  <c:v>Adj Base Yr</c:v>
                </c:pt>
                <c:pt idx="2">
                  <c:v>Output</c:v>
                </c:pt>
                <c:pt idx="3">
                  <c:v>Price</c:v>
                </c:pt>
                <c:pt idx="4">
                  <c:v>Prod.</c:v>
                </c:pt>
                <c:pt idx="5">
                  <c:v>Step Δ</c:v>
                </c:pt>
                <c:pt idx="6">
                  <c:v>DRC</c:v>
                </c:pt>
                <c:pt idx="7">
                  <c:v>DD</c:v>
                </c:pt>
                <c:pt idx="8">
                  <c:v>Adj Base Yr</c:v>
                </c:pt>
                <c:pt idx="9">
                  <c:v>Output</c:v>
                </c:pt>
                <c:pt idx="10">
                  <c:v>Price</c:v>
                </c:pt>
                <c:pt idx="11">
                  <c:v>Prod.</c:v>
                </c:pt>
                <c:pt idx="12">
                  <c:v>Step Δ</c:v>
                </c:pt>
                <c:pt idx="13">
                  <c:v>DRC</c:v>
                </c:pt>
                <c:pt idx="14">
                  <c:v>RP</c:v>
                </c:pt>
              </c:strCache>
            </c:strRef>
          </c:cat>
          <c:val>
            <c:numRef>
              <c:f>'5'!$V$67:$V$81</c:f>
              <c:numCache>
                <c:formatCode>_(#,##0_);\(#,##0\);_("-"_)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1.0579688773852478</c:v>
                </c:pt>
                <c:pt idx="4">
                  <c:v>0.10528909994189029</c:v>
                </c:pt>
                <c:pt idx="5">
                  <c:v>0</c:v>
                </c:pt>
                <c:pt idx="6">
                  <c:v>0.12199598201340622</c:v>
                </c:pt>
                <c:pt idx="8">
                  <c:v>0</c:v>
                </c:pt>
                <c:pt idx="9">
                  <c:v>4.7082856738134264</c:v>
                </c:pt>
                <c:pt idx="10">
                  <c:v>1.7339764299965912</c:v>
                </c:pt>
                <c:pt idx="11">
                  <c:v>0</c:v>
                </c:pt>
                <c:pt idx="12">
                  <c:v>16.4508065947748</c:v>
                </c:pt>
                <c:pt idx="13">
                  <c:v>5.7595332943420008E-2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49-4AE7-B11A-B496A59E3E17}"/>
            </c:ext>
          </c:extLst>
        </c:ser>
        <c:ser>
          <c:idx val="3"/>
          <c:order val="3"/>
          <c:tx>
            <c:strRef>
              <c:f>'5'!$W$66</c:f>
              <c:strCache>
                <c:ptCount val="1"/>
                <c:pt idx="0">
                  <c:v>Below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49-4AE7-B11A-B496A59E3E1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49-4AE7-B11A-B496A59E3E1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49-4AE7-B11A-B496A59E3E1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49-4AE7-B11A-B496A59E3E1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49-4AE7-B11A-B496A59E3E1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49-4AE7-B11A-B496A59E3E1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49-4AE7-B11A-B496A59E3E1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49-4AE7-B11A-B496A59E3E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49-4AE7-B11A-B496A59E3E1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49-4AE7-B11A-B496A59E3E1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49-4AE7-B11A-B496A59E3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'5'!$P$67:$P$81</c:f>
              <c:strCache>
                <c:ptCount val="15"/>
                <c:pt idx="0">
                  <c:v>IP</c:v>
                </c:pt>
                <c:pt idx="1">
                  <c:v>Adj Base Yr</c:v>
                </c:pt>
                <c:pt idx="2">
                  <c:v>Output</c:v>
                </c:pt>
                <c:pt idx="3">
                  <c:v>Price</c:v>
                </c:pt>
                <c:pt idx="4">
                  <c:v>Prod.</c:v>
                </c:pt>
                <c:pt idx="5">
                  <c:v>Step Δ</c:v>
                </c:pt>
                <c:pt idx="6">
                  <c:v>DRC</c:v>
                </c:pt>
                <c:pt idx="7">
                  <c:v>DD</c:v>
                </c:pt>
                <c:pt idx="8">
                  <c:v>Adj Base Yr</c:v>
                </c:pt>
                <c:pt idx="9">
                  <c:v>Output</c:v>
                </c:pt>
                <c:pt idx="10">
                  <c:v>Price</c:v>
                </c:pt>
                <c:pt idx="11">
                  <c:v>Prod.</c:v>
                </c:pt>
                <c:pt idx="12">
                  <c:v>Step Δ</c:v>
                </c:pt>
                <c:pt idx="13">
                  <c:v>DRC</c:v>
                </c:pt>
                <c:pt idx="14">
                  <c:v>RP</c:v>
                </c:pt>
              </c:strCache>
            </c:strRef>
          </c:cat>
          <c:val>
            <c:numRef>
              <c:f>'5'!$W$67:$W$81</c:f>
              <c:numCache>
                <c:formatCode>_(#,##0_);\(#,##0\);_("-"_)</c:formatCode>
                <c:ptCount val="15"/>
                <c:pt idx="1">
                  <c:v>5.3231750668409177</c:v>
                </c:pt>
                <c:pt idx="2">
                  <c:v>0.13191077249426097</c:v>
                </c:pt>
                <c:pt idx="3">
                  <c:v>0</c:v>
                </c:pt>
                <c:pt idx="4">
                  <c:v>0</c:v>
                </c:pt>
                <c:pt idx="5">
                  <c:v>46.725627000840063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0.15497354255410301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49-4AE7-B11A-B496A59E3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3240528"/>
        <c:axId val="1213241360"/>
      </c:barChart>
      <c:catAx>
        <c:axId val="12132405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241360"/>
        <c:crosses val="max"/>
        <c:auto val="1"/>
        <c:lblAlgn val="ctr"/>
        <c:lblOffset val="100"/>
        <c:noMultiLvlLbl val="0"/>
      </c:catAx>
      <c:valAx>
        <c:axId val="1213241360"/>
        <c:scaling>
          <c:orientation val="minMax"/>
          <c:min val="350"/>
        </c:scaling>
        <c:delete val="0"/>
        <c:axPos val="l"/>
        <c:numFmt formatCode="_(#,##0_);\(#,##0\);_(#,##0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24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TSS!$K$59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15-49E4-A3D5-25B9B2CD151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15-49E4-A3D5-25B9B2CD15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TSS!$I$60:$J$84</c:f>
              <c:multiLvlStrCache>
                <c:ptCount val="25"/>
                <c:lvl>
                  <c:pt idx="0">
                    <c:v>SAC</c:v>
                  </c:pt>
                  <c:pt idx="1">
                    <c:v>Anytime Energy</c:v>
                  </c:pt>
                  <c:pt idx="2">
                    <c:v>SAC</c:v>
                  </c:pt>
                  <c:pt idx="3">
                    <c:v>Anytime Energy</c:v>
                  </c:pt>
                  <c:pt idx="4">
                    <c:v>SAC</c:v>
                  </c:pt>
                  <c:pt idx="5">
                    <c:v>Peak Energy</c:v>
                  </c:pt>
                  <c:pt idx="6">
                    <c:v>Off-peak Energy</c:v>
                  </c:pt>
                  <c:pt idx="7">
                    <c:v>Super Off-peak Energy</c:v>
                  </c:pt>
                  <c:pt idx="8">
                    <c:v>SAC</c:v>
                  </c:pt>
                  <c:pt idx="9">
                    <c:v>Peak Energy</c:v>
                  </c:pt>
                  <c:pt idx="10">
                    <c:v>Off-peak Energy</c:v>
                  </c:pt>
                  <c:pt idx="11">
                    <c:v>Super Off-peak Energy</c:v>
                  </c:pt>
                  <c:pt idx="12">
                    <c:v>SAC</c:v>
                  </c:pt>
                  <c:pt idx="13">
                    <c:v>Peak Energy</c:v>
                  </c:pt>
                  <c:pt idx="14">
                    <c:v>Off-peak Energy</c:v>
                  </c:pt>
                  <c:pt idx="15">
                    <c:v>Super Off-peak Energy</c:v>
                  </c:pt>
                  <c:pt idx="16">
                    <c:v>Anytime Energy</c:v>
                  </c:pt>
                  <c:pt idx="17">
                    <c:v>SAC</c:v>
                  </c:pt>
                  <c:pt idx="18">
                    <c:v>Anytime Energy Price</c:v>
                  </c:pt>
                  <c:pt idx="19">
                    <c:v>On-Season Demand</c:v>
                  </c:pt>
                  <c:pt idx="20">
                    <c:v>Off-Season Demand</c:v>
                  </c:pt>
                  <c:pt idx="21">
                    <c:v>SAC</c:v>
                  </c:pt>
                  <c:pt idx="22">
                    <c:v>Anytime Energy Price</c:v>
                  </c:pt>
                  <c:pt idx="23">
                    <c:v>On-Season Demand</c:v>
                  </c:pt>
                  <c:pt idx="24">
                    <c:v>Off-Season Demand</c:v>
                  </c:pt>
                </c:lvl>
                <c:lvl>
                  <c:pt idx="0">
                    <c:v>T1</c:v>
                  </c:pt>
                  <c:pt idx="2">
                    <c:v>T2</c:v>
                  </c:pt>
                  <c:pt idx="4">
                    <c:v>T3a</c:v>
                  </c:pt>
                  <c:pt idx="8">
                    <c:v>T3b</c:v>
                  </c:pt>
                  <c:pt idx="12">
                    <c:v>T3c</c:v>
                  </c:pt>
                  <c:pt idx="16">
                    <c:v>T4</c:v>
                  </c:pt>
                  <c:pt idx="17">
                    <c:v>T5</c:v>
                  </c:pt>
                  <c:pt idx="21">
                    <c:v>T6</c:v>
                  </c:pt>
                </c:lvl>
              </c:multiLvlStrCache>
            </c:multiLvlStrRef>
          </c:cat>
          <c:val>
            <c:numRef>
              <c:f>TSS!$K$60:$K$84</c:f>
              <c:numCache>
                <c:formatCode>0%</c:formatCode>
                <c:ptCount val="25"/>
                <c:pt idx="0">
                  <c:v>0.22520041734079224</c:v>
                </c:pt>
                <c:pt idx="1">
                  <c:v>9.6514464574625258E-2</c:v>
                </c:pt>
                <c:pt idx="2">
                  <c:v>3.4646134377166308E-3</c:v>
                </c:pt>
                <c:pt idx="3">
                  <c:v>8.5402841288690617E-3</c:v>
                </c:pt>
                <c:pt idx="4">
                  <c:v>0.17810128819325069</c:v>
                </c:pt>
                <c:pt idx="5">
                  <c:v>0</c:v>
                </c:pt>
                <c:pt idx="6">
                  <c:v>1.9789032021472291E-2</c:v>
                </c:pt>
                <c:pt idx="7">
                  <c:v>0</c:v>
                </c:pt>
                <c:pt idx="8">
                  <c:v>2.460224249366862E-2</c:v>
                </c:pt>
                <c:pt idx="9">
                  <c:v>0</c:v>
                </c:pt>
                <c:pt idx="10">
                  <c:v>9.8408969974674479E-2</c:v>
                </c:pt>
                <c:pt idx="11">
                  <c:v>0</c:v>
                </c:pt>
                <c:pt idx="12">
                  <c:v>3.8546754257156209E-2</c:v>
                </c:pt>
                <c:pt idx="13">
                  <c:v>0</c:v>
                </c:pt>
                <c:pt idx="14">
                  <c:v>7.8261591976650474E-2</c:v>
                </c:pt>
                <c:pt idx="15">
                  <c:v>0</c:v>
                </c:pt>
                <c:pt idx="16">
                  <c:v>1.481522293897921E-2</c:v>
                </c:pt>
                <c:pt idx="17">
                  <c:v>7.6092340801465125E-2</c:v>
                </c:pt>
                <c:pt idx="18">
                  <c:v>1.0870334400209304E-2</c:v>
                </c:pt>
                <c:pt idx="19">
                  <c:v>0</c:v>
                </c:pt>
                <c:pt idx="20">
                  <c:v>0</c:v>
                </c:pt>
                <c:pt idx="21">
                  <c:v>3.169811086511768E-2</c:v>
                </c:pt>
                <c:pt idx="22">
                  <c:v>9.5094332595353034E-2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15-49E4-A3D5-25B9B2CD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7039872"/>
        <c:axId val="97041408"/>
        <c:extLst/>
      </c:barChart>
      <c:catAx>
        <c:axId val="9703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41408"/>
        <c:crosses val="autoZero"/>
        <c:auto val="1"/>
        <c:lblAlgn val="ctr"/>
        <c:lblOffset val="100"/>
        <c:noMultiLvlLbl val="0"/>
      </c:catAx>
      <c:valAx>
        <c:axId val="9704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Proportion of Residual Costs</a:t>
                </a:r>
              </a:p>
            </c:rich>
          </c:tx>
          <c:layout>
            <c:manualLayout>
              <c:xMode val="edge"/>
              <c:yMode val="edge"/>
              <c:x val="7.0175438596491229E-3"/>
              <c:y val="6.779664032948098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39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TSES!$M$491</c:f>
              <c:strCache>
                <c:ptCount val="1"/>
                <c:pt idx="0">
                  <c:v>Underlying Maximum Demand in 2020-21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TSES!$N$490:$AK$490</c:f>
              <c:numCache>
                <c:formatCode>[$-F400]h:mm:ss\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0.16666666666666599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TSES!$N$491:$AK$491</c:f>
              <c:numCache>
                <c:formatCode>_(#,##0.0_);\(#,##0.0\);_("-"_)</c:formatCode>
                <c:ptCount val="24"/>
                <c:pt idx="0">
                  <c:v>200.7</c:v>
                </c:pt>
                <c:pt idx="1">
                  <c:v>174.17</c:v>
                </c:pt>
                <c:pt idx="2">
                  <c:v>164.56</c:v>
                </c:pt>
                <c:pt idx="3">
                  <c:v>160.65</c:v>
                </c:pt>
                <c:pt idx="4">
                  <c:v>158.25</c:v>
                </c:pt>
                <c:pt idx="5">
                  <c:v>157.29</c:v>
                </c:pt>
                <c:pt idx="6">
                  <c:v>163.92282855183967</c:v>
                </c:pt>
                <c:pt idx="7">
                  <c:v>188.03428337694541</c:v>
                </c:pt>
                <c:pt idx="8">
                  <c:v>231.99532699138837</c:v>
                </c:pt>
                <c:pt idx="9">
                  <c:v>248.97603656442837</c:v>
                </c:pt>
                <c:pt idx="10">
                  <c:v>254.61568053551255</c:v>
                </c:pt>
                <c:pt idx="11">
                  <c:v>261.85910733415648</c:v>
                </c:pt>
                <c:pt idx="12">
                  <c:v>281.76908057058051</c:v>
                </c:pt>
                <c:pt idx="13">
                  <c:v>282.8116973482492</c:v>
                </c:pt>
                <c:pt idx="14">
                  <c:v>282.44517284197639</c:v>
                </c:pt>
                <c:pt idx="15">
                  <c:v>281.16649504899112</c:v>
                </c:pt>
                <c:pt idx="16">
                  <c:v>285.45221288456753</c:v>
                </c:pt>
                <c:pt idx="17">
                  <c:v>288.08353894091641</c:v>
                </c:pt>
                <c:pt idx="18">
                  <c:v>283.24373327452349</c:v>
                </c:pt>
                <c:pt idx="19">
                  <c:v>283.64</c:v>
                </c:pt>
                <c:pt idx="20">
                  <c:v>282.02999999999997</c:v>
                </c:pt>
                <c:pt idx="21">
                  <c:v>265.20999999999998</c:v>
                </c:pt>
                <c:pt idx="22">
                  <c:v>242.94</c:v>
                </c:pt>
                <c:pt idx="23">
                  <c:v>218.86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1-4160-950D-0FDD6FE0A857}"/>
            </c:ext>
          </c:extLst>
        </c:ser>
        <c:ser>
          <c:idx val="1"/>
          <c:order val="1"/>
          <c:tx>
            <c:strRef>
              <c:f>TSES!$M$492</c:f>
              <c:strCache>
                <c:ptCount val="1"/>
                <c:pt idx="0">
                  <c:v>Demand delivered from the power system in 2020-21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TSES!$N$490:$AK$490</c:f>
              <c:numCache>
                <c:formatCode>[$-F400]h:mm:ss\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0.16666666666666599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TSES!$N$492:$AK$492</c:f>
              <c:numCache>
                <c:formatCode>_(#,##0.0_);\(#,##0.0\);_("-"_)</c:formatCode>
                <c:ptCount val="24"/>
                <c:pt idx="0">
                  <c:v>200.7</c:v>
                </c:pt>
                <c:pt idx="1">
                  <c:v>174.17</c:v>
                </c:pt>
                <c:pt idx="2">
                  <c:v>164.56</c:v>
                </c:pt>
                <c:pt idx="3">
                  <c:v>160.65</c:v>
                </c:pt>
                <c:pt idx="4">
                  <c:v>158.25</c:v>
                </c:pt>
                <c:pt idx="5">
                  <c:v>157.29</c:v>
                </c:pt>
                <c:pt idx="6">
                  <c:v>163.52000000000001</c:v>
                </c:pt>
                <c:pt idx="7">
                  <c:v>184.21</c:v>
                </c:pt>
                <c:pt idx="8">
                  <c:v>216.06</c:v>
                </c:pt>
                <c:pt idx="9">
                  <c:v>218.85</c:v>
                </c:pt>
                <c:pt idx="10">
                  <c:v>213.39</c:v>
                </c:pt>
                <c:pt idx="11">
                  <c:v>213.48</c:v>
                </c:pt>
                <c:pt idx="12">
                  <c:v>228.85</c:v>
                </c:pt>
                <c:pt idx="13">
                  <c:v>232.16</c:v>
                </c:pt>
                <c:pt idx="14">
                  <c:v>237.93</c:v>
                </c:pt>
                <c:pt idx="15">
                  <c:v>245</c:v>
                </c:pt>
                <c:pt idx="16">
                  <c:v>259.56</c:v>
                </c:pt>
                <c:pt idx="17">
                  <c:v>274.49</c:v>
                </c:pt>
                <c:pt idx="18">
                  <c:v>279.85000000000002</c:v>
                </c:pt>
                <c:pt idx="19">
                  <c:v>283.64</c:v>
                </c:pt>
                <c:pt idx="20">
                  <c:v>282.02999999999997</c:v>
                </c:pt>
                <c:pt idx="21">
                  <c:v>265.20999999999998</c:v>
                </c:pt>
                <c:pt idx="22">
                  <c:v>242.94</c:v>
                </c:pt>
                <c:pt idx="23">
                  <c:v>218.86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1-4160-950D-0FDD6FE0A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0534751"/>
        <c:axId val="1270533111"/>
      </c:lineChart>
      <c:catAx>
        <c:axId val="1270534751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533111"/>
        <c:crosses val="autoZero"/>
        <c:auto val="1"/>
        <c:lblAlgn val="ctr"/>
        <c:lblOffset val="100"/>
        <c:noMultiLvlLbl val="0"/>
      </c:catAx>
      <c:valAx>
        <c:axId val="1270533111"/>
        <c:scaling>
          <c:orientation val="minMax"/>
          <c:max val="3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534751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0945514115495"/>
          <c:y val="5.3524904214559389E-2"/>
          <c:w val="0.8644850437867253"/>
          <c:h val="0.76994789272030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TSS!$J$134</c:f>
              <c:strCache>
                <c:ptCount val="1"/>
                <c:pt idx="0">
                  <c:v>FY25 % Bill Change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yVal>
            <c:numRef>
              <c:f>TSS!$J$135:$J$292</c:f>
              <c:numCache>
                <c:formatCode>_(#,##0%_);\(#,##0%\);_("-"_)</c:formatCode>
                <c:ptCount val="158"/>
                <c:pt idx="0">
                  <c:v>-0.18882725711447981</c:v>
                </c:pt>
                <c:pt idx="1">
                  <c:v>-0.13900349252692187</c:v>
                </c:pt>
                <c:pt idx="2">
                  <c:v>-0.13076096242074176</c:v>
                </c:pt>
                <c:pt idx="3">
                  <c:v>-0.11988485400468367</c:v>
                </c:pt>
                <c:pt idx="4">
                  <c:v>-9.9973753411121261E-2</c:v>
                </c:pt>
                <c:pt idx="5">
                  <c:v>-9.9294126702905702E-2</c:v>
                </c:pt>
                <c:pt idx="6">
                  <c:v>-9.7330860683964071E-2</c:v>
                </c:pt>
                <c:pt idx="7">
                  <c:v>-9.7314815834521479E-2</c:v>
                </c:pt>
                <c:pt idx="8">
                  <c:v>-9.599682247552567E-2</c:v>
                </c:pt>
                <c:pt idx="9">
                  <c:v>-9.523648587007616E-2</c:v>
                </c:pt>
                <c:pt idx="10">
                  <c:v>-9.1221127035423052E-2</c:v>
                </c:pt>
                <c:pt idx="11">
                  <c:v>-9.0429460349449486E-2</c:v>
                </c:pt>
                <c:pt idx="12">
                  <c:v>-9.0381262511824323E-2</c:v>
                </c:pt>
                <c:pt idx="13">
                  <c:v>-9.036011230135825E-2</c:v>
                </c:pt>
                <c:pt idx="14">
                  <c:v>-8.5810727067428025E-2</c:v>
                </c:pt>
                <c:pt idx="15">
                  <c:v>-8.0728849595447461E-2</c:v>
                </c:pt>
                <c:pt idx="16">
                  <c:v>-7.9820251067397582E-2</c:v>
                </c:pt>
                <c:pt idx="17">
                  <c:v>-6.4899076699458061E-2</c:v>
                </c:pt>
                <c:pt idx="18">
                  <c:v>-6.4855722868962642E-2</c:v>
                </c:pt>
                <c:pt idx="19">
                  <c:v>-6.4703493743359194E-2</c:v>
                </c:pt>
                <c:pt idx="20">
                  <c:v>-5.910017598373557E-2</c:v>
                </c:pt>
                <c:pt idx="21">
                  <c:v>-5.737091430412971E-2</c:v>
                </c:pt>
                <c:pt idx="22">
                  <c:v>-5.2860010682834795E-2</c:v>
                </c:pt>
                <c:pt idx="23">
                  <c:v>-4.7182008117809225E-2</c:v>
                </c:pt>
                <c:pt idx="24">
                  <c:v>-4.3481308230450114E-2</c:v>
                </c:pt>
                <c:pt idx="25">
                  <c:v>-3.2635744129926446E-2</c:v>
                </c:pt>
                <c:pt idx="26">
                  <c:v>-3.2108837604418718E-2</c:v>
                </c:pt>
                <c:pt idx="27">
                  <c:v>-2.8491958214856748E-2</c:v>
                </c:pt>
                <c:pt idx="28">
                  <c:v>-2.6770453482209546E-2</c:v>
                </c:pt>
                <c:pt idx="29">
                  <c:v>-2.5401132465296548E-2</c:v>
                </c:pt>
                <c:pt idx="30">
                  <c:v>-2.508792091687042E-2</c:v>
                </c:pt>
                <c:pt idx="31">
                  <c:v>-1.9588124441091728E-2</c:v>
                </c:pt>
                <c:pt idx="32">
                  <c:v>-1.8297334764632744E-2</c:v>
                </c:pt>
                <c:pt idx="33">
                  <c:v>-1.7482316792807498E-2</c:v>
                </c:pt>
                <c:pt idx="34">
                  <c:v>-1.5614877459299006E-2</c:v>
                </c:pt>
                <c:pt idx="35">
                  <c:v>-1.4293890296946997E-2</c:v>
                </c:pt>
                <c:pt idx="36">
                  <c:v>-1.3961299129028248E-2</c:v>
                </c:pt>
                <c:pt idx="37">
                  <c:v>-1.0569461217144723E-2</c:v>
                </c:pt>
                <c:pt idx="38">
                  <c:v>-8.2776710341285701E-3</c:v>
                </c:pt>
                <c:pt idx="39">
                  <c:v>-3.5261373059112967E-3</c:v>
                </c:pt>
                <c:pt idx="40">
                  <c:v>-2.4551151356803249E-3</c:v>
                </c:pt>
                <c:pt idx="41">
                  <c:v>3.7182774108928248E-3</c:v>
                </c:pt>
                <c:pt idx="42">
                  <c:v>4.6556096092726955E-3</c:v>
                </c:pt>
                <c:pt idx="43">
                  <c:v>8.9468767854772209E-3</c:v>
                </c:pt>
                <c:pt idx="44">
                  <c:v>1.0670728813247436E-2</c:v>
                </c:pt>
                <c:pt idx="45">
                  <c:v>1.2282463858278185E-2</c:v>
                </c:pt>
                <c:pt idx="46">
                  <c:v>1.2672089736356274E-2</c:v>
                </c:pt>
                <c:pt idx="47">
                  <c:v>1.271965014549622E-2</c:v>
                </c:pt>
                <c:pt idx="48">
                  <c:v>1.3929016484080559E-2</c:v>
                </c:pt>
                <c:pt idx="49">
                  <c:v>1.5554225705909634E-2</c:v>
                </c:pt>
                <c:pt idx="50">
                  <c:v>1.6482790388196621E-2</c:v>
                </c:pt>
                <c:pt idx="51">
                  <c:v>1.6972679195296988E-2</c:v>
                </c:pt>
                <c:pt idx="52">
                  <c:v>1.8975950972787394E-2</c:v>
                </c:pt>
                <c:pt idx="53">
                  <c:v>1.9918722213049873E-2</c:v>
                </c:pt>
                <c:pt idx="54">
                  <c:v>3.0293610456135503E-2</c:v>
                </c:pt>
                <c:pt idx="55">
                  <c:v>3.0353339394786252E-2</c:v>
                </c:pt>
                <c:pt idx="56">
                  <c:v>3.0928842942981677E-2</c:v>
                </c:pt>
                <c:pt idx="57">
                  <c:v>3.1754171183599258E-2</c:v>
                </c:pt>
                <c:pt idx="58">
                  <c:v>3.7944408173042954E-2</c:v>
                </c:pt>
                <c:pt idx="59">
                  <c:v>4.055226972606385E-2</c:v>
                </c:pt>
                <c:pt idx="60">
                  <c:v>4.139275177290222E-2</c:v>
                </c:pt>
                <c:pt idx="61">
                  <c:v>4.2988118104570462E-2</c:v>
                </c:pt>
                <c:pt idx="62">
                  <c:v>4.3974877877907742E-2</c:v>
                </c:pt>
                <c:pt idx="63">
                  <c:v>4.6829813039374259E-2</c:v>
                </c:pt>
                <c:pt idx="64">
                  <c:v>4.7203646376646063E-2</c:v>
                </c:pt>
                <c:pt idx="65">
                  <c:v>4.833119516923913E-2</c:v>
                </c:pt>
                <c:pt idx="66">
                  <c:v>4.9873319357820634E-2</c:v>
                </c:pt>
                <c:pt idx="67">
                  <c:v>5.2303056572180297E-2</c:v>
                </c:pt>
                <c:pt idx="68">
                  <c:v>5.2983635472529211E-2</c:v>
                </c:pt>
                <c:pt idx="69">
                  <c:v>5.4348457105506433E-2</c:v>
                </c:pt>
                <c:pt idx="70">
                  <c:v>5.4396378066283717E-2</c:v>
                </c:pt>
                <c:pt idx="71">
                  <c:v>5.5419539851011418E-2</c:v>
                </c:pt>
                <c:pt idx="72">
                  <c:v>5.9246708554538584E-2</c:v>
                </c:pt>
                <c:pt idx="73">
                  <c:v>6.0433506710704799E-2</c:v>
                </c:pt>
                <c:pt idx="74">
                  <c:v>6.403449398502864E-2</c:v>
                </c:pt>
                <c:pt idx="75">
                  <c:v>6.4707051752853448E-2</c:v>
                </c:pt>
                <c:pt idx="76">
                  <c:v>6.6210633321691942E-2</c:v>
                </c:pt>
                <c:pt idx="77">
                  <c:v>6.6378404046690029E-2</c:v>
                </c:pt>
                <c:pt idx="78">
                  <c:v>6.7078899330452163E-2</c:v>
                </c:pt>
                <c:pt idx="79">
                  <c:v>6.7428852022473576E-2</c:v>
                </c:pt>
                <c:pt idx="80">
                  <c:v>6.8451801524280695E-2</c:v>
                </c:pt>
                <c:pt idx="81">
                  <c:v>6.8610257459872703E-2</c:v>
                </c:pt>
                <c:pt idx="82">
                  <c:v>6.8986638201086192E-2</c:v>
                </c:pt>
                <c:pt idx="83">
                  <c:v>6.927650758883637E-2</c:v>
                </c:pt>
                <c:pt idx="84">
                  <c:v>7.0066542955208477E-2</c:v>
                </c:pt>
                <c:pt idx="85">
                  <c:v>7.1275155370214588E-2</c:v>
                </c:pt>
                <c:pt idx="86">
                  <c:v>7.3507299636621434E-2</c:v>
                </c:pt>
                <c:pt idx="87">
                  <c:v>7.4706393262441384E-2</c:v>
                </c:pt>
                <c:pt idx="88">
                  <c:v>7.5342601046754679E-2</c:v>
                </c:pt>
                <c:pt idx="89">
                  <c:v>7.5386635378867542E-2</c:v>
                </c:pt>
                <c:pt idx="90">
                  <c:v>7.5738810641686236E-2</c:v>
                </c:pt>
                <c:pt idx="91">
                  <c:v>7.623117773821031E-2</c:v>
                </c:pt>
                <c:pt idx="92">
                  <c:v>7.6768425602739165E-2</c:v>
                </c:pt>
                <c:pt idx="93">
                  <c:v>8.1624906994801336E-2</c:v>
                </c:pt>
                <c:pt idx="94">
                  <c:v>8.1796002826923495E-2</c:v>
                </c:pt>
                <c:pt idx="95">
                  <c:v>8.244259901023189E-2</c:v>
                </c:pt>
                <c:pt idx="96">
                  <c:v>8.2883549019453981E-2</c:v>
                </c:pt>
                <c:pt idx="97">
                  <c:v>8.3923388628387732E-2</c:v>
                </c:pt>
                <c:pt idx="98">
                  <c:v>8.4231128199944758E-2</c:v>
                </c:pt>
                <c:pt idx="99">
                  <c:v>8.4783821902782594E-2</c:v>
                </c:pt>
                <c:pt idx="100">
                  <c:v>8.5003729189253807E-2</c:v>
                </c:pt>
                <c:pt idx="101">
                  <c:v>8.5035949115196671E-2</c:v>
                </c:pt>
                <c:pt idx="102">
                  <c:v>8.5261127108484866E-2</c:v>
                </c:pt>
                <c:pt idx="103">
                  <c:v>8.592421797836472E-2</c:v>
                </c:pt>
                <c:pt idx="104">
                  <c:v>8.712545985853816E-2</c:v>
                </c:pt>
                <c:pt idx="105">
                  <c:v>8.8710050765899703E-2</c:v>
                </c:pt>
                <c:pt idx="106">
                  <c:v>9.1208492362797475E-2</c:v>
                </c:pt>
                <c:pt idx="107">
                  <c:v>9.2702221733732382E-2</c:v>
                </c:pt>
                <c:pt idx="108">
                  <c:v>9.3153963988403615E-2</c:v>
                </c:pt>
                <c:pt idx="109">
                  <c:v>9.3685827333789246E-2</c:v>
                </c:pt>
                <c:pt idx="110">
                  <c:v>9.3860757188752364E-2</c:v>
                </c:pt>
                <c:pt idx="111">
                  <c:v>9.4956498915901466E-2</c:v>
                </c:pt>
                <c:pt idx="112">
                  <c:v>9.6692427453249116E-2</c:v>
                </c:pt>
                <c:pt idx="113">
                  <c:v>9.7943332033236866E-2</c:v>
                </c:pt>
                <c:pt idx="114">
                  <c:v>9.8040510267686953E-2</c:v>
                </c:pt>
                <c:pt idx="115">
                  <c:v>9.9303411242097267E-2</c:v>
                </c:pt>
                <c:pt idx="116">
                  <c:v>9.9392775005353845E-2</c:v>
                </c:pt>
                <c:pt idx="117">
                  <c:v>0.10160392837183095</c:v>
                </c:pt>
                <c:pt idx="118">
                  <c:v>0.101748139232437</c:v>
                </c:pt>
                <c:pt idx="119">
                  <c:v>0.10252666642691345</c:v>
                </c:pt>
                <c:pt idx="120">
                  <c:v>0.10365495493348925</c:v>
                </c:pt>
                <c:pt idx="121">
                  <c:v>0.10650405345817276</c:v>
                </c:pt>
                <c:pt idx="122">
                  <c:v>0.10769917834619777</c:v>
                </c:pt>
                <c:pt idx="123">
                  <c:v>0.10803074242464944</c:v>
                </c:pt>
                <c:pt idx="124">
                  <c:v>0.1088939210134931</c:v>
                </c:pt>
                <c:pt idx="125">
                  <c:v>0.10895006239374753</c:v>
                </c:pt>
                <c:pt idx="126">
                  <c:v>0.10908897734494449</c:v>
                </c:pt>
                <c:pt idx="127">
                  <c:v>0.10929880467909303</c:v>
                </c:pt>
                <c:pt idx="128">
                  <c:v>0.10965947674947887</c:v>
                </c:pt>
                <c:pt idx="129">
                  <c:v>0.11111988166139371</c:v>
                </c:pt>
                <c:pt idx="130">
                  <c:v>0.11227667249384594</c:v>
                </c:pt>
                <c:pt idx="131">
                  <c:v>0.11240757009977075</c:v>
                </c:pt>
                <c:pt idx="132">
                  <c:v>0.1127101404871543</c:v>
                </c:pt>
                <c:pt idx="133">
                  <c:v>0.11281001162415792</c:v>
                </c:pt>
                <c:pt idx="134">
                  <c:v>0.11307996786579705</c:v>
                </c:pt>
                <c:pt idx="135">
                  <c:v>0.11482027358407883</c:v>
                </c:pt>
                <c:pt idx="136">
                  <c:v>0.11507144929332284</c:v>
                </c:pt>
                <c:pt idx="137">
                  <c:v>0.11619163408301864</c:v>
                </c:pt>
                <c:pt idx="138">
                  <c:v>0.11705087037706825</c:v>
                </c:pt>
                <c:pt idx="139">
                  <c:v>0.1181709841957909</c:v>
                </c:pt>
                <c:pt idx="140">
                  <c:v>0.11923454957574921</c:v>
                </c:pt>
                <c:pt idx="141">
                  <c:v>0.12047345405911075</c:v>
                </c:pt>
                <c:pt idx="142">
                  <c:v>0.1246324642663227</c:v>
                </c:pt>
                <c:pt idx="143">
                  <c:v>0.12584014324019077</c:v>
                </c:pt>
                <c:pt idx="144">
                  <c:v>0.12662632495156428</c:v>
                </c:pt>
                <c:pt idx="145">
                  <c:v>0.12720692233777495</c:v>
                </c:pt>
                <c:pt idx="146">
                  <c:v>0.1281133789718851</c:v>
                </c:pt>
                <c:pt idx="147">
                  <c:v>0.13057106278329692</c:v>
                </c:pt>
                <c:pt idx="148">
                  <c:v>0.1308635507115361</c:v>
                </c:pt>
                <c:pt idx="149">
                  <c:v>0.13256727764503948</c:v>
                </c:pt>
                <c:pt idx="150">
                  <c:v>0.13380751608806832</c:v>
                </c:pt>
                <c:pt idx="151">
                  <c:v>0.13484758867323332</c:v>
                </c:pt>
                <c:pt idx="152">
                  <c:v>0.15127737410037229</c:v>
                </c:pt>
                <c:pt idx="153">
                  <c:v>0.1535406388662888</c:v>
                </c:pt>
                <c:pt idx="154">
                  <c:v>0.15980497049544307</c:v>
                </c:pt>
                <c:pt idx="155">
                  <c:v>0.16004255217806621</c:v>
                </c:pt>
                <c:pt idx="156">
                  <c:v>0.16934297905682114</c:v>
                </c:pt>
                <c:pt idx="157">
                  <c:v>0.17264104523526258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F5-45CB-B7BC-ECD2ED79F1A2}"/>
            </c:ext>
          </c:extLst>
        </c:ser>
        <c:ser>
          <c:idx val="1"/>
          <c:order val="1"/>
          <c:tx>
            <c:strRef>
              <c:f>TSS!$K$134</c:f>
              <c:strCache>
                <c:ptCount val="1"/>
                <c:pt idx="0">
                  <c:v>Revenue Increase + CPI = 11.2%</c:v>
                </c:pt>
              </c:strCache>
            </c:strRef>
          </c:tx>
          <c:spPr>
            <a:ln w="381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0.17476342563190123"/>
                  <c:y val="-3.66509895792485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20982784045716"/>
                      <c:h val="5.95323329537244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92C-450F-B547-0B6F5FFE0F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TSS!$K$135:$K$292</c:f>
              <c:numCache>
                <c:formatCode>_(#,##0.0%_);\(#,##0.0%\);_("-"_)</c:formatCode>
                <c:ptCount val="158"/>
                <c:pt idx="0">
                  <c:v>0.1122328118842657</c:v>
                </c:pt>
                <c:pt idx="1">
                  <c:v>0.1122328118842657</c:v>
                </c:pt>
                <c:pt idx="2">
                  <c:v>0.1122328118842657</c:v>
                </c:pt>
                <c:pt idx="3">
                  <c:v>0.1122328118842657</c:v>
                </c:pt>
                <c:pt idx="4">
                  <c:v>0.1122328118842657</c:v>
                </c:pt>
                <c:pt idx="5">
                  <c:v>0.1122328118842657</c:v>
                </c:pt>
                <c:pt idx="6">
                  <c:v>0.1122328118842657</c:v>
                </c:pt>
                <c:pt idx="7">
                  <c:v>0.1122328118842657</c:v>
                </c:pt>
                <c:pt idx="8">
                  <c:v>0.1122328118842657</c:v>
                </c:pt>
                <c:pt idx="9">
                  <c:v>0.1122328118842657</c:v>
                </c:pt>
                <c:pt idx="10">
                  <c:v>0.1122328118842657</c:v>
                </c:pt>
                <c:pt idx="11">
                  <c:v>0.1122328118842657</c:v>
                </c:pt>
                <c:pt idx="12">
                  <c:v>0.1122328118842657</c:v>
                </c:pt>
                <c:pt idx="13">
                  <c:v>0.1122328118842657</c:v>
                </c:pt>
                <c:pt idx="14">
                  <c:v>0.1122328118842657</c:v>
                </c:pt>
                <c:pt idx="15">
                  <c:v>0.1122328118842657</c:v>
                </c:pt>
                <c:pt idx="16">
                  <c:v>0.1122328118842657</c:v>
                </c:pt>
                <c:pt idx="17">
                  <c:v>0.1122328118842657</c:v>
                </c:pt>
                <c:pt idx="18">
                  <c:v>0.1122328118842657</c:v>
                </c:pt>
                <c:pt idx="19">
                  <c:v>0.1122328118842657</c:v>
                </c:pt>
                <c:pt idx="20">
                  <c:v>0.1122328118842657</c:v>
                </c:pt>
                <c:pt idx="21">
                  <c:v>0.1122328118842657</c:v>
                </c:pt>
                <c:pt idx="22">
                  <c:v>0.1122328118842657</c:v>
                </c:pt>
                <c:pt idx="23">
                  <c:v>0.1122328118842657</c:v>
                </c:pt>
                <c:pt idx="24">
                  <c:v>0.1122328118842657</c:v>
                </c:pt>
                <c:pt idx="25">
                  <c:v>0.1122328118842657</c:v>
                </c:pt>
                <c:pt idx="26">
                  <c:v>0.1122328118842657</c:v>
                </c:pt>
                <c:pt idx="27">
                  <c:v>0.1122328118842657</c:v>
                </c:pt>
                <c:pt idx="28">
                  <c:v>0.1122328118842657</c:v>
                </c:pt>
                <c:pt idx="29">
                  <c:v>0.1122328118842657</c:v>
                </c:pt>
                <c:pt idx="30">
                  <c:v>0.1122328118842657</c:v>
                </c:pt>
                <c:pt idx="31">
                  <c:v>0.1122328118842657</c:v>
                </c:pt>
                <c:pt idx="32">
                  <c:v>0.1122328118842657</c:v>
                </c:pt>
                <c:pt idx="33">
                  <c:v>0.1122328118842657</c:v>
                </c:pt>
                <c:pt idx="34">
                  <c:v>0.1122328118842657</c:v>
                </c:pt>
                <c:pt idx="35">
                  <c:v>0.1122328118842657</c:v>
                </c:pt>
                <c:pt idx="36">
                  <c:v>0.1122328118842657</c:v>
                </c:pt>
                <c:pt idx="37">
                  <c:v>0.1122328118842657</c:v>
                </c:pt>
                <c:pt idx="38">
                  <c:v>0.1122328118842657</c:v>
                </c:pt>
                <c:pt idx="39">
                  <c:v>0.1122328118842657</c:v>
                </c:pt>
                <c:pt idx="40">
                  <c:v>0.1122328118842657</c:v>
                </c:pt>
                <c:pt idx="41">
                  <c:v>0.1122328118842657</c:v>
                </c:pt>
                <c:pt idx="42">
                  <c:v>0.1122328118842657</c:v>
                </c:pt>
                <c:pt idx="43">
                  <c:v>0.1122328118842657</c:v>
                </c:pt>
                <c:pt idx="44">
                  <c:v>0.1122328118842657</c:v>
                </c:pt>
                <c:pt idx="45">
                  <c:v>0.1122328118842657</c:v>
                </c:pt>
                <c:pt idx="46">
                  <c:v>0.1122328118842657</c:v>
                </c:pt>
                <c:pt idx="47">
                  <c:v>0.1122328118842657</c:v>
                </c:pt>
                <c:pt idx="48">
                  <c:v>0.1122328118842657</c:v>
                </c:pt>
                <c:pt idx="49">
                  <c:v>0.1122328118842657</c:v>
                </c:pt>
                <c:pt idx="50">
                  <c:v>0.1122328118842657</c:v>
                </c:pt>
                <c:pt idx="51">
                  <c:v>0.1122328118842657</c:v>
                </c:pt>
                <c:pt idx="52">
                  <c:v>0.1122328118842657</c:v>
                </c:pt>
                <c:pt idx="53">
                  <c:v>0.1122328118842657</c:v>
                </c:pt>
                <c:pt idx="54">
                  <c:v>0.1122328118842657</c:v>
                </c:pt>
                <c:pt idx="55">
                  <c:v>0.1122328118842657</c:v>
                </c:pt>
                <c:pt idx="56">
                  <c:v>0.1122328118842657</c:v>
                </c:pt>
                <c:pt idx="57">
                  <c:v>0.1122328118842657</c:v>
                </c:pt>
                <c:pt idx="58">
                  <c:v>0.1122328118842657</c:v>
                </c:pt>
                <c:pt idx="59">
                  <c:v>0.1122328118842657</c:v>
                </c:pt>
                <c:pt idx="60">
                  <c:v>0.1122328118842657</c:v>
                </c:pt>
                <c:pt idx="61">
                  <c:v>0.1122328118842657</c:v>
                </c:pt>
                <c:pt idx="62">
                  <c:v>0.1122328118842657</c:v>
                </c:pt>
                <c:pt idx="63">
                  <c:v>0.1122328118842657</c:v>
                </c:pt>
                <c:pt idx="64">
                  <c:v>0.1122328118842657</c:v>
                </c:pt>
                <c:pt idx="65">
                  <c:v>0.1122328118842657</c:v>
                </c:pt>
                <c:pt idx="66">
                  <c:v>0.1122328118842657</c:v>
                </c:pt>
                <c:pt idx="67">
                  <c:v>0.1122328118842657</c:v>
                </c:pt>
                <c:pt idx="68">
                  <c:v>0.1122328118842657</c:v>
                </c:pt>
                <c:pt idx="69">
                  <c:v>0.1122328118842657</c:v>
                </c:pt>
                <c:pt idx="70">
                  <c:v>0.1122328118842657</c:v>
                </c:pt>
                <c:pt idx="71">
                  <c:v>0.1122328118842657</c:v>
                </c:pt>
                <c:pt idx="72">
                  <c:v>0.1122328118842657</c:v>
                </c:pt>
                <c:pt idx="73">
                  <c:v>0.1122328118842657</c:v>
                </c:pt>
                <c:pt idx="74">
                  <c:v>0.1122328118842657</c:v>
                </c:pt>
                <c:pt idx="75">
                  <c:v>0.1122328118842657</c:v>
                </c:pt>
                <c:pt idx="76">
                  <c:v>0.1122328118842657</c:v>
                </c:pt>
                <c:pt idx="77">
                  <c:v>0.1122328118842657</c:v>
                </c:pt>
                <c:pt idx="78">
                  <c:v>0.1122328118842657</c:v>
                </c:pt>
                <c:pt idx="79">
                  <c:v>0.1122328118842657</c:v>
                </c:pt>
                <c:pt idx="80">
                  <c:v>0.1122328118842657</c:v>
                </c:pt>
                <c:pt idx="81">
                  <c:v>0.1122328118842657</c:v>
                </c:pt>
                <c:pt idx="82">
                  <c:v>0.1122328118842657</c:v>
                </c:pt>
                <c:pt idx="83">
                  <c:v>0.1122328118842657</c:v>
                </c:pt>
                <c:pt idx="84">
                  <c:v>0.1122328118842657</c:v>
                </c:pt>
                <c:pt idx="85">
                  <c:v>0.1122328118842657</c:v>
                </c:pt>
                <c:pt idx="86">
                  <c:v>0.1122328118842657</c:v>
                </c:pt>
                <c:pt idx="87">
                  <c:v>0.1122328118842657</c:v>
                </c:pt>
                <c:pt idx="88">
                  <c:v>0.1122328118842657</c:v>
                </c:pt>
                <c:pt idx="89">
                  <c:v>0.1122328118842657</c:v>
                </c:pt>
                <c:pt idx="90">
                  <c:v>0.1122328118842657</c:v>
                </c:pt>
                <c:pt idx="91">
                  <c:v>0.1122328118842657</c:v>
                </c:pt>
                <c:pt idx="92">
                  <c:v>0.1122328118842657</c:v>
                </c:pt>
                <c:pt idx="93">
                  <c:v>0.1122328118842657</c:v>
                </c:pt>
                <c:pt idx="94">
                  <c:v>0.1122328118842657</c:v>
                </c:pt>
                <c:pt idx="95">
                  <c:v>0.1122328118842657</c:v>
                </c:pt>
                <c:pt idx="96">
                  <c:v>0.1122328118842657</c:v>
                </c:pt>
                <c:pt idx="97">
                  <c:v>0.1122328118842657</c:v>
                </c:pt>
                <c:pt idx="98">
                  <c:v>0.1122328118842657</c:v>
                </c:pt>
                <c:pt idx="99">
                  <c:v>0.1122328118842657</c:v>
                </c:pt>
                <c:pt idx="100">
                  <c:v>0.1122328118842657</c:v>
                </c:pt>
                <c:pt idx="101">
                  <c:v>0.1122328118842657</c:v>
                </c:pt>
                <c:pt idx="102">
                  <c:v>0.1122328118842657</c:v>
                </c:pt>
                <c:pt idx="103">
                  <c:v>0.1122328118842657</c:v>
                </c:pt>
                <c:pt idx="104">
                  <c:v>0.1122328118842657</c:v>
                </c:pt>
                <c:pt idx="105">
                  <c:v>0.1122328118842657</c:v>
                </c:pt>
                <c:pt idx="106">
                  <c:v>0.1122328118842657</c:v>
                </c:pt>
                <c:pt idx="107">
                  <c:v>0.1122328118842657</c:v>
                </c:pt>
                <c:pt idx="108">
                  <c:v>0.1122328118842657</c:v>
                </c:pt>
                <c:pt idx="109">
                  <c:v>0.1122328118842657</c:v>
                </c:pt>
                <c:pt idx="110">
                  <c:v>0.1122328118842657</c:v>
                </c:pt>
                <c:pt idx="111">
                  <c:v>0.1122328118842657</c:v>
                </c:pt>
                <c:pt idx="112">
                  <c:v>0.1122328118842657</c:v>
                </c:pt>
                <c:pt idx="113">
                  <c:v>0.1122328118842657</c:v>
                </c:pt>
                <c:pt idx="114">
                  <c:v>0.1122328118842657</c:v>
                </c:pt>
                <c:pt idx="115">
                  <c:v>0.1122328118842657</c:v>
                </c:pt>
                <c:pt idx="116">
                  <c:v>0.1122328118842657</c:v>
                </c:pt>
                <c:pt idx="117">
                  <c:v>0.1122328118842657</c:v>
                </c:pt>
                <c:pt idx="118">
                  <c:v>0.1122328118842657</c:v>
                </c:pt>
                <c:pt idx="119">
                  <c:v>0.1122328118842657</c:v>
                </c:pt>
                <c:pt idx="120">
                  <c:v>0.1122328118842657</c:v>
                </c:pt>
                <c:pt idx="121">
                  <c:v>0.1122328118842657</c:v>
                </c:pt>
                <c:pt idx="122">
                  <c:v>0.1122328118842657</c:v>
                </c:pt>
                <c:pt idx="123">
                  <c:v>0.1122328118842657</c:v>
                </c:pt>
                <c:pt idx="124">
                  <c:v>0.1122328118842657</c:v>
                </c:pt>
                <c:pt idx="125">
                  <c:v>0.1122328118842657</c:v>
                </c:pt>
                <c:pt idx="126">
                  <c:v>0.1122328118842657</c:v>
                </c:pt>
                <c:pt idx="127">
                  <c:v>0.1122328118842657</c:v>
                </c:pt>
                <c:pt idx="128">
                  <c:v>0.1122328118842657</c:v>
                </c:pt>
                <c:pt idx="129">
                  <c:v>0.1122328118842657</c:v>
                </c:pt>
                <c:pt idx="130">
                  <c:v>0.1122328118842657</c:v>
                </c:pt>
                <c:pt idx="131">
                  <c:v>0.1122328118842657</c:v>
                </c:pt>
                <c:pt idx="132">
                  <c:v>0.1122328118842657</c:v>
                </c:pt>
                <c:pt idx="133">
                  <c:v>0.1122328118842657</c:v>
                </c:pt>
                <c:pt idx="134">
                  <c:v>0.1122328118842657</c:v>
                </c:pt>
                <c:pt idx="135">
                  <c:v>0.1122328118842657</c:v>
                </c:pt>
                <c:pt idx="136">
                  <c:v>0.1122328118842657</c:v>
                </c:pt>
                <c:pt idx="137">
                  <c:v>0.1122328118842657</c:v>
                </c:pt>
                <c:pt idx="138">
                  <c:v>0.1122328118842657</c:v>
                </c:pt>
                <c:pt idx="139">
                  <c:v>0.1122328118842657</c:v>
                </c:pt>
                <c:pt idx="140">
                  <c:v>0.1122328118842657</c:v>
                </c:pt>
                <c:pt idx="141">
                  <c:v>0.1122328118842657</c:v>
                </c:pt>
                <c:pt idx="142">
                  <c:v>0.1122328118842657</c:v>
                </c:pt>
                <c:pt idx="143">
                  <c:v>0.1122328118842657</c:v>
                </c:pt>
                <c:pt idx="144">
                  <c:v>0.1122328118842657</c:v>
                </c:pt>
                <c:pt idx="145">
                  <c:v>0.1122328118842657</c:v>
                </c:pt>
                <c:pt idx="146">
                  <c:v>0.1122328118842657</c:v>
                </c:pt>
                <c:pt idx="147">
                  <c:v>0.1122328118842657</c:v>
                </c:pt>
                <c:pt idx="148">
                  <c:v>0.1122328118842657</c:v>
                </c:pt>
                <c:pt idx="149">
                  <c:v>0.1122328118842657</c:v>
                </c:pt>
                <c:pt idx="150">
                  <c:v>0.1122328118842657</c:v>
                </c:pt>
                <c:pt idx="151">
                  <c:v>0.1122328118842657</c:v>
                </c:pt>
                <c:pt idx="152">
                  <c:v>0.1122328118842657</c:v>
                </c:pt>
                <c:pt idx="153">
                  <c:v>0.1122328118842657</c:v>
                </c:pt>
                <c:pt idx="154">
                  <c:v>0.1122328118842657</c:v>
                </c:pt>
                <c:pt idx="155">
                  <c:v>0.1122328118842657</c:v>
                </c:pt>
                <c:pt idx="156">
                  <c:v>0.1122328118842657</c:v>
                </c:pt>
                <c:pt idx="157">
                  <c:v>0.1122328118842657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F5-45CB-B7BC-ECD2ED79F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674936"/>
        <c:axId val="1177675592"/>
      </c:scatterChart>
      <c:valAx>
        <c:axId val="1177674936"/>
        <c:scaling>
          <c:orientation val="minMax"/>
          <c:max val="1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Customer</a:t>
                </a:r>
                <a:r>
                  <a:rPr lang="en-AU" baseline="0"/>
                  <a:t> count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675592"/>
        <c:crosses val="autoZero"/>
        <c:crossBetween val="midCat"/>
        <c:majorUnit val="20"/>
        <c:minorUnit val="10"/>
      </c:valAx>
      <c:valAx>
        <c:axId val="117767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TSS!$J$294</c:f>
              <c:strCache>
                <c:ptCount val="1"/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674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TSS!$P$114</c:f>
              <c:strCache>
                <c:ptCount val="1"/>
                <c:pt idx="0">
                  <c:v>Tariff 1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TSS!$Q$113:$U$113</c:f>
              <c:strCache>
                <c:ptCount val="5"/>
                <c:pt idx="0">
                  <c:v>2024/25</c:v>
                </c:pt>
                <c:pt idx="1">
                  <c:v>2025/26</c:v>
                </c:pt>
                <c:pt idx="2">
                  <c:v>2026/27</c:v>
                </c:pt>
                <c:pt idx="3">
                  <c:v>2027/28</c:v>
                </c:pt>
                <c:pt idx="4">
                  <c:v>2028/29</c:v>
                </c:pt>
              </c:strCache>
            </c:strRef>
          </c:cat>
          <c:val>
            <c:numRef>
              <c:f>TSS!$Q$114:$U$114</c:f>
              <c:numCache>
                <c:formatCode>_(#,##0.00%_);\(#,##0.00%\);_("-"_)</c:formatCode>
                <c:ptCount val="5"/>
                <c:pt idx="0">
                  <c:v>0.17007125890736341</c:v>
                </c:pt>
                <c:pt idx="1">
                  <c:v>8.0998781973203413E-2</c:v>
                </c:pt>
                <c:pt idx="2">
                  <c:v>0.1132394366197183</c:v>
                </c:pt>
                <c:pt idx="3">
                  <c:v>0.1078778677462888</c:v>
                </c:pt>
                <c:pt idx="4">
                  <c:v>2.5504377617053674E-2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D-46FD-96E5-A9EB4A93D102}"/>
            </c:ext>
          </c:extLst>
        </c:ser>
        <c:ser>
          <c:idx val="1"/>
          <c:order val="1"/>
          <c:tx>
            <c:strRef>
              <c:f>TSS!$P$115</c:f>
              <c:strCache>
                <c:ptCount val="1"/>
                <c:pt idx="0">
                  <c:v>Tariff 3a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TSS!$Q$113:$U$113</c:f>
              <c:strCache>
                <c:ptCount val="5"/>
                <c:pt idx="0">
                  <c:v>2024/25</c:v>
                </c:pt>
                <c:pt idx="1">
                  <c:v>2025/26</c:v>
                </c:pt>
                <c:pt idx="2">
                  <c:v>2026/27</c:v>
                </c:pt>
                <c:pt idx="3">
                  <c:v>2027/28</c:v>
                </c:pt>
                <c:pt idx="4">
                  <c:v>2028/29</c:v>
                </c:pt>
              </c:strCache>
            </c:strRef>
          </c:cat>
          <c:val>
            <c:numRef>
              <c:f>TSS!$Q$115:$U$115</c:f>
              <c:numCache>
                <c:formatCode>_(#,##0.00%_);\(#,##0.00%\);_("-"_)</c:formatCode>
                <c:ptCount val="5"/>
                <c:pt idx="0">
                  <c:v>-1.8191906865378148E-2</c:v>
                </c:pt>
                <c:pt idx="1">
                  <c:v>8.1147506852402837E-2</c:v>
                </c:pt>
                <c:pt idx="2">
                  <c:v>0.11344778635710512</c:v>
                </c:pt>
                <c:pt idx="3">
                  <c:v>0.10808664778380875</c:v>
                </c:pt>
                <c:pt idx="4">
                  <c:v>2.5779932341424037E-2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D-46FD-96E5-A9EB4A93D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05719"/>
        <c:axId val="169208015"/>
      </c:lineChart>
      <c:catAx>
        <c:axId val="169205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208015"/>
        <c:crosses val="autoZero"/>
        <c:auto val="1"/>
        <c:lblAlgn val="ctr"/>
        <c:lblOffset val="100"/>
        <c:noMultiLvlLbl val="0"/>
      </c:catAx>
      <c:valAx>
        <c:axId val="16920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TSS!$Q$117</c:f>
              <c:strCache>
                <c:ptCount val="1"/>
                <c:pt idx="0">
                  <c:v>Customer bill impact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205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TSS!$P$94</c:f>
              <c:strCache>
                <c:ptCount val="1"/>
                <c:pt idx="0">
                  <c:v>Tariff 1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TSS!$Q$93:$U$93</c:f>
              <c:strCache>
                <c:ptCount val="5"/>
                <c:pt idx="0">
                  <c:v>2024/25</c:v>
                </c:pt>
                <c:pt idx="1">
                  <c:v>2025/26</c:v>
                </c:pt>
                <c:pt idx="2">
                  <c:v>2026/27</c:v>
                </c:pt>
                <c:pt idx="3">
                  <c:v>2027/28</c:v>
                </c:pt>
                <c:pt idx="4">
                  <c:v>2028/29</c:v>
                </c:pt>
              </c:strCache>
            </c:strRef>
          </c:cat>
          <c:val>
            <c:numRef>
              <c:f>TSS!$Q$94:$U$94</c:f>
              <c:numCache>
                <c:formatCode>_("$"#,##0.0_);\("$"#,##0.0\);_("-"_)</c:formatCode>
                <c:ptCount val="5"/>
                <c:pt idx="0">
                  <c:v>1052.5</c:v>
                </c:pt>
                <c:pt idx="1">
                  <c:v>1231.5</c:v>
                </c:pt>
                <c:pt idx="2">
                  <c:v>1331.25</c:v>
                </c:pt>
                <c:pt idx="3">
                  <c:v>1482</c:v>
                </c:pt>
                <c:pt idx="4">
                  <c:v>1641.875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2-4E16-9F95-C08E177506E7}"/>
            </c:ext>
          </c:extLst>
        </c:ser>
        <c:ser>
          <c:idx val="1"/>
          <c:order val="1"/>
          <c:tx>
            <c:strRef>
              <c:f>TSS!$P$95</c:f>
              <c:strCache>
                <c:ptCount val="1"/>
                <c:pt idx="0">
                  <c:v>Tariff 3a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TSS!$Q$93:$U$93</c:f>
              <c:strCache>
                <c:ptCount val="5"/>
                <c:pt idx="0">
                  <c:v>2024/25</c:v>
                </c:pt>
                <c:pt idx="1">
                  <c:v>2025/26</c:v>
                </c:pt>
                <c:pt idx="2">
                  <c:v>2026/27</c:v>
                </c:pt>
                <c:pt idx="3">
                  <c:v>2027/28</c:v>
                </c:pt>
                <c:pt idx="4">
                  <c:v>2028/29</c:v>
                </c:pt>
              </c:strCache>
            </c:strRef>
          </c:cat>
          <c:val>
            <c:numRef>
              <c:f>TSS!$Q$95:$U$95</c:f>
              <c:numCache>
                <c:formatCode>_("$"#,##0.0_);\("$"#,##0.0\);_("-"_)</c:formatCode>
                <c:ptCount val="5"/>
                <c:pt idx="0">
                  <c:v>1254</c:v>
                </c:pt>
                <c:pt idx="1">
                  <c:v>1231.1873487908158</c:v>
                </c:pt>
                <c:pt idx="2">
                  <c:v>1331.0951326134102</c:v>
                </c:pt>
                <c:pt idx="3">
                  <c:v>1482.1049288391189</c:v>
                </c:pt>
                <c:pt idx="4">
                  <c:v>1642.3006822611997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2-4E16-9F95-C08E17750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05719"/>
        <c:axId val="169208015"/>
      </c:lineChart>
      <c:catAx>
        <c:axId val="169205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208015"/>
        <c:crosses val="autoZero"/>
        <c:auto val="1"/>
        <c:lblAlgn val="ctr"/>
        <c:lblOffset val="100"/>
        <c:noMultiLvlLbl val="0"/>
      </c:catAx>
      <c:valAx>
        <c:axId val="16920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TSS!$Q$97</c:f>
              <c:strCache>
                <c:ptCount val="1"/>
                <c:pt idx="0">
                  <c:v>Estimated bill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205719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0945514115495"/>
          <c:y val="5.3524904214559389E-2"/>
          <c:w val="0.8644850437867253"/>
          <c:h val="0.76994789272030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TSS!$J$297</c:f>
              <c:strCache>
                <c:ptCount val="1"/>
                <c:pt idx="0">
                  <c:v>FY25 % Bill Change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yVal>
            <c:numRef>
              <c:f>TSS!$J$298:$J$359</c:f>
              <c:numCache>
                <c:formatCode>_(#,##0%_);\(#,##0%\);_("-"_)</c:formatCode>
                <c:ptCount val="62"/>
                <c:pt idx="0">
                  <c:v>-0.34663381948202676</c:v>
                </c:pt>
                <c:pt idx="1">
                  <c:v>-0.237696562363753</c:v>
                </c:pt>
                <c:pt idx="2">
                  <c:v>-0.10725260869206832</c:v>
                </c:pt>
                <c:pt idx="3">
                  <c:v>-0.10592684432290711</c:v>
                </c:pt>
                <c:pt idx="4">
                  <c:v>-0.10208620705854651</c:v>
                </c:pt>
                <c:pt idx="5">
                  <c:v>-9.7791784863753894E-2</c:v>
                </c:pt>
                <c:pt idx="6">
                  <c:v>-8.3863958100959105E-2</c:v>
                </c:pt>
                <c:pt idx="7">
                  <c:v>-6.6300078422906999E-2</c:v>
                </c:pt>
                <c:pt idx="8">
                  <c:v>-6.1548024356816756E-2</c:v>
                </c:pt>
                <c:pt idx="9">
                  <c:v>-6.1413997178586859E-2</c:v>
                </c:pt>
                <c:pt idx="10">
                  <c:v>-4.3740542274417309E-2</c:v>
                </c:pt>
                <c:pt idx="11">
                  <c:v>-4.0990419619962533E-2</c:v>
                </c:pt>
                <c:pt idx="12">
                  <c:v>-3.0833465886462776E-2</c:v>
                </c:pt>
                <c:pt idx="13">
                  <c:v>-2.9510301250199062E-2</c:v>
                </c:pt>
                <c:pt idx="14">
                  <c:v>-2.4809989692188741E-2</c:v>
                </c:pt>
                <c:pt idx="15">
                  <c:v>-2.3851854318814075E-2</c:v>
                </c:pt>
                <c:pt idx="16">
                  <c:v>-2.0630286596776799E-2</c:v>
                </c:pt>
                <c:pt idx="17">
                  <c:v>-4.6924457886590451E-3</c:v>
                </c:pt>
                <c:pt idx="18">
                  <c:v>-2.2771310515587136E-4</c:v>
                </c:pt>
                <c:pt idx="19">
                  <c:v>4.581583804173187E-4</c:v>
                </c:pt>
                <c:pt idx="20">
                  <c:v>1.0172654707937505E-2</c:v>
                </c:pt>
                <c:pt idx="21">
                  <c:v>1.0424175144729732E-2</c:v>
                </c:pt>
                <c:pt idx="22">
                  <c:v>1.5114795180549421E-2</c:v>
                </c:pt>
                <c:pt idx="23">
                  <c:v>1.6072098843383623E-2</c:v>
                </c:pt>
                <c:pt idx="24">
                  <c:v>1.6796581671116518E-2</c:v>
                </c:pt>
                <c:pt idx="25">
                  <c:v>2.2353806615985152E-2</c:v>
                </c:pt>
                <c:pt idx="26">
                  <c:v>2.7439554698770047E-2</c:v>
                </c:pt>
                <c:pt idx="27">
                  <c:v>2.9550585449906051E-2</c:v>
                </c:pt>
                <c:pt idx="28">
                  <c:v>3.8262752215596725E-2</c:v>
                </c:pt>
                <c:pt idx="29">
                  <c:v>3.9028382495852242E-2</c:v>
                </c:pt>
                <c:pt idx="30">
                  <c:v>4.0453320053697048E-2</c:v>
                </c:pt>
                <c:pt idx="31">
                  <c:v>4.7496665046676767E-2</c:v>
                </c:pt>
                <c:pt idx="32">
                  <c:v>4.9616512614626407E-2</c:v>
                </c:pt>
                <c:pt idx="33">
                  <c:v>5.3606148965675962E-2</c:v>
                </c:pt>
                <c:pt idx="34">
                  <c:v>5.5796093136179774E-2</c:v>
                </c:pt>
                <c:pt idx="35">
                  <c:v>5.617796891895923E-2</c:v>
                </c:pt>
                <c:pt idx="36">
                  <c:v>5.7054492785158471E-2</c:v>
                </c:pt>
                <c:pt idx="37">
                  <c:v>5.7211241264578744E-2</c:v>
                </c:pt>
                <c:pt idx="38">
                  <c:v>6.3433643084674113E-2</c:v>
                </c:pt>
                <c:pt idx="39">
                  <c:v>6.4373718092624641E-2</c:v>
                </c:pt>
                <c:pt idx="40">
                  <c:v>7.0537764446639076E-2</c:v>
                </c:pt>
                <c:pt idx="41">
                  <c:v>7.2811069991305988E-2</c:v>
                </c:pt>
                <c:pt idx="42">
                  <c:v>7.6962769076460311E-2</c:v>
                </c:pt>
                <c:pt idx="43">
                  <c:v>7.839786980061296E-2</c:v>
                </c:pt>
                <c:pt idx="44">
                  <c:v>8.1839013842212538E-2</c:v>
                </c:pt>
                <c:pt idx="45">
                  <c:v>8.8646322551245854E-2</c:v>
                </c:pt>
                <c:pt idx="46">
                  <c:v>9.084853050277425E-2</c:v>
                </c:pt>
                <c:pt idx="47">
                  <c:v>9.699453551912568E-2</c:v>
                </c:pt>
                <c:pt idx="48">
                  <c:v>9.699453551912568E-2</c:v>
                </c:pt>
                <c:pt idx="49">
                  <c:v>9.699453551912568E-2</c:v>
                </c:pt>
                <c:pt idx="50">
                  <c:v>9.699453551912568E-2</c:v>
                </c:pt>
                <c:pt idx="51">
                  <c:v>9.699453551912568E-2</c:v>
                </c:pt>
                <c:pt idx="52">
                  <c:v>9.699453551912568E-2</c:v>
                </c:pt>
                <c:pt idx="53">
                  <c:v>9.699453551912568E-2</c:v>
                </c:pt>
                <c:pt idx="54">
                  <c:v>9.9685683827416702E-2</c:v>
                </c:pt>
                <c:pt idx="55">
                  <c:v>0.10626246612573952</c:v>
                </c:pt>
                <c:pt idx="56">
                  <c:v>0.10697611724306327</c:v>
                </c:pt>
                <c:pt idx="57">
                  <c:v>0.10993923618414154</c:v>
                </c:pt>
                <c:pt idx="58">
                  <c:v>0.12025757771267176</c:v>
                </c:pt>
                <c:pt idx="59">
                  <c:v>0.12114752549235358</c:v>
                </c:pt>
                <c:pt idx="60">
                  <c:v>0.13803504854629253</c:v>
                </c:pt>
                <c:pt idx="61">
                  <c:v>0.14542142895091439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99-4984-9093-DECB2EB69C58}"/>
            </c:ext>
          </c:extLst>
        </c:ser>
        <c:ser>
          <c:idx val="1"/>
          <c:order val="1"/>
          <c:tx>
            <c:strRef>
              <c:f>TSS!$K$297</c:f>
              <c:strCache>
                <c:ptCount val="1"/>
                <c:pt idx="0">
                  <c:v>Revenue Increase + CPI = 11.2%</c:v>
                </c:pt>
              </c:strCache>
            </c:strRef>
          </c:tx>
          <c:spPr>
            <a:ln w="381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yVal>
            <c:numRef>
              <c:f>TSS!$K$298:$K$359</c:f>
              <c:numCache>
                <c:formatCode>_(#,##0.0%_);\(#,##0.0%\);_("-"_)</c:formatCode>
                <c:ptCount val="62"/>
                <c:pt idx="0">
                  <c:v>0.1122328118842657</c:v>
                </c:pt>
                <c:pt idx="1">
                  <c:v>0.1122328118842657</c:v>
                </c:pt>
                <c:pt idx="2">
                  <c:v>0.1122328118842657</c:v>
                </c:pt>
                <c:pt idx="3">
                  <c:v>0.1122328118842657</c:v>
                </c:pt>
                <c:pt idx="4">
                  <c:v>0.1122328118842657</c:v>
                </c:pt>
                <c:pt idx="5">
                  <c:v>0.1122328118842657</c:v>
                </c:pt>
                <c:pt idx="6">
                  <c:v>0.1122328118842657</c:v>
                </c:pt>
                <c:pt idx="7">
                  <c:v>0.1122328118842657</c:v>
                </c:pt>
                <c:pt idx="8">
                  <c:v>0.1122328118842657</c:v>
                </c:pt>
                <c:pt idx="9">
                  <c:v>0.1122328118842657</c:v>
                </c:pt>
                <c:pt idx="10">
                  <c:v>0.1122328118842657</c:v>
                </c:pt>
                <c:pt idx="11">
                  <c:v>0.1122328118842657</c:v>
                </c:pt>
                <c:pt idx="12">
                  <c:v>0.1122328118842657</c:v>
                </c:pt>
                <c:pt idx="13">
                  <c:v>0.1122328118842657</c:v>
                </c:pt>
                <c:pt idx="14">
                  <c:v>0.1122328118842657</c:v>
                </c:pt>
                <c:pt idx="15">
                  <c:v>0.1122328118842657</c:v>
                </c:pt>
                <c:pt idx="16">
                  <c:v>0.1122328118842657</c:v>
                </c:pt>
                <c:pt idx="17">
                  <c:v>0.1122328118842657</c:v>
                </c:pt>
                <c:pt idx="18">
                  <c:v>0.1122328118842657</c:v>
                </c:pt>
                <c:pt idx="19">
                  <c:v>0.1122328118842657</c:v>
                </c:pt>
                <c:pt idx="20">
                  <c:v>0.1122328118842657</c:v>
                </c:pt>
                <c:pt idx="21">
                  <c:v>0.1122328118842657</c:v>
                </c:pt>
                <c:pt idx="22">
                  <c:v>0.1122328118842657</c:v>
                </c:pt>
                <c:pt idx="23">
                  <c:v>0.1122328118842657</c:v>
                </c:pt>
                <c:pt idx="24">
                  <c:v>0.1122328118842657</c:v>
                </c:pt>
                <c:pt idx="25">
                  <c:v>0.1122328118842657</c:v>
                </c:pt>
                <c:pt idx="26">
                  <c:v>0.1122328118842657</c:v>
                </c:pt>
                <c:pt idx="27">
                  <c:v>0.1122328118842657</c:v>
                </c:pt>
                <c:pt idx="28">
                  <c:v>0.1122328118842657</c:v>
                </c:pt>
                <c:pt idx="29">
                  <c:v>0.1122328118842657</c:v>
                </c:pt>
                <c:pt idx="30">
                  <c:v>0.1122328118842657</c:v>
                </c:pt>
                <c:pt idx="31">
                  <c:v>0.1122328118842657</c:v>
                </c:pt>
                <c:pt idx="32">
                  <c:v>0.1122328118842657</c:v>
                </c:pt>
                <c:pt idx="33">
                  <c:v>0.1122328118842657</c:v>
                </c:pt>
                <c:pt idx="34">
                  <c:v>0.1122328118842657</c:v>
                </c:pt>
                <c:pt idx="35">
                  <c:v>0.1122328118842657</c:v>
                </c:pt>
                <c:pt idx="36">
                  <c:v>0.1122328118842657</c:v>
                </c:pt>
                <c:pt idx="37">
                  <c:v>0.1122328118842657</c:v>
                </c:pt>
                <c:pt idx="38">
                  <c:v>0.1122328118842657</c:v>
                </c:pt>
                <c:pt idx="39">
                  <c:v>0.1122328118842657</c:v>
                </c:pt>
                <c:pt idx="40">
                  <c:v>0.1122328118842657</c:v>
                </c:pt>
                <c:pt idx="41">
                  <c:v>0.1122328118842657</c:v>
                </c:pt>
                <c:pt idx="42">
                  <c:v>0.1122328118842657</c:v>
                </c:pt>
                <c:pt idx="43">
                  <c:v>0.1122328118842657</c:v>
                </c:pt>
                <c:pt idx="44">
                  <c:v>0.1122328118842657</c:v>
                </c:pt>
                <c:pt idx="45">
                  <c:v>0.1122328118842657</c:v>
                </c:pt>
                <c:pt idx="46">
                  <c:v>0.1122328118842657</c:v>
                </c:pt>
                <c:pt idx="47">
                  <c:v>0.1122328118842657</c:v>
                </c:pt>
                <c:pt idx="48">
                  <c:v>0.1122328118842657</c:v>
                </c:pt>
                <c:pt idx="49">
                  <c:v>0.1122328118842657</c:v>
                </c:pt>
                <c:pt idx="50">
                  <c:v>0.1122328118842657</c:v>
                </c:pt>
                <c:pt idx="51">
                  <c:v>0.1122328118842657</c:v>
                </c:pt>
                <c:pt idx="52">
                  <c:v>0.1122328118842657</c:v>
                </c:pt>
                <c:pt idx="53">
                  <c:v>0.1122328118842657</c:v>
                </c:pt>
                <c:pt idx="54">
                  <c:v>0.1122328118842657</c:v>
                </c:pt>
                <c:pt idx="55">
                  <c:v>0.1122328118842657</c:v>
                </c:pt>
                <c:pt idx="56">
                  <c:v>0.1122328118842657</c:v>
                </c:pt>
                <c:pt idx="57">
                  <c:v>0.1122328118842657</c:v>
                </c:pt>
                <c:pt idx="58">
                  <c:v>0.1122328118842657</c:v>
                </c:pt>
                <c:pt idx="59">
                  <c:v>0.1122328118842657</c:v>
                </c:pt>
                <c:pt idx="60">
                  <c:v>0.1122328118842657</c:v>
                </c:pt>
                <c:pt idx="61">
                  <c:v>0.1122328118842657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99-4984-9093-DECB2EB69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674936"/>
        <c:axId val="1177675592"/>
      </c:scatterChart>
      <c:valAx>
        <c:axId val="1177674936"/>
        <c:scaling>
          <c:orientation val="minMax"/>
          <c:max val="6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Customer</a:t>
                </a:r>
                <a:r>
                  <a:rPr lang="en-AU" baseline="0"/>
                  <a:t> count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675592"/>
        <c:crosses val="autoZero"/>
        <c:crossBetween val="midCat"/>
        <c:majorUnit val="5"/>
        <c:minorUnit val="1"/>
      </c:valAx>
      <c:valAx>
        <c:axId val="117767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TSS!$J$294</c:f>
              <c:strCache>
                <c:ptCount val="1"/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674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TSES!$M$106</c:f>
              <c:strCache>
                <c:ptCount val="1"/>
                <c:pt idx="0">
                  <c:v>Smart Meters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TSES!$N$104:$Y$105</c:f>
              <c:multiLvlStrCache>
                <c:ptCount val="12"/>
                <c:lvl>
                  <c:pt idx="0">
                    <c:v>2017/18</c:v>
                  </c:pt>
                  <c:pt idx="1">
                    <c:v>2018/19</c:v>
                  </c:pt>
                  <c:pt idx="2">
                    <c:v>2019/20</c:v>
                  </c:pt>
                  <c:pt idx="3">
                    <c:v>2020/21</c:v>
                  </c:pt>
                  <c:pt idx="4">
                    <c:v>2021/22</c:v>
                  </c:pt>
                  <c:pt idx="5">
                    <c:v>2022/23</c:v>
                  </c:pt>
                  <c:pt idx="6">
                    <c:v>2023/24</c:v>
                  </c:pt>
                  <c:pt idx="7">
                    <c:v>2024/25</c:v>
                  </c:pt>
                  <c:pt idx="8">
                    <c:v>2025/26</c:v>
                  </c:pt>
                  <c:pt idx="9">
                    <c:v>2026/27</c:v>
                  </c:pt>
                  <c:pt idx="10">
                    <c:v>2027/28</c:v>
                  </c:pt>
                  <c:pt idx="11">
                    <c:v>2028/29</c:v>
                  </c:pt>
                </c:lvl>
                <c:lvl>
                  <c:pt idx="0">
                    <c:v>2015-19 Period</c:v>
                  </c:pt>
                  <c:pt idx="2">
                    <c:v>2019-24 Period</c:v>
                  </c:pt>
                  <c:pt idx="7">
                    <c:v>2024-29 Period</c:v>
                  </c:pt>
                </c:lvl>
              </c:multiLvlStrCache>
            </c:multiLvlStrRef>
          </c:cat>
          <c:val>
            <c:numRef>
              <c:f>TSES!$N$106:$Y$106</c:f>
              <c:numCache>
                <c:formatCode>_(#,##0_);\(#,##0\);_("-"_)</c:formatCode>
                <c:ptCount val="12"/>
                <c:pt idx="0">
                  <c:v>15427</c:v>
                </c:pt>
                <c:pt idx="1">
                  <c:v>15233</c:v>
                </c:pt>
                <c:pt idx="2">
                  <c:v>15727</c:v>
                </c:pt>
                <c:pt idx="3">
                  <c:v>21546</c:v>
                </c:pt>
                <c:pt idx="4">
                  <c:v>24039</c:v>
                </c:pt>
                <c:pt idx="5">
                  <c:v>35705.397749794749</c:v>
                </c:pt>
                <c:pt idx="6">
                  <c:v>45637.388650272864</c:v>
                </c:pt>
                <c:pt idx="7">
                  <c:v>55909.443480661212</c:v>
                </c:pt>
                <c:pt idx="8">
                  <c:v>66002.347722079023</c:v>
                </c:pt>
                <c:pt idx="9">
                  <c:v>75836.713643098628</c:v>
                </c:pt>
                <c:pt idx="10">
                  <c:v>85476.217085110213</c:v>
                </c:pt>
                <c:pt idx="11">
                  <c:v>91672.534971068919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6-49C6-BD7B-0A5B7A5EE6BB}"/>
            </c:ext>
          </c:extLst>
        </c:ser>
        <c:ser>
          <c:idx val="1"/>
          <c:order val="1"/>
          <c:tx>
            <c:strRef>
              <c:f>TSES!$M$107</c:f>
              <c:strCache>
                <c:ptCount val="1"/>
                <c:pt idx="0">
                  <c:v>Basic Meters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TSES!$N$104:$Y$105</c:f>
              <c:multiLvlStrCache>
                <c:ptCount val="12"/>
                <c:lvl>
                  <c:pt idx="0">
                    <c:v>2017/18</c:v>
                  </c:pt>
                  <c:pt idx="1">
                    <c:v>2018/19</c:v>
                  </c:pt>
                  <c:pt idx="2">
                    <c:v>2019/20</c:v>
                  </c:pt>
                  <c:pt idx="3">
                    <c:v>2020/21</c:v>
                  </c:pt>
                  <c:pt idx="4">
                    <c:v>2021/22</c:v>
                  </c:pt>
                  <c:pt idx="5">
                    <c:v>2022/23</c:v>
                  </c:pt>
                  <c:pt idx="6">
                    <c:v>2023/24</c:v>
                  </c:pt>
                  <c:pt idx="7">
                    <c:v>2024/25</c:v>
                  </c:pt>
                  <c:pt idx="8">
                    <c:v>2025/26</c:v>
                  </c:pt>
                  <c:pt idx="9">
                    <c:v>2026/27</c:v>
                  </c:pt>
                  <c:pt idx="10">
                    <c:v>2027/28</c:v>
                  </c:pt>
                  <c:pt idx="11">
                    <c:v>2028/29</c:v>
                  </c:pt>
                </c:lvl>
                <c:lvl>
                  <c:pt idx="0">
                    <c:v>2015-19 Period</c:v>
                  </c:pt>
                  <c:pt idx="2">
                    <c:v>2019-24 Period</c:v>
                  </c:pt>
                  <c:pt idx="7">
                    <c:v>2024-29 Period</c:v>
                  </c:pt>
                </c:lvl>
              </c:multiLvlStrCache>
            </c:multiLvlStrRef>
          </c:cat>
          <c:val>
            <c:numRef>
              <c:f>TSES!$N$107:$Y$107</c:f>
              <c:numCache>
                <c:formatCode>_(#,##0_);\(#,##0\);_("-"_)</c:formatCode>
                <c:ptCount val="12"/>
                <c:pt idx="0">
                  <c:v>71612</c:v>
                </c:pt>
                <c:pt idx="1">
                  <c:v>72292</c:v>
                </c:pt>
                <c:pt idx="2">
                  <c:v>70599</c:v>
                </c:pt>
                <c:pt idx="3">
                  <c:v>65526</c:v>
                </c:pt>
                <c:pt idx="4">
                  <c:v>63555</c:v>
                </c:pt>
                <c:pt idx="5">
                  <c:v>52602.578584229297</c:v>
                </c:pt>
                <c:pt idx="6">
                  <c:v>43225.401322761318</c:v>
                </c:pt>
                <c:pt idx="7">
                  <c:v>33510.901714357555</c:v>
                </c:pt>
                <c:pt idx="8">
                  <c:v>23977.300845586171</c:v>
                </c:pt>
                <c:pt idx="9">
                  <c:v>14705.036757529502</c:v>
                </c:pt>
                <c:pt idx="10">
                  <c:v>5629.5615060955488</c:v>
                </c:pt>
                <c:pt idx="11">
                  <c:v>5.9216463608208869E-2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6-49C6-BD7B-0A5B7A5EE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8078672"/>
        <c:axId val="978076376"/>
      </c:barChart>
      <c:catAx>
        <c:axId val="97807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8076376"/>
        <c:crosses val="autoZero"/>
        <c:auto val="1"/>
        <c:lblAlgn val="ctr"/>
        <c:lblOffset val="100"/>
        <c:noMultiLvlLbl val="0"/>
      </c:catAx>
      <c:valAx>
        <c:axId val="97807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TSES!$M$108</c:f>
              <c:strCache>
                <c:ptCount val="1"/>
                <c:pt idx="0">
                  <c:v>Meter Population (Number)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8078672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TSS!$K$59</c:f>
              <c:strCache>
                <c:ptCount val="1"/>
                <c:pt idx="0">
                  <c:v>FY25</c:v>
                </c:pt>
              </c:strCache>
            </c:strRef>
          </c:tx>
          <c:invertIfNegative val="0"/>
          <c:dLbls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42-486A-8672-4807D029093F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42-486A-8672-4807D029093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TSS!$I$60:$J$84</c:f>
              <c:multiLvlStrCache>
                <c:ptCount val="25"/>
                <c:lvl>
                  <c:pt idx="0">
                    <c:v>SAC</c:v>
                  </c:pt>
                  <c:pt idx="1">
                    <c:v>Anytime Energy</c:v>
                  </c:pt>
                  <c:pt idx="2">
                    <c:v>SAC</c:v>
                  </c:pt>
                  <c:pt idx="3">
                    <c:v>Anytime Energy</c:v>
                  </c:pt>
                  <c:pt idx="4">
                    <c:v>SAC</c:v>
                  </c:pt>
                  <c:pt idx="5">
                    <c:v>Peak Energy</c:v>
                  </c:pt>
                  <c:pt idx="6">
                    <c:v>Off-peak Energy</c:v>
                  </c:pt>
                  <c:pt idx="7">
                    <c:v>Super Off-peak Energy</c:v>
                  </c:pt>
                  <c:pt idx="8">
                    <c:v>SAC</c:v>
                  </c:pt>
                  <c:pt idx="9">
                    <c:v>Peak Energy</c:v>
                  </c:pt>
                  <c:pt idx="10">
                    <c:v>Off-peak Energy</c:v>
                  </c:pt>
                  <c:pt idx="11">
                    <c:v>Super Off-peak Energy</c:v>
                  </c:pt>
                  <c:pt idx="12">
                    <c:v>SAC</c:v>
                  </c:pt>
                  <c:pt idx="13">
                    <c:v>Peak Energy</c:v>
                  </c:pt>
                  <c:pt idx="14">
                    <c:v>Off-peak Energy</c:v>
                  </c:pt>
                  <c:pt idx="15">
                    <c:v>Super Off-peak Energy</c:v>
                  </c:pt>
                  <c:pt idx="16">
                    <c:v>Anytime Energy</c:v>
                  </c:pt>
                  <c:pt idx="17">
                    <c:v>SAC</c:v>
                  </c:pt>
                  <c:pt idx="18">
                    <c:v>Anytime Energy Price</c:v>
                  </c:pt>
                  <c:pt idx="19">
                    <c:v>On-Season Demand</c:v>
                  </c:pt>
                  <c:pt idx="20">
                    <c:v>Off-Season Demand</c:v>
                  </c:pt>
                  <c:pt idx="21">
                    <c:v>SAC</c:v>
                  </c:pt>
                  <c:pt idx="22">
                    <c:v>Anytime Energy Price</c:v>
                  </c:pt>
                  <c:pt idx="23">
                    <c:v>On-Season Demand</c:v>
                  </c:pt>
                  <c:pt idx="24">
                    <c:v>Off-Season Demand</c:v>
                  </c:pt>
                </c:lvl>
                <c:lvl>
                  <c:pt idx="0">
                    <c:v>T1</c:v>
                  </c:pt>
                  <c:pt idx="2">
                    <c:v>T2</c:v>
                  </c:pt>
                  <c:pt idx="4">
                    <c:v>T3a</c:v>
                  </c:pt>
                  <c:pt idx="8">
                    <c:v>T3b</c:v>
                  </c:pt>
                  <c:pt idx="12">
                    <c:v>T3c</c:v>
                  </c:pt>
                  <c:pt idx="16">
                    <c:v>T4</c:v>
                  </c:pt>
                  <c:pt idx="17">
                    <c:v>T5</c:v>
                  </c:pt>
                  <c:pt idx="21">
                    <c:v>T6</c:v>
                  </c:pt>
                </c:lvl>
              </c:multiLvlStrCache>
            </c:multiLvlStrRef>
          </c:cat>
          <c:val>
            <c:numRef>
              <c:f>TSS!$K$60:$K$84</c:f>
              <c:numCache>
                <c:formatCode>0%</c:formatCode>
                <c:ptCount val="25"/>
                <c:pt idx="0">
                  <c:v>0.22520041734079224</c:v>
                </c:pt>
                <c:pt idx="1">
                  <c:v>9.6514464574625258E-2</c:v>
                </c:pt>
                <c:pt idx="2">
                  <c:v>3.4646134377166308E-3</c:v>
                </c:pt>
                <c:pt idx="3">
                  <c:v>8.5402841288690617E-3</c:v>
                </c:pt>
                <c:pt idx="4">
                  <c:v>0.17810128819325069</c:v>
                </c:pt>
                <c:pt idx="5">
                  <c:v>0</c:v>
                </c:pt>
                <c:pt idx="6">
                  <c:v>1.9789032021472291E-2</c:v>
                </c:pt>
                <c:pt idx="7">
                  <c:v>0</c:v>
                </c:pt>
                <c:pt idx="8">
                  <c:v>2.460224249366862E-2</c:v>
                </c:pt>
                <c:pt idx="9">
                  <c:v>0</c:v>
                </c:pt>
                <c:pt idx="10">
                  <c:v>9.8408969974674479E-2</c:v>
                </c:pt>
                <c:pt idx="11">
                  <c:v>0</c:v>
                </c:pt>
                <c:pt idx="12">
                  <c:v>3.8546754257156209E-2</c:v>
                </c:pt>
                <c:pt idx="13">
                  <c:v>0</c:v>
                </c:pt>
                <c:pt idx="14">
                  <c:v>7.8261591976650474E-2</c:v>
                </c:pt>
                <c:pt idx="15">
                  <c:v>0</c:v>
                </c:pt>
                <c:pt idx="16">
                  <c:v>1.481522293897921E-2</c:v>
                </c:pt>
                <c:pt idx="17">
                  <c:v>7.6092340801465125E-2</c:v>
                </c:pt>
                <c:pt idx="18">
                  <c:v>1.0870334400209304E-2</c:v>
                </c:pt>
                <c:pt idx="19">
                  <c:v>0</c:v>
                </c:pt>
                <c:pt idx="20">
                  <c:v>0</c:v>
                </c:pt>
                <c:pt idx="21">
                  <c:v>3.169811086511768E-2</c:v>
                </c:pt>
                <c:pt idx="22">
                  <c:v>9.5094332595353034E-2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42-486A-8672-4807D0290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7039872"/>
        <c:axId val="97041408"/>
        <c:extLst/>
      </c:barChart>
      <c:catAx>
        <c:axId val="9703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41408"/>
        <c:crosses val="autoZero"/>
        <c:auto val="1"/>
        <c:lblAlgn val="ctr"/>
        <c:lblOffset val="100"/>
        <c:noMultiLvlLbl val="0"/>
      </c:catAx>
      <c:valAx>
        <c:axId val="9704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Proportion of Residual Costs</a:t>
                </a:r>
              </a:p>
            </c:rich>
          </c:tx>
          <c:layout>
            <c:manualLayout>
              <c:xMode val="edge"/>
              <c:yMode val="edge"/>
              <c:x val="7.0175438596491229E-3"/>
              <c:y val="6.779664032948098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39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TSS!$K$59</c:f>
              <c:strCache>
                <c:ptCount val="1"/>
                <c:pt idx="0">
                  <c:v>FY25</c:v>
                </c:pt>
              </c:strCache>
            </c:strRef>
          </c:tx>
          <c:invertIfNegative val="0"/>
          <c:dLbls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D3-4030-9560-F775D52C9700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D3-4030-9560-F775D52C97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TSS!$I$60:$J$84</c:f>
              <c:multiLvlStrCache>
                <c:ptCount val="25"/>
                <c:lvl>
                  <c:pt idx="0">
                    <c:v>SAC</c:v>
                  </c:pt>
                  <c:pt idx="1">
                    <c:v>Anytime Energy</c:v>
                  </c:pt>
                  <c:pt idx="2">
                    <c:v>SAC</c:v>
                  </c:pt>
                  <c:pt idx="3">
                    <c:v>Anytime Energy</c:v>
                  </c:pt>
                  <c:pt idx="4">
                    <c:v>SAC</c:v>
                  </c:pt>
                  <c:pt idx="5">
                    <c:v>Peak Energy</c:v>
                  </c:pt>
                  <c:pt idx="6">
                    <c:v>Off-peak Energy</c:v>
                  </c:pt>
                  <c:pt idx="7">
                    <c:v>Super Off-peak Energy</c:v>
                  </c:pt>
                  <c:pt idx="8">
                    <c:v>SAC</c:v>
                  </c:pt>
                  <c:pt idx="9">
                    <c:v>Peak Energy</c:v>
                  </c:pt>
                  <c:pt idx="10">
                    <c:v>Off-peak Energy</c:v>
                  </c:pt>
                  <c:pt idx="11">
                    <c:v>Super Off-peak Energy</c:v>
                  </c:pt>
                  <c:pt idx="12">
                    <c:v>SAC</c:v>
                  </c:pt>
                  <c:pt idx="13">
                    <c:v>Peak Energy</c:v>
                  </c:pt>
                  <c:pt idx="14">
                    <c:v>Off-peak Energy</c:v>
                  </c:pt>
                  <c:pt idx="15">
                    <c:v>Super Off-peak Energy</c:v>
                  </c:pt>
                  <c:pt idx="16">
                    <c:v>Anytime Energy</c:v>
                  </c:pt>
                  <c:pt idx="17">
                    <c:v>SAC</c:v>
                  </c:pt>
                  <c:pt idx="18">
                    <c:v>Anytime Energy Price</c:v>
                  </c:pt>
                  <c:pt idx="19">
                    <c:v>On-Season Demand</c:v>
                  </c:pt>
                  <c:pt idx="20">
                    <c:v>Off-Season Demand</c:v>
                  </c:pt>
                  <c:pt idx="21">
                    <c:v>SAC</c:v>
                  </c:pt>
                  <c:pt idx="22">
                    <c:v>Anytime Energy Price</c:v>
                  </c:pt>
                  <c:pt idx="23">
                    <c:v>On-Season Demand</c:v>
                  </c:pt>
                  <c:pt idx="24">
                    <c:v>Off-Season Demand</c:v>
                  </c:pt>
                </c:lvl>
                <c:lvl>
                  <c:pt idx="0">
                    <c:v>T1</c:v>
                  </c:pt>
                  <c:pt idx="2">
                    <c:v>T2</c:v>
                  </c:pt>
                  <c:pt idx="4">
                    <c:v>T3a</c:v>
                  </c:pt>
                  <c:pt idx="8">
                    <c:v>T3b</c:v>
                  </c:pt>
                  <c:pt idx="12">
                    <c:v>T3c</c:v>
                  </c:pt>
                  <c:pt idx="16">
                    <c:v>T4</c:v>
                  </c:pt>
                  <c:pt idx="17">
                    <c:v>T5</c:v>
                  </c:pt>
                  <c:pt idx="21">
                    <c:v>T6</c:v>
                  </c:pt>
                </c:lvl>
              </c:multiLvlStrCache>
            </c:multiLvlStrRef>
          </c:cat>
          <c:val>
            <c:numRef>
              <c:f>TSS!$K$60:$K$84</c:f>
              <c:numCache>
                <c:formatCode>0%</c:formatCode>
                <c:ptCount val="25"/>
                <c:pt idx="0">
                  <c:v>0.22520041734079224</c:v>
                </c:pt>
                <c:pt idx="1">
                  <c:v>9.6514464574625258E-2</c:v>
                </c:pt>
                <c:pt idx="2">
                  <c:v>3.4646134377166308E-3</c:v>
                </c:pt>
                <c:pt idx="3">
                  <c:v>8.5402841288690617E-3</c:v>
                </c:pt>
                <c:pt idx="4">
                  <c:v>0.17810128819325069</c:v>
                </c:pt>
                <c:pt idx="5">
                  <c:v>0</c:v>
                </c:pt>
                <c:pt idx="6">
                  <c:v>1.9789032021472291E-2</c:v>
                </c:pt>
                <c:pt idx="7">
                  <c:v>0</c:v>
                </c:pt>
                <c:pt idx="8">
                  <c:v>2.460224249366862E-2</c:v>
                </c:pt>
                <c:pt idx="9">
                  <c:v>0</c:v>
                </c:pt>
                <c:pt idx="10">
                  <c:v>9.8408969974674479E-2</c:v>
                </c:pt>
                <c:pt idx="11">
                  <c:v>0</c:v>
                </c:pt>
                <c:pt idx="12">
                  <c:v>3.8546754257156209E-2</c:v>
                </c:pt>
                <c:pt idx="13">
                  <c:v>0</c:v>
                </c:pt>
                <c:pt idx="14">
                  <c:v>7.8261591976650474E-2</c:v>
                </c:pt>
                <c:pt idx="15">
                  <c:v>0</c:v>
                </c:pt>
                <c:pt idx="16">
                  <c:v>1.481522293897921E-2</c:v>
                </c:pt>
                <c:pt idx="17">
                  <c:v>7.6092340801465125E-2</c:v>
                </c:pt>
                <c:pt idx="18">
                  <c:v>1.0870334400209304E-2</c:v>
                </c:pt>
                <c:pt idx="19">
                  <c:v>0</c:v>
                </c:pt>
                <c:pt idx="20">
                  <c:v>0</c:v>
                </c:pt>
                <c:pt idx="21">
                  <c:v>3.169811086511768E-2</c:v>
                </c:pt>
                <c:pt idx="22">
                  <c:v>9.5094332595353034E-2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3-4030-9560-F775D52C9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7039872"/>
        <c:axId val="97041408"/>
        <c:extLst/>
      </c:barChart>
      <c:catAx>
        <c:axId val="9703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41408"/>
        <c:crosses val="autoZero"/>
        <c:auto val="1"/>
        <c:lblAlgn val="ctr"/>
        <c:lblOffset val="100"/>
        <c:noMultiLvlLbl val="0"/>
      </c:catAx>
      <c:valAx>
        <c:axId val="9704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Proportion of Residual Costs</a:t>
                </a:r>
              </a:p>
            </c:rich>
          </c:tx>
          <c:layout>
            <c:manualLayout>
              <c:xMode val="edge"/>
              <c:yMode val="edge"/>
              <c:x val="7.0175438596491229E-3"/>
              <c:y val="6.779664032948098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39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TSES!$O$535</c:f>
              <c:strCache>
                <c:ptCount val="1"/>
                <c:pt idx="0">
                  <c:v>Actual Customers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TSES!$P$532:$Y$534</c:f>
              <c:multiLvlStrCache>
                <c:ptCount val="10"/>
                <c:lvl>
                  <c:pt idx="0">
                    <c:v>2019/20</c:v>
                  </c:pt>
                  <c:pt idx="1">
                    <c:v>2020/21</c:v>
                  </c:pt>
                  <c:pt idx="2">
                    <c:v>2021/22</c:v>
                  </c:pt>
                  <c:pt idx="3">
                    <c:v>2022/23</c:v>
                  </c:pt>
                  <c:pt idx="4">
                    <c:v>2023/24</c:v>
                  </c:pt>
                  <c:pt idx="5">
                    <c:v>2024/25</c:v>
                  </c:pt>
                  <c:pt idx="6">
                    <c:v>2025/26</c:v>
                  </c:pt>
                  <c:pt idx="7">
                    <c:v>2026/27</c:v>
                  </c:pt>
                  <c:pt idx="8">
                    <c:v>2027/28</c:v>
                  </c:pt>
                  <c:pt idx="9">
                    <c:v>2028/29</c:v>
                  </c:pt>
                </c:lvl>
                <c:lvl>
                  <c:pt idx="0">
                    <c:v>Actual</c:v>
                  </c:pt>
                  <c:pt idx="4">
                    <c:v>Estimate</c:v>
                  </c:pt>
                  <c:pt idx="5">
                    <c:v>Forecast</c:v>
                  </c:pt>
                </c:lvl>
                <c:lvl>
                  <c:pt idx="0">
                    <c:v>2019-24 Period</c:v>
                  </c:pt>
                  <c:pt idx="5">
                    <c:v>2024-29 Period</c:v>
                  </c:pt>
                </c:lvl>
              </c:multiLvlStrCache>
            </c:multiLvlStrRef>
          </c:cat>
          <c:val>
            <c:numRef>
              <c:f>TSES!$P$535:$Y$535</c:f>
              <c:numCache>
                <c:formatCode>_(#,##0_);\(#,##0\);_("-"_)</c:formatCode>
                <c:ptCount val="10"/>
                <c:pt idx="0">
                  <c:v>86263</c:v>
                </c:pt>
                <c:pt idx="1">
                  <c:v>83236</c:v>
                </c:pt>
                <c:pt idx="2">
                  <c:v>84065</c:v>
                </c:pt>
                <c:pt idx="3">
                  <c:v>85906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2-4317-8F7D-2601F365D914}"/>
            </c:ext>
          </c:extLst>
        </c:ser>
        <c:ser>
          <c:idx val="2"/>
          <c:order val="1"/>
          <c:tx>
            <c:strRef>
              <c:f>TSES!$O$536</c:f>
              <c:strCache>
                <c:ptCount val="1"/>
                <c:pt idx="0">
                  <c:v>Estimated Customers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TSES!$P$536:$Y$536</c:f>
              <c:numCache>
                <c:formatCode>_(#,##0_);\(#,##0\);_("-"_)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86516.01146704983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2-4317-8F7D-2601F365D914}"/>
            </c:ext>
          </c:extLst>
        </c:ser>
        <c:ser>
          <c:idx val="3"/>
          <c:order val="2"/>
          <c:tx>
            <c:strRef>
              <c:f>TSES!$O$537</c:f>
              <c:strCache>
                <c:ptCount val="1"/>
                <c:pt idx="0">
                  <c:v>Forecast Customers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val>
            <c:numRef>
              <c:f>TSES!$P$537:$Y$537</c:f>
              <c:numCache>
                <c:formatCode>_(#,##0_);\(#,##0\);_("-"_)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86481.144838590568</c:v>
                </c:pt>
                <c:pt idx="6">
                  <c:v>86769.958614888892</c:v>
                </c:pt>
                <c:pt idx="7">
                  <c:v>87060.543851075097</c:v>
                </c:pt>
                <c:pt idx="8">
                  <c:v>87350.879635657082</c:v>
                </c:pt>
                <c:pt idx="9">
                  <c:v>87642.97975897076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32-4317-8F7D-2601F365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4800119"/>
        <c:axId val="34800447"/>
      </c:barChart>
      <c:lineChart>
        <c:grouping val="standard"/>
        <c:varyColors val="0"/>
        <c:ser>
          <c:idx val="1"/>
          <c:order val="3"/>
          <c:tx>
            <c:strRef>
              <c:f>TSES!$O$538</c:f>
              <c:strCache>
                <c:ptCount val="1"/>
                <c:pt idx="0">
                  <c:v>System Peak Demand (POE 50)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TSES!$P$538:$Y$538</c:f>
              <c:numCache>
                <c:formatCode>_(#,##0_);\(#,##0\);_("-"_)</c:formatCode>
                <c:ptCount val="10"/>
                <c:pt idx="0">
                  <c:v>329.7</c:v>
                </c:pt>
                <c:pt idx="1">
                  <c:v>346.21</c:v>
                </c:pt>
                <c:pt idx="2">
                  <c:v>339.8139496452003</c:v>
                </c:pt>
                <c:pt idx="3">
                  <c:v>341.11907906737855</c:v>
                </c:pt>
                <c:pt idx="4">
                  <c:v>366.44614418435708</c:v>
                </c:pt>
                <c:pt idx="5">
                  <c:v>376.88611942581161</c:v>
                </c:pt>
                <c:pt idx="6">
                  <c:v>387.06128919682959</c:v>
                </c:pt>
                <c:pt idx="7">
                  <c:v>394.89787883648046</c:v>
                </c:pt>
                <c:pt idx="8">
                  <c:v>403.0768197551028</c:v>
                </c:pt>
                <c:pt idx="9">
                  <c:v>409.87416061214424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2-4317-8F7D-2601F365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37511"/>
        <c:axId val="34838167"/>
      </c:lineChart>
      <c:catAx>
        <c:axId val="34800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00447"/>
        <c:crosses val="autoZero"/>
        <c:auto val="1"/>
        <c:lblAlgn val="ctr"/>
        <c:lblOffset val="100"/>
        <c:noMultiLvlLbl val="0"/>
      </c:catAx>
      <c:valAx>
        <c:axId val="3480044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TSES!$P$540</c:f>
              <c:strCache>
                <c:ptCount val="1"/>
                <c:pt idx="0">
                  <c:v>Number of customers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00119"/>
        <c:crosses val="autoZero"/>
        <c:crossBetween val="between"/>
        <c:majorUnit val="20000"/>
      </c:valAx>
      <c:valAx>
        <c:axId val="34838167"/>
        <c:scaling>
          <c:orientation val="minMax"/>
        </c:scaling>
        <c:delete val="0"/>
        <c:axPos val="r"/>
        <c:title>
          <c:tx>
            <c:strRef>
              <c:f>TSES!$P$541</c:f>
              <c:strCache>
                <c:ptCount val="1"/>
                <c:pt idx="0">
                  <c:v>System peak demand (MW)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37511"/>
        <c:crosses val="max"/>
        <c:crossBetween val="between"/>
        <c:majorUnit val="100"/>
      </c:valAx>
      <c:catAx>
        <c:axId val="34837511"/>
        <c:scaling>
          <c:orientation val="minMax"/>
        </c:scaling>
        <c:delete val="1"/>
        <c:axPos val="b"/>
        <c:majorTickMark val="out"/>
        <c:minorTickMark val="none"/>
        <c:tickLblPos val="nextTo"/>
        <c:crossAx val="348381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TSES!$O$67</c:f>
              <c:strCache>
                <c:ptCount val="1"/>
                <c:pt idx="0">
                  <c:v>Historical Solar Installations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TSES!$P$64:$Y$66</c:f>
              <c:multiLvlStrCache>
                <c:ptCount val="10"/>
                <c:lvl>
                  <c:pt idx="0">
                    <c:v>2019/20</c:v>
                  </c:pt>
                  <c:pt idx="1">
                    <c:v>2020/21</c:v>
                  </c:pt>
                  <c:pt idx="2">
                    <c:v>2021/22</c:v>
                  </c:pt>
                  <c:pt idx="3">
                    <c:v>2022/23</c:v>
                  </c:pt>
                  <c:pt idx="4">
                    <c:v>2023/24</c:v>
                  </c:pt>
                  <c:pt idx="5">
                    <c:v>2024/25</c:v>
                  </c:pt>
                  <c:pt idx="6">
                    <c:v>2025/26</c:v>
                  </c:pt>
                  <c:pt idx="7">
                    <c:v>2026/27</c:v>
                  </c:pt>
                  <c:pt idx="8">
                    <c:v>2027/28</c:v>
                  </c:pt>
                  <c:pt idx="9">
                    <c:v>2028/29</c:v>
                  </c:pt>
                </c:lvl>
                <c:lvl>
                  <c:pt idx="0">
                    <c:v>Actual</c:v>
                  </c:pt>
                  <c:pt idx="3">
                    <c:v>Estimate</c:v>
                  </c:pt>
                  <c:pt idx="5">
                    <c:v>Forecast</c:v>
                  </c:pt>
                </c:lvl>
                <c:lvl>
                  <c:pt idx="0">
                    <c:v>2019-24 Period</c:v>
                  </c:pt>
                  <c:pt idx="5">
                    <c:v>2024-29 Period</c:v>
                  </c:pt>
                </c:lvl>
              </c:multiLvlStrCache>
            </c:multiLvlStrRef>
          </c:cat>
          <c:val>
            <c:numRef>
              <c:f>TSES!$P$67:$Y$67</c:f>
              <c:numCache>
                <c:formatCode>_(#,##0_);\(#,##0\);_("-"_)</c:formatCode>
                <c:ptCount val="10"/>
                <c:pt idx="0">
                  <c:v>13185</c:v>
                </c:pt>
                <c:pt idx="1">
                  <c:v>16513</c:v>
                </c:pt>
                <c:pt idx="2">
                  <c:v>19014.248979533069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7-46BC-A0CF-EC386E7EC965}"/>
            </c:ext>
          </c:extLst>
        </c:ser>
        <c:ser>
          <c:idx val="1"/>
          <c:order val="1"/>
          <c:tx>
            <c:strRef>
              <c:f>TSES!$O$68</c:f>
              <c:strCache>
                <c:ptCount val="1"/>
                <c:pt idx="0">
                  <c:v>Estimated / Forecast Solar Installations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TSES!$P$64:$Y$66</c:f>
              <c:multiLvlStrCache>
                <c:ptCount val="10"/>
                <c:lvl>
                  <c:pt idx="0">
                    <c:v>2019/20</c:v>
                  </c:pt>
                  <c:pt idx="1">
                    <c:v>2020/21</c:v>
                  </c:pt>
                  <c:pt idx="2">
                    <c:v>2021/22</c:v>
                  </c:pt>
                  <c:pt idx="3">
                    <c:v>2022/23</c:v>
                  </c:pt>
                  <c:pt idx="4">
                    <c:v>2023/24</c:v>
                  </c:pt>
                  <c:pt idx="5">
                    <c:v>2024/25</c:v>
                  </c:pt>
                  <c:pt idx="6">
                    <c:v>2025/26</c:v>
                  </c:pt>
                  <c:pt idx="7">
                    <c:v>2026/27</c:v>
                  </c:pt>
                  <c:pt idx="8">
                    <c:v>2027/28</c:v>
                  </c:pt>
                  <c:pt idx="9">
                    <c:v>2028/29</c:v>
                  </c:pt>
                </c:lvl>
                <c:lvl>
                  <c:pt idx="0">
                    <c:v>Actual</c:v>
                  </c:pt>
                  <c:pt idx="3">
                    <c:v>Estimate</c:v>
                  </c:pt>
                  <c:pt idx="5">
                    <c:v>Forecast</c:v>
                  </c:pt>
                </c:lvl>
                <c:lvl>
                  <c:pt idx="0">
                    <c:v>2019-24 Period</c:v>
                  </c:pt>
                  <c:pt idx="5">
                    <c:v>2024-29 Period</c:v>
                  </c:pt>
                </c:lvl>
              </c:multiLvlStrCache>
            </c:multiLvlStrRef>
          </c:cat>
          <c:val>
            <c:numRef>
              <c:f>TSES!$P$68:$Y$68</c:f>
              <c:numCache>
                <c:formatCode>_(#,##0_);\(#,##0\);_("-"_)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20834.226041842332</c:v>
                </c:pt>
                <c:pt idx="4">
                  <c:v>22838.757417753688</c:v>
                </c:pt>
                <c:pt idx="5">
                  <c:v>24940.91699164172</c:v>
                </c:pt>
                <c:pt idx="6">
                  <c:v>27131.894351325442</c:v>
                </c:pt>
                <c:pt idx="7">
                  <c:v>29401.599042069185</c:v>
                </c:pt>
                <c:pt idx="8">
                  <c:v>31738.748308443613</c:v>
                </c:pt>
                <c:pt idx="9">
                  <c:v>34122.872649459547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7-46BC-A0CF-EC386E7EC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85596183"/>
        <c:axId val="685596839"/>
      </c:barChart>
      <c:catAx>
        <c:axId val="685596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596839"/>
        <c:crosses val="autoZero"/>
        <c:auto val="1"/>
        <c:lblAlgn val="ctr"/>
        <c:lblOffset val="100"/>
        <c:noMultiLvlLbl val="0"/>
      </c:catAx>
      <c:valAx>
        <c:axId val="685596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TSES!$P$70</c:f>
              <c:strCache>
                <c:ptCount val="1"/>
                <c:pt idx="0">
                  <c:v>Number of solar installations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596183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TSES!$O$137</c:f>
              <c:strCache>
                <c:ptCount val="1"/>
                <c:pt idx="0">
                  <c:v>LV &lt;750MWh</c:v>
                </c:pt>
              </c:strCache>
            </c:strRef>
          </c:tx>
          <c:spPr>
            <a:ln w="28575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5D-42E1-A270-FAFE1DF9F6E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D-42E1-A270-FAFE1DF9F6E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D-42E1-A270-FAFE1DF9F6E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D-42E1-A270-FAFE1DF9F6ED}"/>
                </c:ext>
              </c:extLst>
            </c:dLbl>
            <c:dLbl>
              <c:idx val="4"/>
              <c:layout>
                <c:manualLayout>
                  <c:x val="8.2744854276662269E-3"/>
                  <c:y val="-3.754810577303131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85D-42E1-A270-FAFE1DF9F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TSES!$P$136:$T$136</c:f>
              <c:strCache>
                <c:ptCount val="5"/>
                <c:pt idx="0">
                  <c:v>2024/25</c:v>
                </c:pt>
                <c:pt idx="1">
                  <c:v>2025/26</c:v>
                </c:pt>
                <c:pt idx="2">
                  <c:v>2026/27</c:v>
                </c:pt>
                <c:pt idx="3">
                  <c:v>2027/28</c:v>
                </c:pt>
                <c:pt idx="4">
                  <c:v>2028/29</c:v>
                </c:pt>
              </c:strCache>
            </c:strRef>
          </c:cat>
          <c:val>
            <c:numRef>
              <c:f>TSES!$P$137:$T$137</c:f>
              <c:numCache>
                <c:formatCode>_(#,##0.0_);\(#,##0.0\);_("-"_)</c:formatCode>
                <c:ptCount val="5"/>
                <c:pt idx="0">
                  <c:v>53.615632240101498</c:v>
                </c:pt>
                <c:pt idx="1">
                  <c:v>55.043021058144994</c:v>
                </c:pt>
                <c:pt idx="2">
                  <c:v>56.157459394952042</c:v>
                </c:pt>
                <c:pt idx="3">
                  <c:v>57.320764755708616</c:v>
                </c:pt>
                <c:pt idx="4">
                  <c:v>58.291460183025073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E6-4514-8CB5-13113F017990}"/>
            </c:ext>
          </c:extLst>
        </c:ser>
        <c:ser>
          <c:idx val="1"/>
          <c:order val="1"/>
          <c:tx>
            <c:strRef>
              <c:f>TSES!$O$138</c:f>
              <c:strCache>
                <c:ptCount val="1"/>
                <c:pt idx="0">
                  <c:v>LV &gt;750MWh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85D-42E1-A270-FAFE1DF9F6E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85D-42E1-A270-FAFE1DF9F6E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85D-42E1-A270-FAFE1DF9F6E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85D-42E1-A270-FAFE1DF9F6ED}"/>
                </c:ext>
              </c:extLst>
            </c:dLbl>
            <c:dLbl>
              <c:idx val="4"/>
              <c:layout>
                <c:manualLayout>
                  <c:x val="-1.5582907148428546E-16"/>
                  <c:y val="-9.136055440871909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85D-42E1-A270-FAFE1DF9F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TSES!$P$136:$T$136</c:f>
              <c:strCache>
                <c:ptCount val="5"/>
                <c:pt idx="0">
                  <c:v>2024/25</c:v>
                </c:pt>
                <c:pt idx="1">
                  <c:v>2025/26</c:v>
                </c:pt>
                <c:pt idx="2">
                  <c:v>2026/27</c:v>
                </c:pt>
                <c:pt idx="3">
                  <c:v>2027/28</c:v>
                </c:pt>
                <c:pt idx="4">
                  <c:v>2028/29</c:v>
                </c:pt>
              </c:strCache>
            </c:strRef>
          </c:cat>
          <c:val>
            <c:numRef>
              <c:f>TSES!$P$138:$T$138</c:f>
              <c:numCache>
                <c:formatCode>_(#,##0.0_);\(#,##0.0\);_("-"_)</c:formatCode>
                <c:ptCount val="5"/>
                <c:pt idx="0">
                  <c:v>7.34693836191581</c:v>
                </c:pt>
                <c:pt idx="1">
                  <c:v>7.5425331395301232</c:v>
                </c:pt>
                <c:pt idx="2">
                  <c:v>7.6952443811324081</c:v>
                </c:pt>
                <c:pt idx="3">
                  <c:v>7.8546518603409128</c:v>
                </c:pt>
                <c:pt idx="4">
                  <c:v>7.9876660424874677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6-4514-8CB5-13113F017990}"/>
            </c:ext>
          </c:extLst>
        </c:ser>
        <c:ser>
          <c:idx val="2"/>
          <c:order val="2"/>
          <c:tx>
            <c:strRef>
              <c:f>TSES!$O$139</c:f>
              <c:strCache>
                <c:ptCount val="1"/>
                <c:pt idx="0">
                  <c:v>HV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5D-42E1-A270-FAFE1DF9F6E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5D-42E1-A270-FAFE1DF9F6E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5D-42E1-A270-FAFE1DF9F6E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5D-42E1-A270-FAFE1DF9F6ED}"/>
                </c:ext>
              </c:extLst>
            </c:dLbl>
            <c:dLbl>
              <c:idx val="4"/>
              <c:layout>
                <c:manualLayout>
                  <c:x val="8.2744854276662269E-3"/>
                  <c:y val="5.391401349627732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5D-42E1-A270-FAFE1DF9F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TSES!$P$136:$T$136</c:f>
              <c:strCache>
                <c:ptCount val="5"/>
                <c:pt idx="0">
                  <c:v>2024/25</c:v>
                </c:pt>
                <c:pt idx="1">
                  <c:v>2025/26</c:v>
                </c:pt>
                <c:pt idx="2">
                  <c:v>2026/27</c:v>
                </c:pt>
                <c:pt idx="3">
                  <c:v>2027/28</c:v>
                </c:pt>
                <c:pt idx="4">
                  <c:v>2028/29</c:v>
                </c:pt>
              </c:strCache>
            </c:strRef>
          </c:cat>
          <c:val>
            <c:numRef>
              <c:f>TSES!$P$139:$T$139</c:f>
              <c:numCache>
                <c:formatCode>_(#,##0.0_);\(#,##0.0\);_("-"_)</c:formatCode>
                <c:ptCount val="5"/>
                <c:pt idx="0">
                  <c:v>6.3322568290959707</c:v>
                </c:pt>
                <c:pt idx="1">
                  <c:v>6.5008381217748408</c:v>
                </c:pt>
                <c:pt idx="2">
                  <c:v>6.6324584995268099</c:v>
                </c:pt>
                <c:pt idx="3">
                  <c:v>6.7698503012682645</c:v>
                </c:pt>
                <c:pt idx="4">
                  <c:v>6.8844939693886138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E6-4514-8CB5-13113F01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97167"/>
        <c:axId val="34797823"/>
      </c:lineChart>
      <c:catAx>
        <c:axId val="3479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97823"/>
        <c:crosses val="autoZero"/>
        <c:auto val="1"/>
        <c:lblAlgn val="ctr"/>
        <c:lblOffset val="100"/>
        <c:noMultiLvlLbl val="0"/>
      </c:catAx>
      <c:valAx>
        <c:axId val="34797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TSES!$P$142</c:f>
              <c:strCache>
                <c:ptCount val="1"/>
                <c:pt idx="0">
                  <c:v>Avoidable Cost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9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TSES!$J$473</c:f>
              <c:strCache>
                <c:ptCount val="1"/>
                <c:pt idx="0">
                  <c:v>Actual 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TSES!$K$470:$Y$472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Actual</c:v>
                  </c:pt>
                  <c:pt idx="5">
                    <c:v>Actual</c:v>
                  </c:pt>
                  <c:pt idx="9">
                    <c:v>Estimate</c:v>
                  </c:pt>
                  <c:pt idx="10">
                    <c:v>Forecast</c:v>
                  </c:pt>
                </c:lvl>
                <c:lvl>
                  <c:pt idx="0">
                    <c:v>2014-19 Period</c:v>
                  </c:pt>
                  <c:pt idx="5">
                    <c:v>2019-24 Period</c:v>
                  </c:pt>
                  <c:pt idx="10">
                    <c:v>2024-29 Period</c:v>
                  </c:pt>
                </c:lvl>
              </c:multiLvlStrCache>
            </c:multiLvlStrRef>
          </c:cat>
          <c:val>
            <c:numRef>
              <c:f>TSES!$K$473:$Y$473</c:f>
              <c:numCache>
                <c:formatCode>_(#,##0_);\(#,##0\);_("-"_)</c:formatCode>
                <c:ptCount val="15"/>
                <c:pt idx="0">
                  <c:v>348.69</c:v>
                </c:pt>
                <c:pt idx="1">
                  <c:v>353.65000000000003</c:v>
                </c:pt>
                <c:pt idx="2">
                  <c:v>347.6</c:v>
                </c:pt>
                <c:pt idx="3">
                  <c:v>345.62</c:v>
                </c:pt>
                <c:pt idx="4">
                  <c:v>347.01000000000005</c:v>
                </c:pt>
                <c:pt idx="5">
                  <c:v>329.7</c:v>
                </c:pt>
                <c:pt idx="6">
                  <c:v>346.21</c:v>
                </c:pt>
                <c:pt idx="7">
                  <c:v>339.8139496452003</c:v>
                </c:pt>
                <c:pt idx="8">
                  <c:v>341.11907906737855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2-46BA-9F27-45EF12C9F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4811599"/>
        <c:axId val="34811927"/>
      </c:barChart>
      <c:lineChart>
        <c:grouping val="standard"/>
        <c:varyColors val="0"/>
        <c:ser>
          <c:idx val="1"/>
          <c:order val="1"/>
          <c:tx>
            <c:strRef>
              <c:f>TSES!$J$474</c:f>
              <c:strCache>
                <c:ptCount val="1"/>
                <c:pt idx="0">
                  <c:v>Forecast 10% POE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multiLvlStrRef>
              <c:f>TSES!$K$470:$Y$472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Actual</c:v>
                  </c:pt>
                  <c:pt idx="5">
                    <c:v>Actual</c:v>
                  </c:pt>
                  <c:pt idx="9">
                    <c:v>Estimate</c:v>
                  </c:pt>
                  <c:pt idx="10">
                    <c:v>Forecast</c:v>
                  </c:pt>
                </c:lvl>
                <c:lvl>
                  <c:pt idx="0">
                    <c:v>2014-19 Period</c:v>
                  </c:pt>
                  <c:pt idx="5">
                    <c:v>2019-24 Period</c:v>
                  </c:pt>
                  <c:pt idx="10">
                    <c:v>2024-29 Period</c:v>
                  </c:pt>
                </c:lvl>
              </c:multiLvlStrCache>
            </c:multiLvlStrRef>
          </c:cat>
          <c:val>
            <c:numRef>
              <c:f>TSES!$K$474:$Y$474</c:f>
              <c:numCache>
                <c:formatCode>_(#,##0_);\(#,##0\);_("-"_)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367.99948989665114</c:v>
                </c:pt>
                <c:pt idx="10">
                  <c:v>378.50118146990025</c:v>
                </c:pt>
                <c:pt idx="11">
                  <c:v>391.46657108308085</c:v>
                </c:pt>
                <c:pt idx="12">
                  <c:v>402.65508373771189</c:v>
                </c:pt>
                <c:pt idx="13">
                  <c:v>410.83509608490567</c:v>
                </c:pt>
                <c:pt idx="14">
                  <c:v>417.63350837051854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2-46BA-9F27-45EF12C9F9D5}"/>
            </c:ext>
          </c:extLst>
        </c:ser>
        <c:ser>
          <c:idx val="2"/>
          <c:order val="2"/>
          <c:tx>
            <c:strRef>
              <c:f>TSES!$J$475</c:f>
              <c:strCache>
                <c:ptCount val="1"/>
                <c:pt idx="0">
                  <c:v>Forecast 50% POE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TSES!$K$470:$Y$472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Actual</c:v>
                  </c:pt>
                  <c:pt idx="5">
                    <c:v>Actual</c:v>
                  </c:pt>
                  <c:pt idx="9">
                    <c:v>Estimate</c:v>
                  </c:pt>
                  <c:pt idx="10">
                    <c:v>Forecast</c:v>
                  </c:pt>
                </c:lvl>
                <c:lvl>
                  <c:pt idx="0">
                    <c:v>2014-19 Period</c:v>
                  </c:pt>
                  <c:pt idx="5">
                    <c:v>2019-24 Period</c:v>
                  </c:pt>
                  <c:pt idx="10">
                    <c:v>2024-29 Period</c:v>
                  </c:pt>
                </c:lvl>
              </c:multiLvlStrCache>
            </c:multiLvlStrRef>
          </c:cat>
          <c:val>
            <c:numRef>
              <c:f>TSES!$K$475:$Y$475</c:f>
              <c:numCache>
                <c:formatCode>_(#,##0_);\(#,##0\);_("-"_)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366.44614418435708</c:v>
                </c:pt>
                <c:pt idx="10">
                  <c:v>376.88611942581161</c:v>
                </c:pt>
                <c:pt idx="11">
                  <c:v>387.06128919682959</c:v>
                </c:pt>
                <c:pt idx="12">
                  <c:v>394.89787883648046</c:v>
                </c:pt>
                <c:pt idx="13">
                  <c:v>403.0768197551028</c:v>
                </c:pt>
                <c:pt idx="14">
                  <c:v>409.87416061214424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2-46BA-9F27-45EF12C9F9D5}"/>
            </c:ext>
          </c:extLst>
        </c:ser>
        <c:ser>
          <c:idx val="3"/>
          <c:order val="3"/>
          <c:tx>
            <c:strRef>
              <c:f>TSES!$J$476</c:f>
              <c:strCache>
                <c:ptCount val="1"/>
                <c:pt idx="0">
                  <c:v>Forecast 90% POE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TSES!$K$470:$Y$472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Actual</c:v>
                  </c:pt>
                  <c:pt idx="5">
                    <c:v>Actual</c:v>
                  </c:pt>
                  <c:pt idx="9">
                    <c:v>Estimate</c:v>
                  </c:pt>
                  <c:pt idx="10">
                    <c:v>Forecast</c:v>
                  </c:pt>
                </c:lvl>
                <c:lvl>
                  <c:pt idx="0">
                    <c:v>2014-19 Period</c:v>
                  </c:pt>
                  <c:pt idx="5">
                    <c:v>2019-24 Period</c:v>
                  </c:pt>
                  <c:pt idx="10">
                    <c:v>2024-29 Period</c:v>
                  </c:pt>
                </c:lvl>
              </c:multiLvlStrCache>
            </c:multiLvlStrRef>
          </c:cat>
          <c:val>
            <c:numRef>
              <c:f>TSES!$K$476:$Y$476</c:f>
              <c:numCache>
                <c:formatCode>_(#,##0_);\(#,##0\);_("-"_)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364.89632805725228</c:v>
                </c:pt>
                <c:pt idx="10">
                  <c:v>375.29985187243744</c:v>
                </c:pt>
                <c:pt idx="11">
                  <c:v>385.45492731084516</c:v>
                </c:pt>
                <c:pt idx="12">
                  <c:v>391.48950142199766</c:v>
                </c:pt>
                <c:pt idx="13">
                  <c:v>399.9196335286602</c:v>
                </c:pt>
                <c:pt idx="14">
                  <c:v>407.41665985864472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E2-46BA-9F27-45EF12C9F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1599"/>
        <c:axId val="34811927"/>
      </c:lineChart>
      <c:catAx>
        <c:axId val="3481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11927"/>
        <c:crosses val="autoZero"/>
        <c:auto val="1"/>
        <c:lblAlgn val="ctr"/>
        <c:lblOffset val="100"/>
        <c:noMultiLvlLbl val="0"/>
      </c:catAx>
      <c:valAx>
        <c:axId val="34811927"/>
        <c:scaling>
          <c:orientation val="minMax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TSES!$K$478</c:f>
              <c:strCache>
                <c:ptCount val="1"/>
                <c:pt idx="0">
                  <c:v>Maximum demand (MW)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11599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TSES!$P$554</c:f>
              <c:strCache>
                <c:ptCount val="1"/>
                <c:pt idx="0">
                  <c:v>Actual 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TSES!$O$555:$O$572</c:f>
              <c:strCache>
                <c:ptCount val="1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  <c:pt idx="10">
                  <c:v>2024-25</c:v>
                </c:pt>
                <c:pt idx="11">
                  <c:v>2025-26</c:v>
                </c:pt>
                <c:pt idx="12">
                  <c:v>2026-27</c:v>
                </c:pt>
                <c:pt idx="13">
                  <c:v>2027-28</c:v>
                </c:pt>
                <c:pt idx="14">
                  <c:v>2028-29</c:v>
                </c:pt>
                <c:pt idx="15">
                  <c:v>2029-30</c:v>
                </c:pt>
                <c:pt idx="16">
                  <c:v>2030-31</c:v>
                </c:pt>
                <c:pt idx="17">
                  <c:v>2031-32</c:v>
                </c:pt>
              </c:strCache>
            </c:strRef>
          </c:cat>
          <c:val>
            <c:numRef>
              <c:f>TSES!$P$555:$P$572</c:f>
              <c:numCache>
                <c:formatCode>_(#,##0_);\(#,##0\);_("-"_)</c:formatCode>
                <c:ptCount val="18"/>
                <c:pt idx="0">
                  <c:v>93.73</c:v>
                </c:pt>
                <c:pt idx="1">
                  <c:v>95.62</c:v>
                </c:pt>
                <c:pt idx="2">
                  <c:v>107.77</c:v>
                </c:pt>
                <c:pt idx="3">
                  <c:v>97.51</c:v>
                </c:pt>
                <c:pt idx="4">
                  <c:v>93.97</c:v>
                </c:pt>
                <c:pt idx="5">
                  <c:v>67.67</c:v>
                </c:pt>
                <c:pt idx="6">
                  <c:v>81.72</c:v>
                </c:pt>
                <c:pt idx="7">
                  <c:v>82.23</c:v>
                </c:pt>
                <c:pt idx="8">
                  <c:v>66.75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4-415F-8743-2F460CD74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96146679"/>
        <c:axId val="396141103"/>
      </c:barChart>
      <c:lineChart>
        <c:grouping val="standard"/>
        <c:varyColors val="0"/>
        <c:ser>
          <c:idx val="1"/>
          <c:order val="1"/>
          <c:tx>
            <c:strRef>
              <c:f>TSES!$Q$554</c:f>
              <c:strCache>
                <c:ptCount val="1"/>
                <c:pt idx="0">
                  <c:v>Forecast 10%POE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val>
            <c:numRef>
              <c:f>TSES!$Q$555:$Q$572</c:f>
              <c:numCache>
                <c:formatCode>_(#,##0_);\(#,##0\);_("-"_)</c:formatCode>
                <c:ptCount val="18"/>
                <c:pt idx="9">
                  <c:v>72.954012199976205</c:v>
                </c:pt>
                <c:pt idx="10">
                  <c:v>65.439779108492516</c:v>
                </c:pt>
                <c:pt idx="11">
                  <c:v>57.420784684668178</c:v>
                </c:pt>
                <c:pt idx="12">
                  <c:v>47.749205911887046</c:v>
                </c:pt>
                <c:pt idx="13">
                  <c:v>37.665922726450681</c:v>
                </c:pt>
                <c:pt idx="14">
                  <c:v>26.566612031917252</c:v>
                </c:pt>
                <c:pt idx="15">
                  <c:v>15.834454771162278</c:v>
                </c:pt>
                <c:pt idx="16">
                  <c:v>5.3059108110691007</c:v>
                </c:pt>
                <c:pt idx="17">
                  <c:v>-4.9831086767535755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4-415F-8743-2F460CD74C26}"/>
            </c:ext>
          </c:extLst>
        </c:ser>
        <c:ser>
          <c:idx val="2"/>
          <c:order val="2"/>
          <c:tx>
            <c:strRef>
              <c:f>TSES!$R$554</c:f>
              <c:strCache>
                <c:ptCount val="1"/>
                <c:pt idx="0">
                  <c:v>Forecast 50%POE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TSES!$R$555:$R$572</c:f>
              <c:numCache>
                <c:formatCode>_(#,##0_);\(#,##0\);_("-"_)</c:formatCode>
                <c:ptCount val="18"/>
                <c:pt idx="9">
                  <c:v>69.520279084700348</c:v>
                </c:pt>
                <c:pt idx="10">
                  <c:v>62.006045993216659</c:v>
                </c:pt>
                <c:pt idx="11">
                  <c:v>54.596613674996185</c:v>
                </c:pt>
                <c:pt idx="12">
                  <c:v>46.482613345235642</c:v>
                </c:pt>
                <c:pt idx="13">
                  <c:v>37.665922726450681</c:v>
                </c:pt>
                <c:pt idx="14">
                  <c:v>26.566612031917252</c:v>
                </c:pt>
                <c:pt idx="15">
                  <c:v>15.834454771162278</c:v>
                </c:pt>
                <c:pt idx="16">
                  <c:v>5.3059108110691007</c:v>
                </c:pt>
                <c:pt idx="17">
                  <c:v>-4.9831086767535755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34-415F-8743-2F460CD74C26}"/>
            </c:ext>
          </c:extLst>
        </c:ser>
        <c:ser>
          <c:idx val="3"/>
          <c:order val="3"/>
          <c:tx>
            <c:strRef>
              <c:f>TSES!$S$554</c:f>
              <c:strCache>
                <c:ptCount val="1"/>
                <c:pt idx="0">
                  <c:v>Forecast 90%POE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TSES!$S$555:$S$572</c:f>
              <c:numCache>
                <c:formatCode>_(#,##0_);\(#,##0\);_("-"_)</c:formatCode>
                <c:ptCount val="18"/>
                <c:pt idx="9">
                  <c:v>65.68257736762736</c:v>
                </c:pt>
                <c:pt idx="10">
                  <c:v>58.168344276143685</c:v>
                </c:pt>
                <c:pt idx="11">
                  <c:v>50.758911957923196</c:v>
                </c:pt>
                <c:pt idx="12">
                  <c:v>42.644911628162667</c:v>
                </c:pt>
                <c:pt idx="13">
                  <c:v>33.828221009377707</c:v>
                </c:pt>
                <c:pt idx="14">
                  <c:v>24.686538887042516</c:v>
                </c:pt>
                <c:pt idx="15">
                  <c:v>15.607579577646497</c:v>
                </c:pt>
                <c:pt idx="16">
                  <c:v>5.3059108110691007</c:v>
                </c:pt>
                <c:pt idx="17">
                  <c:v>-4.9188592146534234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34-415F-8743-2F460CD74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146679"/>
        <c:axId val="396141103"/>
      </c:lineChart>
      <c:catAx>
        <c:axId val="396146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141103"/>
        <c:crosses val="autoZero"/>
        <c:auto val="1"/>
        <c:lblAlgn val="ctr"/>
        <c:lblOffset val="100"/>
        <c:noMultiLvlLbl val="0"/>
      </c:catAx>
      <c:valAx>
        <c:axId val="39614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TSES!$P$573</c:f>
              <c:strCache>
                <c:ptCount val="1"/>
                <c:pt idx="0">
                  <c:v>Minimum demand (MW)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146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TSES!$M$491</c:f>
              <c:strCache>
                <c:ptCount val="1"/>
                <c:pt idx="0">
                  <c:v>Underlying Maximum Demand in 2020-21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TSES!$N$490:$AK$490</c:f>
              <c:numCache>
                <c:formatCode>[$-F400]h:mm:ss\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0.16666666666666599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TSES!$N$491:$AK$491</c:f>
              <c:numCache>
                <c:formatCode>_(#,##0.0_);\(#,##0.0\);_("-"_)</c:formatCode>
                <c:ptCount val="24"/>
                <c:pt idx="0">
                  <c:v>200.7</c:v>
                </c:pt>
                <c:pt idx="1">
                  <c:v>174.17</c:v>
                </c:pt>
                <c:pt idx="2">
                  <c:v>164.56</c:v>
                </c:pt>
                <c:pt idx="3">
                  <c:v>160.65</c:v>
                </c:pt>
                <c:pt idx="4">
                  <c:v>158.25</c:v>
                </c:pt>
                <c:pt idx="5">
                  <c:v>157.29</c:v>
                </c:pt>
                <c:pt idx="6">
                  <c:v>163.92282855183967</c:v>
                </c:pt>
                <c:pt idx="7">
                  <c:v>188.03428337694541</c:v>
                </c:pt>
                <c:pt idx="8">
                  <c:v>231.99532699138837</c:v>
                </c:pt>
                <c:pt idx="9">
                  <c:v>248.97603656442837</c:v>
                </c:pt>
                <c:pt idx="10">
                  <c:v>254.61568053551255</c:v>
                </c:pt>
                <c:pt idx="11">
                  <c:v>261.85910733415648</c:v>
                </c:pt>
                <c:pt idx="12">
                  <c:v>281.76908057058051</c:v>
                </c:pt>
                <c:pt idx="13">
                  <c:v>282.8116973482492</c:v>
                </c:pt>
                <c:pt idx="14">
                  <c:v>282.44517284197639</c:v>
                </c:pt>
                <c:pt idx="15">
                  <c:v>281.16649504899112</c:v>
                </c:pt>
                <c:pt idx="16">
                  <c:v>285.45221288456753</c:v>
                </c:pt>
                <c:pt idx="17">
                  <c:v>288.08353894091641</c:v>
                </c:pt>
                <c:pt idx="18">
                  <c:v>283.24373327452349</c:v>
                </c:pt>
                <c:pt idx="19">
                  <c:v>283.64</c:v>
                </c:pt>
                <c:pt idx="20">
                  <c:v>282.02999999999997</c:v>
                </c:pt>
                <c:pt idx="21">
                  <c:v>265.20999999999998</c:v>
                </c:pt>
                <c:pt idx="22">
                  <c:v>242.94</c:v>
                </c:pt>
                <c:pt idx="23">
                  <c:v>218.86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4-4F64-AD58-B618F6EE0FAB}"/>
            </c:ext>
          </c:extLst>
        </c:ser>
        <c:ser>
          <c:idx val="1"/>
          <c:order val="1"/>
          <c:tx>
            <c:strRef>
              <c:f>TSES!$M$492</c:f>
              <c:strCache>
                <c:ptCount val="1"/>
                <c:pt idx="0">
                  <c:v>Demand delivered from the power system in 2020-21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TSES!$N$490:$AK$490</c:f>
              <c:numCache>
                <c:formatCode>[$-F400]h:mm:ss\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0.16666666666666599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TSES!$N$492:$AK$492</c:f>
              <c:numCache>
                <c:formatCode>_(#,##0.0_);\(#,##0.0\);_("-"_)</c:formatCode>
                <c:ptCount val="24"/>
                <c:pt idx="0">
                  <c:v>200.7</c:v>
                </c:pt>
                <c:pt idx="1">
                  <c:v>174.17</c:v>
                </c:pt>
                <c:pt idx="2">
                  <c:v>164.56</c:v>
                </c:pt>
                <c:pt idx="3">
                  <c:v>160.65</c:v>
                </c:pt>
                <c:pt idx="4">
                  <c:v>158.25</c:v>
                </c:pt>
                <c:pt idx="5">
                  <c:v>157.29</c:v>
                </c:pt>
                <c:pt idx="6">
                  <c:v>163.52000000000001</c:v>
                </c:pt>
                <c:pt idx="7">
                  <c:v>184.21</c:v>
                </c:pt>
                <c:pt idx="8">
                  <c:v>216.06</c:v>
                </c:pt>
                <c:pt idx="9">
                  <c:v>218.85</c:v>
                </c:pt>
                <c:pt idx="10">
                  <c:v>213.39</c:v>
                </c:pt>
                <c:pt idx="11">
                  <c:v>213.48</c:v>
                </c:pt>
                <c:pt idx="12">
                  <c:v>228.85</c:v>
                </c:pt>
                <c:pt idx="13">
                  <c:v>232.16</c:v>
                </c:pt>
                <c:pt idx="14">
                  <c:v>237.93</c:v>
                </c:pt>
                <c:pt idx="15">
                  <c:v>245</c:v>
                </c:pt>
                <c:pt idx="16">
                  <c:v>259.56</c:v>
                </c:pt>
                <c:pt idx="17">
                  <c:v>274.49</c:v>
                </c:pt>
                <c:pt idx="18">
                  <c:v>279.85000000000002</c:v>
                </c:pt>
                <c:pt idx="19">
                  <c:v>283.64</c:v>
                </c:pt>
                <c:pt idx="20">
                  <c:v>282.02999999999997</c:v>
                </c:pt>
                <c:pt idx="21">
                  <c:v>265.20999999999998</c:v>
                </c:pt>
                <c:pt idx="22">
                  <c:v>242.94</c:v>
                </c:pt>
                <c:pt idx="23">
                  <c:v>218.86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4-4F64-AD58-B618F6EE0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0534751"/>
        <c:axId val="1270533111"/>
      </c:lineChart>
      <c:catAx>
        <c:axId val="1270534751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533111"/>
        <c:crosses val="autoZero"/>
        <c:auto val="1"/>
        <c:lblAlgn val="ctr"/>
        <c:lblOffset val="100"/>
        <c:noMultiLvlLbl val="0"/>
      </c:catAx>
      <c:valAx>
        <c:axId val="1270533111"/>
        <c:scaling>
          <c:orientation val="minMax"/>
          <c:max val="3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TSES!$N$494</c:f>
              <c:strCache>
                <c:ptCount val="1"/>
                <c:pt idx="0">
                  <c:v>Demand (MW)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534751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TSES!$M$511</c:f>
              <c:strCache>
                <c:ptCount val="1"/>
                <c:pt idx="0">
                  <c:v>Demand for network electricity on maximum day in FY23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cat>
            <c:numRef>
              <c:f>TSES!$N$510:$AK$510</c:f>
              <c:numCache>
                <c:formatCode>[$-F400]h:mm:ss\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0.16666666666666599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TSES!$N$511:$AK$511</c:f>
              <c:numCache>
                <c:formatCode>_(#,##0.0_);\(#,##0.0\);_("-"_)</c:formatCode>
                <c:ptCount val="24"/>
                <c:pt idx="0">
                  <c:v>206.45398970564386</c:v>
                </c:pt>
                <c:pt idx="1">
                  <c:v>195.92677035415491</c:v>
                </c:pt>
                <c:pt idx="2">
                  <c:v>189.23014326246238</c:v>
                </c:pt>
                <c:pt idx="3">
                  <c:v>183.00622709430601</c:v>
                </c:pt>
                <c:pt idx="4">
                  <c:v>183.04561585910986</c:v>
                </c:pt>
                <c:pt idx="5">
                  <c:v>190.52550893515175</c:v>
                </c:pt>
                <c:pt idx="6">
                  <c:v>211.67418816856025</c:v>
                </c:pt>
                <c:pt idx="7">
                  <c:v>237.94604387261148</c:v>
                </c:pt>
                <c:pt idx="8">
                  <c:v>238.58837258881573</c:v>
                </c:pt>
                <c:pt idx="9">
                  <c:v>229.47838251675373</c:v>
                </c:pt>
                <c:pt idx="10">
                  <c:v>217.36096315220016</c:v>
                </c:pt>
                <c:pt idx="11">
                  <c:v>222.83933644502136</c:v>
                </c:pt>
                <c:pt idx="12">
                  <c:v>227.69887139318899</c:v>
                </c:pt>
                <c:pt idx="13">
                  <c:v>233.8390756910492</c:v>
                </c:pt>
                <c:pt idx="14">
                  <c:v>249.39378322487514</c:v>
                </c:pt>
                <c:pt idx="15">
                  <c:v>273.08646092389637</c:v>
                </c:pt>
                <c:pt idx="16">
                  <c:v>297.0267550424316</c:v>
                </c:pt>
                <c:pt idx="17">
                  <c:v>314.81999438269281</c:v>
                </c:pt>
                <c:pt idx="18">
                  <c:v>314.96775997261233</c:v>
                </c:pt>
                <c:pt idx="19">
                  <c:v>313.38520738724168</c:v>
                </c:pt>
                <c:pt idx="20">
                  <c:v>303.38021443312306</c:v>
                </c:pt>
                <c:pt idx="21">
                  <c:v>277.72455029705105</c:v>
                </c:pt>
                <c:pt idx="22">
                  <c:v>247.68049330367626</c:v>
                </c:pt>
                <c:pt idx="23">
                  <c:v>222.72232141285383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3-432E-B5F7-34C58BB95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408895"/>
        <c:axId val="1291415455"/>
      </c:areaChart>
      <c:lineChart>
        <c:grouping val="standard"/>
        <c:varyColors val="0"/>
        <c:ser>
          <c:idx val="1"/>
          <c:order val="1"/>
          <c:tx>
            <c:strRef>
              <c:f>TSES!$M$512</c:f>
              <c:strCache>
                <c:ptCount val="1"/>
                <c:pt idx="0">
                  <c:v>Demand for network electricity on maximum day in FY40 - No demand management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TSES!$N$510:$AK$510</c:f>
              <c:numCache>
                <c:formatCode>[$-F400]h:mm:ss\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0.16666666666666599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TSES!$N$512:$AK$512</c:f>
              <c:numCache>
                <c:formatCode>_(#,##0.0_);\(#,##0.0\);_("-"_)</c:formatCode>
                <c:ptCount val="24"/>
                <c:pt idx="0">
                  <c:v>260.90999999999997</c:v>
                </c:pt>
                <c:pt idx="1">
                  <c:v>226.42099999999999</c:v>
                </c:pt>
                <c:pt idx="2">
                  <c:v>213.928</c:v>
                </c:pt>
                <c:pt idx="3">
                  <c:v>208.84500000000003</c:v>
                </c:pt>
                <c:pt idx="4">
                  <c:v>205.72499999999999</c:v>
                </c:pt>
                <c:pt idx="5">
                  <c:v>204.477</c:v>
                </c:pt>
                <c:pt idx="6">
                  <c:v>212.05232288260848</c:v>
                </c:pt>
                <c:pt idx="7">
                  <c:v>234.50143160997098</c:v>
                </c:pt>
                <c:pt idx="8">
                  <c:v>260.16207491119513</c:v>
                </c:pt>
                <c:pt idx="9">
                  <c:v>245.34115246624313</c:v>
                </c:pt>
                <c:pt idx="10">
                  <c:v>223.8136153038337</c:v>
                </c:pt>
                <c:pt idx="11">
                  <c:v>214.63116046559659</c:v>
                </c:pt>
                <c:pt idx="12">
                  <c:v>228.71019525824534</c:v>
                </c:pt>
                <c:pt idx="13">
                  <c:v>235.9607934472761</c:v>
                </c:pt>
                <c:pt idx="14">
                  <c:v>251.4392753054307</c:v>
                </c:pt>
                <c:pt idx="15">
                  <c:v>271.48355643631157</c:v>
                </c:pt>
                <c:pt idx="16">
                  <c:v>303.76812325006222</c:v>
                </c:pt>
                <c:pt idx="17">
                  <c:v>339.16539937680869</c:v>
                </c:pt>
                <c:pt idx="18">
                  <c:v>359.39314674311953</c:v>
                </c:pt>
                <c:pt idx="19">
                  <c:v>368.73199999999997</c:v>
                </c:pt>
                <c:pt idx="20">
                  <c:v>366.63899999999995</c:v>
                </c:pt>
                <c:pt idx="21">
                  <c:v>344.77299999999997</c:v>
                </c:pt>
                <c:pt idx="22">
                  <c:v>315.822</c:v>
                </c:pt>
                <c:pt idx="23">
                  <c:v>284.51800000000003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3-432E-B5F7-34C58BB95386}"/>
            </c:ext>
          </c:extLst>
        </c:ser>
        <c:ser>
          <c:idx val="2"/>
          <c:order val="2"/>
          <c:tx>
            <c:strRef>
              <c:f>TSES!$M$513</c:f>
              <c:strCache>
                <c:ptCount val="1"/>
                <c:pt idx="0">
                  <c:v>Demand for network electricity on maximum day in FY40 - With demand management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TSES!$N$510:$AK$510</c:f>
              <c:numCache>
                <c:formatCode>[$-F400]h:mm:ss\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0.16666666666666599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TSES!$N$513:$AK$513</c:f>
              <c:numCache>
                <c:formatCode>_(#,##0.0_);\(#,##0.0\);_("-"_)</c:formatCode>
                <c:ptCount val="24"/>
                <c:pt idx="0">
                  <c:v>245.25539999999995</c:v>
                </c:pt>
                <c:pt idx="1">
                  <c:v>226.42099999999999</c:v>
                </c:pt>
                <c:pt idx="2">
                  <c:v>213.928</c:v>
                </c:pt>
                <c:pt idx="3">
                  <c:v>208.84500000000003</c:v>
                </c:pt>
                <c:pt idx="4">
                  <c:v>205.72499999999999</c:v>
                </c:pt>
                <c:pt idx="5">
                  <c:v>204.477</c:v>
                </c:pt>
                <c:pt idx="6">
                  <c:v>212.05232288260848</c:v>
                </c:pt>
                <c:pt idx="7">
                  <c:v>234.50143160997098</c:v>
                </c:pt>
                <c:pt idx="8">
                  <c:v>260.16207491119513</c:v>
                </c:pt>
                <c:pt idx="9">
                  <c:v>230.62068331826856</c:v>
                </c:pt>
                <c:pt idx="10">
                  <c:v>254.812837497852</c:v>
                </c:pt>
                <c:pt idx="11">
                  <c:v>243.53626413785381</c:v>
                </c:pt>
                <c:pt idx="12">
                  <c:v>257.33494052302871</c:v>
                </c:pt>
                <c:pt idx="13">
                  <c:v>265.3841300598595</c:v>
                </c:pt>
                <c:pt idx="14">
                  <c:v>282.83340154018083</c:v>
                </c:pt>
                <c:pt idx="15">
                  <c:v>264.69646752540382</c:v>
                </c:pt>
                <c:pt idx="16">
                  <c:v>296.17392016881064</c:v>
                </c:pt>
                <c:pt idx="17">
                  <c:v>330.68626439238847</c:v>
                </c:pt>
                <c:pt idx="18">
                  <c:v>327.04776353623879</c:v>
                </c:pt>
                <c:pt idx="19">
                  <c:v>335.54611999999997</c:v>
                </c:pt>
                <c:pt idx="20">
                  <c:v>333.64148999999998</c:v>
                </c:pt>
                <c:pt idx="21">
                  <c:v>313.74342999999999</c:v>
                </c:pt>
                <c:pt idx="22">
                  <c:v>296.87268</c:v>
                </c:pt>
                <c:pt idx="23">
                  <c:v>267.44692000000003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3-432E-B5F7-34C58BB95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408895"/>
        <c:axId val="1291415455"/>
      </c:lineChart>
      <c:catAx>
        <c:axId val="1291408895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1415455"/>
        <c:crosses val="autoZero"/>
        <c:auto val="1"/>
        <c:lblAlgn val="ctr"/>
        <c:lblOffset val="100"/>
        <c:noMultiLvlLbl val="0"/>
      </c:catAx>
      <c:valAx>
        <c:axId val="1291415455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TSES!$N$515</c:f>
              <c:strCache>
                <c:ptCount val="1"/>
                <c:pt idx="0">
                  <c:v>Demand (MW)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140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TSES!$M$511</c:f>
              <c:strCache>
                <c:ptCount val="1"/>
                <c:pt idx="0">
                  <c:v>Demand for network electricity on maximum day in FY23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cat>
            <c:numRef>
              <c:f>TSES!$N$510:$AK$510</c:f>
              <c:numCache>
                <c:formatCode>[$-F400]h:mm:ss\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0.16666666666666599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TSES!$N$511:$AK$511</c:f>
              <c:numCache>
                <c:formatCode>_(#,##0.0_);\(#,##0.0\);_("-"_)</c:formatCode>
                <c:ptCount val="24"/>
                <c:pt idx="0">
                  <c:v>206.45398970564386</c:v>
                </c:pt>
                <c:pt idx="1">
                  <c:v>195.92677035415491</c:v>
                </c:pt>
                <c:pt idx="2">
                  <c:v>189.23014326246238</c:v>
                </c:pt>
                <c:pt idx="3">
                  <c:v>183.00622709430601</c:v>
                </c:pt>
                <c:pt idx="4">
                  <c:v>183.04561585910986</c:v>
                </c:pt>
                <c:pt idx="5">
                  <c:v>190.52550893515175</c:v>
                </c:pt>
                <c:pt idx="6">
                  <c:v>211.67418816856025</c:v>
                </c:pt>
                <c:pt idx="7">
                  <c:v>237.94604387261148</c:v>
                </c:pt>
                <c:pt idx="8">
                  <c:v>238.58837258881573</c:v>
                </c:pt>
                <c:pt idx="9">
                  <c:v>229.47838251675373</c:v>
                </c:pt>
                <c:pt idx="10">
                  <c:v>217.36096315220016</c:v>
                </c:pt>
                <c:pt idx="11">
                  <c:v>222.83933644502136</c:v>
                </c:pt>
                <c:pt idx="12">
                  <c:v>227.69887139318899</c:v>
                </c:pt>
                <c:pt idx="13">
                  <c:v>233.8390756910492</c:v>
                </c:pt>
                <c:pt idx="14">
                  <c:v>249.39378322487514</c:v>
                </c:pt>
                <c:pt idx="15">
                  <c:v>273.08646092389637</c:v>
                </c:pt>
                <c:pt idx="16">
                  <c:v>297.0267550424316</c:v>
                </c:pt>
                <c:pt idx="17">
                  <c:v>314.81999438269281</c:v>
                </c:pt>
                <c:pt idx="18">
                  <c:v>314.96775997261233</c:v>
                </c:pt>
                <c:pt idx="19">
                  <c:v>313.38520738724168</c:v>
                </c:pt>
                <c:pt idx="20">
                  <c:v>303.38021443312306</c:v>
                </c:pt>
                <c:pt idx="21">
                  <c:v>277.72455029705105</c:v>
                </c:pt>
                <c:pt idx="22">
                  <c:v>247.68049330367626</c:v>
                </c:pt>
                <c:pt idx="23">
                  <c:v>222.72232141285383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8-49B7-97FC-16312403F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408895"/>
        <c:axId val="1291415455"/>
      </c:areaChart>
      <c:lineChart>
        <c:grouping val="standard"/>
        <c:varyColors val="0"/>
        <c:ser>
          <c:idx val="1"/>
          <c:order val="1"/>
          <c:tx>
            <c:strRef>
              <c:f>TSES!$M$512</c:f>
              <c:strCache>
                <c:ptCount val="1"/>
                <c:pt idx="0">
                  <c:v>Demand for network electricity on maximum day in FY40 - No demand management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TSES!$N$510:$AK$510</c:f>
              <c:numCache>
                <c:formatCode>[$-F400]h:mm:ss\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0.16666666666666599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TSES!$N$512:$AK$512</c:f>
              <c:numCache>
                <c:formatCode>_(#,##0.0_);\(#,##0.0\);_("-"_)</c:formatCode>
                <c:ptCount val="24"/>
                <c:pt idx="0">
                  <c:v>260.90999999999997</c:v>
                </c:pt>
                <c:pt idx="1">
                  <c:v>226.42099999999999</c:v>
                </c:pt>
                <c:pt idx="2">
                  <c:v>213.928</c:v>
                </c:pt>
                <c:pt idx="3">
                  <c:v>208.84500000000003</c:v>
                </c:pt>
                <c:pt idx="4">
                  <c:v>205.72499999999999</c:v>
                </c:pt>
                <c:pt idx="5">
                  <c:v>204.477</c:v>
                </c:pt>
                <c:pt idx="6">
                  <c:v>212.05232288260848</c:v>
                </c:pt>
                <c:pt idx="7">
                  <c:v>234.50143160997098</c:v>
                </c:pt>
                <c:pt idx="8">
                  <c:v>260.16207491119513</c:v>
                </c:pt>
                <c:pt idx="9">
                  <c:v>245.34115246624313</c:v>
                </c:pt>
                <c:pt idx="10">
                  <c:v>223.8136153038337</c:v>
                </c:pt>
                <c:pt idx="11">
                  <c:v>214.63116046559659</c:v>
                </c:pt>
                <c:pt idx="12">
                  <c:v>228.71019525824534</c:v>
                </c:pt>
                <c:pt idx="13">
                  <c:v>235.9607934472761</c:v>
                </c:pt>
                <c:pt idx="14">
                  <c:v>251.4392753054307</c:v>
                </c:pt>
                <c:pt idx="15">
                  <c:v>271.48355643631157</c:v>
                </c:pt>
                <c:pt idx="16">
                  <c:v>303.76812325006222</c:v>
                </c:pt>
                <c:pt idx="17">
                  <c:v>339.16539937680869</c:v>
                </c:pt>
                <c:pt idx="18">
                  <c:v>359.39314674311953</c:v>
                </c:pt>
                <c:pt idx="19">
                  <c:v>368.73199999999997</c:v>
                </c:pt>
                <c:pt idx="20">
                  <c:v>366.63899999999995</c:v>
                </c:pt>
                <c:pt idx="21">
                  <c:v>344.77299999999997</c:v>
                </c:pt>
                <c:pt idx="22">
                  <c:v>315.822</c:v>
                </c:pt>
                <c:pt idx="23">
                  <c:v>284.51800000000003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8-49B7-97FC-16312403FF77}"/>
            </c:ext>
          </c:extLst>
        </c:ser>
        <c:ser>
          <c:idx val="2"/>
          <c:order val="2"/>
          <c:tx>
            <c:strRef>
              <c:f>TSES!$M$513</c:f>
              <c:strCache>
                <c:ptCount val="1"/>
                <c:pt idx="0">
                  <c:v>Demand for network electricity on maximum day in FY40 - With demand management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TSES!$N$510:$AK$510</c:f>
              <c:numCache>
                <c:formatCode>[$-F400]h:mm:ss\ am/pm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0.16666666666666599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TSES!$N$513:$AK$513</c:f>
              <c:numCache>
                <c:formatCode>_(#,##0.0_);\(#,##0.0\);_("-"_)</c:formatCode>
                <c:ptCount val="24"/>
                <c:pt idx="0">
                  <c:v>245.25539999999995</c:v>
                </c:pt>
                <c:pt idx="1">
                  <c:v>226.42099999999999</c:v>
                </c:pt>
                <c:pt idx="2">
                  <c:v>213.928</c:v>
                </c:pt>
                <c:pt idx="3">
                  <c:v>208.84500000000003</c:v>
                </c:pt>
                <c:pt idx="4">
                  <c:v>205.72499999999999</c:v>
                </c:pt>
                <c:pt idx="5">
                  <c:v>204.477</c:v>
                </c:pt>
                <c:pt idx="6">
                  <c:v>212.05232288260848</c:v>
                </c:pt>
                <c:pt idx="7">
                  <c:v>234.50143160997098</c:v>
                </c:pt>
                <c:pt idx="8">
                  <c:v>260.16207491119513</c:v>
                </c:pt>
                <c:pt idx="9">
                  <c:v>230.62068331826856</c:v>
                </c:pt>
                <c:pt idx="10">
                  <c:v>254.812837497852</c:v>
                </c:pt>
                <c:pt idx="11">
                  <c:v>243.53626413785381</c:v>
                </c:pt>
                <c:pt idx="12">
                  <c:v>257.33494052302871</c:v>
                </c:pt>
                <c:pt idx="13">
                  <c:v>265.3841300598595</c:v>
                </c:pt>
                <c:pt idx="14">
                  <c:v>282.83340154018083</c:v>
                </c:pt>
                <c:pt idx="15">
                  <c:v>264.69646752540382</c:v>
                </c:pt>
                <c:pt idx="16">
                  <c:v>296.17392016881064</c:v>
                </c:pt>
                <c:pt idx="17">
                  <c:v>330.68626439238847</c:v>
                </c:pt>
                <c:pt idx="18">
                  <c:v>327.04776353623879</c:v>
                </c:pt>
                <c:pt idx="19">
                  <c:v>335.54611999999997</c:v>
                </c:pt>
                <c:pt idx="20">
                  <c:v>333.64148999999998</c:v>
                </c:pt>
                <c:pt idx="21">
                  <c:v>313.74342999999999</c:v>
                </c:pt>
                <c:pt idx="22">
                  <c:v>296.87268</c:v>
                </c:pt>
                <c:pt idx="23">
                  <c:v>267.44692000000003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8-49B7-97FC-16312403F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408895"/>
        <c:axId val="1291415455"/>
      </c:lineChart>
      <c:catAx>
        <c:axId val="1291408895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1415455"/>
        <c:crosses val="autoZero"/>
        <c:auto val="1"/>
        <c:lblAlgn val="ctr"/>
        <c:lblOffset val="100"/>
        <c:noMultiLvlLbl val="0"/>
      </c:catAx>
      <c:valAx>
        <c:axId val="129141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TSES!$N$515</c:f>
              <c:strCache>
                <c:ptCount val="1"/>
                <c:pt idx="0">
                  <c:v>Demand (MW)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140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TSES!$M$86</c:f>
              <c:strCache>
                <c:ptCount val="1"/>
                <c:pt idx="0">
                  <c:v>Global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TSES!$N$85:$BB$85</c:f>
              <c:strCache>
                <c:ptCount val="41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  <c:pt idx="11">
                  <c:v>2020/21</c:v>
                </c:pt>
                <c:pt idx="12">
                  <c:v>2021/22</c:v>
                </c:pt>
                <c:pt idx="13">
                  <c:v>2022/23</c:v>
                </c:pt>
                <c:pt idx="14">
                  <c:v>2023/24</c:v>
                </c:pt>
                <c:pt idx="15">
                  <c:v>2024/25</c:v>
                </c:pt>
                <c:pt idx="16">
                  <c:v>2025/26</c:v>
                </c:pt>
                <c:pt idx="17">
                  <c:v>2026/27</c:v>
                </c:pt>
                <c:pt idx="18">
                  <c:v>2027/28</c:v>
                </c:pt>
                <c:pt idx="19">
                  <c:v>2028/29</c:v>
                </c:pt>
                <c:pt idx="20">
                  <c:v>2029/30</c:v>
                </c:pt>
                <c:pt idx="21">
                  <c:v>2030/31</c:v>
                </c:pt>
                <c:pt idx="22">
                  <c:v>2031/32</c:v>
                </c:pt>
                <c:pt idx="23">
                  <c:v>2032/33</c:v>
                </c:pt>
                <c:pt idx="24">
                  <c:v>2033/34</c:v>
                </c:pt>
                <c:pt idx="25">
                  <c:v>2034/35</c:v>
                </c:pt>
                <c:pt idx="26">
                  <c:v>2035/36</c:v>
                </c:pt>
                <c:pt idx="27">
                  <c:v>2036/37</c:v>
                </c:pt>
                <c:pt idx="28">
                  <c:v>2037/38</c:v>
                </c:pt>
                <c:pt idx="29">
                  <c:v>2038/39</c:v>
                </c:pt>
                <c:pt idx="30">
                  <c:v>2039/40</c:v>
                </c:pt>
                <c:pt idx="31">
                  <c:v>2040/41</c:v>
                </c:pt>
                <c:pt idx="32">
                  <c:v>2041/42</c:v>
                </c:pt>
                <c:pt idx="33">
                  <c:v>2042/43</c:v>
                </c:pt>
                <c:pt idx="34">
                  <c:v>2043/44</c:v>
                </c:pt>
                <c:pt idx="35">
                  <c:v>2044/45</c:v>
                </c:pt>
                <c:pt idx="36">
                  <c:v>2045/46</c:v>
                </c:pt>
                <c:pt idx="37">
                  <c:v>2046/47</c:v>
                </c:pt>
                <c:pt idx="38">
                  <c:v>2047/48</c:v>
                </c:pt>
                <c:pt idx="39">
                  <c:v>2048/49</c:v>
                </c:pt>
                <c:pt idx="40">
                  <c:v>2049/50</c:v>
                </c:pt>
              </c:strCache>
            </c:strRef>
          </c:cat>
          <c:val>
            <c:numRef>
              <c:f>TSES!$N$86:$BB$86</c:f>
              <c:numCache>
                <c:formatCode>_(#,##0.0%_);\(#,##0.0%\);_("-"_)</c:formatCode>
                <c:ptCount val="41"/>
                <c:pt idx="0">
                  <c:v>0</c:v>
                </c:pt>
                <c:pt idx="1">
                  <c:v>1E-3</c:v>
                </c:pt>
                <c:pt idx="2">
                  <c:v>2.5000000000000001E-3</c:v>
                </c:pt>
                <c:pt idx="3">
                  <c:v>5.0000000000000001E-3</c:v>
                </c:pt>
                <c:pt idx="4">
                  <c:v>7.4999999999999997E-3</c:v>
                </c:pt>
                <c:pt idx="5">
                  <c:v>0.01</c:v>
                </c:pt>
                <c:pt idx="6">
                  <c:v>1.2999999999999999E-2</c:v>
                </c:pt>
                <c:pt idx="7">
                  <c:v>0.02</c:v>
                </c:pt>
                <c:pt idx="8">
                  <c:v>2.8000000000000001E-2</c:v>
                </c:pt>
                <c:pt idx="9">
                  <c:v>0.04</c:v>
                </c:pt>
                <c:pt idx="10">
                  <c:v>5.8000000000000003E-2</c:v>
                </c:pt>
                <c:pt idx="11">
                  <c:v>8.2000000000000003E-2</c:v>
                </c:pt>
                <c:pt idx="12">
                  <c:v>9.9000000000000005E-2</c:v>
                </c:pt>
                <c:pt idx="13">
                  <c:v>0.122</c:v>
                </c:pt>
                <c:pt idx="14">
                  <c:v>0.15</c:v>
                </c:pt>
                <c:pt idx="15">
                  <c:v>0.185</c:v>
                </c:pt>
                <c:pt idx="16">
                  <c:v>0.22800000000000001</c:v>
                </c:pt>
                <c:pt idx="17">
                  <c:v>0.26500000000000001</c:v>
                </c:pt>
                <c:pt idx="18">
                  <c:v>0.29899999999999999</c:v>
                </c:pt>
                <c:pt idx="19">
                  <c:v>0.33300000000000002</c:v>
                </c:pt>
                <c:pt idx="20">
                  <c:v>0.36499999999999999</c:v>
                </c:pt>
                <c:pt idx="21">
                  <c:v>0.39900000000000002</c:v>
                </c:pt>
                <c:pt idx="22">
                  <c:v>0.42599999999999999</c:v>
                </c:pt>
                <c:pt idx="23">
                  <c:v>0.45100000000000001</c:v>
                </c:pt>
                <c:pt idx="24">
                  <c:v>0.47</c:v>
                </c:pt>
                <c:pt idx="25">
                  <c:v>0.49</c:v>
                </c:pt>
                <c:pt idx="26">
                  <c:v>0.51</c:v>
                </c:pt>
                <c:pt idx="27">
                  <c:v>0.52900000000000003</c:v>
                </c:pt>
                <c:pt idx="28">
                  <c:v>0.54700000000000004</c:v>
                </c:pt>
                <c:pt idx="29">
                  <c:v>0.56000000000000005</c:v>
                </c:pt>
                <c:pt idx="30">
                  <c:v>0.57199999999999995</c:v>
                </c:pt>
                <c:pt idx="31">
                  <c:v>0.58099999999999996</c:v>
                </c:pt>
                <c:pt idx="32">
                  <c:v>0.59</c:v>
                </c:pt>
                <c:pt idx="33">
                  <c:v>0.59799999999999998</c:v>
                </c:pt>
                <c:pt idx="34">
                  <c:v>0.60499999999999998</c:v>
                </c:pt>
                <c:pt idx="35">
                  <c:v>0.61099999999999999</c:v>
                </c:pt>
                <c:pt idx="36">
                  <c:v>0.61499999999999999</c:v>
                </c:pt>
                <c:pt idx="37">
                  <c:v>0.61799999999999999</c:v>
                </c:pt>
                <c:pt idx="38">
                  <c:v>0.621</c:v>
                </c:pt>
                <c:pt idx="39">
                  <c:v>0.623</c:v>
                </c:pt>
                <c:pt idx="40">
                  <c:v>0.625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9-4B70-86A3-4EF30B526FBF}"/>
            </c:ext>
          </c:extLst>
        </c:ser>
        <c:ser>
          <c:idx val="1"/>
          <c:order val="1"/>
          <c:tx>
            <c:strRef>
              <c:f>TSES!$M$87</c:f>
              <c:strCache>
                <c:ptCount val="1"/>
                <c:pt idx="0">
                  <c:v>Australia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TSES!$N$85:$BB$85</c:f>
              <c:strCache>
                <c:ptCount val="41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  <c:pt idx="11">
                  <c:v>2020/21</c:v>
                </c:pt>
                <c:pt idx="12">
                  <c:v>2021/22</c:v>
                </c:pt>
                <c:pt idx="13">
                  <c:v>2022/23</c:v>
                </c:pt>
                <c:pt idx="14">
                  <c:v>2023/24</c:v>
                </c:pt>
                <c:pt idx="15">
                  <c:v>2024/25</c:v>
                </c:pt>
                <c:pt idx="16">
                  <c:v>2025/26</c:v>
                </c:pt>
                <c:pt idx="17">
                  <c:v>2026/27</c:v>
                </c:pt>
                <c:pt idx="18">
                  <c:v>2027/28</c:v>
                </c:pt>
                <c:pt idx="19">
                  <c:v>2028/29</c:v>
                </c:pt>
                <c:pt idx="20">
                  <c:v>2029/30</c:v>
                </c:pt>
                <c:pt idx="21">
                  <c:v>2030/31</c:v>
                </c:pt>
                <c:pt idx="22">
                  <c:v>2031/32</c:v>
                </c:pt>
                <c:pt idx="23">
                  <c:v>2032/33</c:v>
                </c:pt>
                <c:pt idx="24">
                  <c:v>2033/34</c:v>
                </c:pt>
                <c:pt idx="25">
                  <c:v>2034/35</c:v>
                </c:pt>
                <c:pt idx="26">
                  <c:v>2035/36</c:v>
                </c:pt>
                <c:pt idx="27">
                  <c:v>2036/37</c:v>
                </c:pt>
                <c:pt idx="28">
                  <c:v>2037/38</c:v>
                </c:pt>
                <c:pt idx="29">
                  <c:v>2038/39</c:v>
                </c:pt>
                <c:pt idx="30">
                  <c:v>2039/40</c:v>
                </c:pt>
                <c:pt idx="31">
                  <c:v>2040/41</c:v>
                </c:pt>
                <c:pt idx="32">
                  <c:v>2041/42</c:v>
                </c:pt>
                <c:pt idx="33">
                  <c:v>2042/43</c:v>
                </c:pt>
                <c:pt idx="34">
                  <c:v>2043/44</c:v>
                </c:pt>
                <c:pt idx="35">
                  <c:v>2044/45</c:v>
                </c:pt>
                <c:pt idx="36">
                  <c:v>2045/46</c:v>
                </c:pt>
                <c:pt idx="37">
                  <c:v>2046/47</c:v>
                </c:pt>
                <c:pt idx="38">
                  <c:v>2047/48</c:v>
                </c:pt>
                <c:pt idx="39">
                  <c:v>2048/49</c:v>
                </c:pt>
                <c:pt idx="40">
                  <c:v>2049/50</c:v>
                </c:pt>
              </c:strCache>
            </c:strRef>
          </c:cat>
          <c:val>
            <c:numRef>
              <c:f>TSES!$N$87:$BB$87</c:f>
              <c:numCache>
                <c:formatCode>_(#,##0.0%_);\(#,##0.0%\);_("-"_)</c:formatCode>
                <c:ptCount val="41"/>
                <c:pt idx="0">
                  <c:v>0</c:v>
                </c:pt>
                <c:pt idx="1">
                  <c:v>1E-4</c:v>
                </c:pt>
                <c:pt idx="2">
                  <c:v>4.0000000000000002E-4</c:v>
                </c:pt>
                <c:pt idx="3">
                  <c:v>1E-3</c:v>
                </c:pt>
                <c:pt idx="4">
                  <c:v>1.8E-3</c:v>
                </c:pt>
                <c:pt idx="5">
                  <c:v>2.7000000000000001E-3</c:v>
                </c:pt>
                <c:pt idx="6">
                  <c:v>4.0000000000000001E-3</c:v>
                </c:pt>
                <c:pt idx="7">
                  <c:v>5.7999999999999996E-3</c:v>
                </c:pt>
                <c:pt idx="8">
                  <c:v>7.4999999999999997E-3</c:v>
                </c:pt>
                <c:pt idx="9">
                  <c:v>0.01</c:v>
                </c:pt>
                <c:pt idx="10">
                  <c:v>1.4999999999999999E-2</c:v>
                </c:pt>
                <c:pt idx="11">
                  <c:v>2.2499999999999999E-2</c:v>
                </c:pt>
                <c:pt idx="12">
                  <c:v>3.2000000000000001E-2</c:v>
                </c:pt>
                <c:pt idx="13">
                  <c:v>4.4999999999999998E-2</c:v>
                </c:pt>
                <c:pt idx="14">
                  <c:v>6.3E-2</c:v>
                </c:pt>
                <c:pt idx="15">
                  <c:v>7.9000000000000001E-2</c:v>
                </c:pt>
                <c:pt idx="16">
                  <c:v>0.1</c:v>
                </c:pt>
                <c:pt idx="17">
                  <c:v>0.13400000000000001</c:v>
                </c:pt>
                <c:pt idx="18">
                  <c:v>0.17199999999999999</c:v>
                </c:pt>
                <c:pt idx="19">
                  <c:v>0.224</c:v>
                </c:pt>
                <c:pt idx="20">
                  <c:v>0.27</c:v>
                </c:pt>
                <c:pt idx="21">
                  <c:v>0.318</c:v>
                </c:pt>
                <c:pt idx="22">
                  <c:v>0.36499999999999999</c:v>
                </c:pt>
                <c:pt idx="23">
                  <c:v>0.40899999999999997</c:v>
                </c:pt>
                <c:pt idx="24">
                  <c:v>0.45</c:v>
                </c:pt>
                <c:pt idx="25">
                  <c:v>0.49</c:v>
                </c:pt>
                <c:pt idx="26">
                  <c:v>0.52500000000000002</c:v>
                </c:pt>
                <c:pt idx="27">
                  <c:v>0.55500000000000005</c:v>
                </c:pt>
                <c:pt idx="28">
                  <c:v>0.57499999999999996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0.60699999999999998</c:v>
                </c:pt>
                <c:pt idx="32">
                  <c:v>0.61299999999999999</c:v>
                </c:pt>
                <c:pt idx="33">
                  <c:v>0.61799999999999999</c:v>
                </c:pt>
                <c:pt idx="34">
                  <c:v>0.624</c:v>
                </c:pt>
                <c:pt idx="35">
                  <c:v>0.629</c:v>
                </c:pt>
                <c:pt idx="36">
                  <c:v>0.63400000000000001</c:v>
                </c:pt>
                <c:pt idx="37">
                  <c:v>0.63700000000000001</c:v>
                </c:pt>
                <c:pt idx="38">
                  <c:v>0.63900000000000001</c:v>
                </c:pt>
                <c:pt idx="39">
                  <c:v>0.64100000000000001</c:v>
                </c:pt>
                <c:pt idx="40">
                  <c:v>0.64200000000000002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9-4B70-86A3-4EF30B526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0882095"/>
        <c:axId val="1240890623"/>
      </c:lineChart>
      <c:catAx>
        <c:axId val="1240882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890623"/>
        <c:crosses val="autoZero"/>
        <c:auto val="1"/>
        <c:lblAlgn val="ctr"/>
        <c:lblOffset val="100"/>
        <c:noMultiLvlLbl val="0"/>
      </c:catAx>
      <c:valAx>
        <c:axId val="124089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TSES!$N$90</c:f>
              <c:strCache>
                <c:ptCount val="1"/>
                <c:pt idx="0">
                  <c:v>Proportion of EV uptake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882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TSS!$P$94</c:f>
              <c:strCache>
                <c:ptCount val="1"/>
                <c:pt idx="0">
                  <c:v>Tariff 1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TSS!$Q$93:$U$93</c:f>
              <c:strCache>
                <c:ptCount val="5"/>
                <c:pt idx="0">
                  <c:v>2024/25</c:v>
                </c:pt>
                <c:pt idx="1">
                  <c:v>2025/26</c:v>
                </c:pt>
                <c:pt idx="2">
                  <c:v>2026/27</c:v>
                </c:pt>
                <c:pt idx="3">
                  <c:v>2027/28</c:v>
                </c:pt>
                <c:pt idx="4">
                  <c:v>2028/29</c:v>
                </c:pt>
              </c:strCache>
            </c:strRef>
          </c:cat>
          <c:val>
            <c:numRef>
              <c:f>TSS!$Q$94:$U$94</c:f>
              <c:numCache>
                <c:formatCode>_("$"#,##0.0_);\("$"#,##0.0\);_("-"_)</c:formatCode>
                <c:ptCount val="5"/>
                <c:pt idx="0">
                  <c:v>1052.5</c:v>
                </c:pt>
                <c:pt idx="1">
                  <c:v>1231.5</c:v>
                </c:pt>
                <c:pt idx="2">
                  <c:v>1331.25</c:v>
                </c:pt>
                <c:pt idx="3">
                  <c:v>1482</c:v>
                </c:pt>
                <c:pt idx="4">
                  <c:v>1641.875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2A-495F-89EF-198B24150C9E}"/>
            </c:ext>
          </c:extLst>
        </c:ser>
        <c:ser>
          <c:idx val="1"/>
          <c:order val="1"/>
          <c:tx>
            <c:strRef>
              <c:f>TSS!$P$95</c:f>
              <c:strCache>
                <c:ptCount val="1"/>
                <c:pt idx="0">
                  <c:v>Tariff 3a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TSS!$Q$93:$U$93</c:f>
              <c:strCache>
                <c:ptCount val="5"/>
                <c:pt idx="0">
                  <c:v>2024/25</c:v>
                </c:pt>
                <c:pt idx="1">
                  <c:v>2025/26</c:v>
                </c:pt>
                <c:pt idx="2">
                  <c:v>2026/27</c:v>
                </c:pt>
                <c:pt idx="3">
                  <c:v>2027/28</c:v>
                </c:pt>
                <c:pt idx="4">
                  <c:v>2028/29</c:v>
                </c:pt>
              </c:strCache>
            </c:strRef>
          </c:cat>
          <c:val>
            <c:numRef>
              <c:f>TSS!$Q$95:$U$95</c:f>
              <c:numCache>
                <c:formatCode>_("$"#,##0.0_);\("$"#,##0.0\);_("-"_)</c:formatCode>
                <c:ptCount val="5"/>
                <c:pt idx="0">
                  <c:v>1254</c:v>
                </c:pt>
                <c:pt idx="1">
                  <c:v>1231.1873487908158</c:v>
                </c:pt>
                <c:pt idx="2">
                  <c:v>1331.0951326134102</c:v>
                </c:pt>
                <c:pt idx="3">
                  <c:v>1482.1049288391189</c:v>
                </c:pt>
                <c:pt idx="4">
                  <c:v>1642.3006822611997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A-495F-89EF-198B24150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05719"/>
        <c:axId val="169208015"/>
      </c:lineChart>
      <c:catAx>
        <c:axId val="169205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208015"/>
        <c:crosses val="autoZero"/>
        <c:auto val="1"/>
        <c:lblAlgn val="ctr"/>
        <c:lblOffset val="100"/>
        <c:noMultiLvlLbl val="0"/>
      </c:catAx>
      <c:valAx>
        <c:axId val="16920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TSS!$Q$97</c:f>
              <c:strCache>
                <c:ptCount val="1"/>
                <c:pt idx="0">
                  <c:v>Estimated bill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205719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0945514115495"/>
          <c:y val="5.3524904214559389E-2"/>
          <c:w val="0.8644850437867253"/>
          <c:h val="0.76994789272030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TSS!$J$134</c:f>
              <c:strCache>
                <c:ptCount val="1"/>
                <c:pt idx="0">
                  <c:v>FY25 % Bill Change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yVal>
            <c:numRef>
              <c:f>TSS!$J$135:$J$292</c:f>
              <c:numCache>
                <c:formatCode>_(#,##0%_);\(#,##0%\);_("-"_)</c:formatCode>
                <c:ptCount val="158"/>
                <c:pt idx="0">
                  <c:v>-0.18882725711447981</c:v>
                </c:pt>
                <c:pt idx="1">
                  <c:v>-0.13900349252692187</c:v>
                </c:pt>
                <c:pt idx="2">
                  <c:v>-0.13076096242074176</c:v>
                </c:pt>
                <c:pt idx="3">
                  <c:v>-0.11988485400468367</c:v>
                </c:pt>
                <c:pt idx="4">
                  <c:v>-9.9973753411121261E-2</c:v>
                </c:pt>
                <c:pt idx="5">
                  <c:v>-9.9294126702905702E-2</c:v>
                </c:pt>
                <c:pt idx="6">
                  <c:v>-9.7330860683964071E-2</c:v>
                </c:pt>
                <c:pt idx="7">
                  <c:v>-9.7314815834521479E-2</c:v>
                </c:pt>
                <c:pt idx="8">
                  <c:v>-9.599682247552567E-2</c:v>
                </c:pt>
                <c:pt idx="9">
                  <c:v>-9.523648587007616E-2</c:v>
                </c:pt>
                <c:pt idx="10">
                  <c:v>-9.1221127035423052E-2</c:v>
                </c:pt>
                <c:pt idx="11">
                  <c:v>-9.0429460349449486E-2</c:v>
                </c:pt>
                <c:pt idx="12">
                  <c:v>-9.0381262511824323E-2</c:v>
                </c:pt>
                <c:pt idx="13">
                  <c:v>-9.036011230135825E-2</c:v>
                </c:pt>
                <c:pt idx="14">
                  <c:v>-8.5810727067428025E-2</c:v>
                </c:pt>
                <c:pt idx="15">
                  <c:v>-8.0728849595447461E-2</c:v>
                </c:pt>
                <c:pt idx="16">
                  <c:v>-7.9820251067397582E-2</c:v>
                </c:pt>
                <c:pt idx="17">
                  <c:v>-6.4899076699458061E-2</c:v>
                </c:pt>
                <c:pt idx="18">
                  <c:v>-6.4855722868962642E-2</c:v>
                </c:pt>
                <c:pt idx="19">
                  <c:v>-6.4703493743359194E-2</c:v>
                </c:pt>
                <c:pt idx="20">
                  <c:v>-5.910017598373557E-2</c:v>
                </c:pt>
                <c:pt idx="21">
                  <c:v>-5.737091430412971E-2</c:v>
                </c:pt>
                <c:pt idx="22">
                  <c:v>-5.2860010682834795E-2</c:v>
                </c:pt>
                <c:pt idx="23">
                  <c:v>-4.7182008117809225E-2</c:v>
                </c:pt>
                <c:pt idx="24">
                  <c:v>-4.3481308230450114E-2</c:v>
                </c:pt>
                <c:pt idx="25">
                  <c:v>-3.2635744129926446E-2</c:v>
                </c:pt>
                <c:pt idx="26">
                  <c:v>-3.2108837604418718E-2</c:v>
                </c:pt>
                <c:pt idx="27">
                  <c:v>-2.8491958214856748E-2</c:v>
                </c:pt>
                <c:pt idx="28">
                  <c:v>-2.6770453482209546E-2</c:v>
                </c:pt>
                <c:pt idx="29">
                  <c:v>-2.5401132465296548E-2</c:v>
                </c:pt>
                <c:pt idx="30">
                  <c:v>-2.508792091687042E-2</c:v>
                </c:pt>
                <c:pt idx="31">
                  <c:v>-1.9588124441091728E-2</c:v>
                </c:pt>
                <c:pt idx="32">
                  <c:v>-1.8297334764632744E-2</c:v>
                </c:pt>
                <c:pt idx="33">
                  <c:v>-1.7482316792807498E-2</c:v>
                </c:pt>
                <c:pt idx="34">
                  <c:v>-1.5614877459299006E-2</c:v>
                </c:pt>
                <c:pt idx="35">
                  <c:v>-1.4293890296946997E-2</c:v>
                </c:pt>
                <c:pt idx="36">
                  <c:v>-1.3961299129028248E-2</c:v>
                </c:pt>
                <c:pt idx="37">
                  <c:v>-1.0569461217144723E-2</c:v>
                </c:pt>
                <c:pt idx="38">
                  <c:v>-8.2776710341285701E-3</c:v>
                </c:pt>
                <c:pt idx="39">
                  <c:v>-3.5261373059112967E-3</c:v>
                </c:pt>
                <c:pt idx="40">
                  <c:v>-2.4551151356803249E-3</c:v>
                </c:pt>
                <c:pt idx="41">
                  <c:v>3.7182774108928248E-3</c:v>
                </c:pt>
                <c:pt idx="42">
                  <c:v>4.6556096092726955E-3</c:v>
                </c:pt>
                <c:pt idx="43">
                  <c:v>8.9468767854772209E-3</c:v>
                </c:pt>
                <c:pt idx="44">
                  <c:v>1.0670728813247436E-2</c:v>
                </c:pt>
                <c:pt idx="45">
                  <c:v>1.2282463858278185E-2</c:v>
                </c:pt>
                <c:pt idx="46">
                  <c:v>1.2672089736356274E-2</c:v>
                </c:pt>
                <c:pt idx="47">
                  <c:v>1.271965014549622E-2</c:v>
                </c:pt>
                <c:pt idx="48">
                  <c:v>1.3929016484080559E-2</c:v>
                </c:pt>
                <c:pt idx="49">
                  <c:v>1.5554225705909634E-2</c:v>
                </c:pt>
                <c:pt idx="50">
                  <c:v>1.6482790388196621E-2</c:v>
                </c:pt>
                <c:pt idx="51">
                  <c:v>1.6972679195296988E-2</c:v>
                </c:pt>
                <c:pt idx="52">
                  <c:v>1.8975950972787394E-2</c:v>
                </c:pt>
                <c:pt idx="53">
                  <c:v>1.9918722213049873E-2</c:v>
                </c:pt>
                <c:pt idx="54">
                  <c:v>3.0293610456135503E-2</c:v>
                </c:pt>
                <c:pt idx="55">
                  <c:v>3.0353339394786252E-2</c:v>
                </c:pt>
                <c:pt idx="56">
                  <c:v>3.0928842942981677E-2</c:v>
                </c:pt>
                <c:pt idx="57">
                  <c:v>3.1754171183599258E-2</c:v>
                </c:pt>
                <c:pt idx="58">
                  <c:v>3.7944408173042954E-2</c:v>
                </c:pt>
                <c:pt idx="59">
                  <c:v>4.055226972606385E-2</c:v>
                </c:pt>
                <c:pt idx="60">
                  <c:v>4.139275177290222E-2</c:v>
                </c:pt>
                <c:pt idx="61">
                  <c:v>4.2988118104570462E-2</c:v>
                </c:pt>
                <c:pt idx="62">
                  <c:v>4.3974877877907742E-2</c:v>
                </c:pt>
                <c:pt idx="63">
                  <c:v>4.6829813039374259E-2</c:v>
                </c:pt>
                <c:pt idx="64">
                  <c:v>4.7203646376646063E-2</c:v>
                </c:pt>
                <c:pt idx="65">
                  <c:v>4.833119516923913E-2</c:v>
                </c:pt>
                <c:pt idx="66">
                  <c:v>4.9873319357820634E-2</c:v>
                </c:pt>
                <c:pt idx="67">
                  <c:v>5.2303056572180297E-2</c:v>
                </c:pt>
                <c:pt idx="68">
                  <c:v>5.2983635472529211E-2</c:v>
                </c:pt>
                <c:pt idx="69">
                  <c:v>5.4348457105506433E-2</c:v>
                </c:pt>
                <c:pt idx="70">
                  <c:v>5.4396378066283717E-2</c:v>
                </c:pt>
                <c:pt idx="71">
                  <c:v>5.5419539851011418E-2</c:v>
                </c:pt>
                <c:pt idx="72">
                  <c:v>5.9246708554538584E-2</c:v>
                </c:pt>
                <c:pt idx="73">
                  <c:v>6.0433506710704799E-2</c:v>
                </c:pt>
                <c:pt idx="74">
                  <c:v>6.403449398502864E-2</c:v>
                </c:pt>
                <c:pt idx="75">
                  <c:v>6.4707051752853448E-2</c:v>
                </c:pt>
                <c:pt idx="76">
                  <c:v>6.6210633321691942E-2</c:v>
                </c:pt>
                <c:pt idx="77">
                  <c:v>6.6378404046690029E-2</c:v>
                </c:pt>
                <c:pt idx="78">
                  <c:v>6.7078899330452163E-2</c:v>
                </c:pt>
                <c:pt idx="79">
                  <c:v>6.7428852022473576E-2</c:v>
                </c:pt>
                <c:pt idx="80">
                  <c:v>6.8451801524280695E-2</c:v>
                </c:pt>
                <c:pt idx="81">
                  <c:v>6.8610257459872703E-2</c:v>
                </c:pt>
                <c:pt idx="82">
                  <c:v>6.8986638201086192E-2</c:v>
                </c:pt>
                <c:pt idx="83">
                  <c:v>6.927650758883637E-2</c:v>
                </c:pt>
                <c:pt idx="84">
                  <c:v>7.0066542955208477E-2</c:v>
                </c:pt>
                <c:pt idx="85">
                  <c:v>7.1275155370214588E-2</c:v>
                </c:pt>
                <c:pt idx="86">
                  <c:v>7.3507299636621434E-2</c:v>
                </c:pt>
                <c:pt idx="87">
                  <c:v>7.4706393262441384E-2</c:v>
                </c:pt>
                <c:pt idx="88">
                  <c:v>7.5342601046754679E-2</c:v>
                </c:pt>
                <c:pt idx="89">
                  <c:v>7.5386635378867542E-2</c:v>
                </c:pt>
                <c:pt idx="90">
                  <c:v>7.5738810641686236E-2</c:v>
                </c:pt>
                <c:pt idx="91">
                  <c:v>7.623117773821031E-2</c:v>
                </c:pt>
                <c:pt idx="92">
                  <c:v>7.6768425602739165E-2</c:v>
                </c:pt>
                <c:pt idx="93">
                  <c:v>8.1624906994801336E-2</c:v>
                </c:pt>
                <c:pt idx="94">
                  <c:v>8.1796002826923495E-2</c:v>
                </c:pt>
                <c:pt idx="95">
                  <c:v>8.244259901023189E-2</c:v>
                </c:pt>
                <c:pt idx="96">
                  <c:v>8.2883549019453981E-2</c:v>
                </c:pt>
                <c:pt idx="97">
                  <c:v>8.3923388628387732E-2</c:v>
                </c:pt>
                <c:pt idx="98">
                  <c:v>8.4231128199944758E-2</c:v>
                </c:pt>
                <c:pt idx="99">
                  <c:v>8.4783821902782594E-2</c:v>
                </c:pt>
                <c:pt idx="100">
                  <c:v>8.5003729189253807E-2</c:v>
                </c:pt>
                <c:pt idx="101">
                  <c:v>8.5035949115196671E-2</c:v>
                </c:pt>
                <c:pt idx="102">
                  <c:v>8.5261127108484866E-2</c:v>
                </c:pt>
                <c:pt idx="103">
                  <c:v>8.592421797836472E-2</c:v>
                </c:pt>
                <c:pt idx="104">
                  <c:v>8.712545985853816E-2</c:v>
                </c:pt>
                <c:pt idx="105">
                  <c:v>8.8710050765899703E-2</c:v>
                </c:pt>
                <c:pt idx="106">
                  <c:v>9.1208492362797475E-2</c:v>
                </c:pt>
                <c:pt idx="107">
                  <c:v>9.2702221733732382E-2</c:v>
                </c:pt>
                <c:pt idx="108">
                  <c:v>9.3153963988403615E-2</c:v>
                </c:pt>
                <c:pt idx="109">
                  <c:v>9.3685827333789246E-2</c:v>
                </c:pt>
                <c:pt idx="110">
                  <c:v>9.3860757188752364E-2</c:v>
                </c:pt>
                <c:pt idx="111">
                  <c:v>9.4956498915901466E-2</c:v>
                </c:pt>
                <c:pt idx="112">
                  <c:v>9.6692427453249116E-2</c:v>
                </c:pt>
                <c:pt idx="113">
                  <c:v>9.7943332033236866E-2</c:v>
                </c:pt>
                <c:pt idx="114">
                  <c:v>9.8040510267686953E-2</c:v>
                </c:pt>
                <c:pt idx="115">
                  <c:v>9.9303411242097267E-2</c:v>
                </c:pt>
                <c:pt idx="116">
                  <c:v>9.9392775005353845E-2</c:v>
                </c:pt>
                <c:pt idx="117">
                  <c:v>0.10160392837183095</c:v>
                </c:pt>
                <c:pt idx="118">
                  <c:v>0.101748139232437</c:v>
                </c:pt>
                <c:pt idx="119">
                  <c:v>0.10252666642691345</c:v>
                </c:pt>
                <c:pt idx="120">
                  <c:v>0.10365495493348925</c:v>
                </c:pt>
                <c:pt idx="121">
                  <c:v>0.10650405345817276</c:v>
                </c:pt>
                <c:pt idx="122">
                  <c:v>0.10769917834619777</c:v>
                </c:pt>
                <c:pt idx="123">
                  <c:v>0.10803074242464944</c:v>
                </c:pt>
                <c:pt idx="124">
                  <c:v>0.1088939210134931</c:v>
                </c:pt>
                <c:pt idx="125">
                  <c:v>0.10895006239374753</c:v>
                </c:pt>
                <c:pt idx="126">
                  <c:v>0.10908897734494449</c:v>
                </c:pt>
                <c:pt idx="127">
                  <c:v>0.10929880467909303</c:v>
                </c:pt>
                <c:pt idx="128">
                  <c:v>0.10965947674947887</c:v>
                </c:pt>
                <c:pt idx="129">
                  <c:v>0.11111988166139371</c:v>
                </c:pt>
                <c:pt idx="130">
                  <c:v>0.11227667249384594</c:v>
                </c:pt>
                <c:pt idx="131">
                  <c:v>0.11240757009977075</c:v>
                </c:pt>
                <c:pt idx="132">
                  <c:v>0.1127101404871543</c:v>
                </c:pt>
                <c:pt idx="133">
                  <c:v>0.11281001162415792</c:v>
                </c:pt>
                <c:pt idx="134">
                  <c:v>0.11307996786579705</c:v>
                </c:pt>
                <c:pt idx="135">
                  <c:v>0.11482027358407883</c:v>
                </c:pt>
                <c:pt idx="136">
                  <c:v>0.11507144929332284</c:v>
                </c:pt>
                <c:pt idx="137">
                  <c:v>0.11619163408301864</c:v>
                </c:pt>
                <c:pt idx="138">
                  <c:v>0.11705087037706825</c:v>
                </c:pt>
                <c:pt idx="139">
                  <c:v>0.1181709841957909</c:v>
                </c:pt>
                <c:pt idx="140">
                  <c:v>0.11923454957574921</c:v>
                </c:pt>
                <c:pt idx="141">
                  <c:v>0.12047345405911075</c:v>
                </c:pt>
                <c:pt idx="142">
                  <c:v>0.1246324642663227</c:v>
                </c:pt>
                <c:pt idx="143">
                  <c:v>0.12584014324019077</c:v>
                </c:pt>
                <c:pt idx="144">
                  <c:v>0.12662632495156428</c:v>
                </c:pt>
                <c:pt idx="145">
                  <c:v>0.12720692233777495</c:v>
                </c:pt>
                <c:pt idx="146">
                  <c:v>0.1281133789718851</c:v>
                </c:pt>
                <c:pt idx="147">
                  <c:v>0.13057106278329692</c:v>
                </c:pt>
                <c:pt idx="148">
                  <c:v>0.1308635507115361</c:v>
                </c:pt>
                <c:pt idx="149">
                  <c:v>0.13256727764503948</c:v>
                </c:pt>
                <c:pt idx="150">
                  <c:v>0.13380751608806832</c:v>
                </c:pt>
                <c:pt idx="151">
                  <c:v>0.13484758867323332</c:v>
                </c:pt>
                <c:pt idx="152">
                  <c:v>0.15127737410037229</c:v>
                </c:pt>
                <c:pt idx="153">
                  <c:v>0.1535406388662888</c:v>
                </c:pt>
                <c:pt idx="154">
                  <c:v>0.15980497049544307</c:v>
                </c:pt>
                <c:pt idx="155">
                  <c:v>0.16004255217806621</c:v>
                </c:pt>
                <c:pt idx="156">
                  <c:v>0.16934297905682114</c:v>
                </c:pt>
                <c:pt idx="157">
                  <c:v>0.17264104523526258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AF-4472-9A2F-17D144619D83}"/>
            </c:ext>
          </c:extLst>
        </c:ser>
        <c:ser>
          <c:idx val="1"/>
          <c:order val="1"/>
          <c:tx>
            <c:strRef>
              <c:f>TSS!$K$134</c:f>
              <c:strCache>
                <c:ptCount val="1"/>
                <c:pt idx="0">
                  <c:v>Revenue Increase + CPI = 11.2%</c:v>
                </c:pt>
              </c:strCache>
            </c:strRef>
          </c:tx>
          <c:spPr>
            <a:ln w="381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0.15190091264231001"/>
                  <c:y val="-2.75345544911329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41430930731093"/>
                      <c:h val="5.96700953995569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A07-4CEC-9158-A878F3B62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TSS!$K$135:$K$292</c:f>
              <c:numCache>
                <c:formatCode>_(#,##0.0%_);\(#,##0.0%\);_("-"_)</c:formatCode>
                <c:ptCount val="158"/>
                <c:pt idx="0">
                  <c:v>0.1122328118842657</c:v>
                </c:pt>
                <c:pt idx="1">
                  <c:v>0.1122328118842657</c:v>
                </c:pt>
                <c:pt idx="2">
                  <c:v>0.1122328118842657</c:v>
                </c:pt>
                <c:pt idx="3">
                  <c:v>0.1122328118842657</c:v>
                </c:pt>
                <c:pt idx="4">
                  <c:v>0.1122328118842657</c:v>
                </c:pt>
                <c:pt idx="5">
                  <c:v>0.1122328118842657</c:v>
                </c:pt>
                <c:pt idx="6">
                  <c:v>0.1122328118842657</c:v>
                </c:pt>
                <c:pt idx="7">
                  <c:v>0.1122328118842657</c:v>
                </c:pt>
                <c:pt idx="8">
                  <c:v>0.1122328118842657</c:v>
                </c:pt>
                <c:pt idx="9">
                  <c:v>0.1122328118842657</c:v>
                </c:pt>
                <c:pt idx="10">
                  <c:v>0.1122328118842657</c:v>
                </c:pt>
                <c:pt idx="11">
                  <c:v>0.1122328118842657</c:v>
                </c:pt>
                <c:pt idx="12">
                  <c:v>0.1122328118842657</c:v>
                </c:pt>
                <c:pt idx="13">
                  <c:v>0.1122328118842657</c:v>
                </c:pt>
                <c:pt idx="14">
                  <c:v>0.1122328118842657</c:v>
                </c:pt>
                <c:pt idx="15">
                  <c:v>0.1122328118842657</c:v>
                </c:pt>
                <c:pt idx="16">
                  <c:v>0.1122328118842657</c:v>
                </c:pt>
                <c:pt idx="17">
                  <c:v>0.1122328118842657</c:v>
                </c:pt>
                <c:pt idx="18">
                  <c:v>0.1122328118842657</c:v>
                </c:pt>
                <c:pt idx="19">
                  <c:v>0.1122328118842657</c:v>
                </c:pt>
                <c:pt idx="20">
                  <c:v>0.1122328118842657</c:v>
                </c:pt>
                <c:pt idx="21">
                  <c:v>0.1122328118842657</c:v>
                </c:pt>
                <c:pt idx="22">
                  <c:v>0.1122328118842657</c:v>
                </c:pt>
                <c:pt idx="23">
                  <c:v>0.1122328118842657</c:v>
                </c:pt>
                <c:pt idx="24">
                  <c:v>0.1122328118842657</c:v>
                </c:pt>
                <c:pt idx="25">
                  <c:v>0.1122328118842657</c:v>
                </c:pt>
                <c:pt idx="26">
                  <c:v>0.1122328118842657</c:v>
                </c:pt>
                <c:pt idx="27">
                  <c:v>0.1122328118842657</c:v>
                </c:pt>
                <c:pt idx="28">
                  <c:v>0.1122328118842657</c:v>
                </c:pt>
                <c:pt idx="29">
                  <c:v>0.1122328118842657</c:v>
                </c:pt>
                <c:pt idx="30">
                  <c:v>0.1122328118842657</c:v>
                </c:pt>
                <c:pt idx="31">
                  <c:v>0.1122328118842657</c:v>
                </c:pt>
                <c:pt idx="32">
                  <c:v>0.1122328118842657</c:v>
                </c:pt>
                <c:pt idx="33">
                  <c:v>0.1122328118842657</c:v>
                </c:pt>
                <c:pt idx="34">
                  <c:v>0.1122328118842657</c:v>
                </c:pt>
                <c:pt idx="35">
                  <c:v>0.1122328118842657</c:v>
                </c:pt>
                <c:pt idx="36">
                  <c:v>0.1122328118842657</c:v>
                </c:pt>
                <c:pt idx="37">
                  <c:v>0.1122328118842657</c:v>
                </c:pt>
                <c:pt idx="38">
                  <c:v>0.1122328118842657</c:v>
                </c:pt>
                <c:pt idx="39">
                  <c:v>0.1122328118842657</c:v>
                </c:pt>
                <c:pt idx="40">
                  <c:v>0.1122328118842657</c:v>
                </c:pt>
                <c:pt idx="41">
                  <c:v>0.1122328118842657</c:v>
                </c:pt>
                <c:pt idx="42">
                  <c:v>0.1122328118842657</c:v>
                </c:pt>
                <c:pt idx="43">
                  <c:v>0.1122328118842657</c:v>
                </c:pt>
                <c:pt idx="44">
                  <c:v>0.1122328118842657</c:v>
                </c:pt>
                <c:pt idx="45">
                  <c:v>0.1122328118842657</c:v>
                </c:pt>
                <c:pt idx="46">
                  <c:v>0.1122328118842657</c:v>
                </c:pt>
                <c:pt idx="47">
                  <c:v>0.1122328118842657</c:v>
                </c:pt>
                <c:pt idx="48">
                  <c:v>0.1122328118842657</c:v>
                </c:pt>
                <c:pt idx="49">
                  <c:v>0.1122328118842657</c:v>
                </c:pt>
                <c:pt idx="50">
                  <c:v>0.1122328118842657</c:v>
                </c:pt>
                <c:pt idx="51">
                  <c:v>0.1122328118842657</c:v>
                </c:pt>
                <c:pt idx="52">
                  <c:v>0.1122328118842657</c:v>
                </c:pt>
                <c:pt idx="53">
                  <c:v>0.1122328118842657</c:v>
                </c:pt>
                <c:pt idx="54">
                  <c:v>0.1122328118842657</c:v>
                </c:pt>
                <c:pt idx="55">
                  <c:v>0.1122328118842657</c:v>
                </c:pt>
                <c:pt idx="56">
                  <c:v>0.1122328118842657</c:v>
                </c:pt>
                <c:pt idx="57">
                  <c:v>0.1122328118842657</c:v>
                </c:pt>
                <c:pt idx="58">
                  <c:v>0.1122328118842657</c:v>
                </c:pt>
                <c:pt idx="59">
                  <c:v>0.1122328118842657</c:v>
                </c:pt>
                <c:pt idx="60">
                  <c:v>0.1122328118842657</c:v>
                </c:pt>
                <c:pt idx="61">
                  <c:v>0.1122328118842657</c:v>
                </c:pt>
                <c:pt idx="62">
                  <c:v>0.1122328118842657</c:v>
                </c:pt>
                <c:pt idx="63">
                  <c:v>0.1122328118842657</c:v>
                </c:pt>
                <c:pt idx="64">
                  <c:v>0.1122328118842657</c:v>
                </c:pt>
                <c:pt idx="65">
                  <c:v>0.1122328118842657</c:v>
                </c:pt>
                <c:pt idx="66">
                  <c:v>0.1122328118842657</c:v>
                </c:pt>
                <c:pt idx="67">
                  <c:v>0.1122328118842657</c:v>
                </c:pt>
                <c:pt idx="68">
                  <c:v>0.1122328118842657</c:v>
                </c:pt>
                <c:pt idx="69">
                  <c:v>0.1122328118842657</c:v>
                </c:pt>
                <c:pt idx="70">
                  <c:v>0.1122328118842657</c:v>
                </c:pt>
                <c:pt idx="71">
                  <c:v>0.1122328118842657</c:v>
                </c:pt>
                <c:pt idx="72">
                  <c:v>0.1122328118842657</c:v>
                </c:pt>
                <c:pt idx="73">
                  <c:v>0.1122328118842657</c:v>
                </c:pt>
                <c:pt idx="74">
                  <c:v>0.1122328118842657</c:v>
                </c:pt>
                <c:pt idx="75">
                  <c:v>0.1122328118842657</c:v>
                </c:pt>
                <c:pt idx="76">
                  <c:v>0.1122328118842657</c:v>
                </c:pt>
                <c:pt idx="77">
                  <c:v>0.1122328118842657</c:v>
                </c:pt>
                <c:pt idx="78">
                  <c:v>0.1122328118842657</c:v>
                </c:pt>
                <c:pt idx="79">
                  <c:v>0.1122328118842657</c:v>
                </c:pt>
                <c:pt idx="80">
                  <c:v>0.1122328118842657</c:v>
                </c:pt>
                <c:pt idx="81">
                  <c:v>0.1122328118842657</c:v>
                </c:pt>
                <c:pt idx="82">
                  <c:v>0.1122328118842657</c:v>
                </c:pt>
                <c:pt idx="83">
                  <c:v>0.1122328118842657</c:v>
                </c:pt>
                <c:pt idx="84">
                  <c:v>0.1122328118842657</c:v>
                </c:pt>
                <c:pt idx="85">
                  <c:v>0.1122328118842657</c:v>
                </c:pt>
                <c:pt idx="86">
                  <c:v>0.1122328118842657</c:v>
                </c:pt>
                <c:pt idx="87">
                  <c:v>0.1122328118842657</c:v>
                </c:pt>
                <c:pt idx="88">
                  <c:v>0.1122328118842657</c:v>
                </c:pt>
                <c:pt idx="89">
                  <c:v>0.1122328118842657</c:v>
                </c:pt>
                <c:pt idx="90">
                  <c:v>0.1122328118842657</c:v>
                </c:pt>
                <c:pt idx="91">
                  <c:v>0.1122328118842657</c:v>
                </c:pt>
                <c:pt idx="92">
                  <c:v>0.1122328118842657</c:v>
                </c:pt>
                <c:pt idx="93">
                  <c:v>0.1122328118842657</c:v>
                </c:pt>
                <c:pt idx="94">
                  <c:v>0.1122328118842657</c:v>
                </c:pt>
                <c:pt idx="95">
                  <c:v>0.1122328118842657</c:v>
                </c:pt>
                <c:pt idx="96">
                  <c:v>0.1122328118842657</c:v>
                </c:pt>
                <c:pt idx="97">
                  <c:v>0.1122328118842657</c:v>
                </c:pt>
                <c:pt idx="98">
                  <c:v>0.1122328118842657</c:v>
                </c:pt>
                <c:pt idx="99">
                  <c:v>0.1122328118842657</c:v>
                </c:pt>
                <c:pt idx="100">
                  <c:v>0.1122328118842657</c:v>
                </c:pt>
                <c:pt idx="101">
                  <c:v>0.1122328118842657</c:v>
                </c:pt>
                <c:pt idx="102">
                  <c:v>0.1122328118842657</c:v>
                </c:pt>
                <c:pt idx="103">
                  <c:v>0.1122328118842657</c:v>
                </c:pt>
                <c:pt idx="104">
                  <c:v>0.1122328118842657</c:v>
                </c:pt>
                <c:pt idx="105">
                  <c:v>0.1122328118842657</c:v>
                </c:pt>
                <c:pt idx="106">
                  <c:v>0.1122328118842657</c:v>
                </c:pt>
                <c:pt idx="107">
                  <c:v>0.1122328118842657</c:v>
                </c:pt>
                <c:pt idx="108">
                  <c:v>0.1122328118842657</c:v>
                </c:pt>
                <c:pt idx="109">
                  <c:v>0.1122328118842657</c:v>
                </c:pt>
                <c:pt idx="110">
                  <c:v>0.1122328118842657</c:v>
                </c:pt>
                <c:pt idx="111">
                  <c:v>0.1122328118842657</c:v>
                </c:pt>
                <c:pt idx="112">
                  <c:v>0.1122328118842657</c:v>
                </c:pt>
                <c:pt idx="113">
                  <c:v>0.1122328118842657</c:v>
                </c:pt>
                <c:pt idx="114">
                  <c:v>0.1122328118842657</c:v>
                </c:pt>
                <c:pt idx="115">
                  <c:v>0.1122328118842657</c:v>
                </c:pt>
                <c:pt idx="116">
                  <c:v>0.1122328118842657</c:v>
                </c:pt>
                <c:pt idx="117">
                  <c:v>0.1122328118842657</c:v>
                </c:pt>
                <c:pt idx="118">
                  <c:v>0.1122328118842657</c:v>
                </c:pt>
                <c:pt idx="119">
                  <c:v>0.1122328118842657</c:v>
                </c:pt>
                <c:pt idx="120">
                  <c:v>0.1122328118842657</c:v>
                </c:pt>
                <c:pt idx="121">
                  <c:v>0.1122328118842657</c:v>
                </c:pt>
                <c:pt idx="122">
                  <c:v>0.1122328118842657</c:v>
                </c:pt>
                <c:pt idx="123">
                  <c:v>0.1122328118842657</c:v>
                </c:pt>
                <c:pt idx="124">
                  <c:v>0.1122328118842657</c:v>
                </c:pt>
                <c:pt idx="125">
                  <c:v>0.1122328118842657</c:v>
                </c:pt>
                <c:pt idx="126">
                  <c:v>0.1122328118842657</c:v>
                </c:pt>
                <c:pt idx="127">
                  <c:v>0.1122328118842657</c:v>
                </c:pt>
                <c:pt idx="128">
                  <c:v>0.1122328118842657</c:v>
                </c:pt>
                <c:pt idx="129">
                  <c:v>0.1122328118842657</c:v>
                </c:pt>
                <c:pt idx="130">
                  <c:v>0.1122328118842657</c:v>
                </c:pt>
                <c:pt idx="131">
                  <c:v>0.1122328118842657</c:v>
                </c:pt>
                <c:pt idx="132">
                  <c:v>0.1122328118842657</c:v>
                </c:pt>
                <c:pt idx="133">
                  <c:v>0.1122328118842657</c:v>
                </c:pt>
                <c:pt idx="134">
                  <c:v>0.1122328118842657</c:v>
                </c:pt>
                <c:pt idx="135">
                  <c:v>0.1122328118842657</c:v>
                </c:pt>
                <c:pt idx="136">
                  <c:v>0.1122328118842657</c:v>
                </c:pt>
                <c:pt idx="137">
                  <c:v>0.1122328118842657</c:v>
                </c:pt>
                <c:pt idx="138">
                  <c:v>0.1122328118842657</c:v>
                </c:pt>
                <c:pt idx="139">
                  <c:v>0.1122328118842657</c:v>
                </c:pt>
                <c:pt idx="140">
                  <c:v>0.1122328118842657</c:v>
                </c:pt>
                <c:pt idx="141">
                  <c:v>0.1122328118842657</c:v>
                </c:pt>
                <c:pt idx="142">
                  <c:v>0.1122328118842657</c:v>
                </c:pt>
                <c:pt idx="143">
                  <c:v>0.1122328118842657</c:v>
                </c:pt>
                <c:pt idx="144">
                  <c:v>0.1122328118842657</c:v>
                </c:pt>
                <c:pt idx="145">
                  <c:v>0.1122328118842657</c:v>
                </c:pt>
                <c:pt idx="146">
                  <c:v>0.1122328118842657</c:v>
                </c:pt>
                <c:pt idx="147">
                  <c:v>0.1122328118842657</c:v>
                </c:pt>
                <c:pt idx="148">
                  <c:v>0.1122328118842657</c:v>
                </c:pt>
                <c:pt idx="149">
                  <c:v>0.1122328118842657</c:v>
                </c:pt>
                <c:pt idx="150">
                  <c:v>0.1122328118842657</c:v>
                </c:pt>
                <c:pt idx="151">
                  <c:v>0.1122328118842657</c:v>
                </c:pt>
                <c:pt idx="152">
                  <c:v>0.1122328118842657</c:v>
                </c:pt>
                <c:pt idx="153">
                  <c:v>0.1122328118842657</c:v>
                </c:pt>
                <c:pt idx="154">
                  <c:v>0.1122328118842657</c:v>
                </c:pt>
                <c:pt idx="155">
                  <c:v>0.1122328118842657</c:v>
                </c:pt>
                <c:pt idx="156">
                  <c:v>0.1122328118842657</c:v>
                </c:pt>
                <c:pt idx="157">
                  <c:v>0.1122328118842657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AF-4472-9A2F-17D144619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674936"/>
        <c:axId val="1177675592"/>
      </c:scatterChart>
      <c:valAx>
        <c:axId val="1177674936"/>
        <c:scaling>
          <c:orientation val="minMax"/>
          <c:max val="1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Customer</a:t>
                </a:r>
                <a:r>
                  <a:rPr lang="en-AU" baseline="0"/>
                  <a:t> count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675592"/>
        <c:crosses val="autoZero"/>
        <c:crossBetween val="midCat"/>
        <c:majorUnit val="20"/>
        <c:minorUnit val="1"/>
      </c:valAx>
      <c:valAx>
        <c:axId val="117767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TSS!$J$294</c:f>
              <c:strCache>
                <c:ptCount val="1"/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674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TSES!$P$376</c:f>
              <c:strCache>
                <c:ptCount val="1"/>
                <c:pt idx="0">
                  <c:v>Tariff 2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TSES!$Q$375:$U$375</c:f>
              <c:strCache>
                <c:ptCount val="5"/>
                <c:pt idx="0">
                  <c:v>2024/25</c:v>
                </c:pt>
                <c:pt idx="1">
                  <c:v>2025/26</c:v>
                </c:pt>
                <c:pt idx="2">
                  <c:v>2026/27</c:v>
                </c:pt>
                <c:pt idx="3">
                  <c:v>2027/28</c:v>
                </c:pt>
                <c:pt idx="4">
                  <c:v>2028/29</c:v>
                </c:pt>
              </c:strCache>
            </c:strRef>
          </c:cat>
          <c:val>
            <c:numRef>
              <c:f>TSES!$Q$376:$U$376</c:f>
              <c:numCache>
                <c:formatCode>_("$"#,##0.0_);\("$"#,##0.0\);_("-"_)</c:formatCode>
                <c:ptCount val="5"/>
                <c:pt idx="0">
                  <c:v>2849.5</c:v>
                </c:pt>
                <c:pt idx="1">
                  <c:v>3020.25</c:v>
                </c:pt>
                <c:pt idx="2">
                  <c:v>3222.5</c:v>
                </c:pt>
                <c:pt idx="3">
                  <c:v>3409.5</c:v>
                </c:pt>
                <c:pt idx="4">
                  <c:v>3540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7-4097-AE6E-F0B43D4F0B6F}"/>
            </c:ext>
          </c:extLst>
        </c:ser>
        <c:ser>
          <c:idx val="1"/>
          <c:order val="1"/>
          <c:tx>
            <c:strRef>
              <c:f>TSES!$P$377</c:f>
              <c:strCache>
                <c:ptCount val="1"/>
                <c:pt idx="0">
                  <c:v>Tariff 3b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TSES!$Q$375:$U$375</c:f>
              <c:strCache>
                <c:ptCount val="5"/>
                <c:pt idx="0">
                  <c:v>2024/25</c:v>
                </c:pt>
                <c:pt idx="1">
                  <c:v>2025/26</c:v>
                </c:pt>
                <c:pt idx="2">
                  <c:v>2026/27</c:v>
                </c:pt>
                <c:pt idx="3">
                  <c:v>2027/28</c:v>
                </c:pt>
                <c:pt idx="4">
                  <c:v>2028/29</c:v>
                </c:pt>
              </c:strCache>
            </c:strRef>
          </c:cat>
          <c:val>
            <c:numRef>
              <c:f>TSES!$Q$377:$U$377</c:f>
              <c:numCache>
                <c:formatCode>_("$"#,##0.0_);\("$"#,##0.0\);_("-"_)</c:formatCode>
                <c:ptCount val="5"/>
                <c:pt idx="0">
                  <c:v>2848.7417193644933</c:v>
                </c:pt>
                <c:pt idx="1">
                  <c:v>3020.6865678898525</c:v>
                </c:pt>
                <c:pt idx="2">
                  <c:v>3222.0553567942929</c:v>
                </c:pt>
                <c:pt idx="3">
                  <c:v>3408.8256570694466</c:v>
                </c:pt>
                <c:pt idx="4">
                  <c:v>3539.3099799873958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7-4097-AE6E-F0B43D4F0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05719"/>
        <c:axId val="169208015"/>
      </c:lineChart>
      <c:catAx>
        <c:axId val="169205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208015"/>
        <c:crosses val="autoZero"/>
        <c:auto val="1"/>
        <c:lblAlgn val="ctr"/>
        <c:lblOffset val="100"/>
        <c:noMultiLvlLbl val="0"/>
      </c:catAx>
      <c:valAx>
        <c:axId val="16920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TSES!$Q$379</c:f>
              <c:strCache>
                <c:ptCount val="1"/>
                <c:pt idx="0">
                  <c:v>Estimated bill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205719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0945514115495"/>
          <c:y val="5.3524904214559389E-2"/>
          <c:w val="0.8644850437867253"/>
          <c:h val="0.76994789272030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TSES!$J$439</c:f>
              <c:strCache>
                <c:ptCount val="1"/>
                <c:pt idx="0">
                  <c:v>FY25 % Bill Change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yVal>
            <c:numRef>
              <c:f>TSES!$J$440:$J$452</c:f>
              <c:numCache>
                <c:formatCode>_(#,##0%_);\(#,##0%\);_("-"_)</c:formatCode>
                <c:ptCount val="13"/>
                <c:pt idx="0">
                  <c:v>-2.9510301250199062E-2</c:v>
                </c:pt>
                <c:pt idx="1">
                  <c:v>-2.0630286596776799E-2</c:v>
                </c:pt>
                <c:pt idx="2">
                  <c:v>1.0424175144729732E-2</c:v>
                </c:pt>
                <c:pt idx="3">
                  <c:v>3.9028382495852242E-2</c:v>
                </c:pt>
                <c:pt idx="4">
                  <c:v>5.5796093136179774E-2</c:v>
                </c:pt>
                <c:pt idx="5">
                  <c:v>5.617796891895923E-2</c:v>
                </c:pt>
                <c:pt idx="6">
                  <c:v>7.839786980061296E-2</c:v>
                </c:pt>
                <c:pt idx="7">
                  <c:v>8.8646322551245854E-2</c:v>
                </c:pt>
                <c:pt idx="8">
                  <c:v>0.10626246612573952</c:v>
                </c:pt>
                <c:pt idx="9">
                  <c:v>0.10697611724306327</c:v>
                </c:pt>
                <c:pt idx="10">
                  <c:v>0.10993923618414154</c:v>
                </c:pt>
                <c:pt idx="11">
                  <c:v>0.12025757771267176</c:v>
                </c:pt>
                <c:pt idx="12">
                  <c:v>0.12114752549235358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38-4F75-94C4-21CBE395B0EA}"/>
            </c:ext>
          </c:extLst>
        </c:ser>
        <c:ser>
          <c:idx val="1"/>
          <c:order val="1"/>
          <c:tx>
            <c:strRef>
              <c:f>TSES!$K$439</c:f>
              <c:strCache>
                <c:ptCount val="1"/>
                <c:pt idx="0">
                  <c:v>Revenue Increase + CPI = 11.2%</c:v>
                </c:pt>
              </c:strCache>
            </c:strRef>
          </c:tx>
          <c:spPr>
            <a:ln w="254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yVal>
            <c:numRef>
              <c:f>TSES!$K$440:$K$452</c:f>
              <c:numCache>
                <c:formatCode>_(#,##0.0%_);\(#,##0.0%\);_("-"_)</c:formatCode>
                <c:ptCount val="13"/>
                <c:pt idx="0">
                  <c:v>0.1122328118842657</c:v>
                </c:pt>
                <c:pt idx="1">
                  <c:v>0.1122328118842657</c:v>
                </c:pt>
                <c:pt idx="2">
                  <c:v>0.1122328118842657</c:v>
                </c:pt>
                <c:pt idx="3">
                  <c:v>0.1122328118842657</c:v>
                </c:pt>
                <c:pt idx="4">
                  <c:v>0.1122328118842657</c:v>
                </c:pt>
                <c:pt idx="5">
                  <c:v>0.1122328118842657</c:v>
                </c:pt>
                <c:pt idx="6">
                  <c:v>0.1122328118842657</c:v>
                </c:pt>
                <c:pt idx="7">
                  <c:v>0.1122328118842657</c:v>
                </c:pt>
                <c:pt idx="8">
                  <c:v>0.1122328118842657</c:v>
                </c:pt>
                <c:pt idx="9">
                  <c:v>0.1122328118842657</c:v>
                </c:pt>
                <c:pt idx="10">
                  <c:v>0.1122328118842657</c:v>
                </c:pt>
                <c:pt idx="11">
                  <c:v>0.1122328118842657</c:v>
                </c:pt>
                <c:pt idx="12">
                  <c:v>0.1122328118842657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A38-4F75-94C4-21CBE395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674936"/>
        <c:axId val="1177675592"/>
      </c:scatterChart>
      <c:valAx>
        <c:axId val="1177674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Customer</a:t>
                </a:r>
                <a:r>
                  <a:rPr lang="en-AU" baseline="0"/>
                  <a:t> count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675592"/>
        <c:crosses val="autoZero"/>
        <c:crossBetween val="midCat"/>
      </c:valAx>
      <c:valAx>
        <c:axId val="117767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TSES!$J$439</c:f>
              <c:strCache>
                <c:ptCount val="1"/>
                <c:pt idx="0">
                  <c:v>FY25 % Bill Change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674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0945514115495"/>
          <c:y val="5.3524904214559389E-2"/>
          <c:w val="0.8644850437867253"/>
          <c:h val="0.76994789272030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TSS!$J$297</c:f>
              <c:strCache>
                <c:ptCount val="1"/>
                <c:pt idx="0">
                  <c:v>FY25 % Bill Change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yVal>
            <c:numRef>
              <c:f>TSS!$J$298:$J$359</c:f>
              <c:numCache>
                <c:formatCode>_(#,##0%_);\(#,##0%\);_("-"_)</c:formatCode>
                <c:ptCount val="62"/>
                <c:pt idx="0">
                  <c:v>-0.34663381948202676</c:v>
                </c:pt>
                <c:pt idx="1">
                  <c:v>-0.237696562363753</c:v>
                </c:pt>
                <c:pt idx="2">
                  <c:v>-0.10725260869206832</c:v>
                </c:pt>
                <c:pt idx="3">
                  <c:v>-0.10592684432290711</c:v>
                </c:pt>
                <c:pt idx="4">
                  <c:v>-0.10208620705854651</c:v>
                </c:pt>
                <c:pt idx="5">
                  <c:v>-9.7791784863753894E-2</c:v>
                </c:pt>
                <c:pt idx="6">
                  <c:v>-8.3863958100959105E-2</c:v>
                </c:pt>
                <c:pt idx="7">
                  <c:v>-6.6300078422906999E-2</c:v>
                </c:pt>
                <c:pt idx="8">
                  <c:v>-6.1548024356816756E-2</c:v>
                </c:pt>
                <c:pt idx="9">
                  <c:v>-6.1413997178586859E-2</c:v>
                </c:pt>
                <c:pt idx="10">
                  <c:v>-4.3740542274417309E-2</c:v>
                </c:pt>
                <c:pt idx="11">
                  <c:v>-4.0990419619962533E-2</c:v>
                </c:pt>
                <c:pt idx="12">
                  <c:v>-3.0833465886462776E-2</c:v>
                </c:pt>
                <c:pt idx="13">
                  <c:v>-2.9510301250199062E-2</c:v>
                </c:pt>
                <c:pt idx="14">
                  <c:v>-2.4809989692188741E-2</c:v>
                </c:pt>
                <c:pt idx="15">
                  <c:v>-2.3851854318814075E-2</c:v>
                </c:pt>
                <c:pt idx="16">
                  <c:v>-2.0630286596776799E-2</c:v>
                </c:pt>
                <c:pt idx="17">
                  <c:v>-4.6924457886590451E-3</c:v>
                </c:pt>
                <c:pt idx="18">
                  <c:v>-2.2771310515587136E-4</c:v>
                </c:pt>
                <c:pt idx="19">
                  <c:v>4.581583804173187E-4</c:v>
                </c:pt>
                <c:pt idx="20">
                  <c:v>1.0172654707937505E-2</c:v>
                </c:pt>
                <c:pt idx="21">
                  <c:v>1.0424175144729732E-2</c:v>
                </c:pt>
                <c:pt idx="22">
                  <c:v>1.5114795180549421E-2</c:v>
                </c:pt>
                <c:pt idx="23">
                  <c:v>1.6072098843383623E-2</c:v>
                </c:pt>
                <c:pt idx="24">
                  <c:v>1.6796581671116518E-2</c:v>
                </c:pt>
                <c:pt idx="25">
                  <c:v>2.2353806615985152E-2</c:v>
                </c:pt>
                <c:pt idx="26">
                  <c:v>2.7439554698770047E-2</c:v>
                </c:pt>
                <c:pt idx="27">
                  <c:v>2.9550585449906051E-2</c:v>
                </c:pt>
                <c:pt idx="28">
                  <c:v>3.8262752215596725E-2</c:v>
                </c:pt>
                <c:pt idx="29">
                  <c:v>3.9028382495852242E-2</c:v>
                </c:pt>
                <c:pt idx="30">
                  <c:v>4.0453320053697048E-2</c:v>
                </c:pt>
                <c:pt idx="31">
                  <c:v>4.7496665046676767E-2</c:v>
                </c:pt>
                <c:pt idx="32">
                  <c:v>4.9616512614626407E-2</c:v>
                </c:pt>
                <c:pt idx="33">
                  <c:v>5.3606148965675962E-2</c:v>
                </c:pt>
                <c:pt idx="34">
                  <c:v>5.5796093136179774E-2</c:v>
                </c:pt>
                <c:pt idx="35">
                  <c:v>5.617796891895923E-2</c:v>
                </c:pt>
                <c:pt idx="36">
                  <c:v>5.7054492785158471E-2</c:v>
                </c:pt>
                <c:pt idx="37">
                  <c:v>5.7211241264578744E-2</c:v>
                </c:pt>
                <c:pt idx="38">
                  <c:v>6.3433643084674113E-2</c:v>
                </c:pt>
                <c:pt idx="39">
                  <c:v>6.4373718092624641E-2</c:v>
                </c:pt>
                <c:pt idx="40">
                  <c:v>7.0537764446639076E-2</c:v>
                </c:pt>
                <c:pt idx="41">
                  <c:v>7.2811069991305988E-2</c:v>
                </c:pt>
                <c:pt idx="42">
                  <c:v>7.6962769076460311E-2</c:v>
                </c:pt>
                <c:pt idx="43">
                  <c:v>7.839786980061296E-2</c:v>
                </c:pt>
                <c:pt idx="44">
                  <c:v>8.1839013842212538E-2</c:v>
                </c:pt>
                <c:pt idx="45">
                  <c:v>8.8646322551245854E-2</c:v>
                </c:pt>
                <c:pt idx="46">
                  <c:v>9.084853050277425E-2</c:v>
                </c:pt>
                <c:pt idx="47">
                  <c:v>9.699453551912568E-2</c:v>
                </c:pt>
                <c:pt idx="48">
                  <c:v>9.699453551912568E-2</c:v>
                </c:pt>
                <c:pt idx="49">
                  <c:v>9.699453551912568E-2</c:v>
                </c:pt>
                <c:pt idx="50">
                  <c:v>9.699453551912568E-2</c:v>
                </c:pt>
                <c:pt idx="51">
                  <c:v>9.699453551912568E-2</c:v>
                </c:pt>
                <c:pt idx="52">
                  <c:v>9.699453551912568E-2</c:v>
                </c:pt>
                <c:pt idx="53">
                  <c:v>9.699453551912568E-2</c:v>
                </c:pt>
                <c:pt idx="54">
                  <c:v>9.9685683827416702E-2</c:v>
                </c:pt>
                <c:pt idx="55">
                  <c:v>0.10626246612573952</c:v>
                </c:pt>
                <c:pt idx="56">
                  <c:v>0.10697611724306327</c:v>
                </c:pt>
                <c:pt idx="57">
                  <c:v>0.10993923618414154</c:v>
                </c:pt>
                <c:pt idx="58">
                  <c:v>0.12025757771267176</c:v>
                </c:pt>
                <c:pt idx="59">
                  <c:v>0.12114752549235358</c:v>
                </c:pt>
                <c:pt idx="60">
                  <c:v>0.13803504854629253</c:v>
                </c:pt>
                <c:pt idx="61">
                  <c:v>0.14542142895091439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AB-42B0-A115-FB22D2ECC607}"/>
            </c:ext>
          </c:extLst>
        </c:ser>
        <c:ser>
          <c:idx val="1"/>
          <c:order val="1"/>
          <c:tx>
            <c:strRef>
              <c:f>TSS!$K$297</c:f>
              <c:strCache>
                <c:ptCount val="1"/>
                <c:pt idx="0">
                  <c:v>Revenue Increase + CPI = 11.2%</c:v>
                </c:pt>
              </c:strCache>
            </c:strRef>
          </c:tx>
          <c:spPr>
            <a:ln w="381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yVal>
            <c:numRef>
              <c:f>TSS!$K$298:$K$359</c:f>
              <c:numCache>
                <c:formatCode>_(#,##0.0%_);\(#,##0.0%\);_("-"_)</c:formatCode>
                <c:ptCount val="62"/>
                <c:pt idx="0">
                  <c:v>0.1122328118842657</c:v>
                </c:pt>
                <c:pt idx="1">
                  <c:v>0.1122328118842657</c:v>
                </c:pt>
                <c:pt idx="2">
                  <c:v>0.1122328118842657</c:v>
                </c:pt>
                <c:pt idx="3">
                  <c:v>0.1122328118842657</c:v>
                </c:pt>
                <c:pt idx="4">
                  <c:v>0.1122328118842657</c:v>
                </c:pt>
                <c:pt idx="5">
                  <c:v>0.1122328118842657</c:v>
                </c:pt>
                <c:pt idx="6">
                  <c:v>0.1122328118842657</c:v>
                </c:pt>
                <c:pt idx="7">
                  <c:v>0.1122328118842657</c:v>
                </c:pt>
                <c:pt idx="8">
                  <c:v>0.1122328118842657</c:v>
                </c:pt>
                <c:pt idx="9">
                  <c:v>0.1122328118842657</c:v>
                </c:pt>
                <c:pt idx="10">
                  <c:v>0.1122328118842657</c:v>
                </c:pt>
                <c:pt idx="11">
                  <c:v>0.1122328118842657</c:v>
                </c:pt>
                <c:pt idx="12">
                  <c:v>0.1122328118842657</c:v>
                </c:pt>
                <c:pt idx="13">
                  <c:v>0.1122328118842657</c:v>
                </c:pt>
                <c:pt idx="14">
                  <c:v>0.1122328118842657</c:v>
                </c:pt>
                <c:pt idx="15">
                  <c:v>0.1122328118842657</c:v>
                </c:pt>
                <c:pt idx="16">
                  <c:v>0.1122328118842657</c:v>
                </c:pt>
                <c:pt idx="17">
                  <c:v>0.1122328118842657</c:v>
                </c:pt>
                <c:pt idx="18">
                  <c:v>0.1122328118842657</c:v>
                </c:pt>
                <c:pt idx="19">
                  <c:v>0.1122328118842657</c:v>
                </c:pt>
                <c:pt idx="20">
                  <c:v>0.1122328118842657</c:v>
                </c:pt>
                <c:pt idx="21">
                  <c:v>0.1122328118842657</c:v>
                </c:pt>
                <c:pt idx="22">
                  <c:v>0.1122328118842657</c:v>
                </c:pt>
                <c:pt idx="23">
                  <c:v>0.1122328118842657</c:v>
                </c:pt>
                <c:pt idx="24">
                  <c:v>0.1122328118842657</c:v>
                </c:pt>
                <c:pt idx="25">
                  <c:v>0.1122328118842657</c:v>
                </c:pt>
                <c:pt idx="26">
                  <c:v>0.1122328118842657</c:v>
                </c:pt>
                <c:pt idx="27">
                  <c:v>0.1122328118842657</c:v>
                </c:pt>
                <c:pt idx="28">
                  <c:v>0.1122328118842657</c:v>
                </c:pt>
                <c:pt idx="29">
                  <c:v>0.1122328118842657</c:v>
                </c:pt>
                <c:pt idx="30">
                  <c:v>0.1122328118842657</c:v>
                </c:pt>
                <c:pt idx="31">
                  <c:v>0.1122328118842657</c:v>
                </c:pt>
                <c:pt idx="32">
                  <c:v>0.1122328118842657</c:v>
                </c:pt>
                <c:pt idx="33">
                  <c:v>0.1122328118842657</c:v>
                </c:pt>
                <c:pt idx="34">
                  <c:v>0.1122328118842657</c:v>
                </c:pt>
                <c:pt idx="35">
                  <c:v>0.1122328118842657</c:v>
                </c:pt>
                <c:pt idx="36">
                  <c:v>0.1122328118842657</c:v>
                </c:pt>
                <c:pt idx="37">
                  <c:v>0.1122328118842657</c:v>
                </c:pt>
                <c:pt idx="38">
                  <c:v>0.1122328118842657</c:v>
                </c:pt>
                <c:pt idx="39">
                  <c:v>0.1122328118842657</c:v>
                </c:pt>
                <c:pt idx="40">
                  <c:v>0.1122328118842657</c:v>
                </c:pt>
                <c:pt idx="41">
                  <c:v>0.1122328118842657</c:v>
                </c:pt>
                <c:pt idx="42">
                  <c:v>0.1122328118842657</c:v>
                </c:pt>
                <c:pt idx="43">
                  <c:v>0.1122328118842657</c:v>
                </c:pt>
                <c:pt idx="44">
                  <c:v>0.1122328118842657</c:v>
                </c:pt>
                <c:pt idx="45">
                  <c:v>0.1122328118842657</c:v>
                </c:pt>
                <c:pt idx="46">
                  <c:v>0.1122328118842657</c:v>
                </c:pt>
                <c:pt idx="47">
                  <c:v>0.1122328118842657</c:v>
                </c:pt>
                <c:pt idx="48">
                  <c:v>0.1122328118842657</c:v>
                </c:pt>
                <c:pt idx="49">
                  <c:v>0.1122328118842657</c:v>
                </c:pt>
                <c:pt idx="50">
                  <c:v>0.1122328118842657</c:v>
                </c:pt>
                <c:pt idx="51">
                  <c:v>0.1122328118842657</c:v>
                </c:pt>
                <c:pt idx="52">
                  <c:v>0.1122328118842657</c:v>
                </c:pt>
                <c:pt idx="53">
                  <c:v>0.1122328118842657</c:v>
                </c:pt>
                <c:pt idx="54">
                  <c:v>0.1122328118842657</c:v>
                </c:pt>
                <c:pt idx="55">
                  <c:v>0.1122328118842657</c:v>
                </c:pt>
                <c:pt idx="56">
                  <c:v>0.1122328118842657</c:v>
                </c:pt>
                <c:pt idx="57">
                  <c:v>0.1122328118842657</c:v>
                </c:pt>
                <c:pt idx="58">
                  <c:v>0.1122328118842657</c:v>
                </c:pt>
                <c:pt idx="59">
                  <c:v>0.1122328118842657</c:v>
                </c:pt>
                <c:pt idx="60">
                  <c:v>0.1122328118842657</c:v>
                </c:pt>
                <c:pt idx="61">
                  <c:v>0.1122328118842657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AB-42B0-A115-FB22D2EC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674936"/>
        <c:axId val="1177675592"/>
      </c:scatterChart>
      <c:valAx>
        <c:axId val="1177674936"/>
        <c:scaling>
          <c:orientation val="minMax"/>
          <c:max val="6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Customer</a:t>
                </a:r>
                <a:r>
                  <a:rPr lang="en-AU" baseline="0"/>
                  <a:t> count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675592"/>
        <c:crosses val="autoZero"/>
        <c:crossBetween val="midCat"/>
        <c:majorUnit val="5"/>
        <c:minorUnit val="1"/>
      </c:valAx>
      <c:valAx>
        <c:axId val="117767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TSS!$J$294</c:f>
              <c:strCache>
                <c:ptCount val="1"/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674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TSS!$L$59</c:f>
              <c:strCache>
                <c:ptCount val="1"/>
                <c:pt idx="0">
                  <c:v>FY29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TSS!$I$60:$J$84</c:f>
              <c:multiLvlStrCache>
                <c:ptCount val="25"/>
                <c:lvl>
                  <c:pt idx="0">
                    <c:v>SAC</c:v>
                  </c:pt>
                  <c:pt idx="1">
                    <c:v>Anytime Energy</c:v>
                  </c:pt>
                  <c:pt idx="2">
                    <c:v>SAC</c:v>
                  </c:pt>
                  <c:pt idx="3">
                    <c:v>Anytime Energy</c:v>
                  </c:pt>
                  <c:pt idx="4">
                    <c:v>SAC</c:v>
                  </c:pt>
                  <c:pt idx="5">
                    <c:v>Peak Energy</c:v>
                  </c:pt>
                  <c:pt idx="6">
                    <c:v>Off-peak Energy</c:v>
                  </c:pt>
                  <c:pt idx="7">
                    <c:v>Super Off-peak Energy</c:v>
                  </c:pt>
                  <c:pt idx="8">
                    <c:v>SAC</c:v>
                  </c:pt>
                  <c:pt idx="9">
                    <c:v>Peak Energy</c:v>
                  </c:pt>
                  <c:pt idx="10">
                    <c:v>Off-peak Energy</c:v>
                  </c:pt>
                  <c:pt idx="11">
                    <c:v>Super Off-peak Energy</c:v>
                  </c:pt>
                  <c:pt idx="12">
                    <c:v>SAC</c:v>
                  </c:pt>
                  <c:pt idx="13">
                    <c:v>Peak Energy</c:v>
                  </c:pt>
                  <c:pt idx="14">
                    <c:v>Off-peak Energy</c:v>
                  </c:pt>
                  <c:pt idx="15">
                    <c:v>Super Off-peak Energy</c:v>
                  </c:pt>
                  <c:pt idx="16">
                    <c:v>Anytime Energy</c:v>
                  </c:pt>
                  <c:pt idx="17">
                    <c:v>SAC</c:v>
                  </c:pt>
                  <c:pt idx="18">
                    <c:v>Anytime Energy Price</c:v>
                  </c:pt>
                  <c:pt idx="19">
                    <c:v>On-Season Demand</c:v>
                  </c:pt>
                  <c:pt idx="20">
                    <c:v>Off-Season Demand</c:v>
                  </c:pt>
                  <c:pt idx="21">
                    <c:v>SAC</c:v>
                  </c:pt>
                  <c:pt idx="22">
                    <c:v>Anytime Energy Price</c:v>
                  </c:pt>
                  <c:pt idx="23">
                    <c:v>On-Season Demand</c:v>
                  </c:pt>
                  <c:pt idx="24">
                    <c:v>Off-Season Demand</c:v>
                  </c:pt>
                </c:lvl>
                <c:lvl>
                  <c:pt idx="0">
                    <c:v>T1</c:v>
                  </c:pt>
                  <c:pt idx="2">
                    <c:v>T2</c:v>
                  </c:pt>
                  <c:pt idx="4">
                    <c:v>T3a</c:v>
                  </c:pt>
                  <c:pt idx="8">
                    <c:v>T3b</c:v>
                  </c:pt>
                  <c:pt idx="12">
                    <c:v>T3c</c:v>
                  </c:pt>
                  <c:pt idx="16">
                    <c:v>T4</c:v>
                  </c:pt>
                  <c:pt idx="17">
                    <c:v>T5</c:v>
                  </c:pt>
                  <c:pt idx="21">
                    <c:v>T6</c:v>
                  </c:pt>
                </c:lvl>
              </c:multiLvlStrCache>
            </c:multiLvlStrRef>
          </c:cat>
          <c:val>
            <c:numRef>
              <c:f>TSS!$L$60:$L$84</c:f>
              <c:numCache>
                <c:formatCode>0%</c:formatCode>
                <c:ptCount val="25"/>
                <c:pt idx="0">
                  <c:v>4.6700297454616478E-2</c:v>
                </c:pt>
                <c:pt idx="1">
                  <c:v>2.0014413194835635E-2</c:v>
                </c:pt>
                <c:pt idx="2">
                  <c:v>0</c:v>
                </c:pt>
                <c:pt idx="3">
                  <c:v>0</c:v>
                </c:pt>
                <c:pt idx="4">
                  <c:v>0.38474220137623455</c:v>
                </c:pt>
                <c:pt idx="5">
                  <c:v>0</c:v>
                </c:pt>
                <c:pt idx="6">
                  <c:v>4.2749133486248266E-2</c:v>
                </c:pt>
                <c:pt idx="7">
                  <c:v>0</c:v>
                </c:pt>
                <c:pt idx="8">
                  <c:v>4.1666069078544483E-2</c:v>
                </c:pt>
                <c:pt idx="9">
                  <c:v>0</c:v>
                </c:pt>
                <c:pt idx="10">
                  <c:v>8.0881192917174563E-2</c:v>
                </c:pt>
                <c:pt idx="11">
                  <c:v>0</c:v>
                </c:pt>
                <c:pt idx="12">
                  <c:v>4.8838577509212902E-2</c:v>
                </c:pt>
                <c:pt idx="13">
                  <c:v>0</c:v>
                </c:pt>
                <c:pt idx="14">
                  <c:v>9.9157111912644383E-2</c:v>
                </c:pt>
                <c:pt idx="15">
                  <c:v>0</c:v>
                </c:pt>
                <c:pt idx="16">
                  <c:v>1.7054004051778662E-2</c:v>
                </c:pt>
                <c:pt idx="17">
                  <c:v>7.745862025625784E-2</c:v>
                </c:pt>
                <c:pt idx="18">
                  <c:v>1.3669168280516092E-2</c:v>
                </c:pt>
                <c:pt idx="19">
                  <c:v>0</c:v>
                </c:pt>
                <c:pt idx="20">
                  <c:v>0</c:v>
                </c:pt>
                <c:pt idx="21">
                  <c:v>3.1767302620484029E-2</c:v>
                </c:pt>
                <c:pt idx="22">
                  <c:v>9.5301907861452095E-2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5-456A-BA90-2720895E3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7039872"/>
        <c:axId val="97041408"/>
        <c:extLst/>
      </c:barChart>
      <c:catAx>
        <c:axId val="9703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41408"/>
        <c:crosses val="autoZero"/>
        <c:auto val="1"/>
        <c:lblAlgn val="ctr"/>
        <c:lblOffset val="100"/>
        <c:noMultiLvlLbl val="0"/>
      </c:catAx>
      <c:valAx>
        <c:axId val="9704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Proportion of Residual Costs</a:t>
                </a:r>
              </a:p>
            </c:rich>
          </c:tx>
          <c:layout>
            <c:manualLayout>
              <c:xMode val="edge"/>
              <c:yMode val="edge"/>
              <c:x val="7.0175438596491229E-3"/>
              <c:y val="6.779664032948098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39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TSES!$J$473</c:f>
              <c:strCache>
                <c:ptCount val="1"/>
                <c:pt idx="0">
                  <c:v>Actual 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TSES!$K$470:$Y$472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Actual</c:v>
                  </c:pt>
                  <c:pt idx="5">
                    <c:v>Actual</c:v>
                  </c:pt>
                  <c:pt idx="9">
                    <c:v>Estimate</c:v>
                  </c:pt>
                  <c:pt idx="10">
                    <c:v>Forecast</c:v>
                  </c:pt>
                </c:lvl>
                <c:lvl>
                  <c:pt idx="0">
                    <c:v>2014-19 Period</c:v>
                  </c:pt>
                  <c:pt idx="5">
                    <c:v>2019-24 Period</c:v>
                  </c:pt>
                  <c:pt idx="10">
                    <c:v>2024-29 Period</c:v>
                  </c:pt>
                </c:lvl>
              </c:multiLvlStrCache>
            </c:multiLvlStrRef>
          </c:cat>
          <c:val>
            <c:numRef>
              <c:f>TSES!$K$473:$Y$473</c:f>
              <c:numCache>
                <c:formatCode>_(#,##0_);\(#,##0\);_("-"_)</c:formatCode>
                <c:ptCount val="15"/>
                <c:pt idx="0">
                  <c:v>348.69</c:v>
                </c:pt>
                <c:pt idx="1">
                  <c:v>353.65000000000003</c:v>
                </c:pt>
                <c:pt idx="2">
                  <c:v>347.6</c:v>
                </c:pt>
                <c:pt idx="3">
                  <c:v>345.62</c:v>
                </c:pt>
                <c:pt idx="4">
                  <c:v>347.01000000000005</c:v>
                </c:pt>
                <c:pt idx="5">
                  <c:v>329.7</c:v>
                </c:pt>
                <c:pt idx="6">
                  <c:v>346.21</c:v>
                </c:pt>
                <c:pt idx="7">
                  <c:v>339.8139496452003</c:v>
                </c:pt>
                <c:pt idx="8">
                  <c:v>341.11907906737855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3-42BB-AF11-4DC78947F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4811599"/>
        <c:axId val="34811927"/>
      </c:barChart>
      <c:lineChart>
        <c:grouping val="standard"/>
        <c:varyColors val="0"/>
        <c:ser>
          <c:idx val="1"/>
          <c:order val="1"/>
          <c:tx>
            <c:strRef>
              <c:f>TSES!$J$474</c:f>
              <c:strCache>
                <c:ptCount val="1"/>
                <c:pt idx="0">
                  <c:v>Forecast 10% POE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multiLvlStrRef>
              <c:f>TSES!$K$470:$Y$472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Actual</c:v>
                  </c:pt>
                  <c:pt idx="5">
                    <c:v>Actual</c:v>
                  </c:pt>
                  <c:pt idx="9">
                    <c:v>Estimate</c:v>
                  </c:pt>
                  <c:pt idx="10">
                    <c:v>Forecast</c:v>
                  </c:pt>
                </c:lvl>
                <c:lvl>
                  <c:pt idx="0">
                    <c:v>2014-19 Period</c:v>
                  </c:pt>
                  <c:pt idx="5">
                    <c:v>2019-24 Period</c:v>
                  </c:pt>
                  <c:pt idx="10">
                    <c:v>2024-29 Period</c:v>
                  </c:pt>
                </c:lvl>
              </c:multiLvlStrCache>
            </c:multiLvlStrRef>
          </c:cat>
          <c:val>
            <c:numRef>
              <c:f>TSES!$K$474:$Y$474</c:f>
              <c:numCache>
                <c:formatCode>_(#,##0_);\(#,##0\);_("-"_)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367.99948989665114</c:v>
                </c:pt>
                <c:pt idx="10">
                  <c:v>378.50118146990025</c:v>
                </c:pt>
                <c:pt idx="11">
                  <c:v>391.46657108308085</c:v>
                </c:pt>
                <c:pt idx="12">
                  <c:v>402.65508373771189</c:v>
                </c:pt>
                <c:pt idx="13">
                  <c:v>410.83509608490567</c:v>
                </c:pt>
                <c:pt idx="14">
                  <c:v>417.63350837051854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93-42BB-AF11-4DC78947FD55}"/>
            </c:ext>
          </c:extLst>
        </c:ser>
        <c:ser>
          <c:idx val="2"/>
          <c:order val="2"/>
          <c:tx>
            <c:strRef>
              <c:f>TSES!$J$475</c:f>
              <c:strCache>
                <c:ptCount val="1"/>
                <c:pt idx="0">
                  <c:v>Forecast 50% POE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TSES!$K$470:$Y$472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Actual</c:v>
                  </c:pt>
                  <c:pt idx="5">
                    <c:v>Actual</c:v>
                  </c:pt>
                  <c:pt idx="9">
                    <c:v>Estimate</c:v>
                  </c:pt>
                  <c:pt idx="10">
                    <c:v>Forecast</c:v>
                  </c:pt>
                </c:lvl>
                <c:lvl>
                  <c:pt idx="0">
                    <c:v>2014-19 Period</c:v>
                  </c:pt>
                  <c:pt idx="5">
                    <c:v>2019-24 Period</c:v>
                  </c:pt>
                  <c:pt idx="10">
                    <c:v>2024-29 Period</c:v>
                  </c:pt>
                </c:lvl>
              </c:multiLvlStrCache>
            </c:multiLvlStrRef>
          </c:cat>
          <c:val>
            <c:numRef>
              <c:f>TSES!$K$475:$Y$475</c:f>
              <c:numCache>
                <c:formatCode>_(#,##0_);\(#,##0\);_("-"_)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366.44614418435708</c:v>
                </c:pt>
                <c:pt idx="10">
                  <c:v>376.88611942581161</c:v>
                </c:pt>
                <c:pt idx="11">
                  <c:v>387.06128919682959</c:v>
                </c:pt>
                <c:pt idx="12">
                  <c:v>394.89787883648046</c:v>
                </c:pt>
                <c:pt idx="13">
                  <c:v>403.0768197551028</c:v>
                </c:pt>
                <c:pt idx="14">
                  <c:v>409.87416061214424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93-42BB-AF11-4DC78947FD55}"/>
            </c:ext>
          </c:extLst>
        </c:ser>
        <c:ser>
          <c:idx val="3"/>
          <c:order val="3"/>
          <c:tx>
            <c:strRef>
              <c:f>TSES!$J$476</c:f>
              <c:strCache>
                <c:ptCount val="1"/>
                <c:pt idx="0">
                  <c:v>Forecast 90% POE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TSES!$K$470:$Y$472</c:f>
              <c:multiLvlStrCache>
                <c:ptCount val="15"/>
                <c:lvl>
                  <c:pt idx="0">
                    <c:v>2014/15</c:v>
                  </c:pt>
                  <c:pt idx="1">
                    <c:v>2015/16</c:v>
                  </c:pt>
                  <c:pt idx="2">
                    <c:v>2016/17</c:v>
                  </c:pt>
                  <c:pt idx="3">
                    <c:v>2017/18</c:v>
                  </c:pt>
                  <c:pt idx="4">
                    <c:v>2018/19</c:v>
                  </c:pt>
                  <c:pt idx="5">
                    <c:v>2019/20</c:v>
                  </c:pt>
                  <c:pt idx="6">
                    <c:v>2020/21</c:v>
                  </c:pt>
                  <c:pt idx="7">
                    <c:v>2021/22</c:v>
                  </c:pt>
                  <c:pt idx="8">
                    <c:v>2022/23</c:v>
                  </c:pt>
                  <c:pt idx="9">
                    <c:v>2023/24</c:v>
                  </c:pt>
                  <c:pt idx="10">
                    <c:v>2024/25</c:v>
                  </c:pt>
                  <c:pt idx="11">
                    <c:v>2025/26</c:v>
                  </c:pt>
                  <c:pt idx="12">
                    <c:v>2026/27</c:v>
                  </c:pt>
                  <c:pt idx="13">
                    <c:v>2027/28</c:v>
                  </c:pt>
                  <c:pt idx="14">
                    <c:v>2028/29</c:v>
                  </c:pt>
                </c:lvl>
                <c:lvl>
                  <c:pt idx="0">
                    <c:v>Actual</c:v>
                  </c:pt>
                  <c:pt idx="5">
                    <c:v>Actual</c:v>
                  </c:pt>
                  <c:pt idx="9">
                    <c:v>Estimate</c:v>
                  </c:pt>
                  <c:pt idx="10">
                    <c:v>Forecast</c:v>
                  </c:pt>
                </c:lvl>
                <c:lvl>
                  <c:pt idx="0">
                    <c:v>2014-19 Period</c:v>
                  </c:pt>
                  <c:pt idx="5">
                    <c:v>2019-24 Period</c:v>
                  </c:pt>
                  <c:pt idx="10">
                    <c:v>2024-29 Period</c:v>
                  </c:pt>
                </c:lvl>
              </c:multiLvlStrCache>
            </c:multiLvlStrRef>
          </c:cat>
          <c:val>
            <c:numRef>
              <c:f>TSES!$K$476:$Y$476</c:f>
              <c:numCache>
                <c:formatCode>_(#,##0_);\(#,##0\);_("-"_)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364.89632805725228</c:v>
                </c:pt>
                <c:pt idx="10">
                  <c:v>375.29985187243744</c:v>
                </c:pt>
                <c:pt idx="11">
                  <c:v>385.45492731084516</c:v>
                </c:pt>
                <c:pt idx="12">
                  <c:v>391.48950142199766</c:v>
                </c:pt>
                <c:pt idx="13">
                  <c:v>399.9196335286602</c:v>
                </c:pt>
                <c:pt idx="14">
                  <c:v>407.41665985864472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93-42BB-AF11-4DC78947F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1599"/>
        <c:axId val="34811927"/>
      </c:lineChart>
      <c:catAx>
        <c:axId val="3481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11927"/>
        <c:crosses val="autoZero"/>
        <c:auto val="1"/>
        <c:lblAlgn val="ctr"/>
        <c:lblOffset val="100"/>
        <c:noMultiLvlLbl val="0"/>
      </c:catAx>
      <c:valAx>
        <c:axId val="34811927"/>
        <c:scaling>
          <c:orientation val="minMax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TSES!$K$478</c:f>
              <c:strCache>
                <c:ptCount val="1"/>
                <c:pt idx="0">
                  <c:v>Maximum demand (MW)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11599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4451689389449"/>
          <c:y val="5.3603152494637769E-2"/>
          <c:w val="0.86444288767940225"/>
          <c:h val="0.86416416301190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TSS_O!$K$112</c:f>
              <c:strCache>
                <c:ptCount val="1"/>
                <c:pt idx="0">
                  <c:v>YoY % Change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yVal>
            <c:numRef>
              <c:f>TSS_O!$K$113:$K$332</c:f>
              <c:numCache>
                <c:formatCode>_(#,##0.0%_);\(#,##0.0%\);_("-"_)</c:formatCode>
                <c:ptCount val="220"/>
                <c:pt idx="0">
                  <c:v>-0.34663381948202676</c:v>
                </c:pt>
                <c:pt idx="1">
                  <c:v>-0.237696562363753</c:v>
                </c:pt>
                <c:pt idx="2">
                  <c:v>-0.18882725711447981</c:v>
                </c:pt>
                <c:pt idx="3">
                  <c:v>-0.13900349252692187</c:v>
                </c:pt>
                <c:pt idx="4">
                  <c:v>-0.13076096242074176</c:v>
                </c:pt>
                <c:pt idx="5">
                  <c:v>-0.11988485400468367</c:v>
                </c:pt>
                <c:pt idx="6">
                  <c:v>-0.10725260869206832</c:v>
                </c:pt>
                <c:pt idx="7">
                  <c:v>-0.10592684432290711</c:v>
                </c:pt>
                <c:pt idx="8">
                  <c:v>-0.10208620705854651</c:v>
                </c:pt>
                <c:pt idx="9">
                  <c:v>-9.9973753411121261E-2</c:v>
                </c:pt>
                <c:pt idx="10">
                  <c:v>-9.9294126702905702E-2</c:v>
                </c:pt>
                <c:pt idx="11">
                  <c:v>-9.7791784863753894E-2</c:v>
                </c:pt>
                <c:pt idx="12">
                  <c:v>-9.7330860683964071E-2</c:v>
                </c:pt>
                <c:pt idx="13">
                  <c:v>-9.7314815834521479E-2</c:v>
                </c:pt>
                <c:pt idx="14">
                  <c:v>-9.599682247552567E-2</c:v>
                </c:pt>
                <c:pt idx="15">
                  <c:v>-9.523648587007616E-2</c:v>
                </c:pt>
                <c:pt idx="16">
                  <c:v>-9.1221127035423052E-2</c:v>
                </c:pt>
                <c:pt idx="17">
                  <c:v>-9.0429460349449486E-2</c:v>
                </c:pt>
                <c:pt idx="18">
                  <c:v>-9.0381262511824323E-2</c:v>
                </c:pt>
                <c:pt idx="19">
                  <c:v>-9.036011230135825E-2</c:v>
                </c:pt>
                <c:pt idx="20">
                  <c:v>-8.5810727067428025E-2</c:v>
                </c:pt>
                <c:pt idx="21">
                  <c:v>-8.3863958100959105E-2</c:v>
                </c:pt>
                <c:pt idx="22">
                  <c:v>-8.0728849595447461E-2</c:v>
                </c:pt>
                <c:pt idx="23">
                  <c:v>-7.9820251067397582E-2</c:v>
                </c:pt>
                <c:pt idx="24">
                  <c:v>-6.6300078422906999E-2</c:v>
                </c:pt>
                <c:pt idx="25">
                  <c:v>-6.4899076699458061E-2</c:v>
                </c:pt>
                <c:pt idx="26">
                  <c:v>-6.4855722868962642E-2</c:v>
                </c:pt>
                <c:pt idx="27">
                  <c:v>-6.4703493743359194E-2</c:v>
                </c:pt>
                <c:pt idx="28">
                  <c:v>-6.1548024356816756E-2</c:v>
                </c:pt>
                <c:pt idx="29">
                  <c:v>-6.1413997178586859E-2</c:v>
                </c:pt>
                <c:pt idx="30">
                  <c:v>-5.910017598373557E-2</c:v>
                </c:pt>
                <c:pt idx="31">
                  <c:v>-5.737091430412971E-2</c:v>
                </c:pt>
                <c:pt idx="32">
                  <c:v>-5.2860010682834795E-2</c:v>
                </c:pt>
                <c:pt idx="33">
                  <c:v>-4.7182008117809225E-2</c:v>
                </c:pt>
                <c:pt idx="34">
                  <c:v>-4.3740542274417309E-2</c:v>
                </c:pt>
                <c:pt idx="35">
                  <c:v>-4.3481308230450114E-2</c:v>
                </c:pt>
                <c:pt idx="36">
                  <c:v>-4.0990419619962533E-2</c:v>
                </c:pt>
                <c:pt idx="37">
                  <c:v>-3.2635744129926446E-2</c:v>
                </c:pt>
                <c:pt idx="38">
                  <c:v>-3.2108837604418718E-2</c:v>
                </c:pt>
                <c:pt idx="39">
                  <c:v>-3.0833465886462776E-2</c:v>
                </c:pt>
                <c:pt idx="40">
                  <c:v>-2.9510301250199062E-2</c:v>
                </c:pt>
                <c:pt idx="41">
                  <c:v>-2.8491958214856748E-2</c:v>
                </c:pt>
                <c:pt idx="42">
                  <c:v>-2.6770453482209546E-2</c:v>
                </c:pt>
                <c:pt idx="43">
                  <c:v>-2.5401132465296548E-2</c:v>
                </c:pt>
                <c:pt idx="44">
                  <c:v>-2.508792091687042E-2</c:v>
                </c:pt>
                <c:pt idx="45">
                  <c:v>-2.4809989692188741E-2</c:v>
                </c:pt>
                <c:pt idx="46">
                  <c:v>-2.3851854318814075E-2</c:v>
                </c:pt>
                <c:pt idx="47">
                  <c:v>-2.0630286596776799E-2</c:v>
                </c:pt>
                <c:pt idx="48">
                  <c:v>-1.9588124441091728E-2</c:v>
                </c:pt>
                <c:pt idx="49">
                  <c:v>-1.8297334764632744E-2</c:v>
                </c:pt>
                <c:pt idx="50">
                  <c:v>-1.7482316792807498E-2</c:v>
                </c:pt>
                <c:pt idx="51">
                  <c:v>-1.5614877459299006E-2</c:v>
                </c:pt>
                <c:pt idx="52">
                  <c:v>-1.4293890296946997E-2</c:v>
                </c:pt>
                <c:pt idx="53">
                  <c:v>-1.3961299129028248E-2</c:v>
                </c:pt>
                <c:pt idx="54">
                  <c:v>-1.0569461217144723E-2</c:v>
                </c:pt>
                <c:pt idx="55">
                  <c:v>-8.2776710341285701E-3</c:v>
                </c:pt>
                <c:pt idx="56">
                  <c:v>-4.6924457886590451E-3</c:v>
                </c:pt>
                <c:pt idx="57">
                  <c:v>-3.5261373059112967E-3</c:v>
                </c:pt>
                <c:pt idx="58">
                  <c:v>-2.4551151356803249E-3</c:v>
                </c:pt>
                <c:pt idx="59">
                  <c:v>-2.2771310515587136E-4</c:v>
                </c:pt>
                <c:pt idx="60">
                  <c:v>4.581583804173187E-4</c:v>
                </c:pt>
                <c:pt idx="61">
                  <c:v>3.7182774108928248E-3</c:v>
                </c:pt>
                <c:pt idx="62">
                  <c:v>4.6556096092726955E-3</c:v>
                </c:pt>
                <c:pt idx="63">
                  <c:v>8.9468767854772209E-3</c:v>
                </c:pt>
                <c:pt idx="64">
                  <c:v>1.0172654707937505E-2</c:v>
                </c:pt>
                <c:pt idx="65">
                  <c:v>1.0424175144729732E-2</c:v>
                </c:pt>
                <c:pt idx="66">
                  <c:v>1.0670728813247436E-2</c:v>
                </c:pt>
                <c:pt idx="67">
                  <c:v>1.2282463858278185E-2</c:v>
                </c:pt>
                <c:pt idx="68">
                  <c:v>1.2672089736356274E-2</c:v>
                </c:pt>
                <c:pt idx="69">
                  <c:v>1.271965014549622E-2</c:v>
                </c:pt>
                <c:pt idx="70">
                  <c:v>1.3929016484080559E-2</c:v>
                </c:pt>
                <c:pt idx="71">
                  <c:v>1.5114795180549421E-2</c:v>
                </c:pt>
                <c:pt idx="72">
                  <c:v>1.5554225705909634E-2</c:v>
                </c:pt>
                <c:pt idx="73">
                  <c:v>1.6072098843383623E-2</c:v>
                </c:pt>
                <c:pt idx="74">
                  <c:v>1.6482790388196621E-2</c:v>
                </c:pt>
                <c:pt idx="75">
                  <c:v>1.6796581671116518E-2</c:v>
                </c:pt>
                <c:pt idx="76">
                  <c:v>1.6972679195296988E-2</c:v>
                </c:pt>
                <c:pt idx="77">
                  <c:v>1.8975950972787394E-2</c:v>
                </c:pt>
                <c:pt idx="78">
                  <c:v>1.9918722213049873E-2</c:v>
                </c:pt>
                <c:pt idx="79">
                  <c:v>2.2353806615985152E-2</c:v>
                </c:pt>
                <c:pt idx="80">
                  <c:v>2.7439554698770047E-2</c:v>
                </c:pt>
                <c:pt idx="81">
                  <c:v>2.9550585449906051E-2</c:v>
                </c:pt>
                <c:pt idx="82">
                  <c:v>3.0293610456135503E-2</c:v>
                </c:pt>
                <c:pt idx="83">
                  <c:v>3.0353339394786252E-2</c:v>
                </c:pt>
                <c:pt idx="84">
                  <c:v>3.0928842942981677E-2</c:v>
                </c:pt>
                <c:pt idx="85">
                  <c:v>3.1754171183599258E-2</c:v>
                </c:pt>
                <c:pt idx="86">
                  <c:v>3.7944408173042954E-2</c:v>
                </c:pt>
                <c:pt idx="87">
                  <c:v>3.8262752215596725E-2</c:v>
                </c:pt>
                <c:pt idx="88">
                  <c:v>3.9028382495852242E-2</c:v>
                </c:pt>
                <c:pt idx="89">
                  <c:v>4.0453320053697048E-2</c:v>
                </c:pt>
                <c:pt idx="90">
                  <c:v>4.055226972606385E-2</c:v>
                </c:pt>
                <c:pt idx="91">
                  <c:v>4.139275177290222E-2</c:v>
                </c:pt>
                <c:pt idx="92">
                  <c:v>4.2988118104570462E-2</c:v>
                </c:pt>
                <c:pt idx="93">
                  <c:v>4.3974877877907742E-2</c:v>
                </c:pt>
                <c:pt idx="94">
                  <c:v>4.6829813039374259E-2</c:v>
                </c:pt>
                <c:pt idx="95">
                  <c:v>4.7203646376646063E-2</c:v>
                </c:pt>
                <c:pt idx="96">
                  <c:v>4.7496665046676767E-2</c:v>
                </c:pt>
                <c:pt idx="97">
                  <c:v>4.833119516923913E-2</c:v>
                </c:pt>
                <c:pt idx="98">
                  <c:v>4.9616512614626407E-2</c:v>
                </c:pt>
                <c:pt idx="99">
                  <c:v>4.9873319357820634E-2</c:v>
                </c:pt>
                <c:pt idx="100">
                  <c:v>5.2303056572180297E-2</c:v>
                </c:pt>
                <c:pt idx="101">
                  <c:v>5.2983635472529211E-2</c:v>
                </c:pt>
                <c:pt idx="102">
                  <c:v>5.3606148965675962E-2</c:v>
                </c:pt>
                <c:pt idx="103">
                  <c:v>5.4348457105506433E-2</c:v>
                </c:pt>
                <c:pt idx="104">
                  <c:v>5.4396378066283717E-2</c:v>
                </c:pt>
                <c:pt idx="105">
                  <c:v>5.5419539851011418E-2</c:v>
                </c:pt>
                <c:pt idx="106">
                  <c:v>5.5796093136179774E-2</c:v>
                </c:pt>
                <c:pt idx="107">
                  <c:v>5.617796891895923E-2</c:v>
                </c:pt>
                <c:pt idx="108">
                  <c:v>5.7054492785158471E-2</c:v>
                </c:pt>
                <c:pt idx="109">
                  <c:v>5.7211241264578744E-2</c:v>
                </c:pt>
                <c:pt idx="110">
                  <c:v>5.9246708554538584E-2</c:v>
                </c:pt>
                <c:pt idx="111">
                  <c:v>6.0433506710704799E-2</c:v>
                </c:pt>
                <c:pt idx="112">
                  <c:v>6.3433643084674113E-2</c:v>
                </c:pt>
                <c:pt idx="113">
                  <c:v>6.403449398502864E-2</c:v>
                </c:pt>
                <c:pt idx="114">
                  <c:v>6.4373718092624641E-2</c:v>
                </c:pt>
                <c:pt idx="115">
                  <c:v>6.4707051752853448E-2</c:v>
                </c:pt>
                <c:pt idx="116">
                  <c:v>6.6210633321691942E-2</c:v>
                </c:pt>
                <c:pt idx="117">
                  <c:v>6.6378404046690029E-2</c:v>
                </c:pt>
                <c:pt idx="118">
                  <c:v>6.7078899330452163E-2</c:v>
                </c:pt>
                <c:pt idx="119">
                  <c:v>6.7428852022473576E-2</c:v>
                </c:pt>
                <c:pt idx="120">
                  <c:v>6.8451801524280695E-2</c:v>
                </c:pt>
                <c:pt idx="121">
                  <c:v>6.8610257459872703E-2</c:v>
                </c:pt>
                <c:pt idx="122">
                  <c:v>6.8986638201086192E-2</c:v>
                </c:pt>
                <c:pt idx="123">
                  <c:v>6.927650758883637E-2</c:v>
                </c:pt>
                <c:pt idx="124">
                  <c:v>7.0066542955208477E-2</c:v>
                </c:pt>
                <c:pt idx="125">
                  <c:v>7.0537764446639076E-2</c:v>
                </c:pt>
                <c:pt idx="126">
                  <c:v>7.1275155370214588E-2</c:v>
                </c:pt>
                <c:pt idx="127">
                  <c:v>7.2811069991305988E-2</c:v>
                </c:pt>
                <c:pt idx="128">
                  <c:v>7.3507299636621434E-2</c:v>
                </c:pt>
                <c:pt idx="129">
                  <c:v>7.4706393262441384E-2</c:v>
                </c:pt>
                <c:pt idx="130">
                  <c:v>7.5342601046754679E-2</c:v>
                </c:pt>
                <c:pt idx="131">
                  <c:v>7.5386635378867542E-2</c:v>
                </c:pt>
                <c:pt idx="132">
                  <c:v>7.5738810641686236E-2</c:v>
                </c:pt>
                <c:pt idx="133">
                  <c:v>7.623117773821031E-2</c:v>
                </c:pt>
                <c:pt idx="134">
                  <c:v>7.6768425602739165E-2</c:v>
                </c:pt>
                <c:pt idx="135">
                  <c:v>7.6962769076460311E-2</c:v>
                </c:pt>
                <c:pt idx="136">
                  <c:v>7.839786980061296E-2</c:v>
                </c:pt>
                <c:pt idx="137">
                  <c:v>8.1624906994801336E-2</c:v>
                </c:pt>
                <c:pt idx="138">
                  <c:v>8.1796002826923495E-2</c:v>
                </c:pt>
                <c:pt idx="139">
                  <c:v>8.1839013842212538E-2</c:v>
                </c:pt>
                <c:pt idx="140">
                  <c:v>8.244259901023189E-2</c:v>
                </c:pt>
                <c:pt idx="141">
                  <c:v>8.2883549019453981E-2</c:v>
                </c:pt>
                <c:pt idx="142">
                  <c:v>8.3923388628387732E-2</c:v>
                </c:pt>
                <c:pt idx="143">
                  <c:v>8.4231128199944758E-2</c:v>
                </c:pt>
                <c:pt idx="144">
                  <c:v>8.4783821902782594E-2</c:v>
                </c:pt>
                <c:pt idx="145">
                  <c:v>8.5003729189253807E-2</c:v>
                </c:pt>
                <c:pt idx="146">
                  <c:v>8.5035949115196671E-2</c:v>
                </c:pt>
                <c:pt idx="147">
                  <c:v>8.5261127108484866E-2</c:v>
                </c:pt>
                <c:pt idx="148">
                  <c:v>8.592421797836472E-2</c:v>
                </c:pt>
                <c:pt idx="149">
                  <c:v>8.712545985853816E-2</c:v>
                </c:pt>
                <c:pt idx="150">
                  <c:v>8.8646322551245854E-2</c:v>
                </c:pt>
                <c:pt idx="151">
                  <c:v>8.8710050765899703E-2</c:v>
                </c:pt>
                <c:pt idx="152">
                  <c:v>9.084853050277425E-2</c:v>
                </c:pt>
                <c:pt idx="153">
                  <c:v>9.1208492362797475E-2</c:v>
                </c:pt>
                <c:pt idx="154">
                  <c:v>9.2702221733732382E-2</c:v>
                </c:pt>
                <c:pt idx="155">
                  <c:v>9.3153963988403615E-2</c:v>
                </c:pt>
                <c:pt idx="156">
                  <c:v>9.3685827333789246E-2</c:v>
                </c:pt>
                <c:pt idx="157">
                  <c:v>9.3860757188752364E-2</c:v>
                </c:pt>
                <c:pt idx="158">
                  <c:v>9.4956498915901466E-2</c:v>
                </c:pt>
                <c:pt idx="159">
                  <c:v>9.6692427453249116E-2</c:v>
                </c:pt>
                <c:pt idx="160">
                  <c:v>9.699453551912568E-2</c:v>
                </c:pt>
                <c:pt idx="161">
                  <c:v>9.699453551912568E-2</c:v>
                </c:pt>
                <c:pt idx="162">
                  <c:v>9.699453551912568E-2</c:v>
                </c:pt>
                <c:pt idx="163">
                  <c:v>9.699453551912568E-2</c:v>
                </c:pt>
                <c:pt idx="164">
                  <c:v>9.699453551912568E-2</c:v>
                </c:pt>
                <c:pt idx="165">
                  <c:v>9.699453551912568E-2</c:v>
                </c:pt>
                <c:pt idx="166">
                  <c:v>9.699453551912568E-2</c:v>
                </c:pt>
                <c:pt idx="167">
                  <c:v>9.7943332033236866E-2</c:v>
                </c:pt>
                <c:pt idx="168">
                  <c:v>9.8040510267686953E-2</c:v>
                </c:pt>
                <c:pt idx="169">
                  <c:v>9.9303411242097267E-2</c:v>
                </c:pt>
                <c:pt idx="170">
                  <c:v>9.9392775005353845E-2</c:v>
                </c:pt>
                <c:pt idx="171">
                  <c:v>9.9685683827416702E-2</c:v>
                </c:pt>
                <c:pt idx="172">
                  <c:v>0.10160392837183095</c:v>
                </c:pt>
                <c:pt idx="173">
                  <c:v>0.101748139232437</c:v>
                </c:pt>
                <c:pt idx="174">
                  <c:v>0.10252666642691345</c:v>
                </c:pt>
                <c:pt idx="175">
                  <c:v>0.10365495493348925</c:v>
                </c:pt>
                <c:pt idx="176">
                  <c:v>0.10626246612573952</c:v>
                </c:pt>
                <c:pt idx="177">
                  <c:v>0.10650405345817276</c:v>
                </c:pt>
                <c:pt idx="178">
                  <c:v>0.10697611724306327</c:v>
                </c:pt>
                <c:pt idx="179">
                  <c:v>0.10769917834619777</c:v>
                </c:pt>
                <c:pt idx="180">
                  <c:v>0.10803074242464944</c:v>
                </c:pt>
                <c:pt idx="181">
                  <c:v>0.1088939210134931</c:v>
                </c:pt>
                <c:pt idx="182">
                  <c:v>0.10895006239374753</c:v>
                </c:pt>
                <c:pt idx="183">
                  <c:v>0.10908897734494449</c:v>
                </c:pt>
                <c:pt idx="184">
                  <c:v>0.10929880467909303</c:v>
                </c:pt>
                <c:pt idx="185">
                  <c:v>0.10965947674947887</c:v>
                </c:pt>
                <c:pt idx="186">
                  <c:v>0.10993923618414154</c:v>
                </c:pt>
                <c:pt idx="187">
                  <c:v>0.11111988166139371</c:v>
                </c:pt>
                <c:pt idx="188">
                  <c:v>0.11227667249384594</c:v>
                </c:pt>
                <c:pt idx="189">
                  <c:v>0.11240757009977075</c:v>
                </c:pt>
                <c:pt idx="190">
                  <c:v>0.1127101404871543</c:v>
                </c:pt>
                <c:pt idx="191">
                  <c:v>0.11281001162415792</c:v>
                </c:pt>
                <c:pt idx="192">
                  <c:v>0.11307996786579705</c:v>
                </c:pt>
                <c:pt idx="193">
                  <c:v>0.11482027358407883</c:v>
                </c:pt>
                <c:pt idx="194">
                  <c:v>0.11507144929332284</c:v>
                </c:pt>
                <c:pt idx="195">
                  <c:v>0.11619163408301864</c:v>
                </c:pt>
                <c:pt idx="196">
                  <c:v>0.11705087037706825</c:v>
                </c:pt>
                <c:pt idx="197">
                  <c:v>0.1181709841957909</c:v>
                </c:pt>
                <c:pt idx="198">
                  <c:v>0.11923454957574921</c:v>
                </c:pt>
                <c:pt idx="199">
                  <c:v>0.12025757771267176</c:v>
                </c:pt>
                <c:pt idx="200">
                  <c:v>0.12047345405911075</c:v>
                </c:pt>
                <c:pt idx="201">
                  <c:v>0.12114752549235358</c:v>
                </c:pt>
                <c:pt idx="202">
                  <c:v>0.1246324642663227</c:v>
                </c:pt>
                <c:pt idx="203">
                  <c:v>0.12584014324019077</c:v>
                </c:pt>
                <c:pt idx="204">
                  <c:v>0.12662632495156428</c:v>
                </c:pt>
                <c:pt idx="205">
                  <c:v>0.12720692233777495</c:v>
                </c:pt>
                <c:pt idx="206">
                  <c:v>0.1281133789718851</c:v>
                </c:pt>
                <c:pt idx="207">
                  <c:v>0.13057106278329692</c:v>
                </c:pt>
                <c:pt idx="208">
                  <c:v>0.1308635507115361</c:v>
                </c:pt>
                <c:pt idx="209">
                  <c:v>0.13256727764503948</c:v>
                </c:pt>
                <c:pt idx="210">
                  <c:v>0.13380751608806832</c:v>
                </c:pt>
                <c:pt idx="211">
                  <c:v>0.13484758867323332</c:v>
                </c:pt>
                <c:pt idx="212">
                  <c:v>0.13803504854629253</c:v>
                </c:pt>
                <c:pt idx="213">
                  <c:v>0.14542142895091439</c:v>
                </c:pt>
                <c:pt idx="214">
                  <c:v>0.15127737410037229</c:v>
                </c:pt>
                <c:pt idx="215">
                  <c:v>0.1535406388662888</c:v>
                </c:pt>
                <c:pt idx="216">
                  <c:v>0.15980497049544307</c:v>
                </c:pt>
                <c:pt idx="217">
                  <c:v>0.16004255217806621</c:v>
                </c:pt>
                <c:pt idx="218">
                  <c:v>0.16934297905682114</c:v>
                </c:pt>
                <c:pt idx="219">
                  <c:v>0.17264104523526258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0E-4351-9250-B44AB1721987}"/>
            </c:ext>
          </c:extLst>
        </c:ser>
        <c:ser>
          <c:idx val="1"/>
          <c:order val="1"/>
          <c:tx>
            <c:strRef>
              <c:f>TSS_O!$L$112</c:f>
              <c:strCache>
                <c:ptCount val="1"/>
                <c:pt idx="0">
                  <c:v>Revenue Increase + CPI = 11.2%</c:v>
                </c:pt>
              </c:strCache>
            </c:strRef>
          </c:tx>
          <c:spPr>
            <a:ln w="381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dLbls>
            <c:dLbl>
              <c:idx val="43"/>
              <c:layout>
                <c:manualLayout>
                  <c:x val="-0.12504478965930815"/>
                  <c:y val="-2.68012534193194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49863926854308"/>
                      <c:h val="5.81836208856912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86E-4A71-88DE-E0F062E5E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TSS_O!$L$113:$L$332</c:f>
              <c:numCache>
                <c:formatCode>_(#,##0.0%_);\(#,##0.0%\);_("-"_)</c:formatCode>
                <c:ptCount val="220"/>
                <c:pt idx="0">
                  <c:v>0.1122328118842657</c:v>
                </c:pt>
                <c:pt idx="1">
                  <c:v>0.1122328118842657</c:v>
                </c:pt>
                <c:pt idx="2">
                  <c:v>0.1122328118842657</c:v>
                </c:pt>
                <c:pt idx="3">
                  <c:v>0.1122328118842657</c:v>
                </c:pt>
                <c:pt idx="4">
                  <c:v>0.1122328118842657</c:v>
                </c:pt>
                <c:pt idx="5">
                  <c:v>0.1122328118842657</c:v>
                </c:pt>
                <c:pt idx="6">
                  <c:v>0.1122328118842657</c:v>
                </c:pt>
                <c:pt idx="7">
                  <c:v>0.1122328118842657</c:v>
                </c:pt>
                <c:pt idx="8">
                  <c:v>0.1122328118842657</c:v>
                </c:pt>
                <c:pt idx="9">
                  <c:v>0.1122328118842657</c:v>
                </c:pt>
                <c:pt idx="10">
                  <c:v>0.1122328118842657</c:v>
                </c:pt>
                <c:pt idx="11">
                  <c:v>0.1122328118842657</c:v>
                </c:pt>
                <c:pt idx="12">
                  <c:v>0.1122328118842657</c:v>
                </c:pt>
                <c:pt idx="13">
                  <c:v>0.1122328118842657</c:v>
                </c:pt>
                <c:pt idx="14">
                  <c:v>0.1122328118842657</c:v>
                </c:pt>
                <c:pt idx="15">
                  <c:v>0.1122328118842657</c:v>
                </c:pt>
                <c:pt idx="16">
                  <c:v>0.1122328118842657</c:v>
                </c:pt>
                <c:pt idx="17">
                  <c:v>0.1122328118842657</c:v>
                </c:pt>
                <c:pt idx="18">
                  <c:v>0.1122328118842657</c:v>
                </c:pt>
                <c:pt idx="19">
                  <c:v>0.1122328118842657</c:v>
                </c:pt>
                <c:pt idx="20">
                  <c:v>0.1122328118842657</c:v>
                </c:pt>
                <c:pt idx="21">
                  <c:v>0.1122328118842657</c:v>
                </c:pt>
                <c:pt idx="22">
                  <c:v>0.1122328118842657</c:v>
                </c:pt>
                <c:pt idx="23">
                  <c:v>0.1122328118842657</c:v>
                </c:pt>
                <c:pt idx="24">
                  <c:v>0.1122328118842657</c:v>
                </c:pt>
                <c:pt idx="25">
                  <c:v>0.1122328118842657</c:v>
                </c:pt>
                <c:pt idx="26">
                  <c:v>0.1122328118842657</c:v>
                </c:pt>
                <c:pt idx="27">
                  <c:v>0.1122328118842657</c:v>
                </c:pt>
                <c:pt idx="28">
                  <c:v>0.1122328118842657</c:v>
                </c:pt>
                <c:pt idx="29">
                  <c:v>0.1122328118842657</c:v>
                </c:pt>
                <c:pt idx="30">
                  <c:v>0.1122328118842657</c:v>
                </c:pt>
                <c:pt idx="31">
                  <c:v>0.1122328118842657</c:v>
                </c:pt>
                <c:pt idx="32">
                  <c:v>0.1122328118842657</c:v>
                </c:pt>
                <c:pt idx="33">
                  <c:v>0.1122328118842657</c:v>
                </c:pt>
                <c:pt idx="34">
                  <c:v>0.1122328118842657</c:v>
                </c:pt>
                <c:pt idx="35">
                  <c:v>0.1122328118842657</c:v>
                </c:pt>
                <c:pt idx="36">
                  <c:v>0.1122328118842657</c:v>
                </c:pt>
                <c:pt idx="37">
                  <c:v>0.1122328118842657</c:v>
                </c:pt>
                <c:pt idx="38">
                  <c:v>0.1122328118842657</c:v>
                </c:pt>
                <c:pt idx="39">
                  <c:v>0.1122328118842657</c:v>
                </c:pt>
                <c:pt idx="40">
                  <c:v>0.1122328118842657</c:v>
                </c:pt>
                <c:pt idx="41">
                  <c:v>0.1122328118842657</c:v>
                </c:pt>
                <c:pt idx="42">
                  <c:v>0.1122328118842657</c:v>
                </c:pt>
                <c:pt idx="43">
                  <c:v>0.1122328118842657</c:v>
                </c:pt>
                <c:pt idx="44">
                  <c:v>0.1122328118842657</c:v>
                </c:pt>
                <c:pt idx="45">
                  <c:v>0.1122328118842657</c:v>
                </c:pt>
                <c:pt idx="46">
                  <c:v>0.1122328118842657</c:v>
                </c:pt>
                <c:pt idx="47">
                  <c:v>0.1122328118842657</c:v>
                </c:pt>
                <c:pt idx="48">
                  <c:v>0.1122328118842657</c:v>
                </c:pt>
                <c:pt idx="49">
                  <c:v>0.1122328118842657</c:v>
                </c:pt>
                <c:pt idx="50">
                  <c:v>0.1122328118842657</c:v>
                </c:pt>
                <c:pt idx="51">
                  <c:v>0.1122328118842657</c:v>
                </c:pt>
                <c:pt idx="52">
                  <c:v>0.1122328118842657</c:v>
                </c:pt>
                <c:pt idx="53">
                  <c:v>0.1122328118842657</c:v>
                </c:pt>
                <c:pt idx="54">
                  <c:v>0.1122328118842657</c:v>
                </c:pt>
                <c:pt idx="55">
                  <c:v>0.1122328118842657</c:v>
                </c:pt>
                <c:pt idx="56">
                  <c:v>0.1122328118842657</c:v>
                </c:pt>
                <c:pt idx="57">
                  <c:v>0.1122328118842657</c:v>
                </c:pt>
                <c:pt idx="58">
                  <c:v>0.1122328118842657</c:v>
                </c:pt>
                <c:pt idx="59">
                  <c:v>0.1122328118842657</c:v>
                </c:pt>
                <c:pt idx="60">
                  <c:v>0.1122328118842657</c:v>
                </c:pt>
                <c:pt idx="61">
                  <c:v>0.1122328118842657</c:v>
                </c:pt>
                <c:pt idx="62">
                  <c:v>0.1122328118842657</c:v>
                </c:pt>
                <c:pt idx="63">
                  <c:v>0.1122328118842657</c:v>
                </c:pt>
                <c:pt idx="64">
                  <c:v>0.1122328118842657</c:v>
                </c:pt>
                <c:pt idx="65">
                  <c:v>0.1122328118842657</c:v>
                </c:pt>
                <c:pt idx="66">
                  <c:v>0.1122328118842657</c:v>
                </c:pt>
                <c:pt idx="67">
                  <c:v>0.1122328118842657</c:v>
                </c:pt>
                <c:pt idx="68">
                  <c:v>0.1122328118842657</c:v>
                </c:pt>
                <c:pt idx="69">
                  <c:v>0.1122328118842657</c:v>
                </c:pt>
                <c:pt idx="70">
                  <c:v>0.1122328118842657</c:v>
                </c:pt>
                <c:pt idx="71">
                  <c:v>0.1122328118842657</c:v>
                </c:pt>
                <c:pt idx="72">
                  <c:v>0.1122328118842657</c:v>
                </c:pt>
                <c:pt idx="73">
                  <c:v>0.1122328118842657</c:v>
                </c:pt>
                <c:pt idx="74">
                  <c:v>0.1122328118842657</c:v>
                </c:pt>
                <c:pt idx="75">
                  <c:v>0.1122328118842657</c:v>
                </c:pt>
                <c:pt idx="76">
                  <c:v>0.1122328118842657</c:v>
                </c:pt>
                <c:pt idx="77">
                  <c:v>0.1122328118842657</c:v>
                </c:pt>
                <c:pt idx="78">
                  <c:v>0.1122328118842657</c:v>
                </c:pt>
                <c:pt idx="79">
                  <c:v>0.1122328118842657</c:v>
                </c:pt>
                <c:pt idx="80">
                  <c:v>0.1122328118842657</c:v>
                </c:pt>
                <c:pt idx="81">
                  <c:v>0.1122328118842657</c:v>
                </c:pt>
                <c:pt idx="82">
                  <c:v>0.1122328118842657</c:v>
                </c:pt>
                <c:pt idx="83">
                  <c:v>0.1122328118842657</c:v>
                </c:pt>
                <c:pt idx="84">
                  <c:v>0.1122328118842657</c:v>
                </c:pt>
                <c:pt idx="85">
                  <c:v>0.1122328118842657</c:v>
                </c:pt>
                <c:pt idx="86">
                  <c:v>0.1122328118842657</c:v>
                </c:pt>
                <c:pt idx="87">
                  <c:v>0.1122328118842657</c:v>
                </c:pt>
                <c:pt idx="88">
                  <c:v>0.1122328118842657</c:v>
                </c:pt>
                <c:pt idx="89">
                  <c:v>0.1122328118842657</c:v>
                </c:pt>
                <c:pt idx="90">
                  <c:v>0.1122328118842657</c:v>
                </c:pt>
                <c:pt idx="91">
                  <c:v>0.1122328118842657</c:v>
                </c:pt>
                <c:pt idx="92">
                  <c:v>0.1122328118842657</c:v>
                </c:pt>
                <c:pt idx="93">
                  <c:v>0.1122328118842657</c:v>
                </c:pt>
                <c:pt idx="94">
                  <c:v>0.1122328118842657</c:v>
                </c:pt>
                <c:pt idx="95">
                  <c:v>0.1122328118842657</c:v>
                </c:pt>
                <c:pt idx="96">
                  <c:v>0.1122328118842657</c:v>
                </c:pt>
                <c:pt idx="97">
                  <c:v>0.1122328118842657</c:v>
                </c:pt>
                <c:pt idx="98">
                  <c:v>0.1122328118842657</c:v>
                </c:pt>
                <c:pt idx="99">
                  <c:v>0.1122328118842657</c:v>
                </c:pt>
                <c:pt idx="100">
                  <c:v>0.1122328118842657</c:v>
                </c:pt>
                <c:pt idx="101">
                  <c:v>0.1122328118842657</c:v>
                </c:pt>
                <c:pt idx="102">
                  <c:v>0.1122328118842657</c:v>
                </c:pt>
                <c:pt idx="103">
                  <c:v>0.1122328118842657</c:v>
                </c:pt>
                <c:pt idx="104">
                  <c:v>0.1122328118842657</c:v>
                </c:pt>
                <c:pt idx="105">
                  <c:v>0.1122328118842657</c:v>
                </c:pt>
                <c:pt idx="106">
                  <c:v>0.1122328118842657</c:v>
                </c:pt>
                <c:pt idx="107">
                  <c:v>0.1122328118842657</c:v>
                </c:pt>
                <c:pt idx="108">
                  <c:v>0.1122328118842657</c:v>
                </c:pt>
                <c:pt idx="109">
                  <c:v>0.1122328118842657</c:v>
                </c:pt>
                <c:pt idx="110">
                  <c:v>0.1122328118842657</c:v>
                </c:pt>
                <c:pt idx="111">
                  <c:v>0.1122328118842657</c:v>
                </c:pt>
                <c:pt idx="112">
                  <c:v>0.1122328118842657</c:v>
                </c:pt>
                <c:pt idx="113">
                  <c:v>0.1122328118842657</c:v>
                </c:pt>
                <c:pt idx="114">
                  <c:v>0.1122328118842657</c:v>
                </c:pt>
                <c:pt idx="115">
                  <c:v>0.1122328118842657</c:v>
                </c:pt>
                <c:pt idx="116">
                  <c:v>0.1122328118842657</c:v>
                </c:pt>
                <c:pt idx="117">
                  <c:v>0.1122328118842657</c:v>
                </c:pt>
                <c:pt idx="118">
                  <c:v>0.1122328118842657</c:v>
                </c:pt>
                <c:pt idx="119">
                  <c:v>0.1122328118842657</c:v>
                </c:pt>
                <c:pt idx="120">
                  <c:v>0.1122328118842657</c:v>
                </c:pt>
                <c:pt idx="121">
                  <c:v>0.1122328118842657</c:v>
                </c:pt>
                <c:pt idx="122">
                  <c:v>0.1122328118842657</c:v>
                </c:pt>
                <c:pt idx="123">
                  <c:v>0.1122328118842657</c:v>
                </c:pt>
                <c:pt idx="124">
                  <c:v>0.1122328118842657</c:v>
                </c:pt>
                <c:pt idx="125">
                  <c:v>0.1122328118842657</c:v>
                </c:pt>
                <c:pt idx="126">
                  <c:v>0.1122328118842657</c:v>
                </c:pt>
                <c:pt idx="127">
                  <c:v>0.1122328118842657</c:v>
                </c:pt>
                <c:pt idx="128">
                  <c:v>0.1122328118842657</c:v>
                </c:pt>
                <c:pt idx="129">
                  <c:v>0.1122328118842657</c:v>
                </c:pt>
                <c:pt idx="130">
                  <c:v>0.1122328118842657</c:v>
                </c:pt>
                <c:pt idx="131">
                  <c:v>0.1122328118842657</c:v>
                </c:pt>
                <c:pt idx="132">
                  <c:v>0.1122328118842657</c:v>
                </c:pt>
                <c:pt idx="133">
                  <c:v>0.1122328118842657</c:v>
                </c:pt>
                <c:pt idx="134">
                  <c:v>0.1122328118842657</c:v>
                </c:pt>
                <c:pt idx="135">
                  <c:v>0.1122328118842657</c:v>
                </c:pt>
                <c:pt idx="136">
                  <c:v>0.1122328118842657</c:v>
                </c:pt>
                <c:pt idx="137">
                  <c:v>0.1122328118842657</c:v>
                </c:pt>
                <c:pt idx="138">
                  <c:v>0.1122328118842657</c:v>
                </c:pt>
                <c:pt idx="139">
                  <c:v>0.1122328118842657</c:v>
                </c:pt>
                <c:pt idx="140">
                  <c:v>0.1122328118842657</c:v>
                </c:pt>
                <c:pt idx="141">
                  <c:v>0.1122328118842657</c:v>
                </c:pt>
                <c:pt idx="142">
                  <c:v>0.1122328118842657</c:v>
                </c:pt>
                <c:pt idx="143">
                  <c:v>0.1122328118842657</c:v>
                </c:pt>
                <c:pt idx="144">
                  <c:v>0.1122328118842657</c:v>
                </c:pt>
                <c:pt idx="145">
                  <c:v>0.1122328118842657</c:v>
                </c:pt>
                <c:pt idx="146">
                  <c:v>0.1122328118842657</c:v>
                </c:pt>
                <c:pt idx="147">
                  <c:v>0.1122328118842657</c:v>
                </c:pt>
                <c:pt idx="148">
                  <c:v>0.1122328118842657</c:v>
                </c:pt>
                <c:pt idx="149">
                  <c:v>0.1122328118842657</c:v>
                </c:pt>
                <c:pt idx="150">
                  <c:v>0.1122328118842657</c:v>
                </c:pt>
                <c:pt idx="151">
                  <c:v>0.1122328118842657</c:v>
                </c:pt>
                <c:pt idx="152">
                  <c:v>0.1122328118842657</c:v>
                </c:pt>
                <c:pt idx="153">
                  <c:v>0.1122328118842657</c:v>
                </c:pt>
                <c:pt idx="154">
                  <c:v>0.1122328118842657</c:v>
                </c:pt>
                <c:pt idx="155">
                  <c:v>0.1122328118842657</c:v>
                </c:pt>
                <c:pt idx="156">
                  <c:v>0.1122328118842657</c:v>
                </c:pt>
                <c:pt idx="157">
                  <c:v>0.1122328118842657</c:v>
                </c:pt>
                <c:pt idx="158">
                  <c:v>0.1122328118842657</c:v>
                </c:pt>
                <c:pt idx="159">
                  <c:v>0.1122328118842657</c:v>
                </c:pt>
                <c:pt idx="160">
                  <c:v>0.1122328118842657</c:v>
                </c:pt>
                <c:pt idx="161">
                  <c:v>0.1122328118842657</c:v>
                </c:pt>
                <c:pt idx="162">
                  <c:v>0.1122328118842657</c:v>
                </c:pt>
                <c:pt idx="163">
                  <c:v>0.1122328118842657</c:v>
                </c:pt>
                <c:pt idx="164">
                  <c:v>0.1122328118842657</c:v>
                </c:pt>
                <c:pt idx="165">
                  <c:v>0.1122328118842657</c:v>
                </c:pt>
                <c:pt idx="166">
                  <c:v>0.1122328118842657</c:v>
                </c:pt>
                <c:pt idx="167">
                  <c:v>0.1122328118842657</c:v>
                </c:pt>
                <c:pt idx="168">
                  <c:v>0.1122328118842657</c:v>
                </c:pt>
                <c:pt idx="169">
                  <c:v>0.1122328118842657</c:v>
                </c:pt>
                <c:pt idx="170">
                  <c:v>0.1122328118842657</c:v>
                </c:pt>
                <c:pt idx="171">
                  <c:v>0.1122328118842657</c:v>
                </c:pt>
                <c:pt idx="172">
                  <c:v>0.1122328118842657</c:v>
                </c:pt>
                <c:pt idx="173">
                  <c:v>0.1122328118842657</c:v>
                </c:pt>
                <c:pt idx="174">
                  <c:v>0.1122328118842657</c:v>
                </c:pt>
                <c:pt idx="175">
                  <c:v>0.1122328118842657</c:v>
                </c:pt>
                <c:pt idx="176">
                  <c:v>0.1122328118842657</c:v>
                </c:pt>
                <c:pt idx="177">
                  <c:v>0.1122328118842657</c:v>
                </c:pt>
                <c:pt idx="178">
                  <c:v>0.1122328118842657</c:v>
                </c:pt>
                <c:pt idx="179">
                  <c:v>0.1122328118842657</c:v>
                </c:pt>
                <c:pt idx="180">
                  <c:v>0.1122328118842657</c:v>
                </c:pt>
                <c:pt idx="181">
                  <c:v>0.1122328118842657</c:v>
                </c:pt>
                <c:pt idx="182">
                  <c:v>0.1122328118842657</c:v>
                </c:pt>
                <c:pt idx="183">
                  <c:v>0.1122328118842657</c:v>
                </c:pt>
                <c:pt idx="184">
                  <c:v>0.1122328118842657</c:v>
                </c:pt>
                <c:pt idx="185">
                  <c:v>0.1122328118842657</c:v>
                </c:pt>
                <c:pt idx="186">
                  <c:v>0.1122328118842657</c:v>
                </c:pt>
                <c:pt idx="187">
                  <c:v>0.1122328118842657</c:v>
                </c:pt>
                <c:pt idx="188">
                  <c:v>0.1122328118842657</c:v>
                </c:pt>
                <c:pt idx="189">
                  <c:v>0.1122328118842657</c:v>
                </c:pt>
                <c:pt idx="190">
                  <c:v>0.1122328118842657</c:v>
                </c:pt>
                <c:pt idx="191">
                  <c:v>0.1122328118842657</c:v>
                </c:pt>
                <c:pt idx="192">
                  <c:v>0.1122328118842657</c:v>
                </c:pt>
                <c:pt idx="193">
                  <c:v>0.1122328118842657</c:v>
                </c:pt>
                <c:pt idx="194">
                  <c:v>0.1122328118842657</c:v>
                </c:pt>
                <c:pt idx="195">
                  <c:v>0.1122328118842657</c:v>
                </c:pt>
                <c:pt idx="196">
                  <c:v>0.1122328118842657</c:v>
                </c:pt>
                <c:pt idx="197">
                  <c:v>0.1122328118842657</c:v>
                </c:pt>
                <c:pt idx="198">
                  <c:v>0.1122328118842657</c:v>
                </c:pt>
                <c:pt idx="199">
                  <c:v>0.1122328118842657</c:v>
                </c:pt>
                <c:pt idx="200">
                  <c:v>0.1122328118842657</c:v>
                </c:pt>
                <c:pt idx="201">
                  <c:v>0.1122328118842657</c:v>
                </c:pt>
                <c:pt idx="202">
                  <c:v>0.1122328118842657</c:v>
                </c:pt>
                <c:pt idx="203">
                  <c:v>0.1122328118842657</c:v>
                </c:pt>
                <c:pt idx="204">
                  <c:v>0.1122328118842657</c:v>
                </c:pt>
                <c:pt idx="205">
                  <c:v>0.1122328118842657</c:v>
                </c:pt>
                <c:pt idx="206">
                  <c:v>0.1122328118842657</c:v>
                </c:pt>
                <c:pt idx="207">
                  <c:v>0.1122328118842657</c:v>
                </c:pt>
                <c:pt idx="208">
                  <c:v>0.1122328118842657</c:v>
                </c:pt>
                <c:pt idx="209">
                  <c:v>0.1122328118842657</c:v>
                </c:pt>
                <c:pt idx="210">
                  <c:v>0.1122328118842657</c:v>
                </c:pt>
                <c:pt idx="211">
                  <c:v>0.1122328118842657</c:v>
                </c:pt>
                <c:pt idx="212">
                  <c:v>0.1122328118842657</c:v>
                </c:pt>
                <c:pt idx="213">
                  <c:v>0.1122328118842657</c:v>
                </c:pt>
                <c:pt idx="214">
                  <c:v>0.1122328118842657</c:v>
                </c:pt>
                <c:pt idx="215">
                  <c:v>0.1122328118842657</c:v>
                </c:pt>
                <c:pt idx="216">
                  <c:v>0.1122328118842657</c:v>
                </c:pt>
                <c:pt idx="217">
                  <c:v>0.1122328118842657</c:v>
                </c:pt>
                <c:pt idx="218">
                  <c:v>0.1122328118842657</c:v>
                </c:pt>
                <c:pt idx="219">
                  <c:v>0.1122328118842657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0E-4351-9250-B44AB1721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734639"/>
        <c:axId val="1288734967"/>
      </c:scatterChart>
      <c:valAx>
        <c:axId val="1288734639"/>
        <c:scaling>
          <c:orientation val="minMax"/>
          <c:max val="220"/>
          <c:min val="0"/>
        </c:scaling>
        <c:delete val="0"/>
        <c:axPos val="b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734967"/>
        <c:crosses val="autoZero"/>
        <c:crossBetween val="midCat"/>
      </c:valAx>
      <c:valAx>
        <c:axId val="1288734967"/>
        <c:scaling>
          <c:orientation val="minMax"/>
          <c:max val="0.25"/>
          <c:min val="-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TSS_O!$K$334</c:f>
              <c:strCache>
                <c:ptCount val="1"/>
                <c:pt idx="0">
                  <c:v>Expected change in bill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734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291</xdr:row>
      <xdr:rowOff>1</xdr:rowOff>
    </xdr:from>
    <xdr:to>
      <xdr:col>8</xdr:col>
      <xdr:colOff>0</xdr:colOff>
      <xdr:row>311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186B821-6564-48AA-9506-2229E7FED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634</xdr:colOff>
      <xdr:row>203</xdr:row>
      <xdr:rowOff>0</xdr:rowOff>
    </xdr:from>
    <xdr:to>
      <xdr:col>8</xdr:col>
      <xdr:colOff>0</xdr:colOff>
      <xdr:row>223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873AE0E-7FDE-4648-9843-6D1F8B622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100</xdr:row>
      <xdr:rowOff>0</xdr:rowOff>
    </xdr:from>
    <xdr:to>
      <xdr:col>8</xdr:col>
      <xdr:colOff>0</xdr:colOff>
      <xdr:row>121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4980C10-36C8-4501-BDAE-2F471AA11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314</xdr:row>
      <xdr:rowOff>156881</xdr:rowOff>
    </xdr:from>
    <xdr:to>
      <xdr:col>8</xdr:col>
      <xdr:colOff>0</xdr:colOff>
      <xdr:row>334</xdr:row>
      <xdr:rowOff>156881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7971AC-D481-4500-BBBB-09E60A642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</xdr:colOff>
      <xdr:row>143</xdr:row>
      <xdr:rowOff>166687</xdr:rowOff>
    </xdr:from>
    <xdr:to>
      <xdr:col>8</xdr:col>
      <xdr:colOff>0</xdr:colOff>
      <xdr:row>163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20C49A-B9A7-A7A6-9C01-C854F05C7F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247</xdr:row>
      <xdr:rowOff>0</xdr:rowOff>
    </xdr:from>
    <xdr:to>
      <xdr:col>8</xdr:col>
      <xdr:colOff>0</xdr:colOff>
      <xdr:row>266</xdr:row>
      <xdr:rowOff>150970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CE4ACEFE-4511-1F8D-3524-746ED87AA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56</xdr:row>
      <xdr:rowOff>0</xdr:rowOff>
    </xdr:from>
    <xdr:to>
      <xdr:col>9</xdr:col>
      <xdr:colOff>0</xdr:colOff>
      <xdr:row>76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BB2C081-8B73-6DB6-9B9D-776DD93627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356</xdr:row>
      <xdr:rowOff>0</xdr:rowOff>
    </xdr:from>
    <xdr:to>
      <xdr:col>7</xdr:col>
      <xdr:colOff>366900</xdr:colOff>
      <xdr:row>372</xdr:row>
      <xdr:rowOff>45870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57EC17-975D-4087-B318-79B615989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32</xdr:row>
      <xdr:rowOff>0</xdr:rowOff>
    </xdr:from>
    <xdr:to>
      <xdr:col>8</xdr:col>
      <xdr:colOff>900590</xdr:colOff>
      <xdr:row>51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7BB987-9DA7-4857-973B-8512D6436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0.17656</cdr:x>
      <cdr:y>0.82917</cdr:y>
    </cdr:from>
    <cdr:to>
      <cdr:x>0.34467</cdr:x>
      <cdr:y>0.92917</cdr:y>
    </cdr:to>
    <cdr:sp macro="" textlink="">
      <cdr:nvSpPr>
        <cdr:cNvPr id="4" name="Arrow: Right 3">
          <a:extLst xmlns:a="http://schemas.openxmlformats.org/drawingml/2006/main">
            <a:ext uri="{FF2B5EF4-FFF2-40B4-BE49-F238E27FC236}">
              <a16:creationId xmlns:a16="http://schemas.microsoft.com/office/drawing/2014/main" id="{18FCBD20-01E6-1D60-A4FB-87FEFDA43E8D}"/>
            </a:ext>
          </a:extLst>
        </cdr:cNvPr>
        <cdr:cNvSpPr/>
      </cdr:nvSpPr>
      <cdr:spPr>
        <a:xfrm xmlns:a="http://schemas.openxmlformats.org/drawingml/2006/main" flipH="1">
          <a:off x="1180464" y="2930100"/>
          <a:ext cx="1123951" cy="353378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0.35037</cdr:x>
      <cdr:y>0.82917</cdr:y>
    </cdr:from>
    <cdr:to>
      <cdr:x>0.94589</cdr:x>
      <cdr:y>0.92917</cdr:y>
    </cdr:to>
    <cdr:sp macro="" textlink="">
      <cdr:nvSpPr>
        <cdr:cNvPr id="5" name="Arrow: Right 4">
          <a:extLst xmlns:a="http://schemas.openxmlformats.org/drawingml/2006/main">
            <a:ext uri="{FF2B5EF4-FFF2-40B4-BE49-F238E27FC236}">
              <a16:creationId xmlns:a16="http://schemas.microsoft.com/office/drawing/2014/main" id="{1C358B0F-2CE8-DBBE-A0D7-0D623E2D7871}"/>
            </a:ext>
          </a:extLst>
        </cdr:cNvPr>
        <cdr:cNvSpPr/>
      </cdr:nvSpPr>
      <cdr:spPr>
        <a:xfrm xmlns:a="http://schemas.openxmlformats.org/drawingml/2006/main">
          <a:off x="2342515" y="2930100"/>
          <a:ext cx="3981625" cy="353378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0.37317</cdr:x>
      <cdr:y>0.84809</cdr:y>
    </cdr:from>
    <cdr:to>
      <cdr:x>0.70652</cdr:x>
      <cdr:y>0.91098</cdr:y>
    </cdr:to>
    <cdr:sp macro="" textlink="">
      <cdr:nvSpPr>
        <cdr:cNvPr id="6" name="TextBox 29">
          <a:extLst xmlns:a="http://schemas.openxmlformats.org/drawingml/2006/main">
            <a:ext uri="{FF2B5EF4-FFF2-40B4-BE49-F238E27FC236}">
              <a16:creationId xmlns:a16="http://schemas.microsoft.com/office/drawing/2014/main" id="{70A7D7F5-CEA7-99CE-2877-53EF19C87214}"/>
            </a:ext>
          </a:extLst>
        </cdr:cNvPr>
        <cdr:cNvSpPr txBox="1"/>
      </cdr:nvSpPr>
      <cdr:spPr>
        <a:xfrm xmlns:a="http://schemas.openxmlformats.org/drawingml/2006/main">
          <a:off x="2494983" y="2722305"/>
          <a:ext cx="2228783" cy="20187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NZ" sz="1050" b="1">
              <a:solidFill>
                <a:schemeClr val="bg1"/>
              </a:solidFill>
            </a:rPr>
            <a:t>Above Draft Decision (DD)</a:t>
          </a:r>
          <a:endParaRPr lang="en-AU" sz="105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0.15376</cdr:x>
      <cdr:y>0.85163</cdr:y>
    </cdr:from>
    <cdr:to>
      <cdr:x>0.36889</cdr:x>
      <cdr:y>0.91435</cdr:y>
    </cdr:to>
    <cdr:sp macro="" textlink="">
      <cdr:nvSpPr>
        <cdr:cNvPr id="7" name="TextBox 29">
          <a:extLst xmlns:a="http://schemas.openxmlformats.org/drawingml/2006/main">
            <a:ext uri="{FF2B5EF4-FFF2-40B4-BE49-F238E27FC236}">
              <a16:creationId xmlns:a16="http://schemas.microsoft.com/office/drawing/2014/main" id="{FCE2DA7B-1A80-072D-DF41-8567ADB25EFA}"/>
            </a:ext>
          </a:extLst>
        </cdr:cNvPr>
        <cdr:cNvSpPr txBox="1"/>
      </cdr:nvSpPr>
      <cdr:spPr>
        <a:xfrm xmlns:a="http://schemas.openxmlformats.org/drawingml/2006/main">
          <a:off x="1028037" y="2733675"/>
          <a:ext cx="1438303" cy="2013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NZ" sz="1050" b="1">
              <a:solidFill>
                <a:schemeClr val="bg1"/>
              </a:solidFill>
            </a:rPr>
            <a:t>Below DD</a:t>
          </a:r>
          <a:endParaRPr lang="en-AU" sz="1050" b="1">
            <a:solidFill>
              <a:schemeClr val="bg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0.10459</cdr:x>
      <cdr:y>0.01429</cdr:y>
    </cdr:from>
    <cdr:to>
      <cdr:x>0.3945</cdr:x>
      <cdr:y>0.08929</cdr:y>
    </cdr:to>
    <cdr:sp macro="" textlink="Overview!$Q$159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270FDFFE-617B-D4A8-050D-A5C2C2259D20}"/>
            </a:ext>
          </a:extLst>
        </cdr:cNvPr>
        <cdr:cNvSpPr/>
      </cdr:nvSpPr>
      <cdr:spPr>
        <a:xfrm xmlns:a="http://schemas.openxmlformats.org/drawingml/2006/main">
          <a:off x="678655" y="47626"/>
          <a:ext cx="1881187" cy="250031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fld id="{50A7C023-9048-4996-840C-9EAF0871D4FC}" type="TxLink">
            <a:rPr lang="en-US" sz="10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 algn="ctr"/>
            <a:t>2014-19 Capex: $395M</a:t>
          </a:fld>
          <a:endParaRPr lang="en-US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0.40416</cdr:x>
      <cdr:y>0.01524</cdr:y>
    </cdr:from>
    <cdr:to>
      <cdr:x>0.69407</cdr:x>
      <cdr:y>0.09024</cdr:y>
    </cdr:to>
    <cdr:sp macro="" textlink="Overview!$Q$160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11627A04-25E0-E0BC-5A98-569E4442240A}"/>
            </a:ext>
          </a:extLst>
        </cdr:cNvPr>
        <cdr:cNvSpPr/>
      </cdr:nvSpPr>
      <cdr:spPr>
        <a:xfrm xmlns:a="http://schemas.openxmlformats.org/drawingml/2006/main">
          <a:off x="2622550" y="50800"/>
          <a:ext cx="1881187" cy="250031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0C4C8F-F02A-452E-B092-16247D56589A}" type="TxLink">
            <a:rPr lang="en-US" sz="10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 algn="ctr"/>
            <a:t>2019-24 Capex: $456M</a:t>
          </a:fld>
          <a:endParaRPr lang="en-US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0.69957</cdr:x>
      <cdr:y>0.01524</cdr:y>
    </cdr:from>
    <cdr:to>
      <cdr:x>0.98948</cdr:x>
      <cdr:y>0.09024</cdr:y>
    </cdr:to>
    <cdr:sp macro="" textlink="Overview!$Q$161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174527E7-3115-B21C-9391-7C7DA293B27E}"/>
            </a:ext>
          </a:extLst>
        </cdr:cNvPr>
        <cdr:cNvSpPr/>
      </cdr:nvSpPr>
      <cdr:spPr>
        <a:xfrm xmlns:a="http://schemas.openxmlformats.org/drawingml/2006/main">
          <a:off x="4539456" y="50800"/>
          <a:ext cx="1881187" cy="250031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ABF669D-1CEF-44F5-91CC-0AF946FAE387}" type="TxLink">
            <a:rPr lang="en-US" sz="10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 algn="ctr"/>
            <a:t>2024-29 Capex: $545M</a:t>
          </a:fld>
          <a:endParaRPr lang="en-US" b="1">
            <a:solidFill>
              <a:schemeClr val="bg1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0.10459</cdr:x>
      <cdr:y>0</cdr:y>
    </cdr:from>
    <cdr:to>
      <cdr:x>0.38532</cdr:x>
      <cdr:y>0.07177</cdr:y>
    </cdr:to>
    <cdr:sp macro="" textlink="Overview!$Q$264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5581AE77-B47D-6378-101B-0B0F1435F088}"/>
            </a:ext>
          </a:extLst>
        </cdr:cNvPr>
        <cdr:cNvSpPr/>
      </cdr:nvSpPr>
      <cdr:spPr>
        <a:xfrm xmlns:a="http://schemas.openxmlformats.org/drawingml/2006/main">
          <a:off x="678656" y="-1"/>
          <a:ext cx="1821656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fld id="{986B7339-3AE5-4336-931A-67365F491AED}" type="TxLink">
            <a:rPr lang="en-US" sz="10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 algn="ctr"/>
            <a:t>2014-19 Capex: $507M</a:t>
          </a:fld>
          <a:endParaRPr lang="en-US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0.39865</cdr:x>
      <cdr:y>0</cdr:y>
    </cdr:from>
    <cdr:to>
      <cdr:x>0.67939</cdr:x>
      <cdr:y>0.07177</cdr:y>
    </cdr:to>
    <cdr:sp macro="" textlink="Overview!$Q$265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9B64318-4B38-8FE6-182E-438F9CF3CBDD}"/>
            </a:ext>
          </a:extLst>
        </cdr:cNvPr>
        <cdr:cNvSpPr/>
      </cdr:nvSpPr>
      <cdr:spPr>
        <a:xfrm xmlns:a="http://schemas.openxmlformats.org/drawingml/2006/main">
          <a:off x="2586831" y="0"/>
          <a:ext cx="1821656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F6DD65B8-1D3A-42B4-827E-C3A4A467A0EB}" type="TxLink">
            <a:rPr lang="en-US" sz="10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 algn="ctr"/>
            <a:t>2019-24 Capex: $412M</a:t>
          </a:fld>
          <a:endParaRPr lang="en-US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0.69223</cdr:x>
      <cdr:y>0</cdr:y>
    </cdr:from>
    <cdr:to>
      <cdr:x>0.97297</cdr:x>
      <cdr:y>0.07177</cdr:y>
    </cdr:to>
    <cdr:sp macro="" textlink="Overview!$Q$266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263C8359-36C5-E0DD-6F8B-6D36B0551CA6}"/>
            </a:ext>
          </a:extLst>
        </cdr:cNvPr>
        <cdr:cNvSpPr/>
      </cdr:nvSpPr>
      <cdr:spPr>
        <a:xfrm xmlns:a="http://schemas.openxmlformats.org/drawingml/2006/main">
          <a:off x="4491831" y="0"/>
          <a:ext cx="1821656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B1A9B9E-5E20-4F98-BBC8-6450BA8F624B}" type="TxLink">
            <a:rPr lang="en-US" sz="10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 algn="ctr"/>
            <a:t>2024-29 Capex: $384M</a:t>
          </a:fld>
          <a:endParaRPr lang="en-US" b="1">
            <a:solidFill>
              <a:schemeClr val="bg1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</xdr:colOff>
      <xdr:row>69</xdr:row>
      <xdr:rowOff>0</xdr:rowOff>
    </xdr:from>
    <xdr:to>
      <xdr:col>9</xdr:col>
      <xdr:colOff>0</xdr:colOff>
      <xdr:row>89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84D0B58-36EA-4821-A069-B07A88BD2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</xdr:colOff>
      <xdr:row>56</xdr:row>
      <xdr:rowOff>0</xdr:rowOff>
    </xdr:from>
    <xdr:to>
      <xdr:col>8</xdr:col>
      <xdr:colOff>0</xdr:colOff>
      <xdr:row>76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0BA799-68B2-4B18-B540-41A4FFA2F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</xdr:colOff>
      <xdr:row>65</xdr:row>
      <xdr:rowOff>0</xdr:rowOff>
    </xdr:from>
    <xdr:to>
      <xdr:col>8</xdr:col>
      <xdr:colOff>0</xdr:colOff>
      <xdr:row>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44074E-8497-4CFF-A41E-4CCBDEE24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57</xdr:row>
      <xdr:rowOff>0</xdr:rowOff>
    </xdr:from>
    <xdr:to>
      <xdr:col>6</xdr:col>
      <xdr:colOff>718765</xdr:colOff>
      <xdr:row>73</xdr:row>
      <xdr:rowOff>96073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429</xdr:row>
      <xdr:rowOff>0</xdr:rowOff>
    </xdr:from>
    <xdr:to>
      <xdr:col>6</xdr:col>
      <xdr:colOff>724480</xdr:colOff>
      <xdr:row>445</xdr:row>
      <xdr:rowOff>96073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133</xdr:row>
      <xdr:rowOff>0</xdr:rowOff>
    </xdr:from>
    <xdr:to>
      <xdr:col>6</xdr:col>
      <xdr:colOff>724480</xdr:colOff>
      <xdr:row>148</xdr:row>
      <xdr:rowOff>88677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27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</xdr:colOff>
      <xdr:row>112</xdr:row>
      <xdr:rowOff>0</xdr:rowOff>
    </xdr:from>
    <xdr:to>
      <xdr:col>6</xdr:col>
      <xdr:colOff>718766</xdr:colOff>
      <xdr:row>128</xdr:row>
      <xdr:rowOff>96073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27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92</xdr:row>
      <xdr:rowOff>0</xdr:rowOff>
    </xdr:from>
    <xdr:to>
      <xdr:col>6</xdr:col>
      <xdr:colOff>722575</xdr:colOff>
      <xdr:row>108</xdr:row>
      <xdr:rowOff>96073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27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296</xdr:row>
      <xdr:rowOff>0</xdr:rowOff>
    </xdr:from>
    <xdr:to>
      <xdr:col>6</xdr:col>
      <xdr:colOff>724480</xdr:colOff>
      <xdr:row>310</xdr:row>
      <xdr:rowOff>77471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B1065E-935E-4E75-AC18-D78204595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0.08591</cdr:x>
      <cdr:y>0.01897</cdr:y>
    </cdr:from>
    <cdr:to>
      <cdr:x>0.43992</cdr:x>
      <cdr:y>0.17833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95D42B5D-05E0-9B60-1395-5C76961544E0}"/>
            </a:ext>
          </a:extLst>
        </cdr:cNvPr>
        <cdr:cNvSpPr/>
      </cdr:nvSpPr>
      <cdr:spPr>
        <a:xfrm xmlns:a="http://schemas.openxmlformats.org/drawingml/2006/main">
          <a:off x="527050" y="50800"/>
          <a:ext cx="2171700" cy="426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7521E32-8E0B-4602-AD67-CFF93F8728A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Revenue Increase + CPI = 11.2%</a:t>
          </a:fld>
          <a:endParaRPr lang="en-AU" sz="1100" b="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103</xdr:row>
      <xdr:rowOff>0</xdr:rowOff>
    </xdr:from>
    <xdr:to>
      <xdr:col>6</xdr:col>
      <xdr:colOff>705990</xdr:colOff>
      <xdr:row>120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2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170</xdr:row>
      <xdr:rowOff>0</xdr:rowOff>
    </xdr:from>
    <xdr:to>
      <xdr:col>6</xdr:col>
      <xdr:colOff>722575</xdr:colOff>
      <xdr:row>186</xdr:row>
      <xdr:rowOff>96073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2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312</xdr:row>
      <xdr:rowOff>0</xdr:rowOff>
    </xdr:from>
    <xdr:to>
      <xdr:col>6</xdr:col>
      <xdr:colOff>722575</xdr:colOff>
      <xdr:row>328</xdr:row>
      <xdr:rowOff>96072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28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531</xdr:row>
      <xdr:rowOff>0</xdr:rowOff>
    </xdr:from>
    <xdr:to>
      <xdr:col>6</xdr:col>
      <xdr:colOff>718765</xdr:colOff>
      <xdr:row>549</xdr:row>
      <xdr:rowOff>96073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257734</xdr:colOff>
      <xdr:row>63</xdr:row>
      <xdr:rowOff>0</xdr:rowOff>
    </xdr:from>
    <xdr:to>
      <xdr:col>6</xdr:col>
      <xdr:colOff>718764</xdr:colOff>
      <xdr:row>79</xdr:row>
      <xdr:rowOff>96072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28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</xdr:colOff>
      <xdr:row>135</xdr:row>
      <xdr:rowOff>0</xdr:rowOff>
    </xdr:from>
    <xdr:to>
      <xdr:col>6</xdr:col>
      <xdr:colOff>718766</xdr:colOff>
      <xdr:row>149</xdr:row>
      <xdr:rowOff>96072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28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469</xdr:row>
      <xdr:rowOff>1</xdr:rowOff>
    </xdr:from>
    <xdr:to>
      <xdr:col>6</xdr:col>
      <xdr:colOff>718765</xdr:colOff>
      <xdr:row>485</xdr:row>
      <xdr:rowOff>96074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28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553</xdr:row>
      <xdr:rowOff>0</xdr:rowOff>
    </xdr:from>
    <xdr:to>
      <xdr:col>6</xdr:col>
      <xdr:colOff>718765</xdr:colOff>
      <xdr:row>569</xdr:row>
      <xdr:rowOff>96072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28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257734</xdr:colOff>
      <xdr:row>489</xdr:row>
      <xdr:rowOff>0</xdr:rowOff>
    </xdr:from>
    <xdr:to>
      <xdr:col>6</xdr:col>
      <xdr:colOff>718764</xdr:colOff>
      <xdr:row>505</xdr:row>
      <xdr:rowOff>96072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28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</xdr:colOff>
      <xdr:row>509</xdr:row>
      <xdr:rowOff>0</xdr:rowOff>
    </xdr:from>
    <xdr:to>
      <xdr:col>5</xdr:col>
      <xdr:colOff>752700</xdr:colOff>
      <xdr:row>527</xdr:row>
      <xdr:rowOff>153969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28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288</xdr:row>
      <xdr:rowOff>0</xdr:rowOff>
    </xdr:from>
    <xdr:to>
      <xdr:col>5</xdr:col>
      <xdr:colOff>750794</xdr:colOff>
      <xdr:row>306</xdr:row>
      <xdr:rowOff>153968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28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83</xdr:row>
      <xdr:rowOff>0</xdr:rowOff>
    </xdr:from>
    <xdr:to>
      <xdr:col>6</xdr:col>
      <xdr:colOff>718765</xdr:colOff>
      <xdr:row>99</xdr:row>
      <xdr:rowOff>96072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28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352</xdr:row>
      <xdr:rowOff>0</xdr:rowOff>
    </xdr:from>
    <xdr:to>
      <xdr:col>6</xdr:col>
      <xdr:colOff>713610</xdr:colOff>
      <xdr:row>369</xdr:row>
      <xdr:rowOff>5865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2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396</xdr:row>
      <xdr:rowOff>0</xdr:rowOff>
    </xdr:from>
    <xdr:to>
      <xdr:col>6</xdr:col>
      <xdr:colOff>715515</xdr:colOff>
      <xdr:row>413</xdr:row>
      <xdr:rowOff>7770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2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374</xdr:row>
      <xdr:rowOff>0</xdr:rowOff>
    </xdr:from>
    <xdr:to>
      <xdr:col>6</xdr:col>
      <xdr:colOff>722575</xdr:colOff>
      <xdr:row>390</xdr:row>
      <xdr:rowOff>96073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28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0</xdr:colOff>
      <xdr:row>438</xdr:row>
      <xdr:rowOff>0</xdr:rowOff>
    </xdr:from>
    <xdr:to>
      <xdr:col>6</xdr:col>
      <xdr:colOff>724480</xdr:colOff>
      <xdr:row>453</xdr:row>
      <xdr:rowOff>88677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B734B19-D2C5-460C-9A24-840659DD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950595</xdr:colOff>
      <xdr:row>438</xdr:row>
      <xdr:rowOff>169545</xdr:rowOff>
    </xdr:from>
    <xdr:to>
      <xdr:col>3</xdr:col>
      <xdr:colOff>2771775</xdr:colOff>
      <xdr:row>438</xdr:row>
      <xdr:rowOff>466725</xdr:rowOff>
    </xdr:to>
    <xdr:sp macro="" textlink="$K$439">
      <xdr:nvSpPr>
        <xdr:cNvPr id="8" name="Rectangle 7">
          <a:extLst>
            <a:ext uri="{FF2B5EF4-FFF2-40B4-BE49-F238E27FC236}">
              <a16:creationId xmlns:a16="http://schemas.microsoft.com/office/drawing/2014/main" id="{61E0176C-1D35-7DBF-CD59-489E7AA87659}"/>
            </a:ext>
          </a:extLst>
        </xdr:cNvPr>
        <xdr:cNvSpPr/>
      </xdr:nvSpPr>
      <xdr:spPr>
        <a:xfrm>
          <a:off x="1693545" y="73721595"/>
          <a:ext cx="1821180" cy="2971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F1FEDAEE-77BC-4143-9F5F-2DC63D1B4018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Revenue Increase + CPI = 11.2%</a:t>
          </a:fld>
          <a:endParaRPr lang="en-AU" sz="1000" b="0"/>
        </a:p>
      </xdr:txBody>
    </xdr:sp>
    <xdr:clientData/>
  </xdr:twoCellAnchor>
  <xdr:twoCellAnchor>
    <xdr:from>
      <xdr:col>3</xdr:col>
      <xdr:colOff>0</xdr:colOff>
      <xdr:row>418</xdr:row>
      <xdr:rowOff>0</xdr:rowOff>
    </xdr:from>
    <xdr:to>
      <xdr:col>6</xdr:col>
      <xdr:colOff>724480</xdr:colOff>
      <xdr:row>434</xdr:row>
      <xdr:rowOff>77471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3232C18-9211-49C5-82B9-53E36E084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190</xdr:row>
      <xdr:rowOff>0</xdr:rowOff>
    </xdr:from>
    <xdr:to>
      <xdr:col>6</xdr:col>
      <xdr:colOff>718765</xdr:colOff>
      <xdr:row>206</xdr:row>
      <xdr:rowOff>96073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FBC0AF-4DB7-4529-A5D3-C267E294A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0.12007</cdr:x>
      <cdr:y>0.01634</cdr:y>
    </cdr:from>
    <cdr:to>
      <cdr:x>0.45219</cdr:x>
      <cdr:y>0.19738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04F35BE1-378D-7CB3-6B94-E227DC5FFBD5}"/>
            </a:ext>
          </a:extLst>
        </cdr:cNvPr>
        <cdr:cNvSpPr/>
      </cdr:nvSpPr>
      <cdr:spPr>
        <a:xfrm xmlns:a="http://schemas.openxmlformats.org/drawingml/2006/main">
          <a:off x="718292" y="43600"/>
          <a:ext cx="1986808" cy="483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0B0492A8-F82D-4C66-AAAA-1986C103CF9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Revenue Increase + CPI = 11.2%</a:t>
          </a:fld>
          <a:endParaRPr lang="en-AU" sz="1100" b="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</xdr:colOff>
      <xdr:row>100</xdr:row>
      <xdr:rowOff>170778</xdr:rowOff>
    </xdr:from>
    <xdr:to>
      <xdr:col>14</xdr:col>
      <xdr:colOff>11206</xdr:colOff>
      <xdr:row>106</xdr:row>
      <xdr:rowOff>18603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2900-000011000000}"/>
            </a:ext>
          </a:extLst>
        </xdr:cNvPr>
        <xdr:cNvSpPr/>
      </xdr:nvSpPr>
      <xdr:spPr>
        <a:xfrm>
          <a:off x="493507" y="62990954"/>
          <a:ext cx="12785464" cy="9908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  <xdr:twoCellAnchor>
    <xdr:from>
      <xdr:col>3</xdr:col>
      <xdr:colOff>22412</xdr:colOff>
      <xdr:row>74</xdr:row>
      <xdr:rowOff>130660</xdr:rowOff>
    </xdr:from>
    <xdr:to>
      <xdr:col>6</xdr:col>
      <xdr:colOff>744987</xdr:colOff>
      <xdr:row>91</xdr:row>
      <xdr:rowOff>73660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111</xdr:row>
      <xdr:rowOff>0</xdr:rowOff>
    </xdr:from>
    <xdr:to>
      <xdr:col>6</xdr:col>
      <xdr:colOff>718765</xdr:colOff>
      <xdr:row>127</xdr:row>
      <xdr:rowOff>96073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2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WC IRP">
      <a:dk1>
        <a:srgbClr val="000000"/>
      </a:dk1>
      <a:lt1>
        <a:srgbClr val="FFFFFF"/>
      </a:lt1>
      <a:dk2>
        <a:srgbClr val="131640"/>
      </a:dk2>
      <a:lt2>
        <a:srgbClr val="3D8704"/>
      </a:lt2>
      <a:accent1>
        <a:srgbClr val="D14900"/>
      </a:accent1>
      <a:accent2>
        <a:srgbClr val="037DBB"/>
      </a:accent2>
      <a:accent3>
        <a:srgbClr val="B8B9C5"/>
      </a:accent3>
      <a:accent4>
        <a:srgbClr val="C5DBB4"/>
      </a:accent4>
      <a:accent5>
        <a:srgbClr val="F1C8B2"/>
      </a:accent5>
      <a:accent6>
        <a:srgbClr val="B3D8EB"/>
      </a:accent6>
      <a:hlink>
        <a:srgbClr val="C72D2C"/>
      </a:hlink>
      <a:folHlink>
        <a:srgbClr val="EF7D1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C545-AC23-46D4-BC99-A863930C3F67}">
  <sheetPr codeName="Sheet1"/>
  <dimension ref="A1:J41"/>
  <sheetViews>
    <sheetView showGridLines="0" tabSelected="1" zoomScaleNormal="100" workbookViewId="0">
      <pane xSplit="1" ySplit="4" topLeftCell="B5" activePane="bottomRight" state="frozen"/>
      <selection activeCell="E79" sqref="E79"/>
      <selection pane="topRight" activeCell="E79" sqref="E79"/>
      <selection pane="bottomLeft" activeCell="E79" sqref="E79"/>
      <selection pane="bottomRight" activeCell="B5" sqref="B5"/>
    </sheetView>
  </sheetViews>
  <sheetFormatPr defaultColWidth="0" defaultRowHeight="12.75" x14ac:dyDescent="0.2"/>
  <cols>
    <col min="1" max="2" width="3.7109375" customWidth="1"/>
    <col min="3" max="3" width="5.7109375" customWidth="1"/>
    <col min="4" max="4" width="50.7109375" customWidth="1"/>
    <col min="5" max="8" width="14.7109375" customWidth="1"/>
    <col min="9" max="9" width="5.7109375" customWidth="1"/>
    <col min="10" max="10" width="9.140625" customWidth="1"/>
    <col min="11" max="16384" width="9.140625" hidden="1"/>
  </cols>
  <sheetData>
    <row r="1" spans="2:5" ht="23.25" x14ac:dyDescent="0.35">
      <c r="B1" s="26" t="s">
        <v>572</v>
      </c>
    </row>
    <row r="2" spans="2:5" ht="15" x14ac:dyDescent="0.2">
      <c r="B2" s="34" t="str">
        <f>Model_Name</f>
        <v>Power and Water - Revised Proposal - Tables and Charts</v>
      </c>
    </row>
    <row r="3" spans="2:5" x14ac:dyDescent="0.2">
      <c r="B3" s="37" t="str">
        <f>"Model Checks:"&amp;IF(Model_Checks=0," OK"," Check")</f>
        <v>Model Checks: OK</v>
      </c>
    </row>
    <row r="6" spans="2:5" s="6" customFormat="1" ht="18.75" x14ac:dyDescent="0.2">
      <c r="B6" s="17" t="str">
        <f>B1</f>
        <v>Table of contents</v>
      </c>
      <c r="E6" s="17"/>
    </row>
    <row r="8" spans="2:5" x14ac:dyDescent="0.2">
      <c r="C8" s="27">
        <v>1</v>
      </c>
      <c r="D8" s="29" t="str">
        <f>Input_General!$B$1</f>
        <v>Inputs: General assumptions and settings</v>
      </c>
    </row>
    <row r="9" spans="2:5" x14ac:dyDescent="0.2">
      <c r="C9" s="28">
        <f>C8+1</f>
        <v>2</v>
      </c>
      <c r="D9" s="29" t="str">
        <f>Input_CPI!$B$1</f>
        <v>Inputs: Inflation index</v>
      </c>
    </row>
    <row r="10" spans="2:5" x14ac:dyDescent="0.2">
      <c r="C10" s="28">
        <f t="shared" ref="C10:C39" si="0">C9+1</f>
        <v>3</v>
      </c>
      <c r="D10" s="29" t="str">
        <f>Input_Operating!$B$1</f>
        <v>Inputs: Operating environment</v>
      </c>
    </row>
    <row r="11" spans="2:5" x14ac:dyDescent="0.2">
      <c r="C11" s="28">
        <f t="shared" si="0"/>
        <v>4</v>
      </c>
      <c r="D11" s="29" t="str">
        <f>Input_Revenue!$B$1</f>
        <v>Inputs: Revenue (SCS)</v>
      </c>
    </row>
    <row r="12" spans="2:5" x14ac:dyDescent="0.2">
      <c r="C12" s="28">
        <f t="shared" si="0"/>
        <v>5</v>
      </c>
      <c r="D12" s="29" t="str">
        <f>Input_Opex!$B$1</f>
        <v>Inputs: Opex (SCS)</v>
      </c>
    </row>
    <row r="13" spans="2:5" x14ac:dyDescent="0.2">
      <c r="C13" s="28">
        <f t="shared" si="0"/>
        <v>6</v>
      </c>
      <c r="D13" s="29" t="str">
        <f>Input_Capex!$B$1</f>
        <v>Inputs: Capex (SCS)</v>
      </c>
    </row>
    <row r="14" spans="2:5" x14ac:dyDescent="0.2">
      <c r="C14" s="28">
        <f t="shared" si="0"/>
        <v>7</v>
      </c>
      <c r="D14" s="29" t="str">
        <f>Input_AMI!$B$1</f>
        <v>Inputs: ACS Metering (AMI)</v>
      </c>
    </row>
    <row r="15" spans="2:5" x14ac:dyDescent="0.2">
      <c r="C15" s="28">
        <f t="shared" si="0"/>
        <v>8</v>
      </c>
      <c r="D15" s="29" t="str">
        <f>Input_ACS!$B$1</f>
        <v>Inputs: Other ACS</v>
      </c>
    </row>
    <row r="16" spans="2:5" x14ac:dyDescent="0.2">
      <c r="C16" s="28">
        <f t="shared" si="0"/>
        <v>9</v>
      </c>
      <c r="D16" s="29" t="str">
        <f>Input_Capex_Projects!$B$1</f>
        <v>Inputs: Capex project list - SCS - Revised Proposal</v>
      </c>
    </row>
    <row r="17" spans="3:4" x14ac:dyDescent="0.2">
      <c r="C17" s="28">
        <f t="shared" si="0"/>
        <v>10</v>
      </c>
      <c r="D17" s="29" t="str">
        <f>Revenue!$B$1</f>
        <v>Calculations: Revenue - SCS</v>
      </c>
    </row>
    <row r="18" spans="3:4" x14ac:dyDescent="0.2">
      <c r="C18" s="28">
        <f t="shared" si="0"/>
        <v>11</v>
      </c>
      <c r="D18" s="29" t="str">
        <f>Opex!$B$1</f>
        <v>Calculations: Opex - SCS</v>
      </c>
    </row>
    <row r="19" spans="3:4" x14ac:dyDescent="0.2">
      <c r="C19" s="28">
        <f t="shared" si="0"/>
        <v>12</v>
      </c>
      <c r="D19" s="29" t="str">
        <f>Capex!$B$1</f>
        <v>Calculations: Capex - SCS</v>
      </c>
    </row>
    <row r="20" spans="3:4" x14ac:dyDescent="0.2">
      <c r="C20" s="28">
        <f t="shared" si="0"/>
        <v>13</v>
      </c>
      <c r="D20" s="29" t="str">
        <f>ACS_Metering!$B$1</f>
        <v>Calculations: ACS Metering (AMI)</v>
      </c>
    </row>
    <row r="21" spans="3:4" x14ac:dyDescent="0.2">
      <c r="C21" s="28">
        <f t="shared" si="0"/>
        <v>14</v>
      </c>
      <c r="D21" s="29" t="str">
        <f>ACS!$B$1</f>
        <v>Calculations: Other ACS</v>
      </c>
    </row>
    <row r="22" spans="3:4" x14ac:dyDescent="0.2">
      <c r="C22" s="28">
        <f t="shared" si="0"/>
        <v>15</v>
      </c>
      <c r="D22" s="29" t="str">
        <f>Front!$B$1</f>
        <v>Revised Proposal - Front sections</v>
      </c>
    </row>
    <row r="23" spans="3:4" x14ac:dyDescent="0.2">
      <c r="C23" s="28">
        <f t="shared" si="0"/>
        <v>16</v>
      </c>
      <c r="D23" s="29" t="str">
        <f>Overview!$B$1</f>
        <v>Revised Proposal - Overview of our Revised Proposal</v>
      </c>
    </row>
    <row r="24" spans="3:4" x14ac:dyDescent="0.2">
      <c r="C24" s="28">
        <f t="shared" si="0"/>
        <v>17</v>
      </c>
      <c r="D24" s="29" t="str">
        <f>Summary!$B$1</f>
        <v>Revised Proposal - Summary of responses</v>
      </c>
    </row>
    <row r="25" spans="3:4" x14ac:dyDescent="0.2">
      <c r="C25" s="28">
        <f t="shared" si="0"/>
        <v>18</v>
      </c>
      <c r="D25" s="29" t="str">
        <f>'1'!$B$1</f>
        <v>Revised Proposal - Chapter 1: Customer engagement since the initial regulatory proposal</v>
      </c>
    </row>
    <row r="26" spans="3:4" x14ac:dyDescent="0.2">
      <c r="C26" s="28">
        <f t="shared" si="0"/>
        <v>19</v>
      </c>
      <c r="D26" s="29" t="str">
        <f>'2'!$B$1</f>
        <v>Revised Proposal - Chapter 2: Revenue</v>
      </c>
    </row>
    <row r="27" spans="3:4" x14ac:dyDescent="0.2">
      <c r="C27" s="28">
        <f t="shared" si="0"/>
        <v>20</v>
      </c>
      <c r="D27" s="29" t="str">
        <f>'3'!$B$1</f>
        <v>Revised Proposal - Chapter 3: Capital expenditure</v>
      </c>
    </row>
    <row r="28" spans="3:4" x14ac:dyDescent="0.2">
      <c r="C28" s="28">
        <f t="shared" si="0"/>
        <v>21</v>
      </c>
      <c r="D28" s="29" t="str">
        <f>'4'!$B$1</f>
        <v>Revised Proposal - Chapter 4: Contingent Projects</v>
      </c>
    </row>
    <row r="29" spans="3:4" x14ac:dyDescent="0.2">
      <c r="C29" s="28">
        <f t="shared" si="0"/>
        <v>22</v>
      </c>
      <c r="D29" s="29" t="str">
        <f>'5'!$B$1</f>
        <v>Revised Proposal - Chapter 5: Operating Expenditure</v>
      </c>
    </row>
    <row r="30" spans="3:4" x14ac:dyDescent="0.2">
      <c r="C30" s="28">
        <f t="shared" si="0"/>
        <v>23</v>
      </c>
      <c r="D30" s="29" t="str">
        <f>'6'!$B$1</f>
        <v>Revised Proposal - Chapter 6: Pass through events</v>
      </c>
    </row>
    <row r="31" spans="3:4" x14ac:dyDescent="0.2">
      <c r="C31" s="28">
        <f t="shared" si="0"/>
        <v>24</v>
      </c>
      <c r="D31" s="29" t="str">
        <f>'7'!$B$1</f>
        <v>Revised Proposal - Chapter 7: Tariffs</v>
      </c>
    </row>
    <row r="32" spans="3:4" x14ac:dyDescent="0.2">
      <c r="C32" s="28">
        <f t="shared" si="0"/>
        <v>25</v>
      </c>
      <c r="D32" s="29" t="str">
        <f>'8'!$B$1</f>
        <v>Revised Proposal - Chapter 8: Metering</v>
      </c>
    </row>
    <row r="33" spans="2:4" x14ac:dyDescent="0.2">
      <c r="C33" s="28">
        <f t="shared" si="0"/>
        <v>26</v>
      </c>
      <c r="D33" s="29" t="str">
        <f>'9'!$B$1</f>
        <v>Revised Proposal - Chapter 9: Ancillary services</v>
      </c>
    </row>
    <row r="34" spans="2:4" x14ac:dyDescent="0.2">
      <c r="C34" s="28">
        <f t="shared" si="0"/>
        <v>27</v>
      </c>
      <c r="D34" s="29" t="str">
        <f>TSS!$B$1</f>
        <v>Tariff Structure Statement - Attachment 7.1</v>
      </c>
    </row>
    <row r="35" spans="2:4" x14ac:dyDescent="0.2">
      <c r="C35" s="28">
        <f t="shared" si="0"/>
        <v>28</v>
      </c>
      <c r="D35" s="29" t="str">
        <f>TSES!$B$1</f>
        <v>Tariff Structure Explanatory Statement - Attachment 7.2</v>
      </c>
    </row>
    <row r="36" spans="2:4" x14ac:dyDescent="0.2">
      <c r="C36" s="28">
        <f t="shared" si="0"/>
        <v>29</v>
      </c>
      <c r="D36" s="29" t="str">
        <f>TSS_O!$B$1</f>
        <v>Overview - Tariff structure statement - Attachment 7.3</v>
      </c>
    </row>
    <row r="37" spans="2:4" x14ac:dyDescent="0.2">
      <c r="C37" s="28">
        <f t="shared" si="0"/>
        <v>30</v>
      </c>
      <c r="D37" s="29" t="str">
        <f>Model_Links!$B$1</f>
        <v>Outputs: Links to model suite</v>
      </c>
    </row>
    <row r="38" spans="2:4" x14ac:dyDescent="0.2">
      <c r="C38" s="28">
        <f t="shared" si="0"/>
        <v>31</v>
      </c>
      <c r="D38" s="29" t="str">
        <f>LookupTab!$B$1</f>
        <v>Lookup tables</v>
      </c>
    </row>
    <row r="39" spans="2:4" x14ac:dyDescent="0.2">
      <c r="C39" s="28">
        <f t="shared" si="0"/>
        <v>32</v>
      </c>
      <c r="D39" s="29" t="str">
        <f>Checks!$B$1</f>
        <v>Checks</v>
      </c>
    </row>
    <row r="41" spans="2:4" s="6" customFormat="1" ht="18.75" x14ac:dyDescent="0.2">
      <c r="B41" s="6" t="s">
        <v>43</v>
      </c>
    </row>
  </sheetData>
  <hyperlinks>
    <hyperlink ref="D8" location="Input_General!A1" display="Input_General!A1" xr:uid="{62504368-4D27-4681-A2A7-69FCBFC4C8DD}"/>
    <hyperlink ref="D9" location="Input_CPI!B1" display="Input_CPI!B1" xr:uid="{F987F237-D2B2-45E1-AF09-081BB94234C2}"/>
    <hyperlink ref="B4" location="ToC!A1" display="ToC!A1" xr:uid="{AF85CBF8-B80C-43DD-A167-C83694121443}"/>
    <hyperlink ref="D11" location="Input_Revenue!A1" display="Input_Revenue!A1" xr:uid="{894875F3-C0BD-4551-91C2-6DDE8F62203C}"/>
    <hyperlink ref="D12" location="Input_Opex!A1" display="Input_Opex!A1" xr:uid="{BEAE6520-AF87-439F-B6F7-A98E40994D80}"/>
    <hyperlink ref="D13" location="Input_Capex!A1" display="Input_Capex!A1" xr:uid="{4884F274-BC57-46C0-80B1-95EDB9BEAF5C}"/>
    <hyperlink ref="D17" location="Revenue!A1" display="Revenue!A1" xr:uid="{C6B1D3F9-E954-428E-942E-A8A7250D083D}"/>
    <hyperlink ref="D18" location="Opex!A1" display="Opex!A1" xr:uid="{A9593FCF-06D0-4414-BBA1-D2D8622C8D3A}"/>
    <hyperlink ref="D19" location="Capex!A1" display="Capex!A1" xr:uid="{04037CAD-95B0-4FC4-B357-1B26C10E1D0F}"/>
    <hyperlink ref="D38" location="LookupTab!A1" display="LookupTab!A1" xr:uid="{BF61490E-9258-4EBE-843C-8657DD1E5BE9}"/>
    <hyperlink ref="D39" location="Checks!A1" display="Checks!A1" xr:uid="{EE9716C8-2A7F-4A1A-A599-FAE076186279}"/>
    <hyperlink ref="D14" location="Input_AMI!A1" display="Input_AMI!A1" xr:uid="{48D5BFCD-B7F4-4C20-9626-202F6E935A55}"/>
    <hyperlink ref="D15" location="Input_ACS!A1" display="Input_ACS!A1" xr:uid="{69E4AA9D-002A-47C9-9E6D-2C1A34AAE721}"/>
    <hyperlink ref="D20" location="ACS_Metering!A1" display="ACS_Metering!A1" xr:uid="{9A5AE460-89BC-4F08-AC9A-3E22C243C71D}"/>
    <hyperlink ref="D21" location="ACS!A1" display="ACS!A1" xr:uid="{9488999F-C1A6-4419-9283-0957053B447F}"/>
    <hyperlink ref="D27" location="'3'!A1" display="'3'!A1" xr:uid="{6D3425EE-1DE2-4AC5-80EC-69F0A5DB816E}"/>
    <hyperlink ref="D26" location="'2'!A1" display="'2'!A1" xr:uid="{A544C15A-5B73-492A-B349-827036CDABB5}"/>
    <hyperlink ref="D25" location="'1'!A1" display="'1'!A1" xr:uid="{2B837E3E-FBBA-41E2-813A-B041ACC04902}"/>
    <hyperlink ref="D30" location="'6'!A1" display="'6'!A1" xr:uid="{57976980-95BB-466D-9C29-B09B83F103F9}"/>
    <hyperlink ref="D37" location="Model_Links!A1" display="Model_Links!A1" xr:uid="{098F567C-CF0B-41C6-8248-6F393702F6EF}"/>
    <hyperlink ref="D28" location="'4'!A1" display="'4'!A1" xr:uid="{A5BC44FD-1F03-4966-94F5-16D14BCD8E16}"/>
    <hyperlink ref="D29" location="'5'!A1" display="'5'!A1" xr:uid="{E017EC17-5042-49E1-A38A-2F98950CF4F3}"/>
    <hyperlink ref="D10" location="Input_Operating!A1" display="Input_Operating!A1" xr:uid="{DEDBA5BF-A27E-4D2C-B816-8770C06E795D}"/>
    <hyperlink ref="D31:D33" location="'7'!A1" display="'7'!A1" xr:uid="{488379FE-AC1A-4AA7-BD3D-F6F923D3713A}"/>
    <hyperlink ref="D23" location="Overview!A1" display="Overview!A1" xr:uid="{299B164B-DA11-4E26-8D1E-788B20D3B4A2}"/>
    <hyperlink ref="D31" location="'7'!A1" display="'7'!A1" xr:uid="{BA9027D9-1968-4B56-A695-B9D047F7134D}"/>
    <hyperlink ref="D32" location="'8'!A1" display="'8'!A1" xr:uid="{C3441BDE-D0AC-4DA4-82EF-DC22E54C250B}"/>
    <hyperlink ref="D33" location="'9'!A1" display="'9'!A1" xr:uid="{AFDC05C5-4B62-42D8-906A-074C3660532A}"/>
    <hyperlink ref="D16" location="Input_Capex_Projects!A1" display="Input_Capex_Projects!A1" xr:uid="{62A0BFE0-F7CB-4DF2-AAA9-CB42CBC349FB}"/>
    <hyperlink ref="D34" location="TSS!A1" display="TSS!A1" xr:uid="{00F39DBA-5026-4294-BA0D-8B578305049A}"/>
    <hyperlink ref="D35" location="TSES!A1" display="TSES!A1" xr:uid="{727847FA-117F-4829-A20C-8BD087DA21DD}"/>
    <hyperlink ref="D36" location="TSS_O!A1" display="TSS_O!A1" xr:uid="{2CD76785-FE15-48BD-9052-55C782394DBF}"/>
    <hyperlink ref="D22" location="Front!A1" display="Front!A1" xr:uid="{1B2C416C-C8EA-4726-A941-7F8214795694}"/>
    <hyperlink ref="D24" location="Summary!A1" display="Summary!A1" xr:uid="{2988FAFA-0D12-4DD6-BA45-717C9619B0C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F11F7-9857-4DB1-A3FC-5F1F6B8ECF05}">
  <sheetPr codeName="Sheet2">
    <tabColor theme="4" tint="0.79998168889431442"/>
  </sheetPr>
  <dimension ref="A1:F103"/>
  <sheetViews>
    <sheetView showGridLines="0" zoomScaleNormal="100" workbookViewId="0">
      <pane xSplit="5" ySplit="4" topLeftCell="F5" activePane="bottomRight" state="frozen"/>
      <selection activeCell="B5" sqref="B5"/>
      <selection pane="topRight" activeCell="B5" sqref="B5"/>
      <selection pane="bottomLeft" activeCell="B5" sqref="B5"/>
      <selection pane="bottomRight" activeCell="F5" sqref="F5"/>
    </sheetView>
  </sheetViews>
  <sheetFormatPr defaultRowHeight="12.75" outlineLevelRow="1" x14ac:dyDescent="0.2"/>
  <cols>
    <col min="1" max="3" width="3.7109375" customWidth="1"/>
    <col min="4" max="4" width="5.7109375" customWidth="1"/>
    <col min="5" max="5" width="50.7109375" customWidth="1"/>
    <col min="6" max="24" width="10.5703125" customWidth="1"/>
  </cols>
  <sheetData>
    <row r="1" spans="1:6" ht="23.25" x14ac:dyDescent="0.35">
      <c r="A1" s="52">
        <f>IF(SUM(A5:A103)&lt;&gt;0,1,0)</f>
        <v>0</v>
      </c>
      <c r="B1" s="16" t="s">
        <v>573</v>
      </c>
      <c r="C1" s="16"/>
    </row>
    <row r="2" spans="1:6" ht="15" x14ac:dyDescent="0.2">
      <c r="B2" s="34" t="str">
        <f>Model_Name</f>
        <v>Power and Water - Revised Proposal - Tables and Charts</v>
      </c>
    </row>
    <row r="3" spans="1:6" x14ac:dyDescent="0.2">
      <c r="B3" s="37" t="str">
        <f>"Model Checks:"&amp;IF(Model_Checks=0," OK"," Check")</f>
        <v>Model Checks: OK</v>
      </c>
    </row>
    <row r="4" spans="1:6" x14ac:dyDescent="0.2">
      <c r="B4" s="29" t="str">
        <f>ToC!$B$1</f>
        <v>Table of contents</v>
      </c>
    </row>
    <row r="6" spans="1:6" s="6" customFormat="1" ht="18.75" x14ac:dyDescent="0.2">
      <c r="B6" s="17" t="s">
        <v>574</v>
      </c>
      <c r="C6" s="17"/>
    </row>
    <row r="8" spans="1:6" x14ac:dyDescent="0.2">
      <c r="D8" s="108" t="s">
        <v>558</v>
      </c>
      <c r="E8" s="30" t="s">
        <v>1315</v>
      </c>
    </row>
    <row r="9" spans="1:6" x14ac:dyDescent="0.2">
      <c r="D9" s="82"/>
    </row>
    <row r="10" spans="1:6" s="6" customFormat="1" ht="18.75" x14ac:dyDescent="0.2">
      <c r="B10" s="17" t="s">
        <v>575</v>
      </c>
      <c r="C10" s="17"/>
    </row>
    <row r="11" spans="1:6" s="1" customFormat="1" ht="11.25" x14ac:dyDescent="0.2">
      <c r="B11" s="2"/>
      <c r="C11" s="2"/>
      <c r="D11" s="2"/>
      <c r="F11" s="4"/>
    </row>
    <row r="12" spans="1:6" ht="15" x14ac:dyDescent="0.2">
      <c r="C12" s="34" t="s">
        <v>44</v>
      </c>
    </row>
    <row r="14" spans="1:6" x14ac:dyDescent="0.2">
      <c r="E14" s="9" t="s">
        <v>45</v>
      </c>
    </row>
    <row r="15" spans="1:6" x14ac:dyDescent="0.2">
      <c r="D15" s="27">
        <v>1</v>
      </c>
      <c r="E15" s="30" t="s">
        <v>69</v>
      </c>
    </row>
    <row r="16" spans="1:6" x14ac:dyDescent="0.2">
      <c r="D16" s="28">
        <f>D15+1</f>
        <v>2</v>
      </c>
      <c r="E16" s="30" t="s">
        <v>46</v>
      </c>
    </row>
    <row r="17" spans="3:5" x14ac:dyDescent="0.2">
      <c r="D17" s="28">
        <f t="shared" ref="D17:D23" si="0">D16+1</f>
        <v>3</v>
      </c>
      <c r="E17" s="30" t="s">
        <v>128</v>
      </c>
    </row>
    <row r="18" spans="3:5" x14ac:dyDescent="0.2">
      <c r="D18" s="28">
        <f t="shared" si="0"/>
        <v>4</v>
      </c>
      <c r="E18" s="30" t="s">
        <v>73</v>
      </c>
    </row>
    <row r="19" spans="3:5" x14ac:dyDescent="0.2">
      <c r="D19" s="28">
        <f t="shared" si="0"/>
        <v>5</v>
      </c>
      <c r="E19" s="30" t="s">
        <v>74</v>
      </c>
    </row>
    <row r="20" spans="3:5" x14ac:dyDescent="0.2">
      <c r="D20" s="28">
        <f t="shared" si="0"/>
        <v>6</v>
      </c>
      <c r="E20" s="30" t="s">
        <v>601</v>
      </c>
    </row>
    <row r="21" spans="3:5" x14ac:dyDescent="0.2">
      <c r="D21" s="28">
        <f t="shared" si="0"/>
        <v>7</v>
      </c>
      <c r="E21" s="30" t="s">
        <v>70</v>
      </c>
    </row>
    <row r="22" spans="3:5" x14ac:dyDescent="0.2">
      <c r="D22" s="28">
        <f t="shared" si="0"/>
        <v>8</v>
      </c>
      <c r="E22" s="30" t="s">
        <v>71</v>
      </c>
    </row>
    <row r="23" spans="3:5" x14ac:dyDescent="0.2">
      <c r="D23" s="28">
        <f t="shared" si="0"/>
        <v>9</v>
      </c>
      <c r="E23" s="30" t="s">
        <v>68</v>
      </c>
    </row>
    <row r="25" spans="3:5" ht="15" x14ac:dyDescent="0.2">
      <c r="C25" s="34" t="s">
        <v>48</v>
      </c>
    </row>
    <row r="27" spans="3:5" x14ac:dyDescent="0.2">
      <c r="E27" s="9" t="s">
        <v>47</v>
      </c>
    </row>
    <row r="28" spans="3:5" x14ac:dyDescent="0.2">
      <c r="D28" s="27">
        <v>1</v>
      </c>
      <c r="E28" s="30" t="s">
        <v>140</v>
      </c>
    </row>
    <row r="29" spans="3:5" x14ac:dyDescent="0.2">
      <c r="D29" s="28">
        <f>D28+1</f>
        <v>2</v>
      </c>
      <c r="E29" s="30" t="s">
        <v>141</v>
      </c>
    </row>
    <row r="30" spans="3:5" x14ac:dyDescent="0.2">
      <c r="D30" s="28">
        <f t="shared" ref="D30:D39" si="1">D29+1</f>
        <v>3</v>
      </c>
      <c r="E30" s="30" t="s">
        <v>142</v>
      </c>
    </row>
    <row r="31" spans="3:5" x14ac:dyDescent="0.2">
      <c r="D31" s="28">
        <f t="shared" si="1"/>
        <v>4</v>
      </c>
      <c r="E31" s="30" t="s">
        <v>143</v>
      </c>
    </row>
    <row r="32" spans="3:5" x14ac:dyDescent="0.2">
      <c r="D32" s="28">
        <f t="shared" si="1"/>
        <v>5</v>
      </c>
      <c r="E32" s="30" t="s">
        <v>144</v>
      </c>
    </row>
    <row r="33" spans="4:5" x14ac:dyDescent="0.2">
      <c r="D33" s="28">
        <f t="shared" si="1"/>
        <v>6</v>
      </c>
      <c r="E33" s="30" t="s">
        <v>145</v>
      </c>
    </row>
    <row r="34" spans="4:5" x14ac:dyDescent="0.2">
      <c r="D34" s="28">
        <f t="shared" si="1"/>
        <v>7</v>
      </c>
      <c r="E34" s="30" t="s">
        <v>146</v>
      </c>
    </row>
    <row r="35" spans="4:5" x14ac:dyDescent="0.2">
      <c r="D35" s="28">
        <f t="shared" si="1"/>
        <v>8</v>
      </c>
      <c r="E35" s="30" t="s">
        <v>147</v>
      </c>
    </row>
    <row r="36" spans="4:5" x14ac:dyDescent="0.2">
      <c r="D36" s="28">
        <f t="shared" si="1"/>
        <v>9</v>
      </c>
      <c r="E36" s="30" t="s">
        <v>148</v>
      </c>
    </row>
    <row r="37" spans="4:5" x14ac:dyDescent="0.2">
      <c r="D37" s="28">
        <f t="shared" si="1"/>
        <v>10</v>
      </c>
      <c r="E37" s="30" t="s">
        <v>149</v>
      </c>
    </row>
    <row r="38" spans="4:5" x14ac:dyDescent="0.2">
      <c r="D38" s="28">
        <f t="shared" si="1"/>
        <v>11</v>
      </c>
      <c r="E38" s="30" t="s">
        <v>150</v>
      </c>
    </row>
    <row r="39" spans="4:5" x14ac:dyDescent="0.2">
      <c r="D39" s="28">
        <f t="shared" si="1"/>
        <v>12</v>
      </c>
      <c r="E39" s="30" t="s">
        <v>151</v>
      </c>
    </row>
    <row r="40" spans="4:5" x14ac:dyDescent="0.2">
      <c r="D40" s="28">
        <f t="shared" ref="D40:D77" si="2">D39+1</f>
        <v>13</v>
      </c>
      <c r="E40" s="30" t="s">
        <v>152</v>
      </c>
    </row>
    <row r="41" spans="4:5" x14ac:dyDescent="0.2">
      <c r="D41" s="28">
        <f t="shared" si="2"/>
        <v>14</v>
      </c>
      <c r="E41" s="30" t="s">
        <v>153</v>
      </c>
    </row>
    <row r="42" spans="4:5" x14ac:dyDescent="0.2">
      <c r="D42" s="28">
        <f t="shared" si="2"/>
        <v>15</v>
      </c>
      <c r="E42" s="30" t="s">
        <v>154</v>
      </c>
    </row>
    <row r="43" spans="4:5" x14ac:dyDescent="0.2">
      <c r="D43" s="28">
        <f t="shared" si="2"/>
        <v>16</v>
      </c>
      <c r="E43" s="30" t="s">
        <v>155</v>
      </c>
    </row>
    <row r="44" spans="4:5" x14ac:dyDescent="0.2">
      <c r="D44" s="28">
        <f t="shared" si="2"/>
        <v>17</v>
      </c>
      <c r="E44" s="30" t="s">
        <v>37</v>
      </c>
    </row>
    <row r="45" spans="4:5" x14ac:dyDescent="0.2">
      <c r="D45" s="28">
        <f t="shared" si="2"/>
        <v>18</v>
      </c>
      <c r="E45" s="30" t="s">
        <v>156</v>
      </c>
    </row>
    <row r="46" spans="4:5" x14ac:dyDescent="0.2">
      <c r="D46" s="28">
        <f t="shared" si="2"/>
        <v>19</v>
      </c>
      <c r="E46" s="30" t="s">
        <v>183</v>
      </c>
    </row>
    <row r="47" spans="4:5" x14ac:dyDescent="0.2">
      <c r="D47" s="28">
        <f t="shared" si="2"/>
        <v>20</v>
      </c>
      <c r="E47" s="30" t="s">
        <v>167</v>
      </c>
    </row>
    <row r="48" spans="4:5" hidden="1" outlineLevel="1" x14ac:dyDescent="0.2">
      <c r="D48" s="28">
        <f t="shared" si="2"/>
        <v>21</v>
      </c>
      <c r="E48" s="30" t="s">
        <v>37</v>
      </c>
    </row>
    <row r="49" spans="4:5" hidden="1" outlineLevel="1" x14ac:dyDescent="0.2">
      <c r="D49" s="28">
        <f t="shared" si="2"/>
        <v>22</v>
      </c>
      <c r="E49" s="30" t="s">
        <v>37</v>
      </c>
    </row>
    <row r="50" spans="4:5" hidden="1" outlineLevel="1" x14ac:dyDescent="0.2">
      <c r="D50" s="28">
        <f t="shared" si="2"/>
        <v>23</v>
      </c>
      <c r="E50" s="30" t="s">
        <v>37</v>
      </c>
    </row>
    <row r="51" spans="4:5" hidden="1" outlineLevel="1" x14ac:dyDescent="0.2">
      <c r="D51" s="28">
        <f t="shared" si="2"/>
        <v>24</v>
      </c>
      <c r="E51" s="30" t="s">
        <v>37</v>
      </c>
    </row>
    <row r="52" spans="4:5" hidden="1" outlineLevel="1" x14ac:dyDescent="0.2">
      <c r="D52" s="28">
        <f t="shared" si="2"/>
        <v>25</v>
      </c>
      <c r="E52" s="30" t="s">
        <v>37</v>
      </c>
    </row>
    <row r="53" spans="4:5" hidden="1" outlineLevel="1" x14ac:dyDescent="0.2">
      <c r="D53" s="28">
        <f t="shared" si="2"/>
        <v>26</v>
      </c>
      <c r="E53" s="30" t="s">
        <v>37</v>
      </c>
    </row>
    <row r="54" spans="4:5" hidden="1" outlineLevel="1" x14ac:dyDescent="0.2">
      <c r="D54" s="28">
        <f t="shared" si="2"/>
        <v>27</v>
      </c>
      <c r="E54" s="30" t="s">
        <v>37</v>
      </c>
    </row>
    <row r="55" spans="4:5" hidden="1" outlineLevel="1" x14ac:dyDescent="0.2">
      <c r="D55" s="28">
        <f t="shared" si="2"/>
        <v>28</v>
      </c>
      <c r="E55" s="30" t="s">
        <v>37</v>
      </c>
    </row>
    <row r="56" spans="4:5" hidden="1" outlineLevel="1" x14ac:dyDescent="0.2">
      <c r="D56" s="28">
        <f t="shared" si="2"/>
        <v>29</v>
      </c>
      <c r="E56" s="30" t="s">
        <v>37</v>
      </c>
    </row>
    <row r="57" spans="4:5" hidden="1" outlineLevel="1" x14ac:dyDescent="0.2">
      <c r="D57" s="28">
        <f t="shared" si="2"/>
        <v>30</v>
      </c>
      <c r="E57" s="30" t="s">
        <v>37</v>
      </c>
    </row>
    <row r="58" spans="4:5" hidden="1" outlineLevel="1" x14ac:dyDescent="0.2">
      <c r="D58" s="28">
        <f t="shared" si="2"/>
        <v>31</v>
      </c>
      <c r="E58" s="30" t="s">
        <v>37</v>
      </c>
    </row>
    <row r="59" spans="4:5" hidden="1" outlineLevel="1" x14ac:dyDescent="0.2">
      <c r="D59" s="28">
        <f t="shared" si="2"/>
        <v>32</v>
      </c>
      <c r="E59" s="30" t="s">
        <v>37</v>
      </c>
    </row>
    <row r="60" spans="4:5" hidden="1" outlineLevel="1" x14ac:dyDescent="0.2">
      <c r="D60" s="28">
        <f t="shared" si="2"/>
        <v>33</v>
      </c>
      <c r="E60" s="30" t="s">
        <v>37</v>
      </c>
    </row>
    <row r="61" spans="4:5" hidden="1" outlineLevel="1" x14ac:dyDescent="0.2">
      <c r="D61" s="28">
        <f t="shared" si="2"/>
        <v>34</v>
      </c>
      <c r="E61" s="30" t="s">
        <v>37</v>
      </c>
    </row>
    <row r="62" spans="4:5" hidden="1" outlineLevel="1" x14ac:dyDescent="0.2">
      <c r="D62" s="28">
        <f t="shared" si="2"/>
        <v>35</v>
      </c>
      <c r="E62" s="30" t="s">
        <v>37</v>
      </c>
    </row>
    <row r="63" spans="4:5" hidden="1" outlineLevel="1" x14ac:dyDescent="0.2">
      <c r="D63" s="28">
        <f t="shared" si="2"/>
        <v>36</v>
      </c>
      <c r="E63" s="30" t="s">
        <v>37</v>
      </c>
    </row>
    <row r="64" spans="4:5" hidden="1" outlineLevel="1" x14ac:dyDescent="0.2">
      <c r="D64" s="28">
        <f t="shared" si="2"/>
        <v>37</v>
      </c>
      <c r="E64" s="30" t="s">
        <v>37</v>
      </c>
    </row>
    <row r="65" spans="4:5" hidden="1" outlineLevel="1" x14ac:dyDescent="0.2">
      <c r="D65" s="28">
        <f t="shared" si="2"/>
        <v>38</v>
      </c>
      <c r="E65" s="30" t="s">
        <v>37</v>
      </c>
    </row>
    <row r="66" spans="4:5" hidden="1" outlineLevel="1" x14ac:dyDescent="0.2">
      <c r="D66" s="28">
        <f t="shared" si="2"/>
        <v>39</v>
      </c>
      <c r="E66" s="30" t="s">
        <v>37</v>
      </c>
    </row>
    <row r="67" spans="4:5" hidden="1" outlineLevel="1" x14ac:dyDescent="0.2">
      <c r="D67" s="28">
        <f t="shared" si="2"/>
        <v>40</v>
      </c>
      <c r="E67" s="30" t="s">
        <v>37</v>
      </c>
    </row>
    <row r="68" spans="4:5" hidden="1" outlineLevel="1" x14ac:dyDescent="0.2">
      <c r="D68" s="28">
        <f t="shared" si="2"/>
        <v>41</v>
      </c>
      <c r="E68" s="30" t="s">
        <v>37</v>
      </c>
    </row>
    <row r="69" spans="4:5" hidden="1" outlineLevel="1" x14ac:dyDescent="0.2">
      <c r="D69" s="28">
        <f t="shared" si="2"/>
        <v>42</v>
      </c>
      <c r="E69" s="30" t="s">
        <v>37</v>
      </c>
    </row>
    <row r="70" spans="4:5" hidden="1" outlineLevel="1" x14ac:dyDescent="0.2">
      <c r="D70" s="28">
        <f t="shared" si="2"/>
        <v>43</v>
      </c>
      <c r="E70" s="30" t="s">
        <v>37</v>
      </c>
    </row>
    <row r="71" spans="4:5" hidden="1" outlineLevel="1" x14ac:dyDescent="0.2">
      <c r="D71" s="28">
        <f t="shared" si="2"/>
        <v>44</v>
      </c>
      <c r="E71" s="30" t="s">
        <v>37</v>
      </c>
    </row>
    <row r="72" spans="4:5" hidden="1" outlineLevel="1" x14ac:dyDescent="0.2">
      <c r="D72" s="28">
        <f t="shared" si="2"/>
        <v>45</v>
      </c>
      <c r="E72" s="30" t="s">
        <v>37</v>
      </c>
    </row>
    <row r="73" spans="4:5" hidden="1" outlineLevel="1" x14ac:dyDescent="0.2">
      <c r="D73" s="28">
        <f t="shared" si="2"/>
        <v>46</v>
      </c>
      <c r="E73" s="30" t="s">
        <v>37</v>
      </c>
    </row>
    <row r="74" spans="4:5" hidden="1" outlineLevel="1" x14ac:dyDescent="0.2">
      <c r="D74" s="28">
        <f t="shared" si="2"/>
        <v>47</v>
      </c>
      <c r="E74" s="30" t="s">
        <v>37</v>
      </c>
    </row>
    <row r="75" spans="4:5" hidden="1" outlineLevel="1" x14ac:dyDescent="0.2">
      <c r="D75" s="28">
        <f t="shared" si="2"/>
        <v>48</v>
      </c>
      <c r="E75" s="30" t="s">
        <v>37</v>
      </c>
    </row>
    <row r="76" spans="4:5" hidden="1" outlineLevel="1" x14ac:dyDescent="0.2">
      <c r="D76" s="28">
        <f t="shared" si="2"/>
        <v>49</v>
      </c>
      <c r="E76" s="30" t="s">
        <v>37</v>
      </c>
    </row>
    <row r="77" spans="4:5" hidden="1" outlineLevel="1" x14ac:dyDescent="0.2">
      <c r="D77" s="28">
        <f t="shared" si="2"/>
        <v>50</v>
      </c>
      <c r="E77" s="30" t="s">
        <v>37</v>
      </c>
    </row>
    <row r="78" spans="4:5" collapsed="1" x14ac:dyDescent="0.2"/>
    <row r="79" spans="4:5" x14ac:dyDescent="0.2">
      <c r="E79" s="9" t="s">
        <v>107</v>
      </c>
    </row>
    <row r="80" spans="4:5" x14ac:dyDescent="0.2">
      <c r="D80" s="27">
        <v>1</v>
      </c>
      <c r="E80" s="30" t="s">
        <v>108</v>
      </c>
    </row>
    <row r="81" spans="2:5" x14ac:dyDescent="0.2">
      <c r="D81" s="28">
        <f>D80+1</f>
        <v>2</v>
      </c>
      <c r="E81" s="30" t="s">
        <v>109</v>
      </c>
    </row>
    <row r="82" spans="2:5" x14ac:dyDescent="0.2">
      <c r="D82" s="28">
        <f t="shared" ref="D82:D89" si="3">D81+1</f>
        <v>3</v>
      </c>
      <c r="E82" s="30" t="s">
        <v>110</v>
      </c>
    </row>
    <row r="83" spans="2:5" x14ac:dyDescent="0.2">
      <c r="D83" s="28">
        <f t="shared" si="3"/>
        <v>4</v>
      </c>
      <c r="E83" s="30" t="s">
        <v>111</v>
      </c>
    </row>
    <row r="84" spans="2:5" x14ac:dyDescent="0.2">
      <c r="D84" s="28">
        <f t="shared" si="3"/>
        <v>5</v>
      </c>
      <c r="E84" s="30" t="s">
        <v>112</v>
      </c>
    </row>
    <row r="85" spans="2:5" x14ac:dyDescent="0.2">
      <c r="D85" s="28">
        <f t="shared" si="3"/>
        <v>6</v>
      </c>
      <c r="E85" s="30" t="s">
        <v>113</v>
      </c>
    </row>
    <row r="86" spans="2:5" x14ac:dyDescent="0.2">
      <c r="D86" s="28">
        <f t="shared" si="3"/>
        <v>7</v>
      </c>
      <c r="E86" s="30" t="s">
        <v>114</v>
      </c>
    </row>
    <row r="87" spans="2:5" x14ac:dyDescent="0.2">
      <c r="D87" s="28">
        <f t="shared" si="3"/>
        <v>8</v>
      </c>
      <c r="E87" s="30" t="s">
        <v>115</v>
      </c>
    </row>
    <row r="88" spans="2:5" x14ac:dyDescent="0.2">
      <c r="D88" s="28">
        <f t="shared" si="3"/>
        <v>9</v>
      </c>
      <c r="E88" s="30" t="s">
        <v>156</v>
      </c>
    </row>
    <row r="89" spans="2:5" x14ac:dyDescent="0.2">
      <c r="D89" s="28">
        <f t="shared" si="3"/>
        <v>10</v>
      </c>
      <c r="E89" s="30" t="s">
        <v>157</v>
      </c>
    </row>
    <row r="91" spans="2:5" s="6" customFormat="1" ht="18.75" x14ac:dyDescent="0.2">
      <c r="B91" s="17" t="s">
        <v>576</v>
      </c>
      <c r="C91" s="17"/>
    </row>
    <row r="93" spans="2:5" x14ac:dyDescent="0.2">
      <c r="E93" s="9" t="s">
        <v>239</v>
      </c>
    </row>
    <row r="94" spans="2:5" x14ac:dyDescent="0.2">
      <c r="D94" s="27">
        <v>1</v>
      </c>
      <c r="E94" s="30" t="s">
        <v>63</v>
      </c>
    </row>
    <row r="95" spans="2:5" x14ac:dyDescent="0.2">
      <c r="D95" s="28">
        <f t="shared" ref="D95:D101" si="4">D94+1</f>
        <v>2</v>
      </c>
      <c r="E95" s="30" t="s">
        <v>64</v>
      </c>
    </row>
    <row r="96" spans="2:5" x14ac:dyDescent="0.2">
      <c r="D96" s="28">
        <f t="shared" si="4"/>
        <v>3</v>
      </c>
      <c r="E96" s="30" t="s">
        <v>600</v>
      </c>
    </row>
    <row r="97" spans="2:5" x14ac:dyDescent="0.2">
      <c r="D97" s="28">
        <f t="shared" si="4"/>
        <v>4</v>
      </c>
      <c r="E97" s="30" t="s">
        <v>65</v>
      </c>
    </row>
    <row r="98" spans="2:5" x14ac:dyDescent="0.2">
      <c r="D98" s="28">
        <f t="shared" si="4"/>
        <v>5</v>
      </c>
      <c r="E98" s="30" t="s">
        <v>601</v>
      </c>
    </row>
    <row r="99" spans="2:5" x14ac:dyDescent="0.2">
      <c r="D99" s="28">
        <f t="shared" si="4"/>
        <v>6</v>
      </c>
      <c r="E99" s="30" t="s">
        <v>66</v>
      </c>
    </row>
    <row r="100" spans="2:5" x14ac:dyDescent="0.2">
      <c r="D100" s="28">
        <f t="shared" si="4"/>
        <v>7</v>
      </c>
      <c r="E100" s="30" t="s">
        <v>67</v>
      </c>
    </row>
    <row r="101" spans="2:5" x14ac:dyDescent="0.2">
      <c r="D101" s="28">
        <f t="shared" si="4"/>
        <v>8</v>
      </c>
      <c r="E101" s="30" t="s">
        <v>68</v>
      </c>
    </row>
    <row r="103" spans="2:5" s="6" customFormat="1" ht="18.75" x14ac:dyDescent="0.2">
      <c r="B103" s="6" t="s">
        <v>43</v>
      </c>
    </row>
  </sheetData>
  <hyperlinks>
    <hyperlink ref="B4" location="ToC!A1" display="ToC!A1" xr:uid="{28B6A710-48BD-47F7-A796-A594ECDFEC74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18C18-B7E7-44BC-BB09-A6E77903D3B2}">
  <sheetPr codeName="Sheet3">
    <tabColor theme="4" tint="0.79998168889431442"/>
  </sheetPr>
  <dimension ref="A1:AH30"/>
  <sheetViews>
    <sheetView showGridLines="0" zoomScaleNormal="100" workbookViewId="0">
      <pane xSplit="4" ySplit="4" topLeftCell="E5" activePane="bottomRight" state="frozen"/>
      <selection activeCell="B5" sqref="B5"/>
      <selection pane="topRight" activeCell="B5" sqref="B5"/>
      <selection pane="bottomLeft" activeCell="B5" sqref="B5"/>
      <selection pane="bottomRight" activeCell="E5" sqref="E5"/>
    </sheetView>
  </sheetViews>
  <sheetFormatPr defaultRowHeight="12.75" x14ac:dyDescent="0.2"/>
  <cols>
    <col min="1" max="3" width="3.7109375" customWidth="1"/>
    <col min="4" max="4" width="39.7109375" customWidth="1"/>
    <col min="5" max="8" width="14.7109375" customWidth="1"/>
    <col min="9" max="9" width="2.5703125" customWidth="1"/>
  </cols>
  <sheetData>
    <row r="1" spans="1:34" ht="23.25" x14ac:dyDescent="0.35">
      <c r="A1" s="52">
        <f>IF(SUM(A5:A30)&lt;&gt;0,1,0)</f>
        <v>0</v>
      </c>
      <c r="B1" s="16" t="s">
        <v>577</v>
      </c>
    </row>
    <row r="2" spans="1:34" ht="15" x14ac:dyDescent="0.2">
      <c r="B2" s="34" t="str">
        <f>Model_Name</f>
        <v>Power and Water - Revised Proposal - Tables and Charts</v>
      </c>
    </row>
    <row r="3" spans="1:34" x14ac:dyDescent="0.2">
      <c r="B3" s="37" t="str">
        <f>"Model Checks:"&amp;IF(Model_Checks=0," OK"," Check")</f>
        <v>Model Checks: OK</v>
      </c>
    </row>
    <row r="4" spans="1:34" x14ac:dyDescent="0.2">
      <c r="B4" s="29" t="str">
        <f>ToC!$B$1</f>
        <v>Table of contents</v>
      </c>
    </row>
    <row r="6" spans="1:34" s="6" customFormat="1" ht="18.75" x14ac:dyDescent="0.2">
      <c r="B6" s="17" t="s">
        <v>578</v>
      </c>
      <c r="E6" s="17"/>
    </row>
    <row r="7" spans="1:34" s="1" customFormat="1" ht="11.25" x14ac:dyDescent="0.2">
      <c r="B7" s="2"/>
      <c r="C7" s="2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34" s="1" customFormat="1" ht="15" x14ac:dyDescent="0.2">
      <c r="B8" s="2"/>
      <c r="C8" s="18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4"/>
      <c r="J8" s="20">
        <f t="shared" ref="J8:Q8" si="0">K8-1</f>
        <v>2005</v>
      </c>
      <c r="K8" s="20">
        <f t="shared" si="0"/>
        <v>2006</v>
      </c>
      <c r="L8" s="20">
        <f t="shared" si="0"/>
        <v>2007</v>
      </c>
      <c r="M8" s="20">
        <f t="shared" si="0"/>
        <v>2008</v>
      </c>
      <c r="N8" s="20">
        <f t="shared" si="0"/>
        <v>2009</v>
      </c>
      <c r="O8" s="20">
        <f t="shared" si="0"/>
        <v>2010</v>
      </c>
      <c r="P8" s="20">
        <f t="shared" si="0"/>
        <v>2011</v>
      </c>
      <c r="Q8" s="20">
        <f t="shared" si="0"/>
        <v>2012</v>
      </c>
      <c r="R8" s="20">
        <f>LookupTab!K$39</f>
        <v>2013</v>
      </c>
      <c r="S8" s="20">
        <f>LookupTab!L$39</f>
        <v>2014</v>
      </c>
      <c r="T8" s="20">
        <f>LookupTab!M$39</f>
        <v>2015</v>
      </c>
      <c r="U8" s="20">
        <f>LookupTab!N$39</f>
        <v>2016</v>
      </c>
      <c r="V8" s="20">
        <f>LookupTab!O$39</f>
        <v>2017</v>
      </c>
      <c r="W8" s="20">
        <f>LookupTab!P$39</f>
        <v>2018</v>
      </c>
      <c r="X8" s="20">
        <f>LookupTab!Q$39</f>
        <v>2019</v>
      </c>
      <c r="Y8" s="20">
        <f>LookupTab!R$39</f>
        <v>2020</v>
      </c>
      <c r="Z8" s="20">
        <f>LookupTab!S$39</f>
        <v>2021</v>
      </c>
      <c r="AA8" s="20">
        <f>LookupTab!T$39</f>
        <v>2022</v>
      </c>
      <c r="AB8" s="20">
        <f>LookupTab!U$39</f>
        <v>2023</v>
      </c>
      <c r="AC8" s="20">
        <f>LookupTab!V$39</f>
        <v>2024</v>
      </c>
      <c r="AD8" s="20">
        <f>LookupTab!W$39</f>
        <v>2025</v>
      </c>
      <c r="AE8" s="20">
        <f>LookupTab!X$39</f>
        <v>2026</v>
      </c>
      <c r="AF8" s="20">
        <f>LookupTab!Y$39</f>
        <v>2027</v>
      </c>
      <c r="AG8" s="20">
        <f>LookupTab!Z$39</f>
        <v>2028</v>
      </c>
      <c r="AH8" s="20">
        <f>LookupTab!AA$39</f>
        <v>2029</v>
      </c>
    </row>
    <row r="9" spans="1:34" s="1" customFormat="1" x14ac:dyDescent="0.2">
      <c r="B9" s="2"/>
      <c r="C9" s="2"/>
      <c r="D9" s="37" t="s">
        <v>81</v>
      </c>
      <c r="E9" s="11" t="s">
        <v>579</v>
      </c>
      <c r="F9" s="23" t="str">
        <f>Unit_Perc</f>
        <v>Percent</v>
      </c>
      <c r="G9" s="11" t="s">
        <v>6</v>
      </c>
      <c r="H9" s="11" t="s">
        <v>6</v>
      </c>
      <c r="I9" s="4"/>
      <c r="J9" s="22">
        <v>2.4813895781637729E-2</v>
      </c>
      <c r="K9" s="22">
        <v>3.9951573849879018E-2</v>
      </c>
      <c r="L9" s="22">
        <v>2.0954598370197974E-2</v>
      </c>
      <c r="M9" s="22">
        <v>4.4469783352337311E-2</v>
      </c>
      <c r="N9" s="22">
        <v>1.4192139737991383E-2</v>
      </c>
      <c r="O9" s="22">
        <v>3.1216361679224924E-2</v>
      </c>
      <c r="P9" s="22">
        <v>3.5490605427975108E-2</v>
      </c>
      <c r="Q9" s="22">
        <v>1.2096774193548487E-2</v>
      </c>
      <c r="R9" s="22">
        <v>2.3904382470119501E-2</v>
      </c>
      <c r="S9" s="22">
        <v>3.0155642023346418E-2</v>
      </c>
      <c r="T9" s="22">
        <v>1.5108593012275628E-2</v>
      </c>
      <c r="U9" s="22">
        <v>1.0232558139534831E-2</v>
      </c>
      <c r="V9" s="22">
        <v>1.9337016574585641E-2</v>
      </c>
      <c r="W9" s="22">
        <v>2.0776874435411097E-2</v>
      </c>
      <c r="X9" s="22">
        <v>1.5929203539823078E-2</v>
      </c>
      <c r="Y9" s="22">
        <v>-3.4843205574912606E-3</v>
      </c>
      <c r="Z9" s="22">
        <v>3.8461538461538325E-2</v>
      </c>
      <c r="AA9" s="22">
        <v>6.1447811447811418E-2</v>
      </c>
      <c r="AB9" s="22">
        <v>6.0269627279936566E-2</v>
      </c>
      <c r="AC9" s="22">
        <v>3.5999999999999997E-2</v>
      </c>
      <c r="AD9" s="22">
        <v>2.7997811278454687E-2</v>
      </c>
      <c r="AE9" s="22">
        <v>2.7997811278454687E-2</v>
      </c>
      <c r="AF9" s="22">
        <v>2.7997811278454687E-2</v>
      </c>
      <c r="AG9" s="22">
        <v>2.7997811278454687E-2</v>
      </c>
      <c r="AH9" s="22">
        <v>2.7997811278454687E-2</v>
      </c>
    </row>
    <row r="10" spans="1:34" s="1" customFormat="1" x14ac:dyDescent="0.2">
      <c r="B10" s="2"/>
      <c r="C10" s="2"/>
      <c r="D10" s="8" t="s">
        <v>7</v>
      </c>
      <c r="E10" s="11" t="s">
        <v>8</v>
      </c>
      <c r="F10" s="23" t="str">
        <f>Unit_Index</f>
        <v>Index</v>
      </c>
      <c r="G10" s="11" t="s">
        <v>6</v>
      </c>
      <c r="H10" s="11" t="s">
        <v>6</v>
      </c>
      <c r="J10" s="21">
        <f t="shared" ref="J10:S10" si="1">IF(I10="",1,I10*(1+J9))</f>
        <v>1</v>
      </c>
      <c r="K10" s="21">
        <f t="shared" si="1"/>
        <v>1.039951573849879</v>
      </c>
      <c r="L10" s="21">
        <f t="shared" si="1"/>
        <v>1.0617433414043584</v>
      </c>
      <c r="M10" s="21">
        <f t="shared" si="1"/>
        <v>1.1089588377723969</v>
      </c>
      <c r="N10" s="21">
        <f t="shared" si="1"/>
        <v>1.1246973365617432</v>
      </c>
      <c r="O10" s="21">
        <f t="shared" si="1"/>
        <v>1.1598062953995156</v>
      </c>
      <c r="P10" s="21">
        <f t="shared" si="1"/>
        <v>1.2009685230024214</v>
      </c>
      <c r="Q10" s="21">
        <f t="shared" si="1"/>
        <v>1.2154963680387412</v>
      </c>
      <c r="R10" s="21">
        <f t="shared" si="1"/>
        <v>1.2445520581113805</v>
      </c>
      <c r="S10" s="21">
        <f t="shared" si="1"/>
        <v>1.2820823244552062</v>
      </c>
      <c r="T10" s="21">
        <f t="shared" ref="T10:AH10" si="2">IF(S10="",1,S10*(1+T9))</f>
        <v>1.3014527845036323</v>
      </c>
      <c r="U10" s="21">
        <f t="shared" si="2"/>
        <v>1.3147699757869253</v>
      </c>
      <c r="V10" s="21">
        <f t="shared" si="2"/>
        <v>1.3401937046004846</v>
      </c>
      <c r="W10" s="21">
        <f t="shared" si="2"/>
        <v>1.3680387409200974</v>
      </c>
      <c r="X10" s="21">
        <f t="shared" si="2"/>
        <v>1.3898305084745768</v>
      </c>
      <c r="Y10" s="21">
        <f t="shared" si="2"/>
        <v>1.3849878934624702</v>
      </c>
      <c r="Z10" s="21">
        <f t="shared" si="2"/>
        <v>1.438256658595642</v>
      </c>
      <c r="AA10" s="21">
        <f t="shared" si="2"/>
        <v>1.5266343825665862</v>
      </c>
      <c r="AB10" s="21">
        <f t="shared" si="2"/>
        <v>1.6186440677966105</v>
      </c>
      <c r="AC10" s="21">
        <f t="shared" si="2"/>
        <v>1.6769152542372885</v>
      </c>
      <c r="AD10" s="21">
        <f t="shared" si="2"/>
        <v>1.723865211055386</v>
      </c>
      <c r="AE10" s="21">
        <f t="shared" si="2"/>
        <v>1.7721296639040083</v>
      </c>
      <c r="AF10" s="21">
        <f t="shared" si="2"/>
        <v>1.821745415794944</v>
      </c>
      <c r="AG10" s="21">
        <f t="shared" si="2"/>
        <v>1.8727503001437609</v>
      </c>
      <c r="AH10" s="21">
        <f t="shared" si="2"/>
        <v>1.9251832096188553</v>
      </c>
    </row>
    <row r="11" spans="1:34" s="1" customFormat="1" ht="11.25" x14ac:dyDescent="0.2">
      <c r="B11" s="2"/>
      <c r="C11" s="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34" s="1" customFormat="1" ht="12" thickBot="1" x14ac:dyDescent="0.25">
      <c r="B12" s="2"/>
      <c r="C12" s="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4"/>
      <c r="V12" s="4"/>
      <c r="W12" s="4"/>
      <c r="X12" s="4"/>
      <c r="Y12" s="4"/>
      <c r="Z12" s="4"/>
      <c r="AA12" s="4"/>
      <c r="AB12" s="4"/>
      <c r="AC12" s="4"/>
    </row>
    <row r="13" spans="1:34" s="1" customFormat="1" ht="26.25" thickBot="1" x14ac:dyDescent="0.25">
      <c r="B13" s="2"/>
      <c r="C13" s="18" t="s">
        <v>38</v>
      </c>
      <c r="E13" s="24" t="s">
        <v>39</v>
      </c>
      <c r="F13" s="25" t="s">
        <v>41</v>
      </c>
      <c r="G13" s="24" t="s">
        <v>40</v>
      </c>
      <c r="H13" s="25" t="s">
        <v>42</v>
      </c>
      <c r="I13" s="4"/>
      <c r="J13" s="20">
        <f>J8</f>
        <v>2005</v>
      </c>
      <c r="K13" s="20">
        <f>K8</f>
        <v>2006</v>
      </c>
      <c r="L13" s="20">
        <f>L8</f>
        <v>2007</v>
      </c>
      <c r="M13" s="20">
        <f>M8</f>
        <v>2008</v>
      </c>
      <c r="N13" s="20">
        <f t="shared" ref="N13:S13" si="3">N8</f>
        <v>2009</v>
      </c>
      <c r="O13" s="20">
        <f t="shared" si="3"/>
        <v>2010</v>
      </c>
      <c r="P13" s="20">
        <f t="shared" si="3"/>
        <v>2011</v>
      </c>
      <c r="Q13" s="20">
        <f t="shared" si="3"/>
        <v>2012</v>
      </c>
      <c r="R13" s="20">
        <f t="shared" si="3"/>
        <v>2013</v>
      </c>
      <c r="S13" s="20">
        <f t="shared" si="3"/>
        <v>2014</v>
      </c>
      <c r="T13" s="20">
        <f t="shared" ref="T13:AH13" si="4">T8</f>
        <v>2015</v>
      </c>
      <c r="U13" s="20">
        <f t="shared" si="4"/>
        <v>2016</v>
      </c>
      <c r="V13" s="20">
        <f t="shared" si="4"/>
        <v>2017</v>
      </c>
      <c r="W13" s="20">
        <f t="shared" si="4"/>
        <v>2018</v>
      </c>
      <c r="X13" s="20">
        <f t="shared" si="4"/>
        <v>2019</v>
      </c>
      <c r="Y13" s="20">
        <f t="shared" si="4"/>
        <v>2020</v>
      </c>
      <c r="Z13" s="20">
        <f t="shared" si="4"/>
        <v>2021</v>
      </c>
      <c r="AA13" s="20">
        <f t="shared" si="4"/>
        <v>2022</v>
      </c>
      <c r="AB13" s="20">
        <f t="shared" si="4"/>
        <v>2023</v>
      </c>
      <c r="AC13" s="20">
        <f t="shared" si="4"/>
        <v>2024</v>
      </c>
      <c r="AD13" s="20">
        <f t="shared" si="4"/>
        <v>2025</v>
      </c>
      <c r="AE13" s="20">
        <f t="shared" si="4"/>
        <v>2026</v>
      </c>
      <c r="AF13" s="20">
        <f t="shared" si="4"/>
        <v>2027</v>
      </c>
      <c r="AG13" s="20">
        <f t="shared" si="4"/>
        <v>2028</v>
      </c>
      <c r="AH13" s="20">
        <f t="shared" si="4"/>
        <v>2029</v>
      </c>
    </row>
    <row r="14" spans="1:34" s="1" customFormat="1" x14ac:dyDescent="0.2">
      <c r="B14" s="2"/>
      <c r="C14" s="2"/>
      <c r="D14" s="8" t="str">
        <f t="shared" ref="D14:D28" si="5">IF(E14=Nominal,"","Real ")&amp;E14&amp;" ("&amp;F14&amp;") to "
&amp;IF(G14=Nominal,"","Real ")&amp;G14&amp;" ("&amp;H14&amp;")"</f>
        <v>Nominal (End Period) to Nominal (Mid Period)</v>
      </c>
      <c r="E14" s="10" t="s">
        <v>9</v>
      </c>
      <c r="F14" s="10" t="s">
        <v>11</v>
      </c>
      <c r="G14" s="10" t="s">
        <v>9</v>
      </c>
      <c r="H14" s="10" t="s">
        <v>10</v>
      </c>
      <c r="I14" s="4"/>
      <c r="J14" s="21" cm="1">
        <f t="array" ref="J14">IFERROR(IF($G14=Nominal,J$10,INDEX($N$10:$AH$10,,MATCH($G14,$N$8:$AH$8,0)))
/IF($E14=Nominal,J$10,INDEX($N$10:$AH$10,,MATCH($E14,$N$8:$AH$8,0)))
*IF($H14=Mid_Period,1/(1+IF($G14=Nominal,J$9,INDEX($N$9:$AH$9,,MATCH($G14,$N$8:$AH$8,0))))^INDEX(Timing_Adj,MATCH($H14,Cash_Timing,0)),1)
*IF($F14=Mid_Period,(1+IF($E14=Nominal,J$9,INDEX($N$9:$AH$9,,MATCH($E14,$N$8:$AH$8,0))))^INDEX(Timing_Adj,MATCH($F14,Cash_Timing,0)),1),"N/A")</f>
        <v>0.98781927746904574</v>
      </c>
      <c r="K14" s="21" cm="1">
        <f t="array" ref="K14">IFERROR(IF($G14=Nominal,K$10,INDEX($N$10:$AH$10,,MATCH($G14,$N$8:$AH$8,0)))
/IF($E14=Nominal,K$10,INDEX($N$10:$AH$10,,MATCH($E14,$N$8:$AH$8,0)))
*IF($H14=Mid_Period,1/(1+IF($G14=Nominal,K$9,INDEX($N$9:$AH$9,,MATCH($G14,$N$8:$AH$8,0))))^INDEX(Timing_Adj,MATCH($H14,Cash_Timing,0)),1)
*IF($F14=Mid_Period,(1+IF($E14=Nominal,K$9,INDEX($N$9:$AH$9,,MATCH($E14,$N$8:$AH$8,0))))^INDEX(Timing_Adj,MATCH($F14,Cash_Timing,0)),1),"N/A")</f>
        <v>0.98060350617428649</v>
      </c>
      <c r="L14" s="21" cm="1">
        <f t="array" ref="L14">IFERROR(IF($G14=Nominal,L$10,INDEX($N$10:$AH$10,,MATCH($G14,$N$8:$AH$8,0)))
/IF($E14=Nominal,L$10,INDEX($N$10:$AH$10,,MATCH($E14,$N$8:$AH$8,0)))
*IF($H14=Mid_Period,1/(1+IF($G14=Nominal,L$9,INDEX($N$9:$AH$9,,MATCH($G14,$N$8:$AH$8,0))))^INDEX(Timing_Adj,MATCH($H14,Cash_Timing,0)),1)
*IF($F14=Mid_Period,(1+IF($E14=Nominal,L$9,INDEX($N$9:$AH$9,,MATCH($E14,$N$8:$AH$8,0))))^INDEX(Timing_Adj,MATCH($F14,Cash_Timing,0)),1),"N/A")</f>
        <v>0.98968453792439004</v>
      </c>
      <c r="M14" s="21" cm="1">
        <f t="array" ref="M14">IFERROR(IF($G14=Nominal,M$10,INDEX($N$10:$AH$10,,MATCH($G14,$N$8:$AH$8,0)))
/IF($E14=Nominal,M$10,INDEX($N$10:$AH$10,,MATCH($E14,$N$8:$AH$8,0)))
*IF($H14=Mid_Period,1/(1+IF($G14=Nominal,M$9,INDEX($N$9:$AH$9,,MATCH($G14,$N$8:$AH$8,0))))^INDEX(Timing_Adj,MATCH($H14,Cash_Timing,0)),1)
*IF($F14=Mid_Period,(1+IF($E14=Nominal,M$9,INDEX($N$9:$AH$9,,MATCH($E14,$N$8:$AH$8,0))))^INDEX(Timing_Adj,MATCH($F14,Cash_Timing,0)),1),"N/A")</f>
        <v>0.97848024036565318</v>
      </c>
      <c r="N14" s="21" cm="1">
        <f t="array" ref="N14">IFERROR(IF($G14=Nominal,N$10,INDEX($N$10:$AH$10,,MATCH($G14,$N$8:$AH$8,0)))
/IF($E14=Nominal,N$10,INDEX($N$10:$AH$10,,MATCH($E14,$N$8:$AH$8,0)))
*IF($H14=Mid_Period,1/(1+IF($G14=Nominal,N$9,INDEX($N$9:$AH$9,,MATCH($G14,$N$8:$AH$8,0))))^INDEX(Timing_Adj,MATCH($H14,Cash_Timing,0)),1)
*IF($F14=Mid_Period,(1+IF($E14=Nominal,N$9,INDEX($N$9:$AH$9,,MATCH($E14,$N$8:$AH$8,0))))^INDEX(Timing_Adj,MATCH($F14,Cash_Timing,0)),1),"N/A")</f>
        <v>0.99297857910308851</v>
      </c>
      <c r="O14" s="21" cm="1">
        <f t="array" ref="O14">IFERROR(IF($G14=Nominal,O$10,INDEX($N$10:$AH$10,,MATCH($G14,$N$8:$AH$8,0)))
/IF($E14=Nominal,O$10,INDEX($N$10:$AH$10,,MATCH($E14,$N$8:$AH$8,0)))
*IF($H14=Mid_Period,1/(1+IF($G14=Nominal,O$9,INDEX($N$9:$AH$9,,MATCH($G14,$N$8:$AH$8,0))))^INDEX(Timing_Adj,MATCH($H14,Cash_Timing,0)),1)
*IF($F14=Mid_Period,(1+IF($E14=Nominal,O$9,INDEX($N$9:$AH$9,,MATCH($E14,$N$8:$AH$8,0))))^INDEX(Timing_Adj,MATCH($F14,Cash_Timing,0)),1),"N/A")</f>
        <v>0.98474798870198754</v>
      </c>
      <c r="P14" s="21" cm="1">
        <f t="array" ref="P14">IFERROR(IF($G14=Nominal,P$10,INDEX($N$10:$AH$10,,MATCH($G14,$N$8:$AH$8,0)))
/IF($E14=Nominal,P$10,INDEX($N$10:$AH$10,,MATCH($E14,$N$8:$AH$8,0)))
*IF($H14=Mid_Period,1/(1+IF($G14=Nominal,P$9,INDEX($N$9:$AH$9,,MATCH($G14,$N$8:$AH$8,0))))^INDEX(Timing_Adj,MATCH($H14,Cash_Timing,0)),1)
*IF($F14=Mid_Period,(1+IF($E14=Nominal,P$9,INDEX($N$9:$AH$9,,MATCH($E14,$N$8:$AH$8,0))))^INDEX(Timing_Adj,MATCH($F14,Cash_Timing,0)),1),"N/A")</f>
        <v>0.98271349153841003</v>
      </c>
      <c r="Q14" s="21" cm="1">
        <f t="array" ref="Q14">IFERROR(IF($G14=Nominal,Q$10,INDEX($N$10:$AH$10,,MATCH($G14,$N$8:$AH$8,0)))
/IF($E14=Nominal,Q$10,INDEX($N$10:$AH$10,,MATCH($E14,$N$8:$AH$8,0)))
*IF($H14=Mid_Period,1/(1+IF($G14=Nominal,Q$9,INDEX($N$9:$AH$9,,MATCH($G14,$N$8:$AH$8,0))))^INDEX(Timing_Adj,MATCH($H14,Cash_Timing,0)),1)
*IF($F14=Mid_Period,(1+IF($E14=Nominal,Q$9,INDEX($N$9:$AH$9,,MATCH($E14,$N$8:$AH$8,0))))^INDEX(Timing_Adj,MATCH($F14,Cash_Timing,0)),1),"N/A")</f>
        <v>0.99400594000485742</v>
      </c>
      <c r="R14" s="21" cm="1">
        <f t="array" ref="R14">IFERROR(IF($G14=Nominal,R$10,INDEX($N$10:$AH$10,,MATCH($G14,$N$8:$AH$8,0)))
/IF($E14=Nominal,R$10,INDEX($N$10:$AH$10,,MATCH($E14,$N$8:$AH$8,0)))
*IF($H14=Mid_Period,1/(1+IF($G14=Nominal,R$9,INDEX($N$9:$AH$9,,MATCH($G14,$N$8:$AH$8,0))))^INDEX(Timing_Adj,MATCH($H14,Cash_Timing,0)),1)
*IF($F14=Mid_Period,(1+IF($E14=Nominal,R$9,INDEX($N$9:$AH$9,,MATCH($E14,$N$8:$AH$8,0))))^INDEX(Timing_Adj,MATCH($F14,Cash_Timing,0)),1),"N/A")</f>
        <v>0.98825790990917661</v>
      </c>
      <c r="S14" s="21" cm="1">
        <f t="array" ref="S14">IFERROR(IF($G14=Nominal,S$10,INDEX($N$10:$AH$10,,MATCH($G14,$N$8:$AH$8,0)))
/IF($E14=Nominal,S$10,INDEX($N$10:$AH$10,,MATCH($E14,$N$8:$AH$8,0)))
*IF($H14=Mid_Period,1/(1+IF($G14=Nominal,S$9,INDEX($N$9:$AH$9,,MATCH($G14,$N$8:$AH$8,0))))^INDEX(Timing_Adj,MATCH($H14,Cash_Timing,0)),1)
*IF($F14=Mid_Period,(1+IF($E14=Nominal,S$9,INDEX($N$9:$AH$9,,MATCH($E14,$N$8:$AH$8,0))))^INDEX(Timing_Adj,MATCH($F14,Cash_Timing,0)),1),"N/A")</f>
        <v>0.98525484065733759</v>
      </c>
      <c r="T14" s="21" cm="1">
        <f t="array" ref="T14">IFERROR(IF($G14=Nominal,T$10,INDEX($N$10:$AH$10,,MATCH($G14,$N$8:$AH$8,0)))
/IF($E14=Nominal,T$10,INDEX($N$10:$AH$10,,MATCH($E14,$N$8:$AH$8,0)))
*IF($H14=Mid_Period,1/(1+IF($G14=Nominal,T$9,INDEX($N$9:$AH$9,,MATCH($G14,$N$8:$AH$8,0))))^INDEX(Timing_Adj,MATCH($H14,Cash_Timing,0)),1)
*IF($F14=Mid_Period,(1+IF($E14=Nominal,T$9,INDEX($N$9:$AH$9,,MATCH($E14,$N$8:$AH$8,0))))^INDEX(Timing_Adj,MATCH($F14,Cash_Timing,0)),1),"N/A")</f>
        <v>0.99253024088426012</v>
      </c>
      <c r="U14" s="21" cm="1">
        <f t="array" ref="U14">IFERROR(IF($G14=Nominal,U$10,INDEX($N$10:$AH$10,,MATCH($G14,$N$8:$AH$8,0)))
/IF($E14=Nominal,U$10,INDEX($N$10:$AH$10,,MATCH($E14,$N$8:$AH$8,0)))
*IF($H14=Mid_Period,1/(1+IF($G14=Nominal,U$9,INDEX($N$9:$AH$9,,MATCH($G14,$N$8:$AH$8,0))))^INDEX(Timing_Adj,MATCH($H14,Cash_Timing,0)),1)
*IF($F14=Mid_Period,(1+IF($E14=Nominal,U$9,INDEX($N$9:$AH$9,,MATCH($E14,$N$8:$AH$8,0))))^INDEX(Timing_Adj,MATCH($F14,Cash_Timing,0)),1),"N/A")</f>
        <v>0.99492265355462151</v>
      </c>
      <c r="V14" s="21" cm="1">
        <f t="array" ref="V14">IFERROR(IF($G14=Nominal,V$10,INDEX($N$10:$AH$10,,MATCH($G14,$N$8:$AH$8,0)))
/IF($E14=Nominal,V$10,INDEX($N$10:$AH$10,,MATCH($E14,$N$8:$AH$8,0)))
*IF($H14=Mid_Period,1/(1+IF($G14=Nominal,V$9,INDEX($N$9:$AH$9,,MATCH($G14,$N$8:$AH$8,0))))^INDEX(Timing_Adj,MATCH($H14,Cash_Timing,0)),1)
*IF($F14=Mid_Period,(1+IF($E14=Nominal,V$9,INDEX($N$9:$AH$9,,MATCH($E14,$N$8:$AH$8,0))))^INDEX(Timing_Adj,MATCH($F14,Cash_Timing,0)),1),"N/A")</f>
        <v>0.99046948983706873</v>
      </c>
      <c r="W14" s="21" cm="1">
        <f t="array" ref="W14">IFERROR(IF($G14=Nominal,W$10,INDEX($N$10:$AH$10,,MATCH($G14,$N$8:$AH$8,0)))
/IF($E14=Nominal,W$10,INDEX($N$10:$AH$10,,MATCH($E14,$N$8:$AH$8,0)))
*IF($H14=Mid_Period,1/(1+IF($G14=Nominal,W$9,INDEX($N$9:$AH$9,,MATCH($G14,$N$8:$AH$8,0))))^INDEX(Timing_Adj,MATCH($H14,Cash_Timing,0)),1)
*IF($F14=Mid_Period,(1+IF($E14=Nominal,W$9,INDEX($N$9:$AH$9,,MATCH($E14,$N$8:$AH$8,0))))^INDEX(Timing_Adj,MATCH($F14,Cash_Timing,0)),1),"N/A")</f>
        <v>0.98977068945241808</v>
      </c>
      <c r="X14" s="21" cm="1">
        <f t="array" ref="X14">IFERROR(IF($G14=Nominal,X$10,INDEX($N$10:$AH$10,,MATCH($G14,$N$8:$AH$8,0)))
/IF($E14=Nominal,X$10,INDEX($N$10:$AH$10,,MATCH($E14,$N$8:$AH$8,0)))
*IF($H14=Mid_Period,1/(1+IF($G14=Nominal,X$9,INDEX($N$9:$AH$9,,MATCH($G14,$N$8:$AH$8,0))))^INDEX(Timing_Adj,MATCH($H14,Cash_Timing,0)),1)
*IF($F14=Mid_Period,(1+IF($E14=Nominal,X$9,INDEX($N$9:$AH$9,,MATCH($E14,$N$8:$AH$8,0))))^INDEX(Timing_Adj,MATCH($F14,Cash_Timing,0)),1),"N/A")</f>
        <v>0.99212930482437078</v>
      </c>
      <c r="Y14" s="21" cm="1">
        <f t="array" ref="Y14">IFERROR(IF($G14=Nominal,Y$10,INDEX($N$10:$AH$10,,MATCH($G14,$N$8:$AH$8,0)))
/IF($E14=Nominal,Y$10,INDEX($N$10:$AH$10,,MATCH($E14,$N$8:$AH$8,0)))
*IF($H14=Mid_Period,1/(1+IF($G14=Nominal,Y$9,INDEX($N$9:$AH$9,,MATCH($G14,$N$8:$AH$8,0))))^INDEX(Timing_Adj,MATCH($H14,Cash_Timing,0)),1)
*IF($F14=Mid_Period,(1+IF($E14=Nominal,Y$9,INDEX($N$9:$AH$9,,MATCH($E14,$N$8:$AH$8,0))))^INDEX(Timing_Adj,MATCH($F14,Cash_Timing,0)),1),"N/A")</f>
        <v>1.0017467262220046</v>
      </c>
      <c r="Z14" s="21" cm="1">
        <f t="array" ref="Z14">IFERROR(IF($G14=Nominal,Z$10,INDEX($N$10:$AH$10,,MATCH($G14,$N$8:$AH$8,0)))
/IF($E14=Nominal,Z$10,INDEX($N$10:$AH$10,,MATCH($E14,$N$8:$AH$8,0)))
*IF($H14=Mid_Period,1/(1+IF($G14=Nominal,Z$9,INDEX($N$9:$AH$9,,MATCH($G14,$N$8:$AH$8,0))))^INDEX(Timing_Adj,MATCH($H14,Cash_Timing,0)),1)
*IF($F14=Mid_Period,(1+IF($E14=Nominal,Z$9,INDEX($N$9:$AH$9,,MATCH($E14,$N$8:$AH$8,0))))^INDEX(Timing_Adj,MATCH($F14,Cash_Timing,0)),1),"N/A")</f>
        <v>0.98130676292531649</v>
      </c>
      <c r="AA14" s="21" cm="1">
        <f t="array" ref="AA14">IFERROR(IF($G14=Nominal,AA$10,INDEX($N$10:$AH$10,,MATCH($G14,$N$8:$AH$8,0)))
/IF($E14=Nominal,AA$10,INDEX($N$10:$AH$10,,MATCH($E14,$N$8:$AH$8,0)))
*IF($H14=Mid_Period,1/(1+IF($G14=Nominal,AA$9,INDEX($N$9:$AH$9,,MATCH($G14,$N$8:$AH$8,0))))^INDEX(Timing_Adj,MATCH($H14,Cash_Timing,0)),1)
*IF($F14=Mid_Period,(1+IF($E14=Nominal,AA$9,INDEX($N$9:$AH$9,,MATCH($E14,$N$8:$AH$8,0))))^INDEX(Timing_Adj,MATCH($F14,Cash_Timing,0)),1),"N/A")</f>
        <v>0.970623220902322</v>
      </c>
      <c r="AB14" s="21" cm="1">
        <f t="array" ref="AB14">IFERROR(IF($G14=Nominal,AB$10,INDEX($N$10:$AH$10,,MATCH($G14,$N$8:$AH$8,0)))
/IF($E14=Nominal,AB$10,INDEX($N$10:$AH$10,,MATCH($E14,$N$8:$AH$8,0)))
*IF($H14=Mid_Period,1/(1+IF($G14=Nominal,AB$9,INDEX($N$9:$AH$9,,MATCH($G14,$N$8:$AH$8,0))))^INDEX(Timing_Adj,MATCH($H14,Cash_Timing,0)),1)
*IF($F14=Mid_Period,(1+IF($E14=Nominal,AB$9,INDEX($N$9:$AH$9,,MATCH($E14,$N$8:$AH$8,0))))^INDEX(Timing_Adj,MATCH($F14,Cash_Timing,0)),1),"N/A")</f>
        <v>0.97116235518046667</v>
      </c>
      <c r="AC14" s="21" cm="1">
        <f t="array" ref="AC14">IFERROR(IF($G14=Nominal,AC$10,INDEX($N$10:$AH$10,,MATCH($G14,$N$8:$AH$8,0)))
/IF($E14=Nominal,AC$10,INDEX($N$10:$AH$10,,MATCH($E14,$N$8:$AH$8,0)))
*IF($H14=Mid_Period,1/(1+IF($G14=Nominal,AC$9,INDEX($N$9:$AH$9,,MATCH($G14,$N$8:$AH$8,0))))^INDEX(Timing_Adj,MATCH($H14,Cash_Timing,0)),1)
*IF($F14=Mid_Period,(1+IF($E14=Nominal,AC$9,INDEX($N$9:$AH$9,,MATCH($E14,$N$8:$AH$8,0))))^INDEX(Timing_Adj,MATCH($F14,Cash_Timing,0)),1),"N/A")</f>
        <v>0.98247186486482418</v>
      </c>
      <c r="AD14" s="21" cm="1">
        <f t="array" ref="AD14">IFERROR(IF($G14=Nominal,AD$10,INDEX($N$10:$AH$10,,MATCH($G14,$N$8:$AH$8,0)))
/IF($E14=Nominal,AD$10,INDEX($N$10:$AH$10,,MATCH($E14,$N$8:$AH$8,0)))
*IF($H14=Mid_Period,1/(1+IF($G14=Nominal,AD$9,INDEX($N$9:$AH$9,,MATCH($G14,$N$8:$AH$8,0))))^INDEX(Timing_Adj,MATCH($H14,Cash_Timing,0)),1)
*IF($F14=Mid_Period,(1+IF($E14=Nominal,AD$9,INDEX($N$9:$AH$9,,MATCH($E14,$N$8:$AH$8,0))))^INDEX(Timing_Adj,MATCH($F14,Cash_Timing,0)),1),"N/A")</f>
        <v>0.98628835389765135</v>
      </c>
      <c r="AE14" s="21" cm="1">
        <f t="array" ref="AE14">IFERROR(IF($G14=Nominal,AE$10,INDEX($N$10:$AH$10,,MATCH($G14,$N$8:$AH$8,0)))
/IF($E14=Nominal,AE$10,INDEX($N$10:$AH$10,,MATCH($E14,$N$8:$AH$8,0)))
*IF($H14=Mid_Period,1/(1+IF($G14=Nominal,AE$9,INDEX($N$9:$AH$9,,MATCH($G14,$N$8:$AH$8,0))))^INDEX(Timing_Adj,MATCH($H14,Cash_Timing,0)),1)
*IF($F14=Mid_Period,(1+IF($E14=Nominal,AE$9,INDEX($N$9:$AH$9,,MATCH($E14,$N$8:$AH$8,0))))^INDEX(Timing_Adj,MATCH($F14,Cash_Timing,0)),1),"N/A")</f>
        <v>0.98628835389765135</v>
      </c>
      <c r="AF14" s="21" cm="1">
        <f t="array" ref="AF14">IFERROR(IF($G14=Nominal,AF$10,INDEX($N$10:$AH$10,,MATCH($G14,$N$8:$AH$8,0)))
/IF($E14=Nominal,AF$10,INDEX($N$10:$AH$10,,MATCH($E14,$N$8:$AH$8,0)))
*IF($H14=Mid_Period,1/(1+IF($G14=Nominal,AF$9,INDEX($N$9:$AH$9,,MATCH($G14,$N$8:$AH$8,0))))^INDEX(Timing_Adj,MATCH($H14,Cash_Timing,0)),1)
*IF($F14=Mid_Period,(1+IF($E14=Nominal,AF$9,INDEX($N$9:$AH$9,,MATCH($E14,$N$8:$AH$8,0))))^INDEX(Timing_Adj,MATCH($F14,Cash_Timing,0)),1),"N/A")</f>
        <v>0.98628835389765135</v>
      </c>
      <c r="AG14" s="21" cm="1">
        <f t="array" ref="AG14">IFERROR(IF($G14=Nominal,AG$10,INDEX($N$10:$AH$10,,MATCH($G14,$N$8:$AH$8,0)))
/IF($E14=Nominal,AG$10,INDEX($N$10:$AH$10,,MATCH($E14,$N$8:$AH$8,0)))
*IF($H14=Mid_Period,1/(1+IF($G14=Nominal,AG$9,INDEX($N$9:$AH$9,,MATCH($G14,$N$8:$AH$8,0))))^INDEX(Timing_Adj,MATCH($H14,Cash_Timing,0)),1)
*IF($F14=Mid_Period,(1+IF($E14=Nominal,AG$9,INDEX($N$9:$AH$9,,MATCH($E14,$N$8:$AH$8,0))))^INDEX(Timing_Adj,MATCH($F14,Cash_Timing,0)),1),"N/A")</f>
        <v>0.98628835389765135</v>
      </c>
      <c r="AH14" s="21" cm="1">
        <f t="array" ref="AH14">IFERROR(IF($G14=Nominal,AH$10,INDEX($N$10:$AH$10,,MATCH($G14,$N$8:$AH$8,0)))
/IF($E14=Nominal,AH$10,INDEX($N$10:$AH$10,,MATCH($E14,$N$8:$AH$8,0)))
*IF($H14=Mid_Period,1/(1+IF($G14=Nominal,AH$9,INDEX($N$9:$AH$9,,MATCH($G14,$N$8:$AH$8,0))))^INDEX(Timing_Adj,MATCH($H14,Cash_Timing,0)),1)
*IF($F14=Mid_Period,(1+IF($E14=Nominal,AH$9,INDEX($N$9:$AH$9,,MATCH($E14,$N$8:$AH$8,0))))^INDEX(Timing_Adj,MATCH($F14,Cash_Timing,0)),1),"N/A")</f>
        <v>0.98628835389765135</v>
      </c>
    </row>
    <row r="15" spans="1:34" s="1" customFormat="1" x14ac:dyDescent="0.2">
      <c r="B15" s="2"/>
      <c r="C15" s="2"/>
      <c r="D15" s="8" t="str">
        <f t="shared" si="5"/>
        <v>Real 2015 (End Period) to Real 2024 (End Period)</v>
      </c>
      <c r="E15" s="10">
        <v>2015</v>
      </c>
      <c r="F15" s="10" t="s">
        <v>11</v>
      </c>
      <c r="G15" s="10">
        <v>2024</v>
      </c>
      <c r="H15" s="10" t="s">
        <v>11</v>
      </c>
      <c r="I15" s="4"/>
      <c r="J15" s="21" cm="1">
        <f t="array" ref="J15">IFERROR(IF($G15=Nominal,J$10,INDEX($N$10:$AH$10,,MATCH($G15,$N$8:$AH$8,0)))
/IF($E15=Nominal,J$10,INDEX($N$10:$AH$10,,MATCH($E15,$N$8:$AH$8,0)))
*IF($H15=Mid_Period,1/(1+IF($G15=Nominal,J$9,INDEX($N$9:$AH$9,,MATCH($G15,$N$8:$AH$8,0))))^INDEX(Timing_Adj,MATCH($H15,Cash_Timing,0)),1)
*IF($F15=Mid_Period,(1+IF($E15=Nominal,J$9,INDEX($N$9:$AH$9,,MATCH($E15,$N$8:$AH$8,0))))^INDEX(Timing_Adj,MATCH($F15,Cash_Timing,0)),1),"N/A")</f>
        <v>1.2884948837209302</v>
      </c>
      <c r="K15" s="21" cm="1">
        <f t="array" ref="K15">IFERROR(IF($G15=Nominal,K$10,INDEX($N$10:$AH$10,,MATCH($G15,$N$8:$AH$8,0)))
/IF($E15=Nominal,K$10,INDEX($N$10:$AH$10,,MATCH($E15,$N$8:$AH$8,0)))
*IF($H15=Mid_Period,1/(1+IF($G15=Nominal,K$9,INDEX($N$9:$AH$9,,MATCH($G15,$N$8:$AH$8,0))))^INDEX(Timing_Adj,MATCH($H15,Cash_Timing,0)),1)
*IF($F15=Mid_Period,(1+IF($E15=Nominal,K$9,INDEX($N$9:$AH$9,,MATCH($E15,$N$8:$AH$8,0))))^INDEX(Timing_Adj,MATCH($F15,Cash_Timing,0)),1),"N/A")</f>
        <v>1.2884948837209302</v>
      </c>
      <c r="L15" s="21" cm="1">
        <f t="array" ref="L15">IFERROR(IF($G15=Nominal,L$10,INDEX($N$10:$AH$10,,MATCH($G15,$N$8:$AH$8,0)))
/IF($E15=Nominal,L$10,INDEX($N$10:$AH$10,,MATCH($E15,$N$8:$AH$8,0)))
*IF($H15=Mid_Period,1/(1+IF($G15=Nominal,L$9,INDEX($N$9:$AH$9,,MATCH($G15,$N$8:$AH$8,0))))^INDEX(Timing_Adj,MATCH($H15,Cash_Timing,0)),1)
*IF($F15=Mid_Period,(1+IF($E15=Nominal,L$9,INDEX($N$9:$AH$9,,MATCH($E15,$N$8:$AH$8,0))))^INDEX(Timing_Adj,MATCH($F15,Cash_Timing,0)),1),"N/A")</f>
        <v>1.2884948837209302</v>
      </c>
      <c r="M15" s="21" cm="1">
        <f t="array" ref="M15">IFERROR(IF($G15=Nominal,M$10,INDEX($N$10:$AH$10,,MATCH($G15,$N$8:$AH$8,0)))
/IF($E15=Nominal,M$10,INDEX($N$10:$AH$10,,MATCH($E15,$N$8:$AH$8,0)))
*IF($H15=Mid_Period,1/(1+IF($G15=Nominal,M$9,INDEX($N$9:$AH$9,,MATCH($G15,$N$8:$AH$8,0))))^INDEX(Timing_Adj,MATCH($H15,Cash_Timing,0)),1)
*IF($F15=Mid_Period,(1+IF($E15=Nominal,M$9,INDEX($N$9:$AH$9,,MATCH($E15,$N$8:$AH$8,0))))^INDEX(Timing_Adj,MATCH($F15,Cash_Timing,0)),1),"N/A")</f>
        <v>1.2884948837209302</v>
      </c>
      <c r="N15" s="21" cm="1">
        <f t="array" ref="N15">IFERROR(IF($G15=Nominal,N$10,INDEX($N$10:$AH$10,,MATCH($G15,$N$8:$AH$8,0)))
/IF($E15=Nominal,N$10,INDEX($N$10:$AH$10,,MATCH($E15,$N$8:$AH$8,0)))
*IF($H15=Mid_Period,1/(1+IF($G15=Nominal,N$9,INDEX($N$9:$AH$9,,MATCH($G15,$N$8:$AH$8,0))))^INDEX(Timing_Adj,MATCH($H15,Cash_Timing,0)),1)
*IF($F15=Mid_Period,(1+IF($E15=Nominal,N$9,INDEX($N$9:$AH$9,,MATCH($E15,$N$8:$AH$8,0))))^INDEX(Timing_Adj,MATCH($F15,Cash_Timing,0)),1),"N/A")</f>
        <v>1.2884948837209302</v>
      </c>
      <c r="O15" s="21" cm="1">
        <f t="array" ref="O15">IFERROR(IF($G15=Nominal,O$10,INDEX($N$10:$AH$10,,MATCH($G15,$N$8:$AH$8,0)))
/IF($E15=Nominal,O$10,INDEX($N$10:$AH$10,,MATCH($E15,$N$8:$AH$8,0)))
*IF($H15=Mid_Period,1/(1+IF($G15=Nominal,O$9,INDEX($N$9:$AH$9,,MATCH($G15,$N$8:$AH$8,0))))^INDEX(Timing_Adj,MATCH($H15,Cash_Timing,0)),1)
*IF($F15=Mid_Period,(1+IF($E15=Nominal,O$9,INDEX($N$9:$AH$9,,MATCH($E15,$N$8:$AH$8,0))))^INDEX(Timing_Adj,MATCH($F15,Cash_Timing,0)),1),"N/A")</f>
        <v>1.2884948837209302</v>
      </c>
      <c r="P15" s="21" cm="1">
        <f t="array" ref="P15">IFERROR(IF($G15=Nominal,P$10,INDEX($N$10:$AH$10,,MATCH($G15,$N$8:$AH$8,0)))
/IF($E15=Nominal,P$10,INDEX($N$10:$AH$10,,MATCH($E15,$N$8:$AH$8,0)))
*IF($H15=Mid_Period,1/(1+IF($G15=Nominal,P$9,INDEX($N$9:$AH$9,,MATCH($G15,$N$8:$AH$8,0))))^INDEX(Timing_Adj,MATCH($H15,Cash_Timing,0)),1)
*IF($F15=Mid_Period,(1+IF($E15=Nominal,P$9,INDEX($N$9:$AH$9,,MATCH($E15,$N$8:$AH$8,0))))^INDEX(Timing_Adj,MATCH($F15,Cash_Timing,0)),1),"N/A")</f>
        <v>1.2884948837209302</v>
      </c>
      <c r="Q15" s="21" cm="1">
        <f t="array" ref="Q15">IFERROR(IF($G15=Nominal,Q$10,INDEX($N$10:$AH$10,,MATCH($G15,$N$8:$AH$8,0)))
/IF($E15=Nominal,Q$10,INDEX($N$10:$AH$10,,MATCH($E15,$N$8:$AH$8,0)))
*IF($H15=Mid_Period,1/(1+IF($G15=Nominal,Q$9,INDEX($N$9:$AH$9,,MATCH($G15,$N$8:$AH$8,0))))^INDEX(Timing_Adj,MATCH($H15,Cash_Timing,0)),1)
*IF($F15=Mid_Period,(1+IF($E15=Nominal,Q$9,INDEX($N$9:$AH$9,,MATCH($E15,$N$8:$AH$8,0))))^INDEX(Timing_Adj,MATCH($F15,Cash_Timing,0)),1),"N/A")</f>
        <v>1.2884948837209302</v>
      </c>
      <c r="R15" s="21" cm="1">
        <f t="array" ref="R15">IFERROR(IF($G15=Nominal,R$10,INDEX($N$10:$AH$10,,MATCH($G15,$N$8:$AH$8,0)))
/IF($E15=Nominal,R$10,INDEX($N$10:$AH$10,,MATCH($E15,$N$8:$AH$8,0)))
*IF($H15=Mid_Period,1/(1+IF($G15=Nominal,R$9,INDEX($N$9:$AH$9,,MATCH($G15,$N$8:$AH$8,0))))^INDEX(Timing_Adj,MATCH($H15,Cash_Timing,0)),1)
*IF($F15=Mid_Period,(1+IF($E15=Nominal,R$9,INDEX($N$9:$AH$9,,MATCH($E15,$N$8:$AH$8,0))))^INDEX(Timing_Adj,MATCH($F15,Cash_Timing,0)),1),"N/A")</f>
        <v>1.2884948837209302</v>
      </c>
      <c r="S15" s="21" cm="1">
        <f t="array" ref="S15">IFERROR(IF($G15=Nominal,S$10,INDEX($N$10:$AH$10,,MATCH($G15,$N$8:$AH$8,0)))
/IF($E15=Nominal,S$10,INDEX($N$10:$AH$10,,MATCH($E15,$N$8:$AH$8,0)))
*IF($H15=Mid_Period,1/(1+IF($G15=Nominal,S$9,INDEX($N$9:$AH$9,,MATCH($G15,$N$8:$AH$8,0))))^INDEX(Timing_Adj,MATCH($H15,Cash_Timing,0)),1)
*IF($F15=Mid_Period,(1+IF($E15=Nominal,S$9,INDEX($N$9:$AH$9,,MATCH($E15,$N$8:$AH$8,0))))^INDEX(Timing_Adj,MATCH($F15,Cash_Timing,0)),1),"N/A")</f>
        <v>1.2884948837209302</v>
      </c>
      <c r="T15" s="21" cm="1">
        <f t="array" ref="T15">IFERROR(IF($G15=Nominal,T$10,INDEX($N$10:$AH$10,,MATCH($G15,$N$8:$AH$8,0)))
/IF($E15=Nominal,T$10,INDEX($N$10:$AH$10,,MATCH($E15,$N$8:$AH$8,0)))
*IF($H15=Mid_Period,1/(1+IF($G15=Nominal,T$9,INDEX($N$9:$AH$9,,MATCH($G15,$N$8:$AH$8,0))))^INDEX(Timing_Adj,MATCH($H15,Cash_Timing,0)),1)
*IF($F15=Mid_Period,(1+IF($E15=Nominal,T$9,INDEX($N$9:$AH$9,,MATCH($E15,$N$8:$AH$8,0))))^INDEX(Timing_Adj,MATCH($F15,Cash_Timing,0)),1),"N/A")</f>
        <v>1.2884948837209302</v>
      </c>
      <c r="U15" s="21" cm="1">
        <f t="array" ref="U15">IFERROR(IF($G15=Nominal,U$10,INDEX($N$10:$AH$10,,MATCH($G15,$N$8:$AH$8,0)))
/IF($E15=Nominal,U$10,INDEX($N$10:$AH$10,,MATCH($E15,$N$8:$AH$8,0)))
*IF($H15=Mid_Period,1/(1+IF($G15=Nominal,U$9,INDEX($N$9:$AH$9,,MATCH($G15,$N$8:$AH$8,0))))^INDEX(Timing_Adj,MATCH($H15,Cash_Timing,0)),1)
*IF($F15=Mid_Period,(1+IF($E15=Nominal,U$9,INDEX($N$9:$AH$9,,MATCH($E15,$N$8:$AH$8,0))))^INDEX(Timing_Adj,MATCH($F15,Cash_Timing,0)),1),"N/A")</f>
        <v>1.2884948837209302</v>
      </c>
      <c r="V15" s="21" cm="1">
        <f t="array" ref="V15">IFERROR(IF($G15=Nominal,V$10,INDEX($N$10:$AH$10,,MATCH($G15,$N$8:$AH$8,0)))
/IF($E15=Nominal,V$10,INDEX($N$10:$AH$10,,MATCH($E15,$N$8:$AH$8,0)))
*IF($H15=Mid_Period,1/(1+IF($G15=Nominal,V$9,INDEX($N$9:$AH$9,,MATCH($G15,$N$8:$AH$8,0))))^INDEX(Timing_Adj,MATCH($H15,Cash_Timing,0)),1)
*IF($F15=Mid_Period,(1+IF($E15=Nominal,V$9,INDEX($N$9:$AH$9,,MATCH($E15,$N$8:$AH$8,0))))^INDEX(Timing_Adj,MATCH($F15,Cash_Timing,0)),1),"N/A")</f>
        <v>1.2884948837209302</v>
      </c>
      <c r="W15" s="21" cm="1">
        <f t="array" ref="W15">IFERROR(IF($G15=Nominal,W$10,INDEX($N$10:$AH$10,,MATCH($G15,$N$8:$AH$8,0)))
/IF($E15=Nominal,W$10,INDEX($N$10:$AH$10,,MATCH($E15,$N$8:$AH$8,0)))
*IF($H15=Mid_Period,1/(1+IF($G15=Nominal,W$9,INDEX($N$9:$AH$9,,MATCH($G15,$N$8:$AH$8,0))))^INDEX(Timing_Adj,MATCH($H15,Cash_Timing,0)),1)
*IF($F15=Mid_Period,(1+IF($E15=Nominal,W$9,INDEX($N$9:$AH$9,,MATCH($E15,$N$8:$AH$8,0))))^INDEX(Timing_Adj,MATCH($F15,Cash_Timing,0)),1),"N/A")</f>
        <v>1.2884948837209302</v>
      </c>
      <c r="X15" s="21" cm="1">
        <f t="array" ref="X15">IFERROR(IF($G15=Nominal,X$10,INDEX($N$10:$AH$10,,MATCH($G15,$N$8:$AH$8,0)))
/IF($E15=Nominal,X$10,INDEX($N$10:$AH$10,,MATCH($E15,$N$8:$AH$8,0)))
*IF($H15=Mid_Period,1/(1+IF($G15=Nominal,X$9,INDEX($N$9:$AH$9,,MATCH($G15,$N$8:$AH$8,0))))^INDEX(Timing_Adj,MATCH($H15,Cash_Timing,0)),1)
*IF($F15=Mid_Period,(1+IF($E15=Nominal,X$9,INDEX($N$9:$AH$9,,MATCH($E15,$N$8:$AH$8,0))))^INDEX(Timing_Adj,MATCH($F15,Cash_Timing,0)),1),"N/A")</f>
        <v>1.2884948837209302</v>
      </c>
      <c r="Y15" s="21" cm="1">
        <f t="array" ref="Y15">IFERROR(IF($G15=Nominal,Y$10,INDEX($N$10:$AH$10,,MATCH($G15,$N$8:$AH$8,0)))
/IF($E15=Nominal,Y$10,INDEX($N$10:$AH$10,,MATCH($E15,$N$8:$AH$8,0)))
*IF($H15=Mid_Period,1/(1+IF($G15=Nominal,Y$9,INDEX($N$9:$AH$9,,MATCH($G15,$N$8:$AH$8,0))))^INDEX(Timing_Adj,MATCH($H15,Cash_Timing,0)),1)
*IF($F15=Mid_Period,(1+IF($E15=Nominal,Y$9,INDEX($N$9:$AH$9,,MATCH($E15,$N$8:$AH$8,0))))^INDEX(Timing_Adj,MATCH($F15,Cash_Timing,0)),1),"N/A")</f>
        <v>1.2884948837209302</v>
      </c>
      <c r="Z15" s="21" cm="1">
        <f t="array" ref="Z15">IFERROR(IF($G15=Nominal,Z$10,INDEX($N$10:$AH$10,,MATCH($G15,$N$8:$AH$8,0)))
/IF($E15=Nominal,Z$10,INDEX($N$10:$AH$10,,MATCH($E15,$N$8:$AH$8,0)))
*IF($H15=Mid_Period,1/(1+IF($G15=Nominal,Z$9,INDEX($N$9:$AH$9,,MATCH($G15,$N$8:$AH$8,0))))^INDEX(Timing_Adj,MATCH($H15,Cash_Timing,0)),1)
*IF($F15=Mid_Period,(1+IF($E15=Nominal,Z$9,INDEX($N$9:$AH$9,,MATCH($E15,$N$8:$AH$8,0))))^INDEX(Timing_Adj,MATCH($F15,Cash_Timing,0)),1),"N/A")</f>
        <v>1.2884948837209302</v>
      </c>
      <c r="AA15" s="21" cm="1">
        <f t="array" ref="AA15">IFERROR(IF($G15=Nominal,AA$10,INDEX($N$10:$AH$10,,MATCH($G15,$N$8:$AH$8,0)))
/IF($E15=Nominal,AA$10,INDEX($N$10:$AH$10,,MATCH($E15,$N$8:$AH$8,0)))
*IF($H15=Mid_Period,1/(1+IF($G15=Nominal,AA$9,INDEX($N$9:$AH$9,,MATCH($G15,$N$8:$AH$8,0))))^INDEX(Timing_Adj,MATCH($H15,Cash_Timing,0)),1)
*IF($F15=Mid_Period,(1+IF($E15=Nominal,AA$9,INDEX($N$9:$AH$9,,MATCH($E15,$N$8:$AH$8,0))))^INDEX(Timing_Adj,MATCH($F15,Cash_Timing,0)),1),"N/A")</f>
        <v>1.2884948837209302</v>
      </c>
      <c r="AB15" s="21" cm="1">
        <f t="array" ref="AB15">IFERROR(IF($G15=Nominal,AB$10,INDEX($N$10:$AH$10,,MATCH($G15,$N$8:$AH$8,0)))
/IF($E15=Nominal,AB$10,INDEX($N$10:$AH$10,,MATCH($E15,$N$8:$AH$8,0)))
*IF($H15=Mid_Period,1/(1+IF($G15=Nominal,AB$9,INDEX($N$9:$AH$9,,MATCH($G15,$N$8:$AH$8,0))))^INDEX(Timing_Adj,MATCH($H15,Cash_Timing,0)),1)
*IF($F15=Mid_Period,(1+IF($E15=Nominal,AB$9,INDEX($N$9:$AH$9,,MATCH($E15,$N$8:$AH$8,0))))^INDEX(Timing_Adj,MATCH($F15,Cash_Timing,0)),1),"N/A")</f>
        <v>1.2884948837209302</v>
      </c>
      <c r="AC15" s="21" cm="1">
        <f t="array" ref="AC15">IFERROR(IF($G15=Nominal,AC$10,INDEX($N$10:$AH$10,,MATCH($G15,$N$8:$AH$8,0)))
/IF($E15=Nominal,AC$10,INDEX($N$10:$AH$10,,MATCH($E15,$N$8:$AH$8,0)))
*IF($H15=Mid_Period,1/(1+IF($G15=Nominal,AC$9,INDEX($N$9:$AH$9,,MATCH($G15,$N$8:$AH$8,0))))^INDEX(Timing_Adj,MATCH($H15,Cash_Timing,0)),1)
*IF($F15=Mid_Period,(1+IF($E15=Nominal,AC$9,INDEX($N$9:$AH$9,,MATCH($E15,$N$8:$AH$8,0))))^INDEX(Timing_Adj,MATCH($F15,Cash_Timing,0)),1),"N/A")</f>
        <v>1.2884948837209302</v>
      </c>
      <c r="AD15" s="21" cm="1">
        <f t="array" ref="AD15">IFERROR(IF($G15=Nominal,AD$10,INDEX($N$10:$AH$10,,MATCH($G15,$N$8:$AH$8,0)))
/IF($E15=Nominal,AD$10,INDEX($N$10:$AH$10,,MATCH($E15,$N$8:$AH$8,0)))
*IF($H15=Mid_Period,1/(1+IF($G15=Nominal,AD$9,INDEX($N$9:$AH$9,,MATCH($G15,$N$8:$AH$8,0))))^INDEX(Timing_Adj,MATCH($H15,Cash_Timing,0)),1)
*IF($F15=Mid_Period,(1+IF($E15=Nominal,AD$9,INDEX($N$9:$AH$9,,MATCH($E15,$N$8:$AH$8,0))))^INDEX(Timing_Adj,MATCH($F15,Cash_Timing,0)),1),"N/A")</f>
        <v>1.2884948837209302</v>
      </c>
      <c r="AE15" s="21" cm="1">
        <f t="array" ref="AE15">IFERROR(IF($G15=Nominal,AE$10,INDEX($N$10:$AH$10,,MATCH($G15,$N$8:$AH$8,0)))
/IF($E15=Nominal,AE$10,INDEX($N$10:$AH$10,,MATCH($E15,$N$8:$AH$8,0)))
*IF($H15=Mid_Period,1/(1+IF($G15=Nominal,AE$9,INDEX($N$9:$AH$9,,MATCH($G15,$N$8:$AH$8,0))))^INDEX(Timing_Adj,MATCH($H15,Cash_Timing,0)),1)
*IF($F15=Mid_Period,(1+IF($E15=Nominal,AE$9,INDEX($N$9:$AH$9,,MATCH($E15,$N$8:$AH$8,0))))^INDEX(Timing_Adj,MATCH($F15,Cash_Timing,0)),1),"N/A")</f>
        <v>1.2884948837209302</v>
      </c>
      <c r="AF15" s="21" cm="1">
        <f t="array" ref="AF15">IFERROR(IF($G15=Nominal,AF$10,INDEX($N$10:$AH$10,,MATCH($G15,$N$8:$AH$8,0)))
/IF($E15=Nominal,AF$10,INDEX($N$10:$AH$10,,MATCH($E15,$N$8:$AH$8,0)))
*IF($H15=Mid_Period,1/(1+IF($G15=Nominal,AF$9,INDEX($N$9:$AH$9,,MATCH($G15,$N$8:$AH$8,0))))^INDEX(Timing_Adj,MATCH($H15,Cash_Timing,0)),1)
*IF($F15=Mid_Period,(1+IF($E15=Nominal,AF$9,INDEX($N$9:$AH$9,,MATCH($E15,$N$8:$AH$8,0))))^INDEX(Timing_Adj,MATCH($F15,Cash_Timing,0)),1),"N/A")</f>
        <v>1.2884948837209302</v>
      </c>
      <c r="AG15" s="21" cm="1">
        <f t="array" ref="AG15">IFERROR(IF($G15=Nominal,AG$10,INDEX($N$10:$AH$10,,MATCH($G15,$N$8:$AH$8,0)))
/IF($E15=Nominal,AG$10,INDEX($N$10:$AH$10,,MATCH($E15,$N$8:$AH$8,0)))
*IF($H15=Mid_Period,1/(1+IF($G15=Nominal,AG$9,INDEX($N$9:$AH$9,,MATCH($G15,$N$8:$AH$8,0))))^INDEX(Timing_Adj,MATCH($H15,Cash_Timing,0)),1)
*IF($F15=Mid_Period,(1+IF($E15=Nominal,AG$9,INDEX($N$9:$AH$9,,MATCH($E15,$N$8:$AH$8,0))))^INDEX(Timing_Adj,MATCH($F15,Cash_Timing,0)),1),"N/A")</f>
        <v>1.2884948837209302</v>
      </c>
      <c r="AH15" s="21" cm="1">
        <f t="array" ref="AH15">IFERROR(IF($G15=Nominal,AH$10,INDEX($N$10:$AH$10,,MATCH($G15,$N$8:$AH$8,0)))
/IF($E15=Nominal,AH$10,INDEX($N$10:$AH$10,,MATCH($E15,$N$8:$AH$8,0)))
*IF($H15=Mid_Period,1/(1+IF($G15=Nominal,AH$9,INDEX($N$9:$AH$9,,MATCH($G15,$N$8:$AH$8,0))))^INDEX(Timing_Adj,MATCH($H15,Cash_Timing,0)),1)
*IF($F15=Mid_Period,(1+IF($E15=Nominal,AH$9,INDEX($N$9:$AH$9,,MATCH($E15,$N$8:$AH$8,0))))^INDEX(Timing_Adj,MATCH($F15,Cash_Timing,0)),1),"N/A")</f>
        <v>1.2884948837209302</v>
      </c>
    </row>
    <row r="16" spans="1:34" s="1" customFormat="1" x14ac:dyDescent="0.2">
      <c r="B16" s="2"/>
      <c r="C16" s="2"/>
      <c r="D16" s="8" t="str">
        <f t="shared" si="5"/>
        <v>Real 2019 (End Period) to Real 2024 (End Period)</v>
      </c>
      <c r="E16" s="10">
        <v>2019</v>
      </c>
      <c r="F16" s="10" t="s">
        <v>11</v>
      </c>
      <c r="G16" s="10">
        <v>2024</v>
      </c>
      <c r="H16" s="10" t="s">
        <v>11</v>
      </c>
      <c r="I16" s="4"/>
      <c r="J16" s="21" cm="1">
        <f t="array" ref="J16">IFERROR(IF($G16=Nominal,J$10,INDEX($N$10:$AH$10,,MATCH($G16,$N$8:$AH$8,0)))
/IF($E16=Nominal,J$10,INDEX($N$10:$AH$10,,MATCH($E16,$N$8:$AH$8,0)))
*IF($H16=Mid_Period,1/(1+IF($G16=Nominal,J$9,INDEX($N$9:$AH$9,,MATCH($G16,$N$8:$AH$8,0))))^INDEX(Timing_Adj,MATCH($H16,Cash_Timing,0)),1)
*IF($F16=Mid_Period,(1+IF($E16=Nominal,J$9,INDEX($N$9:$AH$9,,MATCH($E16,$N$8:$AH$8,0))))^INDEX(Timing_Adj,MATCH($F16,Cash_Timing,0)),1),"N/A")</f>
        <v>1.2065609756097559</v>
      </c>
      <c r="K16" s="21" cm="1">
        <f t="array" ref="K16">IFERROR(IF($G16=Nominal,K$10,INDEX($N$10:$AH$10,,MATCH($G16,$N$8:$AH$8,0)))
/IF($E16=Nominal,K$10,INDEX($N$10:$AH$10,,MATCH($E16,$N$8:$AH$8,0)))
*IF($H16=Mid_Period,1/(1+IF($G16=Nominal,K$9,INDEX($N$9:$AH$9,,MATCH($G16,$N$8:$AH$8,0))))^INDEX(Timing_Adj,MATCH($H16,Cash_Timing,0)),1)
*IF($F16=Mid_Period,(1+IF($E16=Nominal,K$9,INDEX($N$9:$AH$9,,MATCH($E16,$N$8:$AH$8,0))))^INDEX(Timing_Adj,MATCH($F16,Cash_Timing,0)),1),"N/A")</f>
        <v>1.2065609756097559</v>
      </c>
      <c r="L16" s="21" cm="1">
        <f t="array" ref="L16">IFERROR(IF($G16=Nominal,L$10,INDEX($N$10:$AH$10,,MATCH($G16,$N$8:$AH$8,0)))
/IF($E16=Nominal,L$10,INDEX($N$10:$AH$10,,MATCH($E16,$N$8:$AH$8,0)))
*IF($H16=Mid_Period,1/(1+IF($G16=Nominal,L$9,INDEX($N$9:$AH$9,,MATCH($G16,$N$8:$AH$8,0))))^INDEX(Timing_Adj,MATCH($H16,Cash_Timing,0)),1)
*IF($F16=Mid_Period,(1+IF($E16=Nominal,L$9,INDEX($N$9:$AH$9,,MATCH($E16,$N$8:$AH$8,0))))^INDEX(Timing_Adj,MATCH($F16,Cash_Timing,0)),1),"N/A")</f>
        <v>1.2065609756097559</v>
      </c>
      <c r="M16" s="21" cm="1">
        <f t="array" ref="M16">IFERROR(IF($G16=Nominal,M$10,INDEX($N$10:$AH$10,,MATCH($G16,$N$8:$AH$8,0)))
/IF($E16=Nominal,M$10,INDEX($N$10:$AH$10,,MATCH($E16,$N$8:$AH$8,0)))
*IF($H16=Mid_Period,1/(1+IF($G16=Nominal,M$9,INDEX($N$9:$AH$9,,MATCH($G16,$N$8:$AH$8,0))))^INDEX(Timing_Adj,MATCH($H16,Cash_Timing,0)),1)
*IF($F16=Mid_Period,(1+IF($E16=Nominal,M$9,INDEX($N$9:$AH$9,,MATCH($E16,$N$8:$AH$8,0))))^INDEX(Timing_Adj,MATCH($F16,Cash_Timing,0)),1),"N/A")</f>
        <v>1.2065609756097559</v>
      </c>
      <c r="N16" s="21" cm="1">
        <f t="array" ref="N16">IFERROR(IF($G16=Nominal,N$10,INDEX($N$10:$AH$10,,MATCH($G16,$N$8:$AH$8,0)))
/IF($E16=Nominal,N$10,INDEX($N$10:$AH$10,,MATCH($E16,$N$8:$AH$8,0)))
*IF($H16=Mid_Period,1/(1+IF($G16=Nominal,N$9,INDEX($N$9:$AH$9,,MATCH($G16,$N$8:$AH$8,0))))^INDEX(Timing_Adj,MATCH($H16,Cash_Timing,0)),1)
*IF($F16=Mid_Period,(1+IF($E16=Nominal,N$9,INDEX($N$9:$AH$9,,MATCH($E16,$N$8:$AH$8,0))))^INDEX(Timing_Adj,MATCH($F16,Cash_Timing,0)),1),"N/A")</f>
        <v>1.2065609756097559</v>
      </c>
      <c r="O16" s="21" cm="1">
        <f t="array" ref="O16">IFERROR(IF($G16=Nominal,O$10,INDEX($N$10:$AH$10,,MATCH($G16,$N$8:$AH$8,0)))
/IF($E16=Nominal,O$10,INDEX($N$10:$AH$10,,MATCH($E16,$N$8:$AH$8,0)))
*IF($H16=Mid_Period,1/(1+IF($G16=Nominal,O$9,INDEX($N$9:$AH$9,,MATCH($G16,$N$8:$AH$8,0))))^INDEX(Timing_Adj,MATCH($H16,Cash_Timing,0)),1)
*IF($F16=Mid_Period,(1+IF($E16=Nominal,O$9,INDEX($N$9:$AH$9,,MATCH($E16,$N$8:$AH$8,0))))^INDEX(Timing_Adj,MATCH($F16,Cash_Timing,0)),1),"N/A")</f>
        <v>1.2065609756097559</v>
      </c>
      <c r="P16" s="21" cm="1">
        <f t="array" ref="P16">IFERROR(IF($G16=Nominal,P$10,INDEX($N$10:$AH$10,,MATCH($G16,$N$8:$AH$8,0)))
/IF($E16=Nominal,P$10,INDEX($N$10:$AH$10,,MATCH($E16,$N$8:$AH$8,0)))
*IF($H16=Mid_Period,1/(1+IF($G16=Nominal,P$9,INDEX($N$9:$AH$9,,MATCH($G16,$N$8:$AH$8,0))))^INDEX(Timing_Adj,MATCH($H16,Cash_Timing,0)),1)
*IF($F16=Mid_Period,(1+IF($E16=Nominal,P$9,INDEX($N$9:$AH$9,,MATCH($E16,$N$8:$AH$8,0))))^INDEX(Timing_Adj,MATCH($F16,Cash_Timing,0)),1),"N/A")</f>
        <v>1.2065609756097559</v>
      </c>
      <c r="Q16" s="21" cm="1">
        <f t="array" ref="Q16">IFERROR(IF($G16=Nominal,Q$10,INDEX($N$10:$AH$10,,MATCH($G16,$N$8:$AH$8,0)))
/IF($E16=Nominal,Q$10,INDEX($N$10:$AH$10,,MATCH($E16,$N$8:$AH$8,0)))
*IF($H16=Mid_Period,1/(1+IF($G16=Nominal,Q$9,INDEX($N$9:$AH$9,,MATCH($G16,$N$8:$AH$8,0))))^INDEX(Timing_Adj,MATCH($H16,Cash_Timing,0)),1)
*IF($F16=Mid_Period,(1+IF($E16=Nominal,Q$9,INDEX($N$9:$AH$9,,MATCH($E16,$N$8:$AH$8,0))))^INDEX(Timing_Adj,MATCH($F16,Cash_Timing,0)),1),"N/A")</f>
        <v>1.2065609756097559</v>
      </c>
      <c r="R16" s="21" cm="1">
        <f t="array" ref="R16">IFERROR(IF($G16=Nominal,R$10,INDEX($N$10:$AH$10,,MATCH($G16,$N$8:$AH$8,0)))
/IF($E16=Nominal,R$10,INDEX($N$10:$AH$10,,MATCH($E16,$N$8:$AH$8,0)))
*IF($H16=Mid_Period,1/(1+IF($G16=Nominal,R$9,INDEX($N$9:$AH$9,,MATCH($G16,$N$8:$AH$8,0))))^INDEX(Timing_Adj,MATCH($H16,Cash_Timing,0)),1)
*IF($F16=Mid_Period,(1+IF($E16=Nominal,R$9,INDEX($N$9:$AH$9,,MATCH($E16,$N$8:$AH$8,0))))^INDEX(Timing_Adj,MATCH($F16,Cash_Timing,0)),1),"N/A")</f>
        <v>1.2065609756097559</v>
      </c>
      <c r="S16" s="21" cm="1">
        <f t="array" ref="S16">IFERROR(IF($G16=Nominal,S$10,INDEX($N$10:$AH$10,,MATCH($G16,$N$8:$AH$8,0)))
/IF($E16=Nominal,S$10,INDEX($N$10:$AH$10,,MATCH($E16,$N$8:$AH$8,0)))
*IF($H16=Mid_Period,1/(1+IF($G16=Nominal,S$9,INDEX($N$9:$AH$9,,MATCH($G16,$N$8:$AH$8,0))))^INDEX(Timing_Adj,MATCH($H16,Cash_Timing,0)),1)
*IF($F16=Mid_Period,(1+IF($E16=Nominal,S$9,INDEX($N$9:$AH$9,,MATCH($E16,$N$8:$AH$8,0))))^INDEX(Timing_Adj,MATCH($F16,Cash_Timing,0)),1),"N/A")</f>
        <v>1.2065609756097559</v>
      </c>
      <c r="T16" s="21" cm="1">
        <f t="array" ref="T16">IFERROR(IF($G16=Nominal,T$10,INDEX($N$10:$AH$10,,MATCH($G16,$N$8:$AH$8,0)))
/IF($E16=Nominal,T$10,INDEX($N$10:$AH$10,,MATCH($E16,$N$8:$AH$8,0)))
*IF($H16=Mid_Period,1/(1+IF($G16=Nominal,T$9,INDEX($N$9:$AH$9,,MATCH($G16,$N$8:$AH$8,0))))^INDEX(Timing_Adj,MATCH($H16,Cash_Timing,0)),1)
*IF($F16=Mid_Period,(1+IF($E16=Nominal,T$9,INDEX($N$9:$AH$9,,MATCH($E16,$N$8:$AH$8,0))))^INDEX(Timing_Adj,MATCH($F16,Cash_Timing,0)),1),"N/A")</f>
        <v>1.2065609756097559</v>
      </c>
      <c r="U16" s="21" cm="1">
        <f t="array" ref="U16">IFERROR(IF($G16=Nominal,U$10,INDEX($N$10:$AH$10,,MATCH($G16,$N$8:$AH$8,0)))
/IF($E16=Nominal,U$10,INDEX($N$10:$AH$10,,MATCH($E16,$N$8:$AH$8,0)))
*IF($H16=Mid_Period,1/(1+IF($G16=Nominal,U$9,INDEX($N$9:$AH$9,,MATCH($G16,$N$8:$AH$8,0))))^INDEX(Timing_Adj,MATCH($H16,Cash_Timing,0)),1)
*IF($F16=Mid_Period,(1+IF($E16=Nominal,U$9,INDEX($N$9:$AH$9,,MATCH($E16,$N$8:$AH$8,0))))^INDEX(Timing_Adj,MATCH($F16,Cash_Timing,0)),1),"N/A")</f>
        <v>1.2065609756097559</v>
      </c>
      <c r="V16" s="21" cm="1">
        <f t="array" ref="V16">IFERROR(IF($G16=Nominal,V$10,INDEX($N$10:$AH$10,,MATCH($G16,$N$8:$AH$8,0)))
/IF($E16=Nominal,V$10,INDEX($N$10:$AH$10,,MATCH($E16,$N$8:$AH$8,0)))
*IF($H16=Mid_Period,1/(1+IF($G16=Nominal,V$9,INDEX($N$9:$AH$9,,MATCH($G16,$N$8:$AH$8,0))))^INDEX(Timing_Adj,MATCH($H16,Cash_Timing,0)),1)
*IF($F16=Mid_Period,(1+IF($E16=Nominal,V$9,INDEX($N$9:$AH$9,,MATCH($E16,$N$8:$AH$8,0))))^INDEX(Timing_Adj,MATCH($F16,Cash_Timing,0)),1),"N/A")</f>
        <v>1.2065609756097559</v>
      </c>
      <c r="W16" s="21" cm="1">
        <f t="array" ref="W16">IFERROR(IF($G16=Nominal,W$10,INDEX($N$10:$AH$10,,MATCH($G16,$N$8:$AH$8,0)))
/IF($E16=Nominal,W$10,INDEX($N$10:$AH$10,,MATCH($E16,$N$8:$AH$8,0)))
*IF($H16=Mid_Period,1/(1+IF($G16=Nominal,W$9,INDEX($N$9:$AH$9,,MATCH($G16,$N$8:$AH$8,0))))^INDEX(Timing_Adj,MATCH($H16,Cash_Timing,0)),1)
*IF($F16=Mid_Period,(1+IF($E16=Nominal,W$9,INDEX($N$9:$AH$9,,MATCH($E16,$N$8:$AH$8,0))))^INDEX(Timing_Adj,MATCH($F16,Cash_Timing,0)),1),"N/A")</f>
        <v>1.2065609756097559</v>
      </c>
      <c r="X16" s="21" cm="1">
        <f t="array" ref="X16">IFERROR(IF($G16=Nominal,X$10,INDEX($N$10:$AH$10,,MATCH($G16,$N$8:$AH$8,0)))
/IF($E16=Nominal,X$10,INDEX($N$10:$AH$10,,MATCH($E16,$N$8:$AH$8,0)))
*IF($H16=Mid_Period,1/(1+IF($G16=Nominal,X$9,INDEX($N$9:$AH$9,,MATCH($G16,$N$8:$AH$8,0))))^INDEX(Timing_Adj,MATCH($H16,Cash_Timing,0)),1)
*IF($F16=Mid_Period,(1+IF($E16=Nominal,X$9,INDEX($N$9:$AH$9,,MATCH($E16,$N$8:$AH$8,0))))^INDEX(Timing_Adj,MATCH($F16,Cash_Timing,0)),1),"N/A")</f>
        <v>1.2065609756097559</v>
      </c>
      <c r="Y16" s="21" cm="1">
        <f t="array" ref="Y16">IFERROR(IF($G16=Nominal,Y$10,INDEX($N$10:$AH$10,,MATCH($G16,$N$8:$AH$8,0)))
/IF($E16=Nominal,Y$10,INDEX($N$10:$AH$10,,MATCH($E16,$N$8:$AH$8,0)))
*IF($H16=Mid_Period,1/(1+IF($G16=Nominal,Y$9,INDEX($N$9:$AH$9,,MATCH($G16,$N$8:$AH$8,0))))^INDEX(Timing_Adj,MATCH($H16,Cash_Timing,0)),1)
*IF($F16=Mid_Period,(1+IF($E16=Nominal,Y$9,INDEX($N$9:$AH$9,,MATCH($E16,$N$8:$AH$8,0))))^INDEX(Timing_Adj,MATCH($F16,Cash_Timing,0)),1),"N/A")</f>
        <v>1.2065609756097559</v>
      </c>
      <c r="Z16" s="21" cm="1">
        <f t="array" ref="Z16">IFERROR(IF($G16=Nominal,Z$10,INDEX($N$10:$AH$10,,MATCH($G16,$N$8:$AH$8,0)))
/IF($E16=Nominal,Z$10,INDEX($N$10:$AH$10,,MATCH($E16,$N$8:$AH$8,0)))
*IF($H16=Mid_Period,1/(1+IF($G16=Nominal,Z$9,INDEX($N$9:$AH$9,,MATCH($G16,$N$8:$AH$8,0))))^INDEX(Timing_Adj,MATCH($H16,Cash_Timing,0)),1)
*IF($F16=Mid_Period,(1+IF($E16=Nominal,Z$9,INDEX($N$9:$AH$9,,MATCH($E16,$N$8:$AH$8,0))))^INDEX(Timing_Adj,MATCH($F16,Cash_Timing,0)),1),"N/A")</f>
        <v>1.2065609756097559</v>
      </c>
      <c r="AA16" s="21" cm="1">
        <f t="array" ref="AA16">IFERROR(IF($G16=Nominal,AA$10,INDEX($N$10:$AH$10,,MATCH($G16,$N$8:$AH$8,0)))
/IF($E16=Nominal,AA$10,INDEX($N$10:$AH$10,,MATCH($E16,$N$8:$AH$8,0)))
*IF($H16=Mid_Period,1/(1+IF($G16=Nominal,AA$9,INDEX($N$9:$AH$9,,MATCH($G16,$N$8:$AH$8,0))))^INDEX(Timing_Adj,MATCH($H16,Cash_Timing,0)),1)
*IF($F16=Mid_Period,(1+IF($E16=Nominal,AA$9,INDEX($N$9:$AH$9,,MATCH($E16,$N$8:$AH$8,0))))^INDEX(Timing_Adj,MATCH($F16,Cash_Timing,0)),1),"N/A")</f>
        <v>1.2065609756097559</v>
      </c>
      <c r="AB16" s="21" cm="1">
        <f t="array" ref="AB16">IFERROR(IF($G16=Nominal,AB$10,INDEX($N$10:$AH$10,,MATCH($G16,$N$8:$AH$8,0)))
/IF($E16=Nominal,AB$10,INDEX($N$10:$AH$10,,MATCH($E16,$N$8:$AH$8,0)))
*IF($H16=Mid_Period,1/(1+IF($G16=Nominal,AB$9,INDEX($N$9:$AH$9,,MATCH($G16,$N$8:$AH$8,0))))^INDEX(Timing_Adj,MATCH($H16,Cash_Timing,0)),1)
*IF($F16=Mid_Period,(1+IF($E16=Nominal,AB$9,INDEX($N$9:$AH$9,,MATCH($E16,$N$8:$AH$8,0))))^INDEX(Timing_Adj,MATCH($F16,Cash_Timing,0)),1),"N/A")</f>
        <v>1.2065609756097559</v>
      </c>
      <c r="AC16" s="21" cm="1">
        <f t="array" ref="AC16">IFERROR(IF($G16=Nominal,AC$10,INDEX($N$10:$AH$10,,MATCH($G16,$N$8:$AH$8,0)))
/IF($E16=Nominal,AC$10,INDEX($N$10:$AH$10,,MATCH($E16,$N$8:$AH$8,0)))
*IF($H16=Mid_Period,1/(1+IF($G16=Nominal,AC$9,INDEX($N$9:$AH$9,,MATCH($G16,$N$8:$AH$8,0))))^INDEX(Timing_Adj,MATCH($H16,Cash_Timing,0)),1)
*IF($F16=Mid_Period,(1+IF($E16=Nominal,AC$9,INDEX($N$9:$AH$9,,MATCH($E16,$N$8:$AH$8,0))))^INDEX(Timing_Adj,MATCH($F16,Cash_Timing,0)),1),"N/A")</f>
        <v>1.2065609756097559</v>
      </c>
      <c r="AD16" s="21" cm="1">
        <f t="array" ref="AD16">IFERROR(IF($G16=Nominal,AD$10,INDEX($N$10:$AH$10,,MATCH($G16,$N$8:$AH$8,0)))
/IF($E16=Nominal,AD$10,INDEX($N$10:$AH$10,,MATCH($E16,$N$8:$AH$8,0)))
*IF($H16=Mid_Period,1/(1+IF($G16=Nominal,AD$9,INDEX($N$9:$AH$9,,MATCH($G16,$N$8:$AH$8,0))))^INDEX(Timing_Adj,MATCH($H16,Cash_Timing,0)),1)
*IF($F16=Mid_Period,(1+IF($E16=Nominal,AD$9,INDEX($N$9:$AH$9,,MATCH($E16,$N$8:$AH$8,0))))^INDEX(Timing_Adj,MATCH($F16,Cash_Timing,0)),1),"N/A")</f>
        <v>1.2065609756097559</v>
      </c>
      <c r="AE16" s="21" cm="1">
        <f t="array" ref="AE16">IFERROR(IF($G16=Nominal,AE$10,INDEX($N$10:$AH$10,,MATCH($G16,$N$8:$AH$8,0)))
/IF($E16=Nominal,AE$10,INDEX($N$10:$AH$10,,MATCH($E16,$N$8:$AH$8,0)))
*IF($H16=Mid_Period,1/(1+IF($G16=Nominal,AE$9,INDEX($N$9:$AH$9,,MATCH($G16,$N$8:$AH$8,0))))^INDEX(Timing_Adj,MATCH($H16,Cash_Timing,0)),1)
*IF($F16=Mid_Period,(1+IF($E16=Nominal,AE$9,INDEX($N$9:$AH$9,,MATCH($E16,$N$8:$AH$8,0))))^INDEX(Timing_Adj,MATCH($F16,Cash_Timing,0)),1),"N/A")</f>
        <v>1.2065609756097559</v>
      </c>
      <c r="AF16" s="21" cm="1">
        <f t="array" ref="AF16">IFERROR(IF($G16=Nominal,AF$10,INDEX($N$10:$AH$10,,MATCH($G16,$N$8:$AH$8,0)))
/IF($E16=Nominal,AF$10,INDEX($N$10:$AH$10,,MATCH($E16,$N$8:$AH$8,0)))
*IF($H16=Mid_Period,1/(1+IF($G16=Nominal,AF$9,INDEX($N$9:$AH$9,,MATCH($G16,$N$8:$AH$8,0))))^INDEX(Timing_Adj,MATCH($H16,Cash_Timing,0)),1)
*IF($F16=Mid_Period,(1+IF($E16=Nominal,AF$9,INDEX($N$9:$AH$9,,MATCH($E16,$N$8:$AH$8,0))))^INDEX(Timing_Adj,MATCH($F16,Cash_Timing,0)),1),"N/A")</f>
        <v>1.2065609756097559</v>
      </c>
      <c r="AG16" s="21" cm="1">
        <f t="array" ref="AG16">IFERROR(IF($G16=Nominal,AG$10,INDEX($N$10:$AH$10,,MATCH($G16,$N$8:$AH$8,0)))
/IF($E16=Nominal,AG$10,INDEX($N$10:$AH$10,,MATCH($E16,$N$8:$AH$8,0)))
*IF($H16=Mid_Period,1/(1+IF($G16=Nominal,AG$9,INDEX($N$9:$AH$9,,MATCH($G16,$N$8:$AH$8,0))))^INDEX(Timing_Adj,MATCH($H16,Cash_Timing,0)),1)
*IF($F16=Mid_Period,(1+IF($E16=Nominal,AG$9,INDEX($N$9:$AH$9,,MATCH($E16,$N$8:$AH$8,0))))^INDEX(Timing_Adj,MATCH($F16,Cash_Timing,0)),1),"N/A")</f>
        <v>1.2065609756097559</v>
      </c>
      <c r="AH16" s="21" cm="1">
        <f t="array" ref="AH16">IFERROR(IF($G16=Nominal,AH$10,INDEX($N$10:$AH$10,,MATCH($G16,$N$8:$AH$8,0)))
/IF($E16=Nominal,AH$10,INDEX($N$10:$AH$10,,MATCH($E16,$N$8:$AH$8,0)))
*IF($H16=Mid_Period,1/(1+IF($G16=Nominal,AH$9,INDEX($N$9:$AH$9,,MATCH($G16,$N$8:$AH$8,0))))^INDEX(Timing_Adj,MATCH($H16,Cash_Timing,0)),1)
*IF($F16=Mid_Period,(1+IF($E16=Nominal,AH$9,INDEX($N$9:$AH$9,,MATCH($E16,$N$8:$AH$8,0))))^INDEX(Timing_Adj,MATCH($F16,Cash_Timing,0)),1),"N/A")</f>
        <v>1.2065609756097559</v>
      </c>
    </row>
    <row r="17" spans="2:34" s="1" customFormat="1" x14ac:dyDescent="0.2">
      <c r="B17" s="2"/>
      <c r="C17" s="2"/>
      <c r="D17" s="8" t="str">
        <f t="shared" si="5"/>
        <v>Real 2015 (End Period) to Nominal (Mid Period)</v>
      </c>
      <c r="E17" s="10">
        <v>2015</v>
      </c>
      <c r="F17" s="10" t="s">
        <v>11</v>
      </c>
      <c r="G17" s="10" t="s">
        <v>9</v>
      </c>
      <c r="H17" s="10" t="s">
        <v>10</v>
      </c>
      <c r="I17" s="4"/>
      <c r="J17" s="21" cm="1">
        <f t="array" ref="J17">IFERROR(IF($G17=Nominal,J$10,INDEX($N$10:$AH$10,,MATCH($G17,$N$8:$AH$8,0)))
/IF($E17=Nominal,J$10,INDEX($N$10:$AH$10,,MATCH($E17,$N$8:$AH$8,0)))
*IF($H17=Mid_Period,1/(1+IF($G17=Nominal,J$9,INDEX($N$9:$AH$9,,MATCH($G17,$N$8:$AH$8,0))))^INDEX(Timing_Adj,MATCH($H17,Cash_Timing,0)),1)
*IF($F17=Mid_Period,(1+IF($E17=Nominal,J$9,INDEX($N$9:$AH$9,,MATCH($E17,$N$8:$AH$8,0))))^INDEX(Timing_Adj,MATCH($F17,Cash_Timing,0)),1),"N/A")</f>
        <v>0.75901276575761079</v>
      </c>
      <c r="K17" s="21" cm="1">
        <f t="array" ref="K17">IFERROR(IF($G17=Nominal,K$10,INDEX($N$10:$AH$10,,MATCH($G17,$N$8:$AH$8,0)))
/IF($E17=Nominal,K$10,INDEX($N$10:$AH$10,,MATCH($E17,$N$8:$AH$8,0)))
*IF($H17=Mid_Period,1/(1+IF($G17=Nominal,K$9,INDEX($N$9:$AH$9,,MATCH($G17,$N$8:$AH$8,0))))^INDEX(Timing_Adj,MATCH($H17,Cash_Timing,0)),1)
*IF($F17=Mid_Period,(1+IF($E17=Nominal,K$9,INDEX($N$9:$AH$9,,MATCH($E17,$N$8:$AH$8,0))))^INDEX(Timing_Adj,MATCH($F17,Cash_Timing,0)),1),"N/A")</f>
        <v>0.78357061563135999</v>
      </c>
      <c r="L17" s="21" cm="1">
        <f t="array" ref="L17">IFERROR(IF($G17=Nominal,L$10,INDEX($N$10:$AH$10,,MATCH($G17,$N$8:$AH$8,0)))
/IF($E17=Nominal,L$10,INDEX($N$10:$AH$10,,MATCH($E17,$N$8:$AH$8,0)))
*IF($H17=Mid_Period,1/(1+IF($G17=Nominal,L$9,INDEX($N$9:$AH$9,,MATCH($G17,$N$8:$AH$8,0))))^INDEX(Timing_Adj,MATCH($H17,Cash_Timing,0)),1)
*IF($F17=Mid_Period,(1+IF($E17=Nominal,L$9,INDEX($N$9:$AH$9,,MATCH($E17,$N$8:$AH$8,0))))^INDEX(Timing_Adj,MATCH($F17,Cash_Timing,0)),1),"N/A")</f>
        <v>0.80739845559040924</v>
      </c>
      <c r="M17" s="21" cm="1">
        <f t="array" ref="M17">IFERROR(IF($G17=Nominal,M$10,INDEX($N$10:$AH$10,,MATCH($G17,$N$8:$AH$8,0)))
/IF($E17=Nominal,M$10,INDEX($N$10:$AH$10,,MATCH($E17,$N$8:$AH$8,0)))
*IF($H17=Mid_Period,1/(1+IF($G17=Nominal,M$9,INDEX($N$9:$AH$9,,MATCH($G17,$N$8:$AH$8,0))))^INDEX(Timing_Adj,MATCH($H17,Cash_Timing,0)),1)
*IF($F17=Mid_Period,(1+IF($E17=Nominal,M$9,INDEX($N$9:$AH$9,,MATCH($E17,$N$8:$AH$8,0))))^INDEX(Timing_Adj,MATCH($F17,Cash_Timing,0)),1),"N/A")</f>
        <v>0.83375618620924463</v>
      </c>
      <c r="N17" s="21" cm="1">
        <f t="array" ref="N17">IFERROR(IF($G17=Nominal,N$10,INDEX($N$10:$AH$10,,MATCH($G17,$N$8:$AH$8,0)))
/IF($E17=Nominal,N$10,INDEX($N$10:$AH$10,,MATCH($E17,$N$8:$AH$8,0)))
*IF($H17=Mid_Period,1/(1+IF($G17=Nominal,N$9,INDEX($N$9:$AH$9,,MATCH($G17,$N$8:$AH$8,0))))^INDEX(Timing_Adj,MATCH($H17,Cash_Timing,0)),1)
*IF($F17=Mid_Period,(1+IF($E17=Nominal,N$9,INDEX($N$9:$AH$9,,MATCH($E17,$N$8:$AH$8,0))))^INDEX(Timing_Adj,MATCH($F17,Cash_Timing,0)),1),"N/A")</f>
        <v>0.85811823254583153</v>
      </c>
      <c r="O17" s="21" cm="1">
        <f t="array" ref="O17">IFERROR(IF($G17=Nominal,O$10,INDEX($N$10:$AH$10,,MATCH($G17,$N$8:$AH$8,0)))
/IF($E17=Nominal,O$10,INDEX($N$10:$AH$10,,MATCH($E17,$N$8:$AH$8,0)))
*IF($H17=Mid_Period,1/(1+IF($G17=Nominal,O$9,INDEX($N$9:$AH$9,,MATCH($G17,$N$8:$AH$8,0))))^INDEX(Timing_Adj,MATCH($H17,Cash_Timing,0)),1)
*IF($F17=Mid_Period,(1+IF($E17=Nominal,O$9,INDEX($N$9:$AH$9,,MATCH($E17,$N$8:$AH$8,0))))^INDEX(Timing_Adj,MATCH($F17,Cash_Timing,0)),1),"N/A")</f>
        <v>0.8775707657455849</v>
      </c>
      <c r="P17" s="21" cm="1">
        <f t="array" ref="P17">IFERROR(IF($G17=Nominal,P$10,INDEX($N$10:$AH$10,,MATCH($G17,$N$8:$AH$8,0)))
/IF($E17=Nominal,P$10,INDEX($N$10:$AH$10,,MATCH($E17,$N$8:$AH$8,0)))
*IF($H17=Mid_Period,1/(1+IF($G17=Nominal,P$9,INDEX($N$9:$AH$9,,MATCH($G17,$N$8:$AH$8,0))))^INDEX(Timing_Adj,MATCH($H17,Cash_Timing,0)),1)
*IF($F17=Mid_Period,(1+IF($E17=Nominal,P$9,INDEX($N$9:$AH$9,,MATCH($E17,$N$8:$AH$8,0))))^INDEX(Timing_Adj,MATCH($F17,Cash_Timing,0)),1),"N/A")</f>
        <v>0.90683886847079309</v>
      </c>
      <c r="Q17" s="21" cm="1">
        <f t="array" ref="Q17">IFERROR(IF($G17=Nominal,Q$10,INDEX($N$10:$AH$10,,MATCH($G17,$N$8:$AH$8,0)))
/IF($E17=Nominal,Q$10,INDEX($N$10:$AH$10,,MATCH($E17,$N$8:$AH$8,0)))
*IF($H17=Mid_Period,1/(1+IF($G17=Nominal,Q$9,INDEX($N$9:$AH$9,,MATCH($G17,$N$8:$AH$8,0))))^INDEX(Timing_Adj,MATCH($H17,Cash_Timing,0)),1)
*IF($F17=Mid_Period,(1+IF($E17=Nominal,Q$9,INDEX($N$9:$AH$9,,MATCH($E17,$N$8:$AH$8,0))))^INDEX(Timing_Adj,MATCH($F17,Cash_Timing,0)),1),"N/A")</f>
        <v>0.92835531513011793</v>
      </c>
      <c r="R17" s="21" cm="1">
        <f t="array" ref="R17">IFERROR(IF($G17=Nominal,R$10,INDEX($N$10:$AH$10,,MATCH($G17,$N$8:$AH$8,0)))
/IF($E17=Nominal,R$10,INDEX($N$10:$AH$10,,MATCH($E17,$N$8:$AH$8,0)))
*IF($H17=Mid_Period,1/(1+IF($G17=Nominal,R$9,INDEX($N$9:$AH$9,,MATCH($G17,$N$8:$AH$8,0))))^INDEX(Timing_Adj,MATCH($H17,Cash_Timing,0)),1)
*IF($F17=Mid_Period,(1+IF($E17=Nominal,R$9,INDEX($N$9:$AH$9,,MATCH($E17,$N$8:$AH$8,0))))^INDEX(Timing_Adj,MATCH($F17,Cash_Timing,0)),1),"N/A")</f>
        <v>0.94505035477826371</v>
      </c>
      <c r="S17" s="21" cm="1">
        <f t="array" ref="S17">IFERROR(IF($G17=Nominal,S$10,INDEX($N$10:$AH$10,,MATCH($G17,$N$8:$AH$8,0)))
/IF($E17=Nominal,S$10,INDEX($N$10:$AH$10,,MATCH($E17,$N$8:$AH$8,0)))
*IF($H17=Mid_Period,1/(1+IF($G17=Nominal,S$9,INDEX($N$9:$AH$9,,MATCH($G17,$N$8:$AH$8,0))))^INDEX(Timing_Adj,MATCH($H17,Cash_Timing,0)),1)
*IF($F17=Mid_Period,(1+IF($E17=Nominal,S$9,INDEX($N$9:$AH$9,,MATCH($E17,$N$8:$AH$8,0))))^INDEX(Timing_Adj,MATCH($F17,Cash_Timing,0)),1),"N/A")</f>
        <v>0.97059058256383313</v>
      </c>
      <c r="T17" s="21" cm="1">
        <f t="array" ref="T17">IFERROR(IF($G17=Nominal,T$10,INDEX($N$10:$AH$10,,MATCH($G17,$N$8:$AH$8,0)))
/IF($E17=Nominal,T$10,INDEX($N$10:$AH$10,,MATCH($E17,$N$8:$AH$8,0)))
*IF($H17=Mid_Period,1/(1+IF($G17=Nominal,T$9,INDEX($N$9:$AH$9,,MATCH($G17,$N$8:$AH$8,0))))^INDEX(Timing_Adj,MATCH($H17,Cash_Timing,0)),1)
*IF($F17=Mid_Period,(1+IF($E17=Nominal,T$9,INDEX($N$9:$AH$9,,MATCH($E17,$N$8:$AH$8,0))))^INDEX(Timing_Adj,MATCH($F17,Cash_Timing,0)),1),"N/A")</f>
        <v>0.99253024088426012</v>
      </c>
      <c r="U17" s="21" cm="1">
        <f t="array" ref="U17">IFERROR(IF($G17=Nominal,U$10,INDEX($N$10:$AH$10,,MATCH($G17,$N$8:$AH$8,0)))
/IF($E17=Nominal,U$10,INDEX($N$10:$AH$10,,MATCH($E17,$N$8:$AH$8,0)))
*IF($H17=Mid_Period,1/(1+IF($G17=Nominal,U$9,INDEX($N$9:$AH$9,,MATCH($G17,$N$8:$AH$8,0))))^INDEX(Timing_Adj,MATCH($H17,Cash_Timing,0)),1)
*IF($F17=Mid_Period,(1+IF($E17=Nominal,U$9,INDEX($N$9:$AH$9,,MATCH($E17,$N$8:$AH$8,0))))^INDEX(Timing_Adj,MATCH($F17,Cash_Timing,0)),1),"N/A")</f>
        <v>1.0051032574514593</v>
      </c>
      <c r="V17" s="21" cm="1">
        <f t="array" ref="V17">IFERROR(IF($G17=Nominal,V$10,INDEX($N$10:$AH$10,,MATCH($G17,$N$8:$AH$8,0)))
/IF($E17=Nominal,V$10,INDEX($N$10:$AH$10,,MATCH($E17,$N$8:$AH$8,0)))
*IF($H17=Mid_Period,1/(1+IF($G17=Nominal,V$9,INDEX($N$9:$AH$9,,MATCH($G17,$N$8:$AH$8,0))))^INDEX(Timing_Adj,MATCH($H17,Cash_Timing,0)),1)
*IF($F17=Mid_Period,(1+IF($E17=Nominal,V$9,INDEX($N$9:$AH$9,,MATCH($E17,$N$8:$AH$8,0))))^INDEX(Timing_Adj,MATCH($F17,Cash_Timing,0)),1),"N/A")</f>
        <v>1.019953232790358</v>
      </c>
      <c r="W17" s="21" cm="1">
        <f t="array" ref="W17">IFERROR(IF($G17=Nominal,W$10,INDEX($N$10:$AH$10,,MATCH($G17,$N$8:$AH$8,0)))
/IF($E17=Nominal,W$10,INDEX($N$10:$AH$10,,MATCH($E17,$N$8:$AH$8,0)))
*IF($H17=Mid_Period,1/(1+IF($G17=Nominal,W$9,INDEX($N$9:$AH$9,,MATCH($G17,$N$8:$AH$8,0))))^INDEX(Timing_Adj,MATCH($H17,Cash_Timing,0)),1)
*IF($F17=Mid_Period,(1+IF($E17=Nominal,W$9,INDEX($N$9:$AH$9,,MATCH($E17,$N$8:$AH$8,0))))^INDEX(Timing_Adj,MATCH($F17,Cash_Timing,0)),1),"N/A")</f>
        <v>1.0404101200755653</v>
      </c>
      <c r="X17" s="21" cm="1">
        <f t="array" ref="X17">IFERROR(IF($G17=Nominal,X$10,INDEX($N$10:$AH$10,,MATCH($G17,$N$8:$AH$8,0)))
/IF($E17=Nominal,X$10,INDEX($N$10:$AH$10,,MATCH($E17,$N$8:$AH$8,0)))
*IF($H17=Mid_Period,1/(1+IF($G17=Nominal,X$9,INDEX($N$9:$AH$9,,MATCH($G17,$N$8:$AH$8,0))))^INDEX(Timing_Adj,MATCH($H17,Cash_Timing,0)),1)
*IF($F17=Mid_Period,(1+IF($E17=Nominal,X$9,INDEX($N$9:$AH$9,,MATCH($E17,$N$8:$AH$8,0))))^INDEX(Timing_Adj,MATCH($F17,Cash_Timing,0)),1),"N/A")</f>
        <v>1.0595018064543049</v>
      </c>
      <c r="Y17" s="21" cm="1">
        <f t="array" ref="Y17">IFERROR(IF($G17=Nominal,Y$10,INDEX($N$10:$AH$10,,MATCH($G17,$N$8:$AH$8,0)))
/IF($E17=Nominal,Y$10,INDEX($N$10:$AH$10,,MATCH($E17,$N$8:$AH$8,0)))
*IF($H17=Mid_Period,1/(1+IF($G17=Nominal,Y$9,INDEX($N$9:$AH$9,,MATCH($G17,$N$8:$AH$8,0))))^INDEX(Timing_Adj,MATCH($H17,Cash_Timing,0)),1)
*IF($F17=Mid_Period,(1+IF($E17=Nominal,Y$9,INDEX($N$9:$AH$9,,MATCH($E17,$N$8:$AH$8,0))))^INDEX(Timing_Adj,MATCH($F17,Cash_Timing,0)),1),"N/A")</f>
        <v>1.0660448881841611</v>
      </c>
      <c r="Z17" s="21" cm="1">
        <f t="array" ref="Z17">IFERROR(IF($G17=Nominal,Z$10,INDEX($N$10:$AH$10,,MATCH($G17,$N$8:$AH$8,0)))
/IF($E17=Nominal,Z$10,INDEX($N$10:$AH$10,,MATCH($E17,$N$8:$AH$8,0)))
*IF($H17=Mid_Period,1/(1+IF($G17=Nominal,Z$9,INDEX($N$9:$AH$9,,MATCH($G17,$N$8:$AH$8,0))))^INDEX(Timing_Adj,MATCH($H17,Cash_Timing,0)),1)
*IF($F17=Mid_Period,(1+IF($E17=Nominal,Z$9,INDEX($N$9:$AH$9,,MATCH($E17,$N$8:$AH$8,0))))^INDEX(Timing_Adj,MATCH($F17,Cash_Timing,0)),1),"N/A")</f>
        <v>1.0844580784700242</v>
      </c>
      <c r="AA17" s="21" cm="1">
        <f t="array" ref="AA17">IFERROR(IF($G17=Nominal,AA$10,INDEX($N$10:$AH$10,,MATCH($G17,$N$8:$AH$8,0)))
/IF($E17=Nominal,AA$10,INDEX($N$10:$AH$10,,MATCH($E17,$N$8:$AH$8,0)))
*IF($H17=Mid_Period,1/(1+IF($G17=Nominal,AA$9,INDEX($N$9:$AH$9,,MATCH($G17,$N$8:$AH$8,0))))^INDEX(Timing_Adj,MATCH($H17,Cash_Timing,0)),1)
*IF($F17=Mid_Period,(1+IF($E17=Nominal,AA$9,INDEX($N$9:$AH$9,,MATCH($E17,$N$8:$AH$8,0))))^INDEX(Timing_Adj,MATCH($F17,Cash_Timing,0)),1),"N/A")</f>
        <v>1.1385636107514678</v>
      </c>
      <c r="AB17" s="21" cm="1">
        <f t="array" ref="AB17">IFERROR(IF($G17=Nominal,AB$10,INDEX($N$10:$AH$10,,MATCH($G17,$N$8:$AH$8,0)))
/IF($E17=Nominal,AB$10,INDEX($N$10:$AH$10,,MATCH($E17,$N$8:$AH$8,0)))
*IF($H17=Mid_Period,1/(1+IF($G17=Nominal,AB$9,INDEX($N$9:$AH$9,,MATCH($G17,$N$8:$AH$8,0))))^INDEX(Timing_Adj,MATCH($H17,Cash_Timing,0)),1)
*IF($F17=Mid_Period,(1+IF($E17=Nominal,AB$9,INDEX($N$9:$AH$9,,MATCH($E17,$N$8:$AH$8,0))))^INDEX(Timing_Adj,MATCH($F17,Cash_Timing,0)),1),"N/A")</f>
        <v>1.2078549477918918</v>
      </c>
      <c r="AC17" s="21" cm="1">
        <f t="array" ref="AC17">IFERROR(IF($G17=Nominal,AC$10,INDEX($N$10:$AH$10,,MATCH($G17,$N$8:$AH$8,0)))
/IF($E17=Nominal,AC$10,INDEX($N$10:$AH$10,,MATCH($E17,$N$8:$AH$8,0)))
*IF($H17=Mid_Period,1/(1+IF($G17=Nominal,AC$9,INDEX($N$9:$AH$9,,MATCH($G17,$N$8:$AH$8,0))))^INDEX(Timing_Adj,MATCH($H17,Cash_Timing,0)),1)
*IF($F17=Mid_Period,(1+IF($E17=Nominal,AC$9,INDEX($N$9:$AH$9,,MATCH($E17,$N$8:$AH$8,0))))^INDEX(Timing_Adj,MATCH($F17,Cash_Timing,0)),1),"N/A")</f>
        <v>1.265909971278087</v>
      </c>
      <c r="AD17" s="21" cm="1">
        <f t="array" ref="AD17">IFERROR(IF($G17=Nominal,AD$10,INDEX($N$10:$AH$10,,MATCH($G17,$N$8:$AH$8,0)))
/IF($E17=Nominal,AD$10,INDEX($N$10:$AH$10,,MATCH($E17,$N$8:$AH$8,0)))
*IF($H17=Mid_Period,1/(1+IF($G17=Nominal,AD$9,INDEX($N$9:$AH$9,,MATCH($G17,$N$8:$AH$8,0))))^INDEX(Timing_Adj,MATCH($H17,Cash_Timing,0)),1)
*IF($F17=Mid_Period,(1+IF($E17=Nominal,AD$9,INDEX($N$9:$AH$9,,MATCH($E17,$N$8:$AH$8,0))))^INDEX(Timing_Adj,MATCH($F17,Cash_Timing,0)),1),"N/A")</f>
        <v>1.3064078863235156</v>
      </c>
      <c r="AE17" s="21" cm="1">
        <f t="array" ref="AE17">IFERROR(IF($G17=Nominal,AE$10,INDEX($N$10:$AH$10,,MATCH($G17,$N$8:$AH$8,0)))
/IF($E17=Nominal,AE$10,INDEX($N$10:$AH$10,,MATCH($E17,$N$8:$AH$8,0)))
*IF($H17=Mid_Period,1/(1+IF($G17=Nominal,AE$9,INDEX($N$9:$AH$9,,MATCH($G17,$N$8:$AH$8,0))))^INDEX(Timing_Adj,MATCH($H17,Cash_Timing,0)),1)
*IF($F17=Mid_Period,(1+IF($E17=Nominal,AE$9,INDEX($N$9:$AH$9,,MATCH($E17,$N$8:$AH$8,0))))^INDEX(Timing_Adj,MATCH($F17,Cash_Timing,0)),1),"N/A")</f>
        <v>1.3429844477774864</v>
      </c>
      <c r="AF17" s="21" cm="1">
        <f t="array" ref="AF17">IFERROR(IF($G17=Nominal,AF$10,INDEX($N$10:$AH$10,,MATCH($G17,$N$8:$AH$8,0)))
/IF($E17=Nominal,AF$10,INDEX($N$10:$AH$10,,MATCH($E17,$N$8:$AH$8,0)))
*IF($H17=Mid_Period,1/(1+IF($G17=Nominal,AF$9,INDEX($N$9:$AH$9,,MATCH($G17,$N$8:$AH$8,0))))^INDEX(Timing_Adj,MATCH($H17,Cash_Timing,0)),1)
*IF($F17=Mid_Period,(1+IF($E17=Nominal,AF$9,INDEX($N$9:$AH$9,,MATCH($E17,$N$8:$AH$8,0))))^INDEX(Timing_Adj,MATCH($F17,Cash_Timing,0)),1),"N/A")</f>
        <v>1.3805850728962599</v>
      </c>
      <c r="AG17" s="21" cm="1">
        <f t="array" ref="AG17">IFERROR(IF($G17=Nominal,AG$10,INDEX($N$10:$AH$10,,MATCH($G17,$N$8:$AH$8,0)))
/IF($E17=Nominal,AG$10,INDEX($N$10:$AH$10,,MATCH($E17,$N$8:$AH$8,0)))
*IF($H17=Mid_Period,1/(1+IF($G17=Nominal,AG$9,INDEX($N$9:$AH$9,,MATCH($G17,$N$8:$AH$8,0))))^INDEX(Timing_Adj,MATCH($H17,Cash_Timing,0)),1)
*IF($F17=Mid_Period,(1+IF($E17=Nominal,AG$9,INDEX($N$9:$AH$9,,MATCH($E17,$N$8:$AH$8,0))))^INDEX(Timing_Adj,MATCH($F17,Cash_Timing,0)),1),"N/A")</f>
        <v>1.419238433221061</v>
      </c>
      <c r="AH17" s="21" cm="1">
        <f t="array" ref="AH17">IFERROR(IF($G17=Nominal,AH$10,INDEX($N$10:$AH$10,,MATCH($G17,$N$8:$AH$8,0)))
/IF($E17=Nominal,AH$10,INDEX($N$10:$AH$10,,MATCH($E17,$N$8:$AH$8,0)))
*IF($H17=Mid_Period,1/(1+IF($G17=Nominal,AH$9,INDEX($N$9:$AH$9,,MATCH($G17,$N$8:$AH$8,0))))^INDEX(Timing_Adj,MATCH($H17,Cash_Timing,0)),1)
*IF($F17=Mid_Period,(1+IF($E17=Nominal,AH$9,INDEX($N$9:$AH$9,,MATCH($E17,$N$8:$AH$8,0))))^INDEX(Timing_Adj,MATCH($F17,Cash_Timing,0)),1),"N/A")</f>
        <v>1.4589740030335141</v>
      </c>
    </row>
    <row r="18" spans="2:34" s="1" customFormat="1" x14ac:dyDescent="0.2">
      <c r="B18" s="2"/>
      <c r="C18" s="2"/>
      <c r="D18" s="8" t="str">
        <f t="shared" si="5"/>
        <v>Real 2019 (End Period) to Nominal (Mid Period)</v>
      </c>
      <c r="E18" s="10">
        <v>2019</v>
      </c>
      <c r="F18" s="10" t="s">
        <v>11</v>
      </c>
      <c r="G18" s="10" t="s">
        <v>9</v>
      </c>
      <c r="H18" s="10" t="s">
        <v>10</v>
      </c>
      <c r="I18" s="4"/>
      <c r="J18" s="21" cm="1">
        <f t="array" ref="J18">IFERROR(IF($G18=Nominal,J$10,INDEX($N$10:$AH$10,,MATCH($G18,$N$8:$AH$8,0)))
/IF($E18=Nominal,J$10,INDEX($N$10:$AH$10,,MATCH($E18,$N$8:$AH$8,0)))
*IF($H18=Mid_Period,1/(1+IF($G18=Nominal,J$9,INDEX($N$9:$AH$9,,MATCH($G18,$N$8:$AH$8,0))))^INDEX(Timing_Adj,MATCH($H18,Cash_Timing,0)),1)
*IF($F18=Mid_Period,(1+IF($E18=Nominal,J$9,INDEX($N$9:$AH$9,,MATCH($E18,$N$8:$AH$8,0))))^INDEX(Timing_Adj,MATCH($F18,Cash_Timing,0)),1),"N/A")</f>
        <v>0.71074801671553267</v>
      </c>
      <c r="K18" s="21" cm="1">
        <f t="array" ref="K18">IFERROR(IF($G18=Nominal,K$10,INDEX($N$10:$AH$10,,MATCH($G18,$N$8:$AH$8,0)))
/IF($E18=Nominal,K$10,INDEX($N$10:$AH$10,,MATCH($E18,$N$8:$AH$8,0)))
*IF($H18=Mid_Period,1/(1+IF($G18=Nominal,K$9,INDEX($N$9:$AH$9,,MATCH($G18,$N$8:$AH$8,0))))^INDEX(Timing_Adj,MATCH($H18,Cash_Timing,0)),1)
*IF($F18=Mid_Period,(1+IF($E18=Nominal,K$9,INDEX($N$9:$AH$9,,MATCH($E18,$N$8:$AH$8,0))))^INDEX(Timing_Adj,MATCH($F18,Cash_Timing,0)),1),"N/A")</f>
        <v>0.73374426115305913</v>
      </c>
      <c r="L18" s="21" cm="1">
        <f t="array" ref="L18">IFERROR(IF($G18=Nominal,L$10,INDEX($N$10:$AH$10,,MATCH($G18,$N$8:$AH$8,0)))
/IF($E18=Nominal,L$10,INDEX($N$10:$AH$10,,MATCH($E18,$N$8:$AH$8,0)))
*IF($H18=Mid_Period,1/(1+IF($G18=Nominal,L$9,INDEX($N$9:$AH$9,,MATCH($G18,$N$8:$AH$8,0))))^INDEX(Timing_Adj,MATCH($H18,Cash_Timing,0)),1)
*IF($F18=Mid_Period,(1+IF($E18=Nominal,L$9,INDEX($N$9:$AH$9,,MATCH($E18,$N$8:$AH$8,0))))^INDEX(Timing_Adj,MATCH($F18,Cash_Timing,0)),1),"N/A")</f>
        <v>0.75605691616697723</v>
      </c>
      <c r="M18" s="21" cm="1">
        <f t="array" ref="M18">IFERROR(IF($G18=Nominal,M$10,INDEX($N$10:$AH$10,,MATCH($G18,$N$8:$AH$8,0)))
/IF($E18=Nominal,M$10,INDEX($N$10:$AH$10,,MATCH($E18,$N$8:$AH$8,0)))
*IF($H18=Mid_Period,1/(1+IF($G18=Nominal,M$9,INDEX($N$9:$AH$9,,MATCH($G18,$N$8:$AH$8,0))))^INDEX(Timing_Adj,MATCH($H18,Cash_Timing,0)),1)
*IF($F18=Mid_Period,(1+IF($E18=Nominal,M$9,INDEX($N$9:$AH$9,,MATCH($E18,$N$8:$AH$8,0))))^INDEX(Timing_Adj,MATCH($F18,Cash_Timing,0)),1),"N/A")</f>
        <v>0.7807385890025591</v>
      </c>
      <c r="N18" s="21" cm="1">
        <f t="array" ref="N18">IFERROR(IF($G18=Nominal,N$10,INDEX($N$10:$AH$10,,MATCH($G18,$N$8:$AH$8,0)))
/IF($E18=Nominal,N$10,INDEX($N$10:$AH$10,,MATCH($E18,$N$8:$AH$8,0)))
*IF($H18=Mid_Period,1/(1+IF($G18=Nominal,N$9,INDEX($N$9:$AH$9,,MATCH($G18,$N$8:$AH$8,0))))^INDEX(Timing_Adj,MATCH($H18,Cash_Timing,0)),1)
*IF($F18=Mid_Period,(1+IF($E18=Nominal,N$9,INDEX($N$9:$AH$9,,MATCH($E18,$N$8:$AH$8,0))))^INDEX(Timing_Adj,MATCH($F18,Cash_Timing,0)),1),"N/A")</f>
        <v>0.80355148082471151</v>
      </c>
      <c r="O18" s="21" cm="1">
        <f t="array" ref="O18">IFERROR(IF($G18=Nominal,O$10,INDEX($N$10:$AH$10,,MATCH($G18,$N$8:$AH$8,0)))
/IF($E18=Nominal,O$10,INDEX($N$10:$AH$10,,MATCH($E18,$N$8:$AH$8,0)))
*IF($H18=Mid_Period,1/(1+IF($G18=Nominal,O$9,INDEX($N$9:$AH$9,,MATCH($G18,$N$8:$AH$8,0))))^INDEX(Timing_Adj,MATCH($H18,Cash_Timing,0)),1)
*IF($F18=Mid_Period,(1+IF($E18=Nominal,O$9,INDEX($N$9:$AH$9,,MATCH($E18,$N$8:$AH$8,0))))^INDEX(Timing_Adj,MATCH($F18,Cash_Timing,0)),1),"N/A")</f>
        <v>0.82176704980531667</v>
      </c>
      <c r="P18" s="21" cm="1">
        <f t="array" ref="P18">IFERROR(IF($G18=Nominal,P$10,INDEX($N$10:$AH$10,,MATCH($G18,$N$8:$AH$8,0)))
/IF($E18=Nominal,P$10,INDEX($N$10:$AH$10,,MATCH($E18,$N$8:$AH$8,0)))
*IF($H18=Mid_Period,1/(1+IF($G18=Nominal,P$9,INDEX($N$9:$AH$9,,MATCH($G18,$N$8:$AH$8,0))))^INDEX(Timing_Adj,MATCH($H18,Cash_Timing,0)),1)
*IF($F18=Mid_Period,(1+IF($E18=Nominal,P$9,INDEX($N$9:$AH$9,,MATCH($E18,$N$8:$AH$8,0))))^INDEX(Timing_Adj,MATCH($F18,Cash_Timing,0)),1),"N/A")</f>
        <v>0.84917402753144822</v>
      </c>
      <c r="Q18" s="21" cm="1">
        <f t="array" ref="Q18">IFERROR(IF($G18=Nominal,Q$10,INDEX($N$10:$AH$10,,MATCH($G18,$N$8:$AH$8,0)))
/IF($E18=Nominal,Q$10,INDEX($N$10:$AH$10,,MATCH($E18,$N$8:$AH$8,0)))
*IF($H18=Mid_Period,1/(1+IF($G18=Nominal,Q$9,INDEX($N$9:$AH$9,,MATCH($G18,$N$8:$AH$8,0))))^INDEX(Timing_Adj,MATCH($H18,Cash_Timing,0)),1)
*IF($F18=Mid_Period,(1+IF($E18=Nominal,Q$9,INDEX($N$9:$AH$9,,MATCH($E18,$N$8:$AH$8,0))))^INDEX(Timing_Adj,MATCH($F18,Cash_Timing,0)),1),"N/A")</f>
        <v>0.86932226808787161</v>
      </c>
      <c r="R18" s="21" cm="1">
        <f t="array" ref="R18">IFERROR(IF($G18=Nominal,R$10,INDEX($N$10:$AH$10,,MATCH($G18,$N$8:$AH$8,0)))
/IF($E18=Nominal,R$10,INDEX($N$10:$AH$10,,MATCH($E18,$N$8:$AH$8,0)))
*IF($H18=Mid_Period,1/(1+IF($G18=Nominal,R$9,INDEX($N$9:$AH$9,,MATCH($G18,$N$8:$AH$8,0))))^INDEX(Timing_Adj,MATCH($H18,Cash_Timing,0)),1)
*IF($F18=Mid_Period,(1+IF($E18=Nominal,R$9,INDEX($N$9:$AH$9,,MATCH($E18,$N$8:$AH$8,0))))^INDEX(Timing_Adj,MATCH($F18,Cash_Timing,0)),1),"N/A")</f>
        <v>0.88495568936117897</v>
      </c>
      <c r="S18" s="21" cm="1">
        <f t="array" ref="S18">IFERROR(IF($G18=Nominal,S$10,INDEX($N$10:$AH$10,,MATCH($G18,$N$8:$AH$8,0)))
/IF($E18=Nominal,S$10,INDEX($N$10:$AH$10,,MATCH($E18,$N$8:$AH$8,0)))
*IF($H18=Mid_Period,1/(1+IF($G18=Nominal,S$9,INDEX($N$9:$AH$9,,MATCH($G18,$N$8:$AH$8,0))))^INDEX(Timing_Adj,MATCH($H18,Cash_Timing,0)),1)
*IF($F18=Mid_Period,(1+IF($E18=Nominal,S$9,INDEX($N$9:$AH$9,,MATCH($E18,$N$8:$AH$8,0))))^INDEX(Timing_Adj,MATCH($F18,Cash_Timing,0)),1),"N/A")</f>
        <v>0.90887184342867633</v>
      </c>
      <c r="T18" s="21" cm="1">
        <f t="array" ref="T18">IFERROR(IF($G18=Nominal,T$10,INDEX($N$10:$AH$10,,MATCH($G18,$N$8:$AH$8,0)))
/IF($E18=Nominal,T$10,INDEX($N$10:$AH$10,,MATCH($E18,$N$8:$AH$8,0)))
*IF($H18=Mid_Period,1/(1+IF($G18=Nominal,T$9,INDEX($N$9:$AH$9,,MATCH($G18,$N$8:$AH$8,0))))^INDEX(Timing_Adj,MATCH($H18,Cash_Timing,0)),1)
*IF($F18=Mid_Period,(1+IF($E18=Nominal,T$9,INDEX($N$9:$AH$9,,MATCH($E18,$N$8:$AH$8,0))))^INDEX(Timing_Adj,MATCH($F18,Cash_Timing,0)),1),"N/A")</f>
        <v>0.9294163841032923</v>
      </c>
      <c r="U18" s="21" cm="1">
        <f t="array" ref="U18">IFERROR(IF($G18=Nominal,U$10,INDEX($N$10:$AH$10,,MATCH($G18,$N$8:$AH$8,0)))
/IF($E18=Nominal,U$10,INDEX($N$10:$AH$10,,MATCH($E18,$N$8:$AH$8,0)))
*IF($H18=Mid_Period,1/(1+IF($G18=Nominal,U$9,INDEX($N$9:$AH$9,,MATCH($G18,$N$8:$AH$8,0))))^INDEX(Timing_Adj,MATCH($H18,Cash_Timing,0)),1)
*IF($F18=Mid_Period,(1+IF($E18=Nominal,U$9,INDEX($N$9:$AH$9,,MATCH($E18,$N$8:$AH$8,0))))^INDEX(Timing_Adj,MATCH($F18,Cash_Timing,0)),1),"N/A")</f>
        <v>0.9411898970037621</v>
      </c>
      <c r="V18" s="21" cm="1">
        <f t="array" ref="V18">IFERROR(IF($G18=Nominal,V$10,INDEX($N$10:$AH$10,,MATCH($G18,$N$8:$AH$8,0)))
/IF($E18=Nominal,V$10,INDEX($N$10:$AH$10,,MATCH($E18,$N$8:$AH$8,0)))
*IF($H18=Mid_Period,1/(1+IF($G18=Nominal,V$9,INDEX($N$9:$AH$9,,MATCH($G18,$N$8:$AH$8,0))))^INDEX(Timing_Adj,MATCH($H18,Cash_Timing,0)),1)
*IF($F18=Mid_Period,(1+IF($E18=Nominal,V$9,INDEX($N$9:$AH$9,,MATCH($E18,$N$8:$AH$8,0))))^INDEX(Timing_Adj,MATCH($F18,Cash_Timing,0)),1),"N/A")</f>
        <v>0.95509557948574475</v>
      </c>
      <c r="W18" s="21" cm="1">
        <f t="array" ref="W18">IFERROR(IF($G18=Nominal,W$10,INDEX($N$10:$AH$10,,MATCH($G18,$N$8:$AH$8,0)))
/IF($E18=Nominal,W$10,INDEX($N$10:$AH$10,,MATCH($E18,$N$8:$AH$8,0)))
*IF($H18=Mid_Period,1/(1+IF($G18=Nominal,W$9,INDEX($N$9:$AH$9,,MATCH($G18,$N$8:$AH$8,0))))^INDEX(Timing_Adj,MATCH($H18,Cash_Timing,0)),1)
*IF($F18=Mid_Period,(1+IF($E18=Nominal,W$9,INDEX($N$9:$AH$9,,MATCH($E18,$N$8:$AH$8,0))))^INDEX(Timing_Adj,MATCH($F18,Cash_Timing,0)),1),"N/A")</f>
        <v>0.97425163683034188</v>
      </c>
      <c r="X18" s="21" cm="1">
        <f t="array" ref="X18">IFERROR(IF($G18=Nominal,X$10,INDEX($N$10:$AH$10,,MATCH($G18,$N$8:$AH$8,0)))
/IF($E18=Nominal,X$10,INDEX($N$10:$AH$10,,MATCH($E18,$N$8:$AH$8,0)))
*IF($H18=Mid_Period,1/(1+IF($G18=Nominal,X$9,INDEX($N$9:$AH$9,,MATCH($G18,$N$8:$AH$8,0))))^INDEX(Timing_Adj,MATCH($H18,Cash_Timing,0)),1)
*IF($F18=Mid_Period,(1+IF($E18=Nominal,X$9,INDEX($N$9:$AH$9,,MATCH($E18,$N$8:$AH$8,0))))^INDEX(Timing_Adj,MATCH($F18,Cash_Timing,0)),1),"N/A")</f>
        <v>0.99212930482437078</v>
      </c>
      <c r="Y18" s="21" cm="1">
        <f t="array" ref="Y18">IFERROR(IF($G18=Nominal,Y$10,INDEX($N$10:$AH$10,,MATCH($G18,$N$8:$AH$8,0)))
/IF($E18=Nominal,Y$10,INDEX($N$10:$AH$10,,MATCH($E18,$N$8:$AH$8,0)))
*IF($H18=Mid_Period,1/(1+IF($G18=Nominal,Y$9,INDEX($N$9:$AH$9,,MATCH($G18,$N$8:$AH$8,0))))^INDEX(Timing_Adj,MATCH($H18,Cash_Timing,0)),1)
*IF($F18=Mid_Period,(1+IF($E18=Nominal,Y$9,INDEX($N$9:$AH$9,,MATCH($E18,$N$8:$AH$8,0))))^INDEX(Timing_Adj,MATCH($F18,Cash_Timing,0)),1),"N/A")</f>
        <v>0.99825631951042959</v>
      </c>
      <c r="Z18" s="21" cm="1">
        <f t="array" ref="Z18">IFERROR(IF($G18=Nominal,Z$10,INDEX($N$10:$AH$10,,MATCH($G18,$N$8:$AH$8,0)))
/IF($E18=Nominal,Z$10,INDEX($N$10:$AH$10,,MATCH($E18,$N$8:$AH$8,0)))
*IF($H18=Mid_Period,1/(1+IF($G18=Nominal,Z$9,INDEX($N$9:$AH$9,,MATCH($G18,$N$8:$AH$8,0))))^INDEX(Timing_Adj,MATCH($H18,Cash_Timing,0)),1)
*IF($F18=Mid_Period,(1+IF($E18=Nominal,Z$9,INDEX($N$9:$AH$9,,MATCH($E18,$N$8:$AH$8,0))))^INDEX(Timing_Adj,MATCH($F18,Cash_Timing,0)),1),"N/A")</f>
        <v>1.0154986361979756</v>
      </c>
      <c r="AA18" s="21" cm="1">
        <f t="array" ref="AA18">IFERROR(IF($G18=Nominal,AA$10,INDEX($N$10:$AH$10,,MATCH($G18,$N$8:$AH$8,0)))
/IF($E18=Nominal,AA$10,INDEX($N$10:$AH$10,,MATCH($E18,$N$8:$AH$8,0)))
*IF($H18=Mid_Period,1/(1+IF($G18=Nominal,AA$9,INDEX($N$9:$AH$9,,MATCH($G18,$N$8:$AH$8,0))))^INDEX(Timing_Adj,MATCH($H18,Cash_Timing,0)),1)
*IF($F18=Mid_Period,(1+IF($E18=Nominal,AA$9,INDEX($N$9:$AH$9,,MATCH($E18,$N$8:$AH$8,0))))^INDEX(Timing_Adj,MATCH($F18,Cash_Timing,0)),1),"N/A")</f>
        <v>1.0661636598935782</v>
      </c>
      <c r="AB18" s="21" cm="1">
        <f t="array" ref="AB18">IFERROR(IF($G18=Nominal,AB$10,INDEX($N$10:$AH$10,,MATCH($G18,$N$8:$AH$8,0)))
/IF($E18=Nominal,AB$10,INDEX($N$10:$AH$10,,MATCH($E18,$N$8:$AH$8,0)))
*IF($H18=Mid_Period,1/(1+IF($G18=Nominal,AB$9,INDEX($N$9:$AH$9,,MATCH($G18,$N$8:$AH$8,0))))^INDEX(Timing_Adj,MATCH($H18,Cash_Timing,0)),1)
*IF($F18=Mid_Period,(1+IF($E18=Nominal,AB$9,INDEX($N$9:$AH$9,,MATCH($E18,$N$8:$AH$8,0))))^INDEX(Timing_Adj,MATCH($F18,Cash_Timing,0)),1),"N/A")</f>
        <v>1.1310488404845678</v>
      </c>
      <c r="AC18" s="21" cm="1">
        <f t="array" ref="AC18">IFERROR(IF($G18=Nominal,AC$10,INDEX($N$10:$AH$10,,MATCH($G18,$N$8:$AH$8,0)))
/IF($E18=Nominal,AC$10,INDEX($N$10:$AH$10,,MATCH($E18,$N$8:$AH$8,0)))
*IF($H18=Mid_Period,1/(1+IF($G18=Nominal,AC$9,INDEX($N$9:$AH$9,,MATCH($G18,$N$8:$AH$8,0))))^INDEX(Timing_Adj,MATCH($H18,Cash_Timing,0)),1)
*IF($F18=Mid_Period,(1+IF($E18=Nominal,AC$9,INDEX($N$9:$AH$9,,MATCH($E18,$N$8:$AH$8,0))))^INDEX(Timing_Adj,MATCH($F18,Cash_Timing,0)),1),"N/A")</f>
        <v>1.1854122117804387</v>
      </c>
      <c r="AD18" s="21" cm="1">
        <f t="array" ref="AD18">IFERROR(IF($G18=Nominal,AD$10,INDEX($N$10:$AH$10,,MATCH($G18,$N$8:$AH$8,0)))
/IF($E18=Nominal,AD$10,INDEX($N$10:$AH$10,,MATCH($E18,$N$8:$AH$8,0)))
*IF($H18=Mid_Period,1/(1+IF($G18=Nominal,AD$9,INDEX($N$9:$AH$9,,MATCH($G18,$N$8:$AH$8,0))))^INDEX(Timing_Adj,MATCH($H18,Cash_Timing,0)),1)
*IF($F18=Mid_Period,(1+IF($E18=Nominal,AD$9,INDEX($N$9:$AH$9,,MATCH($E18,$N$8:$AH$8,0))))^INDEX(Timing_Adj,MATCH($F18,Cash_Timing,0)),1),"N/A")</f>
        <v>1.2233349109736751</v>
      </c>
      <c r="AE18" s="21" cm="1">
        <f t="array" ref="AE18">IFERROR(IF($G18=Nominal,AE$10,INDEX($N$10:$AH$10,,MATCH($G18,$N$8:$AH$8,0)))
/IF($E18=Nominal,AE$10,INDEX($N$10:$AH$10,,MATCH($E18,$N$8:$AH$8,0)))
*IF($H18=Mid_Period,1/(1+IF($G18=Nominal,AE$9,INDEX($N$9:$AH$9,,MATCH($G18,$N$8:$AH$8,0))))^INDEX(Timing_Adj,MATCH($H18,Cash_Timing,0)),1)
*IF($F18=Mid_Period,(1+IF($E18=Nominal,AE$9,INDEX($N$9:$AH$9,,MATCH($E18,$N$8:$AH$8,0))))^INDEX(Timing_Adj,MATCH($F18,Cash_Timing,0)),1),"N/A")</f>
        <v>1.2575856109414614</v>
      </c>
      <c r="AF18" s="21" cm="1">
        <f t="array" ref="AF18">IFERROR(IF($G18=Nominal,AF$10,INDEX($N$10:$AH$10,,MATCH($G18,$N$8:$AH$8,0)))
/IF($E18=Nominal,AF$10,INDEX($N$10:$AH$10,,MATCH($E18,$N$8:$AH$8,0)))
*IF($H18=Mid_Period,1/(1+IF($G18=Nominal,AF$9,INDEX($N$9:$AH$9,,MATCH($G18,$N$8:$AH$8,0))))^INDEX(Timing_Adj,MATCH($H18,Cash_Timing,0)),1)
*IF($F18=Mid_Period,(1+IF($E18=Nominal,AF$9,INDEX($N$9:$AH$9,,MATCH($E18,$N$8:$AH$8,0))))^INDEX(Timing_Adj,MATCH($F18,Cash_Timing,0)),1),"N/A")</f>
        <v>1.2927952555431006</v>
      </c>
      <c r="AG18" s="21" cm="1">
        <f t="array" ref="AG18">IFERROR(IF($G18=Nominal,AG$10,INDEX($N$10:$AH$10,,MATCH($G18,$N$8:$AH$8,0)))
/IF($E18=Nominal,AG$10,INDEX($N$10:$AH$10,,MATCH($E18,$N$8:$AH$8,0)))
*IF($H18=Mid_Period,1/(1+IF($G18=Nominal,AG$9,INDEX($N$9:$AH$9,,MATCH($G18,$N$8:$AH$8,0))))^INDEX(Timing_Adj,MATCH($H18,Cash_Timing,0)),1)
*IF($F18=Mid_Period,(1+IF($E18=Nominal,AG$9,INDEX($N$9:$AH$9,,MATCH($E18,$N$8:$AH$8,0))))^INDEX(Timing_Adj,MATCH($F18,Cash_Timing,0)),1),"N/A")</f>
        <v>1.3289906931294777</v>
      </c>
      <c r="AH18" s="21" cm="1">
        <f t="array" ref="AH18">IFERROR(IF($G18=Nominal,AH$10,INDEX($N$10:$AH$10,,MATCH($G18,$N$8:$AH$8,0)))
/IF($E18=Nominal,AH$10,INDEX($N$10:$AH$10,,MATCH($E18,$N$8:$AH$8,0)))
*IF($H18=Mid_Period,1/(1+IF($G18=Nominal,AH$9,INDEX($N$9:$AH$9,,MATCH($G18,$N$8:$AH$8,0))))^INDEX(Timing_Adj,MATCH($H18,Cash_Timing,0)),1)
*IF($F18=Mid_Period,(1+IF($E18=Nominal,AH$9,INDEX($N$9:$AH$9,,MATCH($E18,$N$8:$AH$8,0))))^INDEX(Timing_Adj,MATCH($F18,Cash_Timing,0)),1),"N/A")</f>
        <v>1.3661995237465396</v>
      </c>
    </row>
    <row r="19" spans="2:34" s="1" customFormat="1" x14ac:dyDescent="0.2">
      <c r="B19" s="2"/>
      <c r="C19" s="2"/>
      <c r="D19" s="8" t="str">
        <f t="shared" si="5"/>
        <v>Real 2024 (End Period) to Nominal (Mid Period)</v>
      </c>
      <c r="E19" s="10">
        <v>2024</v>
      </c>
      <c r="F19" s="10" t="s">
        <v>11</v>
      </c>
      <c r="G19" s="10" t="s">
        <v>9</v>
      </c>
      <c r="H19" s="10" t="s">
        <v>10</v>
      </c>
      <c r="I19" s="4"/>
      <c r="J19" s="21" cm="1">
        <f t="array" ref="J19">IFERROR(IF($G19=Nominal,J$10,INDEX($N$10:$AH$10,,MATCH($G19,$N$8:$AH$8,0)))
/IF($E19=Nominal,J$10,INDEX($N$10:$AH$10,,MATCH($E19,$N$8:$AH$8,0)))
*IF($H19=Mid_Period,1/(1+IF($G19=Nominal,J$9,INDEX($N$9:$AH$9,,MATCH($G19,$N$8:$AH$8,0))))^INDEX(Timing_Adj,MATCH($H19,Cash_Timing,0)),1)
*IF($F19=Mid_Period,(1+IF($E19=Nominal,J$9,INDEX($N$9:$AH$9,,MATCH($E19,$N$8:$AH$8,0))))^INDEX(Timing_Adj,MATCH($F19,Cash_Timing,0)),1),"N/A")</f>
        <v>0.58906928956188409</v>
      </c>
      <c r="K19" s="21" cm="1">
        <f t="array" ref="K19">IFERROR(IF($G19=Nominal,K$10,INDEX($N$10:$AH$10,,MATCH($G19,$N$8:$AH$8,0)))
/IF($E19=Nominal,K$10,INDEX($N$10:$AH$10,,MATCH($E19,$N$8:$AH$8,0)))
*IF($H19=Mid_Period,1/(1+IF($G19=Nominal,K$9,INDEX($N$9:$AH$9,,MATCH($G19,$N$8:$AH$8,0))))^INDEX(Timing_Adj,MATCH($H19,Cash_Timing,0)),1)
*IF($F19=Mid_Period,(1+IF($E19=Nominal,K$9,INDEX($N$9:$AH$9,,MATCH($E19,$N$8:$AH$8,0))))^INDEX(Timing_Adj,MATCH($F19,Cash_Timing,0)),1),"N/A")</f>
        <v>0.60812862009087365</v>
      </c>
      <c r="L19" s="21" cm="1">
        <f t="array" ref="L19">IFERROR(IF($G19=Nominal,L$10,INDEX($N$10:$AH$10,,MATCH($G19,$N$8:$AH$8,0)))
/IF($E19=Nominal,L$10,INDEX($N$10:$AH$10,,MATCH($E19,$N$8:$AH$8,0)))
*IF($H19=Mid_Period,1/(1+IF($G19=Nominal,L$9,INDEX($N$9:$AH$9,,MATCH($G19,$N$8:$AH$8,0))))^INDEX(Timing_Adj,MATCH($H19,Cash_Timing,0)),1)
*IF($F19=Mid_Period,(1+IF($E19=Nominal,L$9,INDEX($N$9:$AH$9,,MATCH($E19,$N$8:$AH$8,0))))^INDEX(Timing_Adj,MATCH($F19,Cash_Timing,0)),1),"N/A")</f>
        <v>0.62662139042321596</v>
      </c>
      <c r="M19" s="21" cm="1">
        <f t="array" ref="M19">IFERROR(IF($G19=Nominal,M$10,INDEX($N$10:$AH$10,,MATCH($G19,$N$8:$AH$8,0)))
/IF($E19=Nominal,M$10,INDEX($N$10:$AH$10,,MATCH($E19,$N$8:$AH$8,0)))
*IF($H19=Mid_Period,1/(1+IF($G19=Nominal,M$9,INDEX($N$9:$AH$9,,MATCH($G19,$N$8:$AH$8,0))))^INDEX(Timing_Adj,MATCH($H19,Cash_Timing,0)),1)
*IF($F19=Mid_Period,(1+IF($E19=Nominal,M$9,INDEX($N$9:$AH$9,,MATCH($E19,$N$8:$AH$8,0))))^INDEX(Timing_Adj,MATCH($F19,Cash_Timing,0)),1),"N/A")</f>
        <v>0.64707760717024654</v>
      </c>
      <c r="N19" s="21" cm="1">
        <f t="array" ref="N19">IFERROR(IF($G19=Nominal,N$10,INDEX($N$10:$AH$10,,MATCH($G19,$N$8:$AH$8,0)))
/IF($E19=Nominal,N$10,INDEX($N$10:$AH$10,,MATCH($E19,$N$8:$AH$8,0)))
*IF($H19=Mid_Period,1/(1+IF($G19=Nominal,N$9,INDEX($N$9:$AH$9,,MATCH($G19,$N$8:$AH$8,0))))^INDEX(Timing_Adj,MATCH($H19,Cash_Timing,0)),1)
*IF($F19=Mid_Period,(1+IF($E19=Nominal,N$9,INDEX($N$9:$AH$9,,MATCH($E19,$N$8:$AH$8,0))))^INDEX(Timing_Adj,MATCH($F19,Cash_Timing,0)),1),"N/A")</f>
        <v>0.66598497470765883</v>
      </c>
      <c r="O19" s="21" cm="1">
        <f t="array" ref="O19">IFERROR(IF($G19=Nominal,O$10,INDEX($N$10:$AH$10,,MATCH($G19,$N$8:$AH$8,0)))
/IF($E19=Nominal,O$10,INDEX($N$10:$AH$10,,MATCH($E19,$N$8:$AH$8,0)))
*IF($H19=Mid_Period,1/(1+IF($G19=Nominal,O$9,INDEX($N$9:$AH$9,,MATCH($G19,$N$8:$AH$8,0))))^INDEX(Timing_Adj,MATCH($H19,Cash_Timing,0)),1)
*IF($F19=Mid_Period,(1+IF($E19=Nominal,O$9,INDEX($N$9:$AH$9,,MATCH($E19,$N$8:$AH$8,0))))^INDEX(Timing_Adj,MATCH($F19,Cash_Timing,0)),1),"N/A")</f>
        <v>0.68108207244977648</v>
      </c>
      <c r="P19" s="21" cm="1">
        <f t="array" ref="P19">IFERROR(IF($G19=Nominal,P$10,INDEX($N$10:$AH$10,,MATCH($G19,$N$8:$AH$8,0)))
/IF($E19=Nominal,P$10,INDEX($N$10:$AH$10,,MATCH($E19,$N$8:$AH$8,0)))
*IF($H19=Mid_Period,1/(1+IF($G19=Nominal,P$9,INDEX($N$9:$AH$9,,MATCH($G19,$N$8:$AH$8,0))))^INDEX(Timing_Adj,MATCH($H19,Cash_Timing,0)),1)
*IF($F19=Mid_Period,(1+IF($E19=Nominal,P$9,INDEX($N$9:$AH$9,,MATCH($E19,$N$8:$AH$8,0))))^INDEX(Timing_Adj,MATCH($F19,Cash_Timing,0)),1),"N/A")</f>
        <v>0.70379702700255475</v>
      </c>
      <c r="Q19" s="21" cm="1">
        <f t="array" ref="Q19">IFERROR(IF($G19=Nominal,Q$10,INDEX($N$10:$AH$10,,MATCH($G19,$N$8:$AH$8,0)))
/IF($E19=Nominal,Q$10,INDEX($N$10:$AH$10,,MATCH($E19,$N$8:$AH$8,0)))
*IF($H19=Mid_Period,1/(1+IF($G19=Nominal,Q$9,INDEX($N$9:$AH$9,,MATCH($G19,$N$8:$AH$8,0))))^INDEX(Timing_Adj,MATCH($H19,Cash_Timing,0)),1)
*IF($F19=Mid_Period,(1+IF($E19=Nominal,Q$9,INDEX($N$9:$AH$9,,MATCH($E19,$N$8:$AH$8,0))))^INDEX(Timing_Adj,MATCH($F19,Cash_Timing,0)),1),"N/A")</f>
        <v>0.72049592657225225</v>
      </c>
      <c r="R19" s="21" cm="1">
        <f t="array" ref="R19">IFERROR(IF($G19=Nominal,R$10,INDEX($N$10:$AH$10,,MATCH($G19,$N$8:$AH$8,0)))
/IF($E19=Nominal,R$10,INDEX($N$10:$AH$10,,MATCH($E19,$N$8:$AH$8,0)))
*IF($H19=Mid_Period,1/(1+IF($G19=Nominal,R$9,INDEX($N$9:$AH$9,,MATCH($G19,$N$8:$AH$8,0))))^INDEX(Timing_Adj,MATCH($H19,Cash_Timing,0)),1)
*IF($F19=Mid_Period,(1+IF($E19=Nominal,R$9,INDEX($N$9:$AH$9,,MATCH($E19,$N$8:$AH$8,0))))^INDEX(Timing_Adj,MATCH($F19,Cash_Timing,0)),1),"N/A")</f>
        <v>0.73345293545065282</v>
      </c>
      <c r="S19" s="21" cm="1">
        <f t="array" ref="S19">IFERROR(IF($G19=Nominal,S$10,INDEX($N$10:$AH$10,,MATCH($G19,$N$8:$AH$8,0)))
/IF($E19=Nominal,S$10,INDEX($N$10:$AH$10,,MATCH($E19,$N$8:$AH$8,0)))
*IF($H19=Mid_Period,1/(1+IF($G19=Nominal,S$9,INDEX($N$9:$AH$9,,MATCH($G19,$N$8:$AH$8,0))))^INDEX(Timing_Adj,MATCH($H19,Cash_Timing,0)),1)
*IF($F19=Mid_Period,(1+IF($E19=Nominal,S$9,INDEX($N$9:$AH$9,,MATCH($E19,$N$8:$AH$8,0))))^INDEX(Timing_Adj,MATCH($F19,Cash_Timing,0)),1),"N/A")</f>
        <v>0.75327468880664117</v>
      </c>
      <c r="T19" s="21" cm="1">
        <f t="array" ref="T19">IFERROR(IF($G19=Nominal,T$10,INDEX($N$10:$AH$10,,MATCH($G19,$N$8:$AH$8,0)))
/IF($E19=Nominal,T$10,INDEX($N$10:$AH$10,,MATCH($E19,$N$8:$AH$8,0)))
*IF($H19=Mid_Period,1/(1+IF($G19=Nominal,T$9,INDEX($N$9:$AH$9,,MATCH($G19,$N$8:$AH$8,0))))^INDEX(Timing_Adj,MATCH($H19,Cash_Timing,0)),1)
*IF($F19=Mid_Period,(1+IF($E19=Nominal,T$9,INDEX($N$9:$AH$9,,MATCH($E19,$N$8:$AH$8,0))))^INDEX(Timing_Adj,MATCH($F19,Cash_Timing,0)),1),"N/A")</f>
        <v>0.77030204265772484</v>
      </c>
      <c r="U19" s="21" cm="1">
        <f t="array" ref="U19">IFERROR(IF($G19=Nominal,U$10,INDEX($N$10:$AH$10,,MATCH($G19,$N$8:$AH$8,0)))
/IF($E19=Nominal,U$10,INDEX($N$10:$AH$10,,MATCH($E19,$N$8:$AH$8,0)))
*IF($H19=Mid_Period,1/(1+IF($G19=Nominal,U$9,INDEX($N$9:$AH$9,,MATCH($G19,$N$8:$AH$8,0))))^INDEX(Timing_Adj,MATCH($H19,Cash_Timing,0)),1)
*IF($F19=Mid_Period,(1+IF($E19=Nominal,U$9,INDEX($N$9:$AH$9,,MATCH($E19,$N$8:$AH$8,0))))^INDEX(Timing_Adj,MATCH($F19,Cash_Timing,0)),1),"N/A")</f>
        <v>0.78005995223582947</v>
      </c>
      <c r="V19" s="21" cm="1">
        <f t="array" ref="V19">IFERROR(IF($G19=Nominal,V$10,INDEX($N$10:$AH$10,,MATCH($G19,$N$8:$AH$8,0)))
/IF($E19=Nominal,V$10,INDEX($N$10:$AH$10,,MATCH($E19,$N$8:$AH$8,0)))
*IF($H19=Mid_Period,1/(1+IF($G19=Nominal,V$9,INDEX($N$9:$AH$9,,MATCH($G19,$N$8:$AH$8,0))))^INDEX(Timing_Adj,MATCH($H19,Cash_Timing,0)),1)
*IF($F19=Mid_Period,(1+IF($E19=Nominal,V$9,INDEX($N$9:$AH$9,,MATCH($E19,$N$8:$AH$8,0))))^INDEX(Timing_Adj,MATCH($F19,Cash_Timing,0)),1),"N/A")</f>
        <v>0.79158500796287656</v>
      </c>
      <c r="W19" s="21" cm="1">
        <f t="array" ref="W19">IFERROR(IF($G19=Nominal,W$10,INDEX($N$10:$AH$10,,MATCH($G19,$N$8:$AH$8,0)))
/IF($E19=Nominal,W$10,INDEX($N$10:$AH$10,,MATCH($E19,$N$8:$AH$8,0)))
*IF($H19=Mid_Period,1/(1+IF($G19=Nominal,W$9,INDEX($N$9:$AH$9,,MATCH($G19,$N$8:$AH$8,0))))^INDEX(Timing_Adj,MATCH($H19,Cash_Timing,0)),1)
*IF($F19=Mid_Period,(1+IF($E19=Nominal,W$9,INDEX($N$9:$AH$9,,MATCH($E19,$N$8:$AH$8,0))))^INDEX(Timing_Adj,MATCH($F19,Cash_Timing,0)),1),"N/A")</f>
        <v>0.80746158422535363</v>
      </c>
      <c r="X19" s="21" cm="1">
        <f t="array" ref="X19">IFERROR(IF($G19=Nominal,X$10,INDEX($N$10:$AH$10,,MATCH($G19,$N$8:$AH$8,0)))
/IF($E19=Nominal,X$10,INDEX($N$10:$AH$10,,MATCH($E19,$N$8:$AH$8,0)))
*IF($H19=Mid_Period,1/(1+IF($G19=Nominal,X$9,INDEX($N$9:$AH$9,,MATCH($G19,$N$8:$AH$8,0))))^INDEX(Timing_Adj,MATCH($H19,Cash_Timing,0)),1)
*IF($F19=Mid_Period,(1+IF($E19=Nominal,X$9,INDEX($N$9:$AH$9,,MATCH($E19,$N$8:$AH$8,0))))^INDEX(Timing_Adj,MATCH($F19,Cash_Timing,0)),1),"N/A")</f>
        <v>0.82227862899592086</v>
      </c>
      <c r="Y19" s="21" cm="1">
        <f t="array" ref="Y19">IFERROR(IF($G19=Nominal,Y$10,INDEX($N$10:$AH$10,,MATCH($G19,$N$8:$AH$8,0)))
/IF($E19=Nominal,Y$10,INDEX($N$10:$AH$10,,MATCH($E19,$N$8:$AH$8,0)))
*IF($H19=Mid_Period,1/(1+IF($G19=Nominal,Y$9,INDEX($N$9:$AH$9,,MATCH($G19,$N$8:$AH$8,0))))^INDEX(Timing_Adj,MATCH($H19,Cash_Timing,0)),1)
*IF($F19=Mid_Period,(1+IF($E19=Nominal,Y$9,INDEX($N$9:$AH$9,,MATCH($E19,$N$8:$AH$8,0))))^INDEX(Timing_Adj,MATCH($F19,Cash_Timing,0)),1),"N/A")</f>
        <v>0.82735671026152979</v>
      </c>
      <c r="Z19" s="21" cm="1">
        <f t="array" ref="Z19">IFERROR(IF($G19=Nominal,Z$10,INDEX($N$10:$AH$10,,MATCH($G19,$N$8:$AH$8,0)))
/IF($E19=Nominal,Z$10,INDEX($N$10:$AH$10,,MATCH($E19,$N$8:$AH$8,0)))
*IF($H19=Mid_Period,1/(1+IF($G19=Nominal,Z$9,INDEX($N$9:$AH$9,,MATCH($G19,$N$8:$AH$8,0))))^INDEX(Timing_Adj,MATCH($H19,Cash_Timing,0)),1)
*IF($F19=Mid_Period,(1+IF($E19=Nominal,Z$9,INDEX($N$9:$AH$9,,MATCH($E19,$N$8:$AH$8,0))))^INDEX(Timing_Adj,MATCH($F19,Cash_Timing,0)),1),"N/A")</f>
        <v>0.84164717467741412</v>
      </c>
      <c r="AA19" s="21" cm="1">
        <f t="array" ref="AA19">IFERROR(IF($G19=Nominal,AA$10,INDEX($N$10:$AH$10,,MATCH($G19,$N$8:$AH$8,0)))
/IF($E19=Nominal,AA$10,INDEX($N$10:$AH$10,,MATCH($E19,$N$8:$AH$8,0)))
*IF($H19=Mid_Period,1/(1+IF($G19=Nominal,AA$9,INDEX($N$9:$AH$9,,MATCH($G19,$N$8:$AH$8,0))))^INDEX(Timing_Adj,MATCH($H19,Cash_Timing,0)),1)
*IF($F19=Mid_Period,(1+IF($E19=Nominal,AA$9,INDEX($N$9:$AH$9,,MATCH($E19,$N$8:$AH$8,0))))^INDEX(Timing_Adj,MATCH($F19,Cash_Timing,0)),1),"N/A")</f>
        <v>0.88363844135997727</v>
      </c>
      <c r="AB19" s="21" cm="1">
        <f t="array" ref="AB19">IFERROR(IF($G19=Nominal,AB$10,INDEX($N$10:$AH$10,,MATCH($G19,$N$8:$AH$8,0)))
/IF($E19=Nominal,AB$10,INDEX($N$10:$AH$10,,MATCH($E19,$N$8:$AH$8,0)))
*IF($H19=Mid_Period,1/(1+IF($G19=Nominal,AB$9,INDEX($N$9:$AH$9,,MATCH($G19,$N$8:$AH$8,0))))^INDEX(Timing_Adj,MATCH($H19,Cash_Timing,0)),1)
*IF($F19=Mid_Period,(1+IF($E19=Nominal,AB$9,INDEX($N$9:$AH$9,,MATCH($E19,$N$8:$AH$8,0))))^INDEX(Timing_Adj,MATCH($F19,Cash_Timing,0)),1),"N/A")</f>
        <v>0.93741540075334617</v>
      </c>
      <c r="AC19" s="21" cm="1">
        <f t="array" ref="AC19">IFERROR(IF($G19=Nominal,AC$10,INDEX($N$10:$AH$10,,MATCH($G19,$N$8:$AH$8,0)))
/IF($E19=Nominal,AC$10,INDEX($N$10:$AH$10,,MATCH($E19,$N$8:$AH$8,0)))
*IF($H19=Mid_Period,1/(1+IF($G19=Nominal,AC$9,INDEX($N$9:$AH$9,,MATCH($G19,$N$8:$AH$8,0))))^INDEX(Timing_Adj,MATCH($H19,Cash_Timing,0)),1)
*IF($F19=Mid_Period,(1+IF($E19=Nominal,AC$9,INDEX($N$9:$AH$9,,MATCH($E19,$N$8:$AH$8,0))))^INDEX(Timing_Adj,MATCH($F19,Cash_Timing,0)),1),"N/A")</f>
        <v>0.98247186486482418</v>
      </c>
      <c r="AD19" s="21" cm="1">
        <f t="array" ref="AD19">IFERROR(IF($G19=Nominal,AD$10,INDEX($N$10:$AH$10,,MATCH($G19,$N$8:$AH$8,0)))
/IF($E19=Nominal,AD$10,INDEX($N$10:$AH$10,,MATCH($E19,$N$8:$AH$8,0)))
*IF($H19=Mid_Period,1/(1+IF($G19=Nominal,AD$9,INDEX($N$9:$AH$9,,MATCH($G19,$N$8:$AH$8,0))))^INDEX(Timing_Adj,MATCH($H19,Cash_Timing,0)),1)
*IF($F19=Mid_Period,(1+IF($E19=Nominal,AD$9,INDEX($N$9:$AH$9,,MATCH($E19,$N$8:$AH$8,0))))^INDEX(Timing_Adj,MATCH($F19,Cash_Timing,0)),1),"N/A")</f>
        <v>1.0139022690962156</v>
      </c>
      <c r="AE19" s="21" cm="1">
        <f t="array" ref="AE19">IFERROR(IF($G19=Nominal,AE$10,INDEX($N$10:$AH$10,,MATCH($G19,$N$8:$AH$8,0)))
/IF($E19=Nominal,AE$10,INDEX($N$10:$AH$10,,MATCH($E19,$N$8:$AH$8,0)))
*IF($H19=Mid_Period,1/(1+IF($G19=Nominal,AE$9,INDEX($N$9:$AH$9,,MATCH($G19,$N$8:$AH$8,0))))^INDEX(Timing_Adj,MATCH($H19,Cash_Timing,0)),1)
*IF($F19=Mid_Period,(1+IF($E19=Nominal,AE$9,INDEX($N$9:$AH$9,,MATCH($E19,$N$8:$AH$8,0))))^INDEX(Timing_Adj,MATCH($F19,Cash_Timing,0)),1),"N/A")</f>
        <v>1.0422893134811684</v>
      </c>
      <c r="AF19" s="21" cm="1">
        <f t="array" ref="AF19">IFERROR(IF($G19=Nominal,AF$10,INDEX($N$10:$AH$10,,MATCH($G19,$N$8:$AH$8,0)))
/IF($E19=Nominal,AF$10,INDEX($N$10:$AH$10,,MATCH($E19,$N$8:$AH$8,0)))
*IF($H19=Mid_Period,1/(1+IF($G19=Nominal,AF$9,INDEX($N$9:$AH$9,,MATCH($G19,$N$8:$AH$8,0))))^INDEX(Timing_Adj,MATCH($H19,Cash_Timing,0)),1)
*IF($F19=Mid_Period,(1+IF($E19=Nominal,AF$9,INDEX($N$9:$AH$9,,MATCH($E19,$N$8:$AH$8,0))))^INDEX(Timing_Adj,MATCH($F19,Cash_Timing,0)),1),"N/A")</f>
        <v>1.0714711329775641</v>
      </c>
      <c r="AG19" s="21" cm="1">
        <f t="array" ref="AG19">IFERROR(IF($G19=Nominal,AG$10,INDEX($N$10:$AH$10,,MATCH($G19,$N$8:$AH$8,0)))
/IF($E19=Nominal,AG$10,INDEX($N$10:$AH$10,,MATCH($E19,$N$8:$AH$8,0)))
*IF($H19=Mid_Period,1/(1+IF($G19=Nominal,AG$9,INDEX($N$9:$AH$9,,MATCH($G19,$N$8:$AH$8,0))))^INDEX(Timing_Adj,MATCH($H19,Cash_Timing,0)),1)
*IF($F19=Mid_Period,(1+IF($E19=Nominal,AG$9,INDEX($N$9:$AH$9,,MATCH($E19,$N$8:$AH$8,0))))^INDEX(Timing_Adj,MATCH($F19,Cash_Timing,0)),1),"N/A")</f>
        <v>1.1014699795489822</v>
      </c>
      <c r="AH19" s="21" cm="1">
        <f t="array" ref="AH19">IFERROR(IF($G19=Nominal,AH$10,INDEX($N$10:$AH$10,,MATCH($G19,$N$8:$AH$8,0)))
/IF($E19=Nominal,AH$10,INDEX($N$10:$AH$10,,MATCH($E19,$N$8:$AH$8,0)))
*IF($H19=Mid_Period,1/(1+IF($G19=Nominal,AH$9,INDEX($N$9:$AH$9,,MATCH($G19,$N$8:$AH$8,0))))^INDEX(Timing_Adj,MATCH($H19,Cash_Timing,0)),1)
*IF($F19=Mid_Period,(1+IF($E19=Nominal,AH$9,INDEX($N$9:$AH$9,,MATCH($E19,$N$8:$AH$8,0))))^INDEX(Timing_Adj,MATCH($F19,Cash_Timing,0)),1),"N/A")</f>
        <v>1.1323087281652779</v>
      </c>
    </row>
    <row r="20" spans="2:34" s="1" customFormat="1" x14ac:dyDescent="0.2">
      <c r="B20" s="2"/>
      <c r="C20" s="2"/>
      <c r="D20" s="8" t="str">
        <f t="shared" si="5"/>
        <v>Nominal (Mid Period) to Real 2024 (End Period)</v>
      </c>
      <c r="E20" s="10" t="s">
        <v>9</v>
      </c>
      <c r="F20" s="10" t="s">
        <v>10</v>
      </c>
      <c r="G20" s="10">
        <v>2024</v>
      </c>
      <c r="H20" s="10" t="s">
        <v>11</v>
      </c>
      <c r="I20" s="4"/>
      <c r="J20" s="21" cm="1">
        <f t="array" ref="J20">IFERROR(IF($G20=Nominal,J$10,INDEX($N$10:$AH$10,,MATCH($G20,$N$8:$AH$8,0)))
/IF($E20=Nominal,J$10,INDEX($N$10:$AH$10,,MATCH($E20,$N$8:$AH$8,0)))
*IF($H20=Mid_Period,1/(1+IF($G20=Nominal,J$9,INDEX($N$9:$AH$9,,MATCH($G20,$N$8:$AH$8,0))))^INDEX(Timing_Adj,MATCH($H20,Cash_Timing,0)),1)
*IF($F20=Mid_Period,(1+IF($E20=Nominal,J$9,INDEX($N$9:$AH$9,,MATCH($E20,$N$8:$AH$8,0))))^INDEX(Timing_Adj,MATCH($F20,Cash_Timing,0)),1),"N/A")</f>
        <v>1.6975931655573875</v>
      </c>
      <c r="K20" s="21" cm="1">
        <f t="array" ref="K20">IFERROR(IF($G20=Nominal,K$10,INDEX($N$10:$AH$10,,MATCH($G20,$N$8:$AH$8,0)))
/IF($E20=Nominal,K$10,INDEX($N$10:$AH$10,,MATCH($E20,$N$8:$AH$8,0)))
*IF($H20=Mid_Period,1/(1+IF($G20=Nominal,K$9,INDEX($N$9:$AH$9,,MATCH($G20,$N$8:$AH$8,0))))^INDEX(Timing_Adj,MATCH($H20,Cash_Timing,0)),1)
*IF($F20=Mid_Period,(1+IF($E20=Nominal,K$9,INDEX($N$9:$AH$9,,MATCH($E20,$N$8:$AH$8,0))))^INDEX(Timing_Adj,MATCH($F20,Cash_Timing,0)),1),"N/A")</f>
        <v>1.6443889778622298</v>
      </c>
      <c r="L20" s="21" cm="1">
        <f t="array" ref="L20">IFERROR(IF($G20=Nominal,L$10,INDEX($N$10:$AH$10,,MATCH($G20,$N$8:$AH$8,0)))
/IF($E20=Nominal,L$10,INDEX($N$10:$AH$10,,MATCH($E20,$N$8:$AH$8,0)))
*IF($H20=Mid_Period,1/(1+IF($G20=Nominal,L$9,INDEX($N$9:$AH$9,,MATCH($G20,$N$8:$AH$8,0))))^INDEX(Timing_Adj,MATCH($H20,Cash_Timing,0)),1)
*IF($F20=Mid_Period,(1+IF($E20=Nominal,L$9,INDEX($N$9:$AH$9,,MATCH($E20,$N$8:$AH$8,0))))^INDEX(Timing_Adj,MATCH($F20,Cash_Timing,0)),1),"N/A")</f>
        <v>1.5958599806569109</v>
      </c>
      <c r="M20" s="21" cm="1">
        <f t="array" ref="M20">IFERROR(IF($G20=Nominal,M$10,INDEX($N$10:$AH$10,,MATCH($G20,$N$8:$AH$8,0)))
/IF($E20=Nominal,M$10,INDEX($N$10:$AH$10,,MATCH($E20,$N$8:$AH$8,0)))
*IF($H20=Mid_Period,1/(1+IF($G20=Nominal,M$9,INDEX($N$9:$AH$9,,MATCH($G20,$N$8:$AH$8,0))))^INDEX(Timing_Adj,MATCH($H20,Cash_Timing,0)),1)
*IF($F20=Mid_Period,(1+IF($E20=Nominal,M$9,INDEX($N$9:$AH$9,,MATCH($E20,$N$8:$AH$8,0))))^INDEX(Timing_Adj,MATCH($F20,Cash_Timing,0)),1),"N/A")</f>
        <v>1.5454096833502373</v>
      </c>
      <c r="N20" s="21" cm="1">
        <f t="array" ref="N20">IFERROR(IF($G20=Nominal,N$10,INDEX($N$10:$AH$10,,MATCH($G20,$N$8:$AH$8,0)))
/IF($E20=Nominal,N$10,INDEX($N$10:$AH$10,,MATCH($E20,$N$8:$AH$8,0)))
*IF($H20=Mid_Period,1/(1+IF($G20=Nominal,N$9,INDEX($N$9:$AH$9,,MATCH($G20,$N$8:$AH$8,0))))^INDEX(Timing_Adj,MATCH($H20,Cash_Timing,0)),1)
*IF($F20=Mid_Period,(1+IF($E20=Nominal,N$9,INDEX($N$9:$AH$9,,MATCH($E20,$N$8:$AH$8,0))))^INDEX(Timing_Adj,MATCH($F20,Cash_Timing,0)),1),"N/A")</f>
        <v>1.5015353768888862</v>
      </c>
      <c r="O20" s="21" cm="1">
        <f t="array" ref="O20">IFERROR(IF($G20=Nominal,O$10,INDEX($N$10:$AH$10,,MATCH($G20,$N$8:$AH$8,0)))
/IF($E20=Nominal,O$10,INDEX($N$10:$AH$10,,MATCH($E20,$N$8:$AH$8,0)))
*IF($H20=Mid_Period,1/(1+IF($G20=Nominal,O$9,INDEX($N$9:$AH$9,,MATCH($G20,$N$8:$AH$8,0))))^INDEX(Timing_Adj,MATCH($H20,Cash_Timing,0)),1)
*IF($F20=Mid_Period,(1+IF($E20=Nominal,O$9,INDEX($N$9:$AH$9,,MATCH($E20,$N$8:$AH$8,0))))^INDEX(Timing_Adj,MATCH($F20,Cash_Timing,0)),1),"N/A")</f>
        <v>1.468251831094469</v>
      </c>
      <c r="P20" s="21" cm="1">
        <f t="array" ref="P20">IFERROR(IF($G20=Nominal,P$10,INDEX($N$10:$AH$10,,MATCH($G20,$N$8:$AH$8,0)))
/IF($E20=Nominal,P$10,INDEX($N$10:$AH$10,,MATCH($E20,$N$8:$AH$8,0)))
*IF($H20=Mid_Period,1/(1+IF($G20=Nominal,P$9,INDEX($N$9:$AH$9,,MATCH($G20,$N$8:$AH$8,0))))^INDEX(Timing_Adj,MATCH($H20,Cash_Timing,0)),1)
*IF($F20=Mid_Period,(1+IF($E20=Nominal,P$9,INDEX($N$9:$AH$9,,MATCH($E20,$N$8:$AH$8,0))))^INDEX(Timing_Adj,MATCH($F20,Cash_Timing,0)),1),"N/A")</f>
        <v>1.4208642003774334</v>
      </c>
      <c r="Q20" s="21" cm="1">
        <f t="array" ref="Q20">IFERROR(IF($G20=Nominal,Q$10,INDEX($N$10:$AH$10,,MATCH($G20,$N$8:$AH$8,0)))
/IF($E20=Nominal,Q$10,INDEX($N$10:$AH$10,,MATCH($E20,$N$8:$AH$8,0)))
*IF($H20=Mid_Period,1/(1+IF($G20=Nominal,Q$9,INDEX($N$9:$AH$9,,MATCH($G20,$N$8:$AH$8,0))))^INDEX(Timing_Adj,MATCH($H20,Cash_Timing,0)),1)
*IF($F20=Mid_Period,(1+IF($E20=Nominal,Q$9,INDEX($N$9:$AH$9,,MATCH($E20,$N$8:$AH$8,0))))^INDEX(Timing_Adj,MATCH($F20,Cash_Timing,0)),1),"N/A")</f>
        <v>1.3879328988818631</v>
      </c>
      <c r="R20" s="21" cm="1">
        <f t="array" ref="R20">IFERROR(IF($G20=Nominal,R$10,INDEX($N$10:$AH$10,,MATCH($G20,$N$8:$AH$8,0)))
/IF($E20=Nominal,R$10,INDEX($N$10:$AH$10,,MATCH($E20,$N$8:$AH$8,0)))
*IF($H20=Mid_Period,1/(1+IF($G20=Nominal,R$9,INDEX($N$9:$AH$9,,MATCH($G20,$N$8:$AH$8,0))))^INDEX(Timing_Adj,MATCH($H20,Cash_Timing,0)),1)
*IF($F20=Mid_Period,(1+IF($E20=Nominal,R$9,INDEX($N$9:$AH$9,,MATCH($E20,$N$8:$AH$8,0))))^INDEX(Timing_Adj,MATCH($F20,Cash_Timing,0)),1),"N/A")</f>
        <v>1.3634139992712329</v>
      </c>
      <c r="S20" s="21" cm="1">
        <f t="array" ref="S20">IFERROR(IF($G20=Nominal,S$10,INDEX($N$10:$AH$10,,MATCH($G20,$N$8:$AH$8,0)))
/IF($E20=Nominal,S$10,INDEX($N$10:$AH$10,,MATCH($E20,$N$8:$AH$8,0)))
*IF($H20=Mid_Period,1/(1+IF($G20=Nominal,S$9,INDEX($N$9:$AH$9,,MATCH($G20,$N$8:$AH$8,0))))^INDEX(Timing_Adj,MATCH($H20,Cash_Timing,0)),1)
*IF($F20=Mid_Period,(1+IF($E20=Nominal,S$9,INDEX($N$9:$AH$9,,MATCH($E20,$N$8:$AH$8,0))))^INDEX(Timing_Adj,MATCH($F20,Cash_Timing,0)),1),"N/A")</f>
        <v>1.3275369727134041</v>
      </c>
      <c r="T20" s="21" cm="1">
        <f t="array" ref="T20">IFERROR(IF($G20=Nominal,T$10,INDEX($N$10:$AH$10,,MATCH($G20,$N$8:$AH$8,0)))
/IF($E20=Nominal,T$10,INDEX($N$10:$AH$10,,MATCH($E20,$N$8:$AH$8,0)))
*IF($H20=Mid_Period,1/(1+IF($G20=Nominal,T$9,INDEX($N$9:$AH$9,,MATCH($G20,$N$8:$AH$8,0))))^INDEX(Timing_Adj,MATCH($H20,Cash_Timing,0)),1)
*IF($F20=Mid_Period,(1+IF($E20=Nominal,T$9,INDEX($N$9:$AH$9,,MATCH($E20,$N$8:$AH$8,0))))^INDEX(Timing_Adj,MATCH($F20,Cash_Timing,0)),1),"N/A")</f>
        <v>1.2981920657379575</v>
      </c>
      <c r="U20" s="21" cm="1">
        <f t="array" ref="U20">IFERROR(IF($G20=Nominal,U$10,INDEX($N$10:$AH$10,,MATCH($G20,$N$8:$AH$8,0)))
/IF($E20=Nominal,U$10,INDEX($N$10:$AH$10,,MATCH($E20,$N$8:$AH$8,0)))
*IF($H20=Mid_Period,1/(1+IF($G20=Nominal,U$9,INDEX($N$9:$AH$9,,MATCH($G20,$N$8:$AH$8,0))))^INDEX(Timing_Adj,MATCH($H20,Cash_Timing,0)),1)
*IF($F20=Mid_Period,(1+IF($E20=Nominal,U$9,INDEX($N$9:$AH$9,,MATCH($E20,$N$8:$AH$8,0))))^INDEX(Timing_Adj,MATCH($F20,Cash_Timing,0)),1),"N/A")</f>
        <v>1.2819527488031814</v>
      </c>
      <c r="V20" s="21" cm="1">
        <f t="array" ref="V20">IFERROR(IF($G20=Nominal,V$10,INDEX($N$10:$AH$10,,MATCH($G20,$N$8:$AH$8,0)))
/IF($E20=Nominal,V$10,INDEX($N$10:$AH$10,,MATCH($E20,$N$8:$AH$8,0)))
*IF($H20=Mid_Period,1/(1+IF($G20=Nominal,V$9,INDEX($N$9:$AH$9,,MATCH($G20,$N$8:$AH$8,0))))^INDEX(Timing_Adj,MATCH($H20,Cash_Timing,0)),1)
*IF($F20=Mid_Period,(1+IF($E20=Nominal,V$9,INDEX($N$9:$AH$9,,MATCH($E20,$N$8:$AH$8,0))))^INDEX(Timing_Adj,MATCH($F20,Cash_Timing,0)),1),"N/A")</f>
        <v>1.2632882001813981</v>
      </c>
      <c r="W20" s="21" cm="1">
        <f t="array" ref="W20">IFERROR(IF($G20=Nominal,W$10,INDEX($N$10:$AH$10,,MATCH($G20,$N$8:$AH$8,0)))
/IF($E20=Nominal,W$10,INDEX($N$10:$AH$10,,MATCH($E20,$N$8:$AH$8,0)))
*IF($H20=Mid_Period,1/(1+IF($G20=Nominal,W$9,INDEX($N$9:$AH$9,,MATCH($G20,$N$8:$AH$8,0))))^INDEX(Timing_Adj,MATCH($H20,Cash_Timing,0)),1)
*IF($F20=Mid_Period,(1+IF($E20=Nominal,W$9,INDEX($N$9:$AH$9,,MATCH($E20,$N$8:$AH$8,0))))^INDEX(Timing_Adj,MATCH($F20,Cash_Timing,0)),1),"N/A")</f>
        <v>1.2384490104991928</v>
      </c>
      <c r="X20" s="21" cm="1">
        <f t="array" ref="X20">IFERROR(IF($G20=Nominal,X$10,INDEX($N$10:$AH$10,,MATCH($G20,$N$8:$AH$8,0)))
/IF($E20=Nominal,X$10,INDEX($N$10:$AH$10,,MATCH($E20,$N$8:$AH$8,0)))
*IF($H20=Mid_Period,1/(1+IF($G20=Nominal,X$9,INDEX($N$9:$AH$9,,MATCH($G20,$N$8:$AH$8,0))))^INDEX(Timing_Adj,MATCH($H20,Cash_Timing,0)),1)
*IF($F20=Mid_Period,(1+IF($E20=Nominal,X$9,INDEX($N$9:$AH$9,,MATCH($E20,$N$8:$AH$8,0))))^INDEX(Timing_Adj,MATCH($F20,Cash_Timing,0)),1),"N/A")</f>
        <v>1.2161327860619382</v>
      </c>
      <c r="Y20" s="21" cm="1">
        <f t="array" ref="Y20">IFERROR(IF($G20=Nominal,Y$10,INDEX($N$10:$AH$10,,MATCH($G20,$N$8:$AH$8,0)))
/IF($E20=Nominal,Y$10,INDEX($N$10:$AH$10,,MATCH($E20,$N$8:$AH$8,0)))
*IF($H20=Mid_Period,1/(1+IF($G20=Nominal,Y$9,INDEX($N$9:$AH$9,,MATCH($G20,$N$8:$AH$8,0))))^INDEX(Timing_Adj,MATCH($H20,Cash_Timing,0)),1)
*IF($F20=Mid_Period,(1+IF($E20=Nominal,Y$9,INDEX($N$9:$AH$9,,MATCH($E20,$N$8:$AH$8,0))))^INDEX(Timing_Adj,MATCH($F20,Cash_Timing,0)),1),"N/A")</f>
        <v>1.2086685073043006</v>
      </c>
      <c r="Z20" s="21" cm="1">
        <f t="array" ref="Z20">IFERROR(IF($G20=Nominal,Z$10,INDEX($N$10:$AH$10,,MATCH($G20,$N$8:$AH$8,0)))
/IF($E20=Nominal,Z$10,INDEX($N$10:$AH$10,,MATCH($E20,$N$8:$AH$8,0)))
*IF($H20=Mid_Period,1/(1+IF($G20=Nominal,Z$9,INDEX($N$9:$AH$9,,MATCH($G20,$N$8:$AH$8,0))))^INDEX(Timing_Adj,MATCH($H20,Cash_Timing,0)),1)
*IF($F20=Mid_Period,(1+IF($E20=Nominal,Z$9,INDEX($N$9:$AH$9,,MATCH($E20,$N$8:$AH$8,0))))^INDEX(Timing_Adj,MATCH($F20,Cash_Timing,0)),1),"N/A")</f>
        <v>1.188146327923312</v>
      </c>
      <c r="AA20" s="21" cm="1">
        <f t="array" ref="AA20">IFERROR(IF($G20=Nominal,AA$10,INDEX($N$10:$AH$10,,MATCH($G20,$N$8:$AH$8,0)))
/IF($E20=Nominal,AA$10,INDEX($N$10:$AH$10,,MATCH($E20,$N$8:$AH$8,0)))
*IF($H20=Mid_Period,1/(1+IF($G20=Nominal,AA$9,INDEX($N$9:$AH$9,,MATCH($G20,$N$8:$AH$8,0))))^INDEX(Timing_Adj,MATCH($H20,Cash_Timing,0)),1)
*IF($F20=Mid_Period,(1+IF($E20=Nominal,AA$9,INDEX($N$9:$AH$9,,MATCH($E20,$N$8:$AH$8,0))))^INDEX(Timing_Adj,MATCH($F20,Cash_Timing,0)),1),"N/A")</f>
        <v>1.1316845818307029</v>
      </c>
      <c r="AB20" s="21" cm="1">
        <f t="array" ref="AB20">IFERROR(IF($G20=Nominal,AB$10,INDEX($N$10:$AH$10,,MATCH($G20,$N$8:$AH$8,0)))
/IF($E20=Nominal,AB$10,INDEX($N$10:$AH$10,,MATCH($E20,$N$8:$AH$8,0)))
*IF($H20=Mid_Period,1/(1+IF($G20=Nominal,AB$9,INDEX($N$9:$AH$9,,MATCH($G20,$N$8:$AH$8,0))))^INDEX(Timing_Adj,MATCH($H20,Cash_Timing,0)),1)
*IF($F20=Mid_Period,(1+IF($E20=Nominal,AB$9,INDEX($N$9:$AH$9,,MATCH($E20,$N$8:$AH$8,0))))^INDEX(Timing_Adj,MATCH($F20,Cash_Timing,0)),1),"N/A")</f>
        <v>1.0667629304962967</v>
      </c>
      <c r="AC20" s="21" cm="1">
        <f t="array" ref="AC20">IFERROR(IF($G20=Nominal,AC$10,INDEX($N$10:$AH$10,,MATCH($G20,$N$8:$AH$8,0)))
/IF($E20=Nominal,AC$10,INDEX($N$10:$AH$10,,MATCH($E20,$N$8:$AH$8,0)))
*IF($H20=Mid_Period,1/(1+IF($G20=Nominal,AC$9,INDEX($N$9:$AH$9,,MATCH($G20,$N$8:$AH$8,0))))^INDEX(Timing_Adj,MATCH($H20,Cash_Timing,0)),1)
*IF($F20=Mid_Period,(1+IF($E20=Nominal,AC$9,INDEX($N$9:$AH$9,,MATCH($E20,$N$8:$AH$8,0))))^INDEX(Timing_Adj,MATCH($F20,Cash_Timing,0)),1),"N/A")</f>
        <v>1.0178408519999578</v>
      </c>
      <c r="AD20" s="21" cm="1">
        <f t="array" ref="AD20">IFERROR(IF($G20=Nominal,AD$10,INDEX($N$10:$AH$10,,MATCH($G20,$N$8:$AH$8,0)))
/IF($E20=Nominal,AD$10,INDEX($N$10:$AH$10,,MATCH($E20,$N$8:$AH$8,0)))
*IF($H20=Mid_Period,1/(1+IF($G20=Nominal,AD$9,INDEX($N$9:$AH$9,,MATCH($G20,$N$8:$AH$8,0))))^INDEX(Timing_Adj,MATCH($H20,Cash_Timing,0)),1)
*IF($F20=Mid_Period,(1+IF($E20=Nominal,AD$9,INDEX($N$9:$AH$9,,MATCH($E20,$N$8:$AH$8,0))))^INDEX(Timing_Adj,MATCH($F20,Cash_Timing,0)),1),"N/A")</f>
        <v>0.98628835389765146</v>
      </c>
      <c r="AE20" s="21" cm="1">
        <f t="array" ref="AE20">IFERROR(IF($G20=Nominal,AE$10,INDEX($N$10:$AH$10,,MATCH($G20,$N$8:$AH$8,0)))
/IF($E20=Nominal,AE$10,INDEX($N$10:$AH$10,,MATCH($E20,$N$8:$AH$8,0)))
*IF($H20=Mid_Period,1/(1+IF($G20=Nominal,AE$9,INDEX($N$9:$AH$9,,MATCH($G20,$N$8:$AH$8,0))))^INDEX(Timing_Adj,MATCH($H20,Cash_Timing,0)),1)
*IF($F20=Mid_Period,(1+IF($E20=Nominal,AE$9,INDEX($N$9:$AH$9,,MATCH($E20,$N$8:$AH$8,0))))^INDEX(Timing_Adj,MATCH($F20,Cash_Timing,0)),1),"N/A")</f>
        <v>0.95942651149331537</v>
      </c>
      <c r="AF20" s="21" cm="1">
        <f t="array" ref="AF20">IFERROR(IF($G20=Nominal,AF$10,INDEX($N$10:$AH$10,,MATCH($G20,$N$8:$AH$8,0)))
/IF($E20=Nominal,AF$10,INDEX($N$10:$AH$10,,MATCH($E20,$N$8:$AH$8,0)))
*IF($H20=Mid_Period,1/(1+IF($G20=Nominal,AF$9,INDEX($N$9:$AH$9,,MATCH($G20,$N$8:$AH$8,0))))^INDEX(Timing_Adj,MATCH($H20,Cash_Timing,0)),1)
*IF($F20=Mid_Period,(1+IF($E20=Nominal,AF$9,INDEX($N$9:$AH$9,,MATCH($E20,$N$8:$AH$8,0))))^INDEX(Timing_Adj,MATCH($F20,Cash_Timing,0)),1),"N/A")</f>
        <v>0.93329625896784585</v>
      </c>
      <c r="AG20" s="21" cm="1">
        <f t="array" ref="AG20">IFERROR(IF($G20=Nominal,AG$10,INDEX($N$10:$AH$10,,MATCH($G20,$N$8:$AH$8,0)))
/IF($E20=Nominal,AG$10,INDEX($N$10:$AH$10,,MATCH($E20,$N$8:$AH$8,0)))
*IF($H20=Mid_Period,1/(1+IF($G20=Nominal,AG$9,INDEX($N$9:$AH$9,,MATCH($G20,$N$8:$AH$8,0))))^INDEX(Timing_Adj,MATCH($H20,Cash_Timing,0)),1)
*IF($F20=Mid_Period,(1+IF($E20=Nominal,AG$9,INDEX($N$9:$AH$9,,MATCH($E20,$N$8:$AH$8,0))))^INDEX(Timing_Adj,MATCH($F20,Cash_Timing,0)),1),"N/A")</f>
        <v>0.90787767126387697</v>
      </c>
      <c r="AH20" s="21" cm="1">
        <f t="array" ref="AH20">IFERROR(IF($G20=Nominal,AH$10,INDEX($N$10:$AH$10,,MATCH($G20,$N$8:$AH$8,0)))
/IF($E20=Nominal,AH$10,INDEX($N$10:$AH$10,,MATCH($E20,$N$8:$AH$8,0)))
*IF($H20=Mid_Period,1/(1+IF($G20=Nominal,AH$9,INDEX($N$9:$AH$9,,MATCH($G20,$N$8:$AH$8,0))))^INDEX(Timing_Adj,MATCH($H20,Cash_Timing,0)),1)
*IF($F20=Mid_Period,(1+IF($E20=Nominal,AH$9,INDEX($N$9:$AH$9,,MATCH($E20,$N$8:$AH$8,0))))^INDEX(Timing_Adj,MATCH($F20,Cash_Timing,0)),1),"N/A")</f>
        <v>0.8831513659886181</v>
      </c>
    </row>
    <row r="21" spans="2:34" s="1" customFormat="1" x14ac:dyDescent="0.2">
      <c r="B21" s="2"/>
      <c r="C21" s="2"/>
      <c r="D21" s="8" t="str">
        <f t="shared" si="5"/>
        <v>Nominal (End Period) to Real 2024 (End Period)</v>
      </c>
      <c r="E21" s="10" t="s">
        <v>9</v>
      </c>
      <c r="F21" s="10" t="s">
        <v>11</v>
      </c>
      <c r="G21" s="10">
        <v>2024</v>
      </c>
      <c r="H21" s="10" t="s">
        <v>11</v>
      </c>
      <c r="I21" s="4"/>
      <c r="J21" s="21" cm="1">
        <f t="array" ref="J21">IFERROR(IF($G21=Nominal,J$10,INDEX($N$10:$AH$10,,MATCH($G21,$N$8:$AH$8,0)))
/IF($E21=Nominal,J$10,INDEX($N$10:$AH$10,,MATCH($E21,$N$8:$AH$8,0)))
*IF($H21=Mid_Period,1/(1+IF($G21=Nominal,J$9,INDEX($N$9:$AH$9,,MATCH($G21,$N$8:$AH$8,0))))^INDEX(Timing_Adj,MATCH($H21,Cash_Timing,0)),1)
*IF($F21=Mid_Period,(1+IF($E21=Nominal,J$9,INDEX($N$9:$AH$9,,MATCH($E21,$N$8:$AH$8,0))))^INDEX(Timing_Adj,MATCH($F21,Cash_Timing,0)),1),"N/A")</f>
        <v>1.6769152542372885</v>
      </c>
      <c r="K21" s="21" cm="1">
        <f t="array" ref="K21">IFERROR(IF($G21=Nominal,K$10,INDEX($N$10:$AH$10,,MATCH($G21,$N$8:$AH$8,0)))
/IF($E21=Nominal,K$10,INDEX($N$10:$AH$10,,MATCH($E21,$N$8:$AH$8,0)))
*IF($H21=Mid_Period,1/(1+IF($G21=Nominal,K$9,INDEX($N$9:$AH$9,,MATCH($G21,$N$8:$AH$8,0))))^INDEX(Timing_Adj,MATCH($H21,Cash_Timing,0)),1)
*IF($F21=Mid_Period,(1+IF($E21=Nominal,K$9,INDEX($N$9:$AH$9,,MATCH($E21,$N$8:$AH$8,0))))^INDEX(Timing_Adj,MATCH($F21,Cash_Timing,0)),1),"N/A")</f>
        <v>1.6124935972060537</v>
      </c>
      <c r="L21" s="21" cm="1">
        <f t="array" ref="L21">IFERROR(IF($G21=Nominal,L$10,INDEX($N$10:$AH$10,,MATCH($G21,$N$8:$AH$8,0)))
/IF($E21=Nominal,L$10,INDEX($N$10:$AH$10,,MATCH($E21,$N$8:$AH$8,0)))
*IF($H21=Mid_Period,1/(1+IF($G21=Nominal,L$9,INDEX($N$9:$AH$9,,MATCH($G21,$N$8:$AH$8,0))))^INDEX(Timing_Adj,MATCH($H21,Cash_Timing,0)),1)
*IF($F21=Mid_Period,(1+IF($E21=Nominal,L$9,INDEX($N$9:$AH$9,,MATCH($E21,$N$8:$AH$8,0))))^INDEX(Timing_Adj,MATCH($F21,Cash_Timing,0)),1),"N/A")</f>
        <v>1.579397947548461</v>
      </c>
      <c r="M21" s="21" cm="1">
        <f t="array" ref="M21">IFERROR(IF($G21=Nominal,M$10,INDEX($N$10:$AH$10,,MATCH($G21,$N$8:$AH$8,0)))
/IF($E21=Nominal,M$10,INDEX($N$10:$AH$10,,MATCH($E21,$N$8:$AH$8,0)))
*IF($H21=Mid_Period,1/(1+IF($G21=Nominal,M$9,INDEX($N$9:$AH$9,,MATCH($G21,$N$8:$AH$8,0))))^INDEX(Timing_Adj,MATCH($H21,Cash_Timing,0)),1)
*IF($F21=Mid_Period,(1+IF($E21=Nominal,M$9,INDEX($N$9:$AH$9,,MATCH($E21,$N$8:$AH$8,0))))^INDEX(Timing_Adj,MATCH($F21,Cash_Timing,0)),1),"N/A")</f>
        <v>1.5121528384279481</v>
      </c>
      <c r="N21" s="21" cm="1">
        <f t="array" ref="N21">IFERROR(IF($G21=Nominal,N$10,INDEX($N$10:$AH$10,,MATCH($G21,$N$8:$AH$8,0)))
/IF($E21=Nominal,N$10,INDEX($N$10:$AH$10,,MATCH($E21,$N$8:$AH$8,0)))
*IF($H21=Mid_Period,1/(1+IF($G21=Nominal,N$9,INDEX($N$9:$AH$9,,MATCH($G21,$N$8:$AH$8,0))))^INDEX(Timing_Adj,MATCH($H21,Cash_Timing,0)),1)
*IF($F21=Mid_Period,(1+IF($E21=Nominal,N$9,INDEX($N$9:$AH$9,,MATCH($E21,$N$8:$AH$8,0))))^INDEX(Timing_Adj,MATCH($F21,Cash_Timing,0)),1),"N/A")</f>
        <v>1.4909924650161468</v>
      </c>
      <c r="O21" s="21" cm="1">
        <f t="array" ref="O21">IFERROR(IF($G21=Nominal,O$10,INDEX($N$10:$AH$10,,MATCH($G21,$N$8:$AH$8,0)))
/IF($E21=Nominal,O$10,INDEX($N$10:$AH$10,,MATCH($E21,$N$8:$AH$8,0)))
*IF($H21=Mid_Period,1/(1+IF($G21=Nominal,O$9,INDEX($N$9:$AH$9,,MATCH($G21,$N$8:$AH$8,0))))^INDEX(Timing_Adj,MATCH($H21,Cash_Timing,0)),1)
*IF($F21=Mid_Period,(1+IF($E21=Nominal,O$9,INDEX($N$9:$AH$9,,MATCH($E21,$N$8:$AH$8,0))))^INDEX(Timing_Adj,MATCH($F21,Cash_Timing,0)),1),"N/A")</f>
        <v>1.4458580375782886</v>
      </c>
      <c r="P21" s="21" cm="1">
        <f t="array" ref="P21">IFERROR(IF($G21=Nominal,P$10,INDEX($N$10:$AH$10,,MATCH($G21,$N$8:$AH$8,0)))
/IF($E21=Nominal,P$10,INDEX($N$10:$AH$10,,MATCH($E21,$N$8:$AH$8,0)))
*IF($H21=Mid_Period,1/(1+IF($G21=Nominal,P$9,INDEX($N$9:$AH$9,,MATCH($G21,$N$8:$AH$8,0))))^INDEX(Timing_Adj,MATCH($H21,Cash_Timing,0)),1)
*IF($F21=Mid_Period,(1+IF($E21=Nominal,P$9,INDEX($N$9:$AH$9,,MATCH($E21,$N$8:$AH$8,0))))^INDEX(Timing_Adj,MATCH($F21,Cash_Timing,0)),1),"N/A")</f>
        <v>1.3963024193548388</v>
      </c>
      <c r="Q21" s="21" cm="1">
        <f t="array" ref="Q21">IFERROR(IF($G21=Nominal,Q$10,INDEX($N$10:$AH$10,,MATCH($G21,$N$8:$AH$8,0)))
/IF($E21=Nominal,Q$10,INDEX($N$10:$AH$10,,MATCH($E21,$N$8:$AH$8,0)))
*IF($H21=Mid_Period,1/(1+IF($G21=Nominal,Q$9,INDEX($N$9:$AH$9,,MATCH($G21,$N$8:$AH$8,0))))^INDEX(Timing_Adj,MATCH($H21,Cash_Timing,0)),1)
*IF($F21=Mid_Period,(1+IF($E21=Nominal,Q$9,INDEX($N$9:$AH$9,,MATCH($E21,$N$8:$AH$8,0))))^INDEX(Timing_Adj,MATCH($F21,Cash_Timing,0)),1),"N/A")</f>
        <v>1.3796135458167331</v>
      </c>
      <c r="R21" s="21" cm="1">
        <f t="array" ref="R21">IFERROR(IF($G21=Nominal,R$10,INDEX($N$10:$AH$10,,MATCH($G21,$N$8:$AH$8,0)))
/IF($E21=Nominal,R$10,INDEX($N$10:$AH$10,,MATCH($E21,$N$8:$AH$8,0)))
*IF($H21=Mid_Period,1/(1+IF($G21=Nominal,R$9,INDEX($N$9:$AH$9,,MATCH($G21,$N$8:$AH$8,0))))^INDEX(Timing_Adj,MATCH($H21,Cash_Timing,0)),1)
*IF($F21=Mid_Period,(1+IF($E21=Nominal,R$9,INDEX($N$9:$AH$9,,MATCH($E21,$N$8:$AH$8,0))))^INDEX(Timing_Adj,MATCH($F21,Cash_Timing,0)),1),"N/A")</f>
        <v>1.3474046692607002</v>
      </c>
      <c r="S21" s="21" cm="1">
        <f t="array" ref="S21">IFERROR(IF($G21=Nominal,S$10,INDEX($N$10:$AH$10,,MATCH($G21,$N$8:$AH$8,0)))
/IF($E21=Nominal,S$10,INDEX($N$10:$AH$10,,MATCH($E21,$N$8:$AH$8,0)))
*IF($H21=Mid_Period,1/(1+IF($G21=Nominal,S$9,INDEX($N$9:$AH$9,,MATCH($G21,$N$8:$AH$8,0))))^INDEX(Timing_Adj,MATCH($H21,Cash_Timing,0)),1)
*IF($F21=Mid_Period,(1+IF($E21=Nominal,S$9,INDEX($N$9:$AH$9,,MATCH($E21,$N$8:$AH$8,0))))^INDEX(Timing_Adj,MATCH($F21,Cash_Timing,0)),1),"N/A")</f>
        <v>1.3079622285174692</v>
      </c>
      <c r="T21" s="21" cm="1">
        <f t="array" ref="T21">IFERROR(IF($G21=Nominal,T$10,INDEX($N$10:$AH$10,,MATCH($G21,$N$8:$AH$8,0)))
/IF($E21=Nominal,T$10,INDEX($N$10:$AH$10,,MATCH($E21,$N$8:$AH$8,0)))
*IF($H21=Mid_Period,1/(1+IF($G21=Nominal,T$9,INDEX($N$9:$AH$9,,MATCH($G21,$N$8:$AH$8,0))))^INDEX(Timing_Adj,MATCH($H21,Cash_Timing,0)),1)
*IF($F21=Mid_Period,(1+IF($E21=Nominal,T$9,INDEX($N$9:$AH$9,,MATCH($E21,$N$8:$AH$8,0))))^INDEX(Timing_Adj,MATCH($F21,Cash_Timing,0)),1),"N/A")</f>
        <v>1.2884948837209302</v>
      </c>
      <c r="U21" s="21" cm="1">
        <f t="array" ref="U21">IFERROR(IF($G21=Nominal,U$10,INDEX($N$10:$AH$10,,MATCH($G21,$N$8:$AH$8,0)))
/IF($E21=Nominal,U$10,INDEX($N$10:$AH$10,,MATCH($E21,$N$8:$AH$8,0)))
*IF($H21=Mid_Period,1/(1+IF($G21=Nominal,U$9,INDEX($N$9:$AH$9,,MATCH($G21,$N$8:$AH$8,0))))^INDEX(Timing_Adj,MATCH($H21,Cash_Timing,0)),1)
*IF($F21=Mid_Period,(1+IF($E21=Nominal,U$9,INDEX($N$9:$AH$9,,MATCH($E21,$N$8:$AH$8,0))))^INDEX(Timing_Adj,MATCH($F21,Cash_Timing,0)),1),"N/A")</f>
        <v>1.2754438305709024</v>
      </c>
      <c r="V21" s="21" cm="1">
        <f t="array" ref="V21">IFERROR(IF($G21=Nominal,V$10,INDEX($N$10:$AH$10,,MATCH($G21,$N$8:$AH$8,0)))
/IF($E21=Nominal,V$10,INDEX($N$10:$AH$10,,MATCH($E21,$N$8:$AH$8,0)))
*IF($H21=Mid_Period,1/(1+IF($G21=Nominal,V$9,INDEX($N$9:$AH$9,,MATCH($G21,$N$8:$AH$8,0))))^INDEX(Timing_Adj,MATCH($H21,Cash_Timing,0)),1)
*IF($F21=Mid_Period,(1+IF($E21=Nominal,V$9,INDEX($N$9:$AH$9,,MATCH($E21,$N$8:$AH$8,0))))^INDEX(Timing_Adj,MATCH($F21,Cash_Timing,0)),1),"N/A")</f>
        <v>1.2512484191508582</v>
      </c>
      <c r="W21" s="21" cm="1">
        <f t="array" ref="W21">IFERROR(IF($G21=Nominal,W$10,INDEX($N$10:$AH$10,,MATCH($G21,$N$8:$AH$8,0)))
/IF($E21=Nominal,W$10,INDEX($N$10:$AH$10,,MATCH($E21,$N$8:$AH$8,0)))
*IF($H21=Mid_Period,1/(1+IF($G21=Nominal,W$9,INDEX($N$9:$AH$9,,MATCH($G21,$N$8:$AH$8,0))))^INDEX(Timing_Adj,MATCH($H21,Cash_Timing,0)),1)
*IF($F21=Mid_Period,(1+IF($E21=Nominal,W$9,INDEX($N$9:$AH$9,,MATCH($E21,$N$8:$AH$8,0))))^INDEX(Timing_Adj,MATCH($F21,Cash_Timing,0)),1),"N/A")</f>
        <v>1.2257805309734511</v>
      </c>
      <c r="X21" s="21" cm="1">
        <f t="array" ref="X21">IFERROR(IF($G21=Nominal,X$10,INDEX($N$10:$AH$10,,MATCH($G21,$N$8:$AH$8,0)))
/IF($E21=Nominal,X$10,INDEX($N$10:$AH$10,,MATCH($E21,$N$8:$AH$8,0)))
*IF($H21=Mid_Period,1/(1+IF($G21=Nominal,X$9,INDEX($N$9:$AH$9,,MATCH($G21,$N$8:$AH$8,0))))^INDEX(Timing_Adj,MATCH($H21,Cash_Timing,0)),1)
*IF($F21=Mid_Period,(1+IF($E21=Nominal,X$9,INDEX($N$9:$AH$9,,MATCH($E21,$N$8:$AH$8,0))))^INDEX(Timing_Adj,MATCH($F21,Cash_Timing,0)),1),"N/A")</f>
        <v>1.2065609756097559</v>
      </c>
      <c r="Y21" s="21" cm="1">
        <f t="array" ref="Y21">IFERROR(IF($G21=Nominal,Y$10,INDEX($N$10:$AH$10,,MATCH($G21,$N$8:$AH$8,0)))
/IF($E21=Nominal,Y$10,INDEX($N$10:$AH$10,,MATCH($E21,$N$8:$AH$8,0)))
*IF($H21=Mid_Period,1/(1+IF($G21=Nominal,Y$9,INDEX($N$9:$AH$9,,MATCH($G21,$N$8:$AH$8,0))))^INDEX(Timing_Adj,MATCH($H21,Cash_Timing,0)),1)
*IF($F21=Mid_Period,(1+IF($E21=Nominal,Y$9,INDEX($N$9:$AH$9,,MATCH($E21,$N$8:$AH$8,0))))^INDEX(Timing_Adj,MATCH($F21,Cash_Timing,0)),1),"N/A")</f>
        <v>1.2107797202797201</v>
      </c>
      <c r="Z21" s="21" cm="1">
        <f t="array" ref="Z21">IFERROR(IF($G21=Nominal,Z$10,INDEX($N$10:$AH$10,,MATCH($G21,$N$8:$AH$8,0)))
/IF($E21=Nominal,Z$10,INDEX($N$10:$AH$10,,MATCH($E21,$N$8:$AH$8,0)))
*IF($H21=Mid_Period,1/(1+IF($G21=Nominal,Z$9,INDEX($N$9:$AH$9,,MATCH($G21,$N$8:$AH$8,0))))^INDEX(Timing_Adj,MATCH($H21,Cash_Timing,0)),1)
*IF($F21=Mid_Period,(1+IF($E21=Nominal,Z$9,INDEX($N$9:$AH$9,,MATCH($E21,$N$8:$AH$8,0))))^INDEX(Timing_Adj,MATCH($F21,Cash_Timing,0)),1),"N/A")</f>
        <v>1.1659360269360268</v>
      </c>
      <c r="AA21" s="21" cm="1">
        <f t="array" ref="AA21">IFERROR(IF($G21=Nominal,AA$10,INDEX($N$10:$AH$10,,MATCH($G21,$N$8:$AH$8,0)))
/IF($E21=Nominal,AA$10,INDEX($N$10:$AH$10,,MATCH($E21,$N$8:$AH$8,0)))
*IF($H21=Mid_Period,1/(1+IF($G21=Nominal,AA$9,INDEX($N$9:$AH$9,,MATCH($G21,$N$8:$AH$8,0))))^INDEX(Timing_Adj,MATCH($H21,Cash_Timing,0)),1)
*IF($F21=Mid_Period,(1+IF($E21=Nominal,AA$9,INDEX($N$9:$AH$9,,MATCH($E21,$N$8:$AH$8,0))))^INDEX(Timing_Adj,MATCH($F21,Cash_Timing,0)),1),"N/A")</f>
        <v>1.0984393338620142</v>
      </c>
      <c r="AB21" s="21" cm="1">
        <f t="array" ref="AB21">IFERROR(IF($G21=Nominal,AB$10,INDEX($N$10:$AH$10,,MATCH($G21,$N$8:$AH$8,0)))
/IF($E21=Nominal,AB$10,INDEX($N$10:$AH$10,,MATCH($E21,$N$8:$AH$8,0)))
*IF($H21=Mid_Period,1/(1+IF($G21=Nominal,AB$9,INDEX($N$9:$AH$9,,MATCH($G21,$N$8:$AH$8,0))))^INDEX(Timing_Adj,MATCH($H21,Cash_Timing,0)),1)
*IF($F21=Mid_Period,(1+IF($E21=Nominal,AB$9,INDEX($N$9:$AH$9,,MATCH($E21,$N$8:$AH$8,0))))^INDEX(Timing_Adj,MATCH($F21,Cash_Timing,0)),1),"N/A")</f>
        <v>1.036</v>
      </c>
      <c r="AC21" s="21" cm="1">
        <f t="array" ref="AC21">IFERROR(IF($G21=Nominal,AC$10,INDEX($N$10:$AH$10,,MATCH($G21,$N$8:$AH$8,0)))
/IF($E21=Nominal,AC$10,INDEX($N$10:$AH$10,,MATCH($E21,$N$8:$AH$8,0)))
*IF($H21=Mid_Period,1/(1+IF($G21=Nominal,AC$9,INDEX($N$9:$AH$9,,MATCH($G21,$N$8:$AH$8,0))))^INDEX(Timing_Adj,MATCH($H21,Cash_Timing,0)),1)
*IF($F21=Mid_Period,(1+IF($E21=Nominal,AC$9,INDEX($N$9:$AH$9,,MATCH($E21,$N$8:$AH$8,0))))^INDEX(Timing_Adj,MATCH($F21,Cash_Timing,0)),1),"N/A")</f>
        <v>1</v>
      </c>
      <c r="AD21" s="21" cm="1">
        <f t="array" ref="AD21">IFERROR(IF($G21=Nominal,AD$10,INDEX($N$10:$AH$10,,MATCH($G21,$N$8:$AH$8,0)))
/IF($E21=Nominal,AD$10,INDEX($N$10:$AH$10,,MATCH($E21,$N$8:$AH$8,0)))
*IF($H21=Mid_Period,1/(1+IF($G21=Nominal,AD$9,INDEX($N$9:$AH$9,,MATCH($G21,$N$8:$AH$8,0))))^INDEX(Timing_Adj,MATCH($H21,Cash_Timing,0)),1)
*IF($F21=Mid_Period,(1+IF($E21=Nominal,AD$9,INDEX($N$9:$AH$9,,MATCH($E21,$N$8:$AH$8,0))))^INDEX(Timing_Adj,MATCH($F21,Cash_Timing,0)),1),"N/A")</f>
        <v>0.9727647170341388</v>
      </c>
      <c r="AE21" s="21" cm="1">
        <f t="array" ref="AE21">IFERROR(IF($G21=Nominal,AE$10,INDEX($N$10:$AH$10,,MATCH($G21,$N$8:$AH$8,0)))
/IF($E21=Nominal,AE$10,INDEX($N$10:$AH$10,,MATCH($E21,$N$8:$AH$8,0)))
*IF($H21=Mid_Period,1/(1+IF($G21=Nominal,AE$9,INDEX($N$9:$AH$9,,MATCH($G21,$N$8:$AH$8,0))))^INDEX(Timing_Adj,MATCH($H21,Cash_Timing,0)),1)
*IF($F21=Mid_Period,(1+IF($E21=Nominal,AE$9,INDEX($N$9:$AH$9,,MATCH($E21,$N$8:$AH$8,0))))^INDEX(Timing_Adj,MATCH($F21,Cash_Timing,0)),1),"N/A")</f>
        <v>0.946271194706508</v>
      </c>
      <c r="AF21" s="21" cm="1">
        <f t="array" ref="AF21">IFERROR(IF($G21=Nominal,AF$10,INDEX($N$10:$AH$10,,MATCH($G21,$N$8:$AH$8,0)))
/IF($E21=Nominal,AF$10,INDEX($N$10:$AH$10,,MATCH($E21,$N$8:$AH$8,0)))
*IF($H21=Mid_Period,1/(1+IF($G21=Nominal,AF$9,INDEX($N$9:$AH$9,,MATCH($G21,$N$8:$AH$8,0))))^INDEX(Timing_Adj,MATCH($H21,Cash_Timing,0)),1)
*IF($F21=Mid_Period,(1+IF($E21=Nominal,AF$9,INDEX($N$9:$AH$9,,MATCH($E21,$N$8:$AH$8,0))))^INDEX(Timing_Adj,MATCH($F21,Cash_Timing,0)),1),"N/A")</f>
        <v>0.92049923095623276</v>
      </c>
      <c r="AG21" s="21" cm="1">
        <f t="array" ref="AG21">IFERROR(IF($G21=Nominal,AG$10,INDEX($N$10:$AH$10,,MATCH($G21,$N$8:$AH$8,0)))
/IF($E21=Nominal,AG$10,INDEX($N$10:$AH$10,,MATCH($E21,$N$8:$AH$8,0)))
*IF($H21=Mid_Period,1/(1+IF($G21=Nominal,AG$9,INDEX($N$9:$AH$9,,MATCH($G21,$N$8:$AH$8,0))))^INDEX(Timing_Adj,MATCH($H21,Cash_Timing,0)),1)
*IF($F21=Mid_Period,(1+IF($E21=Nominal,AG$9,INDEX($N$9:$AH$9,,MATCH($E21,$N$8:$AH$8,0))))^INDEX(Timing_Adj,MATCH($F21,Cash_Timing,0)),1),"N/A")</f>
        <v>0.89542917393128219</v>
      </c>
      <c r="AH21" s="21" cm="1">
        <f t="array" ref="AH21">IFERROR(IF($G21=Nominal,AH$10,INDEX($N$10:$AH$10,,MATCH($G21,$N$8:$AH$8,0)))
/IF($E21=Nominal,AH$10,INDEX($N$10:$AH$10,,MATCH($E21,$N$8:$AH$8,0)))
*IF($H21=Mid_Period,1/(1+IF($G21=Nominal,AH$9,INDEX($N$9:$AH$9,,MATCH($G21,$N$8:$AH$8,0))))^INDEX(Timing_Adj,MATCH($H21,Cash_Timing,0)),1)
*IF($F21=Mid_Period,(1+IF($E21=Nominal,AH$9,INDEX($N$9:$AH$9,,MATCH($E21,$N$8:$AH$8,0))))^INDEX(Timing_Adj,MATCH($F21,Cash_Timing,0)),1),"N/A")</f>
        <v>0.87104190700337636</v>
      </c>
    </row>
    <row r="22" spans="2:34" x14ac:dyDescent="0.2">
      <c r="D22" s="8" t="str">
        <f t="shared" si="5"/>
        <v>Real 2021 (End Period) to Real 2024 (End Period)</v>
      </c>
      <c r="E22" s="10">
        <v>2021</v>
      </c>
      <c r="F22" s="10" t="s">
        <v>11</v>
      </c>
      <c r="G22" s="10">
        <v>2024</v>
      </c>
      <c r="H22" s="10" t="s">
        <v>11</v>
      </c>
      <c r="I22" s="4"/>
      <c r="J22" s="21" cm="1">
        <f t="array" ref="J22">IFERROR(IF($G22=Nominal,J$10,INDEX($N$10:$AH$10,,MATCH($G22,$N$8:$AH$8,0)))
/IF($E22=Nominal,J$10,INDEX($N$10:$AH$10,,MATCH($E22,$N$8:$AH$8,0)))
*IF($H22=Mid_Period,1/(1+IF($G22=Nominal,J$9,INDEX($N$9:$AH$9,,MATCH($G22,$N$8:$AH$8,0))))^INDEX(Timing_Adj,MATCH($H22,Cash_Timing,0)),1)
*IF($F22=Mid_Period,(1+IF($E22=Nominal,J$9,INDEX($N$9:$AH$9,,MATCH($E22,$N$8:$AH$8,0))))^INDEX(Timing_Adj,MATCH($F22,Cash_Timing,0)),1),"N/A")</f>
        <v>1.1659360269360268</v>
      </c>
      <c r="K22" s="21" cm="1">
        <f t="array" ref="K22">IFERROR(IF($G22=Nominal,K$10,INDEX($N$10:$AH$10,,MATCH($G22,$N$8:$AH$8,0)))
/IF($E22=Nominal,K$10,INDEX($N$10:$AH$10,,MATCH($E22,$N$8:$AH$8,0)))
*IF($H22=Mid_Period,1/(1+IF($G22=Nominal,K$9,INDEX($N$9:$AH$9,,MATCH($G22,$N$8:$AH$8,0))))^INDEX(Timing_Adj,MATCH($H22,Cash_Timing,0)),1)
*IF($F22=Mid_Period,(1+IF($E22=Nominal,K$9,INDEX($N$9:$AH$9,,MATCH($E22,$N$8:$AH$8,0))))^INDEX(Timing_Adj,MATCH($F22,Cash_Timing,0)),1),"N/A")</f>
        <v>1.1659360269360268</v>
      </c>
      <c r="L22" s="21" cm="1">
        <f t="array" ref="L22">IFERROR(IF($G22=Nominal,L$10,INDEX($N$10:$AH$10,,MATCH($G22,$N$8:$AH$8,0)))
/IF($E22=Nominal,L$10,INDEX($N$10:$AH$10,,MATCH($E22,$N$8:$AH$8,0)))
*IF($H22=Mid_Period,1/(1+IF($G22=Nominal,L$9,INDEX($N$9:$AH$9,,MATCH($G22,$N$8:$AH$8,0))))^INDEX(Timing_Adj,MATCH($H22,Cash_Timing,0)),1)
*IF($F22=Mid_Period,(1+IF($E22=Nominal,L$9,INDEX($N$9:$AH$9,,MATCH($E22,$N$8:$AH$8,0))))^INDEX(Timing_Adj,MATCH($F22,Cash_Timing,0)),1),"N/A")</f>
        <v>1.1659360269360268</v>
      </c>
      <c r="M22" s="21" cm="1">
        <f t="array" ref="M22">IFERROR(IF($G22=Nominal,M$10,INDEX($N$10:$AH$10,,MATCH($G22,$N$8:$AH$8,0)))
/IF($E22=Nominal,M$10,INDEX($N$10:$AH$10,,MATCH($E22,$N$8:$AH$8,0)))
*IF($H22=Mid_Period,1/(1+IF($G22=Nominal,M$9,INDEX($N$9:$AH$9,,MATCH($G22,$N$8:$AH$8,0))))^INDEX(Timing_Adj,MATCH($H22,Cash_Timing,0)),1)
*IF($F22=Mid_Period,(1+IF($E22=Nominal,M$9,INDEX($N$9:$AH$9,,MATCH($E22,$N$8:$AH$8,0))))^INDEX(Timing_Adj,MATCH($F22,Cash_Timing,0)),1),"N/A")</f>
        <v>1.1659360269360268</v>
      </c>
      <c r="N22" s="21" cm="1">
        <f t="array" ref="N22">IFERROR(IF($G22=Nominal,N$10,INDEX($N$10:$AH$10,,MATCH($G22,$N$8:$AH$8,0)))
/IF($E22=Nominal,N$10,INDEX($N$10:$AH$10,,MATCH($E22,$N$8:$AH$8,0)))
*IF($H22=Mid_Period,1/(1+IF($G22=Nominal,N$9,INDEX($N$9:$AH$9,,MATCH($G22,$N$8:$AH$8,0))))^INDEX(Timing_Adj,MATCH($H22,Cash_Timing,0)),1)
*IF($F22=Mid_Period,(1+IF($E22=Nominal,N$9,INDEX($N$9:$AH$9,,MATCH($E22,$N$8:$AH$8,0))))^INDEX(Timing_Adj,MATCH($F22,Cash_Timing,0)),1),"N/A")</f>
        <v>1.1659360269360268</v>
      </c>
      <c r="O22" s="21" cm="1">
        <f t="array" ref="O22">IFERROR(IF($G22=Nominal,O$10,INDEX($N$10:$AH$10,,MATCH($G22,$N$8:$AH$8,0)))
/IF($E22=Nominal,O$10,INDEX($N$10:$AH$10,,MATCH($E22,$N$8:$AH$8,0)))
*IF($H22=Mid_Period,1/(1+IF($G22=Nominal,O$9,INDEX($N$9:$AH$9,,MATCH($G22,$N$8:$AH$8,0))))^INDEX(Timing_Adj,MATCH($H22,Cash_Timing,0)),1)
*IF($F22=Mid_Period,(1+IF($E22=Nominal,O$9,INDEX($N$9:$AH$9,,MATCH($E22,$N$8:$AH$8,0))))^INDEX(Timing_Adj,MATCH($F22,Cash_Timing,0)),1),"N/A")</f>
        <v>1.1659360269360268</v>
      </c>
      <c r="P22" s="21" cm="1">
        <f t="array" ref="P22">IFERROR(IF($G22=Nominal,P$10,INDEX($N$10:$AH$10,,MATCH($G22,$N$8:$AH$8,0)))
/IF($E22=Nominal,P$10,INDEX($N$10:$AH$10,,MATCH($E22,$N$8:$AH$8,0)))
*IF($H22=Mid_Period,1/(1+IF($G22=Nominal,P$9,INDEX($N$9:$AH$9,,MATCH($G22,$N$8:$AH$8,0))))^INDEX(Timing_Adj,MATCH($H22,Cash_Timing,0)),1)
*IF($F22=Mid_Period,(1+IF($E22=Nominal,P$9,INDEX($N$9:$AH$9,,MATCH($E22,$N$8:$AH$8,0))))^INDEX(Timing_Adj,MATCH($F22,Cash_Timing,0)),1),"N/A")</f>
        <v>1.1659360269360268</v>
      </c>
      <c r="Q22" s="21" cm="1">
        <f t="array" ref="Q22">IFERROR(IF($G22=Nominal,Q$10,INDEX($N$10:$AH$10,,MATCH($G22,$N$8:$AH$8,0)))
/IF($E22=Nominal,Q$10,INDEX($N$10:$AH$10,,MATCH($E22,$N$8:$AH$8,0)))
*IF($H22=Mid_Period,1/(1+IF($G22=Nominal,Q$9,INDEX($N$9:$AH$9,,MATCH($G22,$N$8:$AH$8,0))))^INDEX(Timing_Adj,MATCH($H22,Cash_Timing,0)),1)
*IF($F22=Mid_Period,(1+IF($E22=Nominal,Q$9,INDEX($N$9:$AH$9,,MATCH($E22,$N$8:$AH$8,0))))^INDEX(Timing_Adj,MATCH($F22,Cash_Timing,0)),1),"N/A")</f>
        <v>1.1659360269360268</v>
      </c>
      <c r="R22" s="21" cm="1">
        <f t="array" ref="R22">IFERROR(IF($G22=Nominal,R$10,INDEX($N$10:$AH$10,,MATCH($G22,$N$8:$AH$8,0)))
/IF($E22=Nominal,R$10,INDEX($N$10:$AH$10,,MATCH($E22,$N$8:$AH$8,0)))
*IF($H22=Mid_Period,1/(1+IF($G22=Nominal,R$9,INDEX($N$9:$AH$9,,MATCH($G22,$N$8:$AH$8,0))))^INDEX(Timing_Adj,MATCH($H22,Cash_Timing,0)),1)
*IF($F22=Mid_Period,(1+IF($E22=Nominal,R$9,INDEX($N$9:$AH$9,,MATCH($E22,$N$8:$AH$8,0))))^INDEX(Timing_Adj,MATCH($F22,Cash_Timing,0)),1),"N/A")</f>
        <v>1.1659360269360268</v>
      </c>
      <c r="S22" s="21" cm="1">
        <f t="array" ref="S22">IFERROR(IF($G22=Nominal,S$10,INDEX($N$10:$AH$10,,MATCH($G22,$N$8:$AH$8,0)))
/IF($E22=Nominal,S$10,INDEX($N$10:$AH$10,,MATCH($E22,$N$8:$AH$8,0)))
*IF($H22=Mid_Period,1/(1+IF($G22=Nominal,S$9,INDEX($N$9:$AH$9,,MATCH($G22,$N$8:$AH$8,0))))^INDEX(Timing_Adj,MATCH($H22,Cash_Timing,0)),1)
*IF($F22=Mid_Period,(1+IF($E22=Nominal,S$9,INDEX($N$9:$AH$9,,MATCH($E22,$N$8:$AH$8,0))))^INDEX(Timing_Adj,MATCH($F22,Cash_Timing,0)),1),"N/A")</f>
        <v>1.1659360269360268</v>
      </c>
      <c r="T22" s="21" cm="1">
        <f t="array" ref="T22">IFERROR(IF($G22=Nominal,T$10,INDEX($N$10:$AH$10,,MATCH($G22,$N$8:$AH$8,0)))
/IF($E22=Nominal,T$10,INDEX($N$10:$AH$10,,MATCH($E22,$N$8:$AH$8,0)))
*IF($H22=Mid_Period,1/(1+IF($G22=Nominal,T$9,INDEX($N$9:$AH$9,,MATCH($G22,$N$8:$AH$8,0))))^INDEX(Timing_Adj,MATCH($H22,Cash_Timing,0)),1)
*IF($F22=Mid_Period,(1+IF($E22=Nominal,T$9,INDEX($N$9:$AH$9,,MATCH($E22,$N$8:$AH$8,0))))^INDEX(Timing_Adj,MATCH($F22,Cash_Timing,0)),1),"N/A")</f>
        <v>1.1659360269360268</v>
      </c>
      <c r="U22" s="21" cm="1">
        <f t="array" ref="U22">IFERROR(IF($G22=Nominal,U$10,INDEX($N$10:$AH$10,,MATCH($G22,$N$8:$AH$8,0)))
/IF($E22=Nominal,U$10,INDEX($N$10:$AH$10,,MATCH($E22,$N$8:$AH$8,0)))
*IF($H22=Mid_Period,1/(1+IF($G22=Nominal,U$9,INDEX($N$9:$AH$9,,MATCH($G22,$N$8:$AH$8,0))))^INDEX(Timing_Adj,MATCH($H22,Cash_Timing,0)),1)
*IF($F22=Mid_Period,(1+IF($E22=Nominal,U$9,INDEX($N$9:$AH$9,,MATCH($E22,$N$8:$AH$8,0))))^INDEX(Timing_Adj,MATCH($F22,Cash_Timing,0)),1),"N/A")</f>
        <v>1.1659360269360268</v>
      </c>
      <c r="V22" s="21" cm="1">
        <f t="array" ref="V22">IFERROR(IF($G22=Nominal,V$10,INDEX($N$10:$AH$10,,MATCH($G22,$N$8:$AH$8,0)))
/IF($E22=Nominal,V$10,INDEX($N$10:$AH$10,,MATCH($E22,$N$8:$AH$8,0)))
*IF($H22=Mid_Period,1/(1+IF($G22=Nominal,V$9,INDEX($N$9:$AH$9,,MATCH($G22,$N$8:$AH$8,0))))^INDEX(Timing_Adj,MATCH($H22,Cash_Timing,0)),1)
*IF($F22=Mid_Period,(1+IF($E22=Nominal,V$9,INDEX($N$9:$AH$9,,MATCH($E22,$N$8:$AH$8,0))))^INDEX(Timing_Adj,MATCH($F22,Cash_Timing,0)),1),"N/A")</f>
        <v>1.1659360269360268</v>
      </c>
      <c r="W22" s="21" cm="1">
        <f t="array" ref="W22">IFERROR(IF($G22=Nominal,W$10,INDEX($N$10:$AH$10,,MATCH($G22,$N$8:$AH$8,0)))
/IF($E22=Nominal,W$10,INDEX($N$10:$AH$10,,MATCH($E22,$N$8:$AH$8,0)))
*IF($H22=Mid_Period,1/(1+IF($G22=Nominal,W$9,INDEX($N$9:$AH$9,,MATCH($G22,$N$8:$AH$8,0))))^INDEX(Timing_Adj,MATCH($H22,Cash_Timing,0)),1)
*IF($F22=Mid_Period,(1+IF($E22=Nominal,W$9,INDEX($N$9:$AH$9,,MATCH($E22,$N$8:$AH$8,0))))^INDEX(Timing_Adj,MATCH($F22,Cash_Timing,0)),1),"N/A")</f>
        <v>1.1659360269360268</v>
      </c>
      <c r="X22" s="21" cm="1">
        <f t="array" ref="X22">IFERROR(IF($G22=Nominal,X$10,INDEX($N$10:$AH$10,,MATCH($G22,$N$8:$AH$8,0)))
/IF($E22=Nominal,X$10,INDEX($N$10:$AH$10,,MATCH($E22,$N$8:$AH$8,0)))
*IF($H22=Mid_Period,1/(1+IF($G22=Nominal,X$9,INDEX($N$9:$AH$9,,MATCH($G22,$N$8:$AH$8,0))))^INDEX(Timing_Adj,MATCH($H22,Cash_Timing,0)),1)
*IF($F22=Mid_Period,(1+IF($E22=Nominal,X$9,INDEX($N$9:$AH$9,,MATCH($E22,$N$8:$AH$8,0))))^INDEX(Timing_Adj,MATCH($F22,Cash_Timing,0)),1),"N/A")</f>
        <v>1.1659360269360268</v>
      </c>
      <c r="Y22" s="21" cm="1">
        <f t="array" ref="Y22">IFERROR(IF($G22=Nominal,Y$10,INDEX($N$10:$AH$10,,MATCH($G22,$N$8:$AH$8,0)))
/IF($E22=Nominal,Y$10,INDEX($N$10:$AH$10,,MATCH($E22,$N$8:$AH$8,0)))
*IF($H22=Mid_Period,1/(1+IF($G22=Nominal,Y$9,INDEX($N$9:$AH$9,,MATCH($G22,$N$8:$AH$8,0))))^INDEX(Timing_Adj,MATCH($H22,Cash_Timing,0)),1)
*IF($F22=Mid_Period,(1+IF($E22=Nominal,Y$9,INDEX($N$9:$AH$9,,MATCH($E22,$N$8:$AH$8,0))))^INDEX(Timing_Adj,MATCH($F22,Cash_Timing,0)),1),"N/A")</f>
        <v>1.1659360269360268</v>
      </c>
      <c r="Z22" s="21" cm="1">
        <f t="array" ref="Z22">IFERROR(IF($G22=Nominal,Z$10,INDEX($N$10:$AH$10,,MATCH($G22,$N$8:$AH$8,0)))
/IF($E22=Nominal,Z$10,INDEX($N$10:$AH$10,,MATCH($E22,$N$8:$AH$8,0)))
*IF($H22=Mid_Period,1/(1+IF($G22=Nominal,Z$9,INDEX($N$9:$AH$9,,MATCH($G22,$N$8:$AH$8,0))))^INDEX(Timing_Adj,MATCH($H22,Cash_Timing,0)),1)
*IF($F22=Mid_Period,(1+IF($E22=Nominal,Z$9,INDEX($N$9:$AH$9,,MATCH($E22,$N$8:$AH$8,0))))^INDEX(Timing_Adj,MATCH($F22,Cash_Timing,0)),1),"N/A")</f>
        <v>1.1659360269360268</v>
      </c>
      <c r="AA22" s="21" cm="1">
        <f t="array" ref="AA22">IFERROR(IF($G22=Nominal,AA$10,INDEX($N$10:$AH$10,,MATCH($G22,$N$8:$AH$8,0)))
/IF($E22=Nominal,AA$10,INDEX($N$10:$AH$10,,MATCH($E22,$N$8:$AH$8,0)))
*IF($H22=Mid_Period,1/(1+IF($G22=Nominal,AA$9,INDEX($N$9:$AH$9,,MATCH($G22,$N$8:$AH$8,0))))^INDEX(Timing_Adj,MATCH($H22,Cash_Timing,0)),1)
*IF($F22=Mid_Period,(1+IF($E22=Nominal,AA$9,INDEX($N$9:$AH$9,,MATCH($E22,$N$8:$AH$8,0))))^INDEX(Timing_Adj,MATCH($F22,Cash_Timing,0)),1),"N/A")</f>
        <v>1.1659360269360268</v>
      </c>
      <c r="AB22" s="21" cm="1">
        <f t="array" ref="AB22">IFERROR(IF($G22=Nominal,AB$10,INDEX($N$10:$AH$10,,MATCH($G22,$N$8:$AH$8,0)))
/IF($E22=Nominal,AB$10,INDEX($N$10:$AH$10,,MATCH($E22,$N$8:$AH$8,0)))
*IF($H22=Mid_Period,1/(1+IF($G22=Nominal,AB$9,INDEX($N$9:$AH$9,,MATCH($G22,$N$8:$AH$8,0))))^INDEX(Timing_Adj,MATCH($H22,Cash_Timing,0)),1)
*IF($F22=Mid_Period,(1+IF($E22=Nominal,AB$9,INDEX($N$9:$AH$9,,MATCH($E22,$N$8:$AH$8,0))))^INDEX(Timing_Adj,MATCH($F22,Cash_Timing,0)),1),"N/A")</f>
        <v>1.1659360269360268</v>
      </c>
      <c r="AC22" s="21" cm="1">
        <f t="array" ref="AC22">IFERROR(IF($G22=Nominal,AC$10,INDEX($N$10:$AH$10,,MATCH($G22,$N$8:$AH$8,0)))
/IF($E22=Nominal,AC$10,INDEX($N$10:$AH$10,,MATCH($E22,$N$8:$AH$8,0)))
*IF($H22=Mid_Period,1/(1+IF($G22=Nominal,AC$9,INDEX($N$9:$AH$9,,MATCH($G22,$N$8:$AH$8,0))))^INDEX(Timing_Adj,MATCH($H22,Cash_Timing,0)),1)
*IF($F22=Mid_Period,(1+IF($E22=Nominal,AC$9,INDEX($N$9:$AH$9,,MATCH($E22,$N$8:$AH$8,0))))^INDEX(Timing_Adj,MATCH($F22,Cash_Timing,0)),1),"N/A")</f>
        <v>1.1659360269360268</v>
      </c>
      <c r="AD22" s="21" cm="1">
        <f t="array" ref="AD22">IFERROR(IF($G22=Nominal,AD$10,INDEX($N$10:$AH$10,,MATCH($G22,$N$8:$AH$8,0)))
/IF($E22=Nominal,AD$10,INDEX($N$10:$AH$10,,MATCH($E22,$N$8:$AH$8,0)))
*IF($H22=Mid_Period,1/(1+IF($G22=Nominal,AD$9,INDEX($N$9:$AH$9,,MATCH($G22,$N$8:$AH$8,0))))^INDEX(Timing_Adj,MATCH($H22,Cash_Timing,0)),1)
*IF($F22=Mid_Period,(1+IF($E22=Nominal,AD$9,INDEX($N$9:$AH$9,,MATCH($E22,$N$8:$AH$8,0))))^INDEX(Timing_Adj,MATCH($F22,Cash_Timing,0)),1),"N/A")</f>
        <v>1.1659360269360268</v>
      </c>
      <c r="AE22" s="21" cm="1">
        <f t="array" ref="AE22">IFERROR(IF($G22=Nominal,AE$10,INDEX($N$10:$AH$10,,MATCH($G22,$N$8:$AH$8,0)))
/IF($E22=Nominal,AE$10,INDEX($N$10:$AH$10,,MATCH($E22,$N$8:$AH$8,0)))
*IF($H22=Mid_Period,1/(1+IF($G22=Nominal,AE$9,INDEX($N$9:$AH$9,,MATCH($G22,$N$8:$AH$8,0))))^INDEX(Timing_Adj,MATCH($H22,Cash_Timing,0)),1)
*IF($F22=Mid_Period,(1+IF($E22=Nominal,AE$9,INDEX($N$9:$AH$9,,MATCH($E22,$N$8:$AH$8,0))))^INDEX(Timing_Adj,MATCH($F22,Cash_Timing,0)),1),"N/A")</f>
        <v>1.1659360269360268</v>
      </c>
      <c r="AF22" s="21" cm="1">
        <f t="array" ref="AF22">IFERROR(IF($G22=Nominal,AF$10,INDEX($N$10:$AH$10,,MATCH($G22,$N$8:$AH$8,0)))
/IF($E22=Nominal,AF$10,INDEX($N$10:$AH$10,,MATCH($E22,$N$8:$AH$8,0)))
*IF($H22=Mid_Period,1/(1+IF($G22=Nominal,AF$9,INDEX($N$9:$AH$9,,MATCH($G22,$N$8:$AH$8,0))))^INDEX(Timing_Adj,MATCH($H22,Cash_Timing,0)),1)
*IF($F22=Mid_Period,(1+IF($E22=Nominal,AF$9,INDEX($N$9:$AH$9,,MATCH($E22,$N$8:$AH$8,0))))^INDEX(Timing_Adj,MATCH($F22,Cash_Timing,0)),1),"N/A")</f>
        <v>1.1659360269360268</v>
      </c>
      <c r="AG22" s="21" cm="1">
        <f t="array" ref="AG22">IFERROR(IF($G22=Nominal,AG$10,INDEX($N$10:$AH$10,,MATCH($G22,$N$8:$AH$8,0)))
/IF($E22=Nominal,AG$10,INDEX($N$10:$AH$10,,MATCH($E22,$N$8:$AH$8,0)))
*IF($H22=Mid_Period,1/(1+IF($G22=Nominal,AG$9,INDEX($N$9:$AH$9,,MATCH($G22,$N$8:$AH$8,0))))^INDEX(Timing_Adj,MATCH($H22,Cash_Timing,0)),1)
*IF($F22=Mid_Period,(1+IF($E22=Nominal,AG$9,INDEX($N$9:$AH$9,,MATCH($E22,$N$8:$AH$8,0))))^INDEX(Timing_Adj,MATCH($F22,Cash_Timing,0)),1),"N/A")</f>
        <v>1.1659360269360268</v>
      </c>
      <c r="AH22" s="21" cm="1">
        <f t="array" ref="AH22">IFERROR(IF($G22=Nominal,AH$10,INDEX($N$10:$AH$10,,MATCH($G22,$N$8:$AH$8,0)))
/IF($E22=Nominal,AH$10,INDEX($N$10:$AH$10,,MATCH($E22,$N$8:$AH$8,0)))
*IF($H22=Mid_Period,1/(1+IF($G22=Nominal,AH$9,INDEX($N$9:$AH$9,,MATCH($G22,$N$8:$AH$8,0))))^INDEX(Timing_Adj,MATCH($H22,Cash_Timing,0)),1)
*IF($F22=Mid_Period,(1+IF($E22=Nominal,AH$9,INDEX($N$9:$AH$9,,MATCH($E22,$N$8:$AH$8,0))))^INDEX(Timing_Adj,MATCH($F22,Cash_Timing,0)),1),"N/A")</f>
        <v>1.1659360269360268</v>
      </c>
    </row>
    <row r="23" spans="2:34" x14ac:dyDescent="0.2">
      <c r="D23" s="8" t="str">
        <f t="shared" si="5"/>
        <v>Nominal (Mid Period) to Real 2020 (End Period)</v>
      </c>
      <c r="E23" s="10" t="s">
        <v>9</v>
      </c>
      <c r="F23" s="10" t="s">
        <v>10</v>
      </c>
      <c r="G23" s="10">
        <v>2020</v>
      </c>
      <c r="H23" s="10" t="s">
        <v>11</v>
      </c>
      <c r="I23" s="4"/>
      <c r="J23" s="21" cm="1">
        <f t="array" ref="J23">IFERROR(IF($G23=Nominal,J$10,INDEX($N$10:$AH$10,,MATCH($G23,$N$8:$AH$8,0)))
/IF($E23=Nominal,J$10,INDEX($N$10:$AH$10,,MATCH($E23,$N$8:$AH$8,0)))
*IF($H23=Mid_Period,1/(1+IF($G23=Nominal,J$9,INDEX($N$9:$AH$9,,MATCH($G23,$N$8:$AH$8,0))))^INDEX(Timing_Adj,MATCH($H23,Cash_Timing,0)),1)
*IF($F23=Mid_Period,(1+IF($E23=Nominal,J$9,INDEX($N$9:$AH$9,,MATCH($E23,$N$8:$AH$8,0))))^INDEX(Timing_Adj,MATCH($F23,Cash_Timing,0)),1),"N/A")</f>
        <v>1.4020660712463877</v>
      </c>
      <c r="K23" s="21" cm="1">
        <f t="array" ref="K23">IFERROR(IF($G23=Nominal,K$10,INDEX($N$10:$AH$10,,MATCH($G23,$N$8:$AH$8,0)))
/IF($E23=Nominal,K$10,INDEX($N$10:$AH$10,,MATCH($E23,$N$8:$AH$8,0)))
*IF($H23=Mid_Period,1/(1+IF($G23=Nominal,K$9,INDEX($N$9:$AH$9,,MATCH($G23,$N$8:$AH$8,0))))^INDEX(Timing_Adj,MATCH($H23,Cash_Timing,0)),1)
*IF($F23=Mid_Period,(1+IF($E23=Nominal,K$9,INDEX($N$9:$AH$9,,MATCH($E23,$N$8:$AH$8,0))))^INDEX(Timing_Adj,MATCH($F23,Cash_Timing,0)),1),"N/A")</f>
        <v>1.3581239843382373</v>
      </c>
      <c r="L23" s="21" cm="1">
        <f t="array" ref="L23">IFERROR(IF($G23=Nominal,L$10,INDEX($N$10:$AH$10,,MATCH($G23,$N$8:$AH$8,0)))
/IF($E23=Nominal,L$10,INDEX($N$10:$AH$10,,MATCH($E23,$N$8:$AH$8,0)))
*IF($H23=Mid_Period,1/(1+IF($G23=Nominal,L$9,INDEX($N$9:$AH$9,,MATCH($G23,$N$8:$AH$8,0))))^INDEX(Timing_Adj,MATCH($H23,Cash_Timing,0)),1)
*IF($F23=Mid_Period,(1+IF($E23=Nominal,L$9,INDEX($N$9:$AH$9,,MATCH($E23,$N$8:$AH$8,0))))^INDEX(Timing_Adj,MATCH($F23,Cash_Timing,0)),1),"N/A")</f>
        <v>1.3180432030098983</v>
      </c>
      <c r="M23" s="21" cm="1">
        <f t="array" ref="M23">IFERROR(IF($G23=Nominal,M$10,INDEX($N$10:$AH$10,,MATCH($G23,$N$8:$AH$8,0)))
/IF($E23=Nominal,M$10,INDEX($N$10:$AH$10,,MATCH($E23,$N$8:$AH$8,0)))
*IF($H23=Mid_Period,1/(1+IF($G23=Nominal,M$9,INDEX($N$9:$AH$9,,MATCH($G23,$N$8:$AH$8,0))))^INDEX(Timing_Adj,MATCH($H23,Cash_Timing,0)),1)
*IF($F23=Mid_Period,(1+IF($E23=Nominal,M$9,INDEX($N$9:$AH$9,,MATCH($E23,$N$8:$AH$8,0))))^INDEX(Timing_Adj,MATCH($F23,Cash_Timing,0)),1),"N/A")</f>
        <v>1.2763755929057099</v>
      </c>
      <c r="N23" s="21" cm="1">
        <f t="array" ref="N23">IFERROR(IF($G23=Nominal,N$10,INDEX($N$10:$AH$10,,MATCH($G23,$N$8:$AH$8,0)))
/IF($E23=Nominal,N$10,INDEX($N$10:$AH$10,,MATCH($E23,$N$8:$AH$8,0)))
*IF($H23=Mid_Period,1/(1+IF($G23=Nominal,N$9,INDEX($N$9:$AH$9,,MATCH($G23,$N$8:$AH$8,0))))^INDEX(Timing_Adj,MATCH($H23,Cash_Timing,0)),1)
*IF($F23=Mid_Period,(1+IF($E23=Nominal,N$9,INDEX($N$9:$AH$9,,MATCH($E23,$N$8:$AH$8,0))))^INDEX(Timing_Adj,MATCH($F23,Cash_Timing,0)),1),"N/A")</f>
        <v>1.240139186128749</v>
      </c>
      <c r="O23" s="21" cm="1">
        <f t="array" ref="O23">IFERROR(IF($G23=Nominal,O$10,INDEX($N$10:$AH$10,,MATCH($G23,$N$8:$AH$8,0)))
/IF($E23=Nominal,O$10,INDEX($N$10:$AH$10,,MATCH($E23,$N$8:$AH$8,0)))
*IF($H23=Mid_Period,1/(1+IF($G23=Nominal,O$9,INDEX($N$9:$AH$9,,MATCH($G23,$N$8:$AH$8,0))))^INDEX(Timing_Adj,MATCH($H23,Cash_Timing,0)),1)
*IF($F23=Mid_Period,(1+IF($E23=Nominal,O$9,INDEX($N$9:$AH$9,,MATCH($E23,$N$8:$AH$8,0))))^INDEX(Timing_Adj,MATCH($F23,Cash_Timing,0)),1),"N/A")</f>
        <v>1.2126498375404455</v>
      </c>
      <c r="P23" s="21" cm="1">
        <f t="array" ref="P23">IFERROR(IF($G23=Nominal,P$10,INDEX($N$10:$AH$10,,MATCH($G23,$N$8:$AH$8,0)))
/IF($E23=Nominal,P$10,INDEX($N$10:$AH$10,,MATCH($E23,$N$8:$AH$8,0)))
*IF($H23=Mid_Period,1/(1+IF($G23=Nominal,P$9,INDEX($N$9:$AH$9,,MATCH($G23,$N$8:$AH$8,0))))^INDEX(Timing_Adj,MATCH($H23,Cash_Timing,0)),1)
*IF($F23=Mid_Period,(1+IF($E23=Nominal,P$9,INDEX($N$9:$AH$9,,MATCH($E23,$N$8:$AH$8,0))))^INDEX(Timing_Adj,MATCH($F23,Cash_Timing,0)),1),"N/A")</f>
        <v>1.1735117268475381</v>
      </c>
      <c r="Q23" s="21" cm="1">
        <f t="array" ref="Q23">IFERROR(IF($G23=Nominal,Q$10,INDEX($N$10:$AH$10,,MATCH($G23,$N$8:$AH$8,0)))
/IF($E23=Nominal,Q$10,INDEX($N$10:$AH$10,,MATCH($E23,$N$8:$AH$8,0)))
*IF($H23=Mid_Period,1/(1+IF($G23=Nominal,Q$9,INDEX($N$9:$AH$9,,MATCH($G23,$N$8:$AH$8,0))))^INDEX(Timing_Adj,MATCH($H23,Cash_Timing,0)),1)
*IF($F23=Mid_Period,(1+IF($E23=Nominal,Q$9,INDEX($N$9:$AH$9,,MATCH($E23,$N$8:$AH$8,0))))^INDEX(Timing_Adj,MATCH($F23,Cash_Timing,0)),1),"N/A")</f>
        <v>1.1463133017797953</v>
      </c>
      <c r="R23" s="21" cm="1">
        <f t="array" ref="R23">IFERROR(IF($G23=Nominal,R$10,INDEX($N$10:$AH$10,,MATCH($G23,$N$8:$AH$8,0)))
/IF($E23=Nominal,R$10,INDEX($N$10:$AH$10,,MATCH($E23,$N$8:$AH$8,0)))
*IF($H23=Mid_Period,1/(1+IF($G23=Nominal,R$9,INDEX($N$9:$AH$9,,MATCH($G23,$N$8:$AH$8,0))))^INDEX(Timing_Adj,MATCH($H23,Cash_Timing,0)),1)
*IF($F23=Mid_Period,(1+IF($E23=Nominal,R$9,INDEX($N$9:$AH$9,,MATCH($E23,$N$8:$AH$8,0))))^INDEX(Timing_Adj,MATCH($F23,Cash_Timing,0)),1),"N/A")</f>
        <v>1.1260627977451179</v>
      </c>
      <c r="S23" s="21" cm="1">
        <f t="array" ref="S23">IFERROR(IF($G23=Nominal,S$10,INDEX($N$10:$AH$10,,MATCH($G23,$N$8:$AH$8,0)))
/IF($E23=Nominal,S$10,INDEX($N$10:$AH$10,,MATCH($E23,$N$8:$AH$8,0)))
*IF($H23=Mid_Period,1/(1+IF($G23=Nominal,S$9,INDEX($N$9:$AH$9,,MATCH($G23,$N$8:$AH$8,0))))^INDEX(Timing_Adj,MATCH($H23,Cash_Timing,0)),1)
*IF($F23=Mid_Period,(1+IF($E23=Nominal,S$9,INDEX($N$9:$AH$9,,MATCH($E23,$N$8:$AH$8,0))))^INDEX(Timing_Adj,MATCH($F23,Cash_Timing,0)),1),"N/A")</f>
        <v>1.0964314569182825</v>
      </c>
      <c r="T23" s="21" cm="1">
        <f t="array" ref="T23">IFERROR(IF($G23=Nominal,T$10,INDEX($N$10:$AH$10,,MATCH($G23,$N$8:$AH$8,0)))
/IF($E23=Nominal,T$10,INDEX($N$10:$AH$10,,MATCH($E23,$N$8:$AH$8,0)))
*IF($H23=Mid_Period,1/(1+IF($G23=Nominal,T$9,INDEX($N$9:$AH$9,,MATCH($G23,$N$8:$AH$8,0))))^INDEX(Timing_Adj,MATCH($H23,Cash_Timing,0)),1)
*IF($F23=Mid_Period,(1+IF($E23=Nominal,T$9,INDEX($N$9:$AH$9,,MATCH($E23,$N$8:$AH$8,0))))^INDEX(Timing_Adj,MATCH($F23,Cash_Timing,0)),1),"N/A")</f>
        <v>1.0721950855255842</v>
      </c>
      <c r="U23" s="21" cm="1">
        <f t="array" ref="U23">IFERROR(IF($G23=Nominal,U$10,INDEX($N$10:$AH$10,,MATCH($G23,$N$8:$AH$8,0)))
/IF($E23=Nominal,U$10,INDEX($N$10:$AH$10,,MATCH($E23,$N$8:$AH$8,0)))
*IF($H23=Mid_Period,1/(1+IF($G23=Nominal,U$9,INDEX($N$9:$AH$9,,MATCH($G23,$N$8:$AH$8,0))))^INDEX(Timing_Adj,MATCH($H23,Cash_Timing,0)),1)
*IF($F23=Mid_Period,(1+IF($E23=Nominal,U$9,INDEX($N$9:$AH$9,,MATCH($E23,$N$8:$AH$8,0))))^INDEX(Timing_Adj,MATCH($F23,Cash_Timing,0)),1),"N/A")</f>
        <v>1.0587828052711508</v>
      </c>
      <c r="V23" s="21" cm="1">
        <f t="array" ref="V23">IFERROR(IF($G23=Nominal,V$10,INDEX($N$10:$AH$10,,MATCH($G23,$N$8:$AH$8,0)))
/IF($E23=Nominal,V$10,INDEX($N$10:$AH$10,,MATCH($E23,$N$8:$AH$8,0)))
*IF($H23=Mid_Period,1/(1+IF($G23=Nominal,V$9,INDEX($N$9:$AH$9,,MATCH($G23,$N$8:$AH$8,0))))^INDEX(Timing_Adj,MATCH($H23,Cash_Timing,0)),1)
*IF($F23=Mid_Period,(1+IF($E23=Nominal,V$9,INDEX($N$9:$AH$9,,MATCH($E23,$N$8:$AH$8,0))))^INDEX(Timing_Adj,MATCH($F23,Cash_Timing,0)),1),"N/A")</f>
        <v>1.0433674920567277</v>
      </c>
      <c r="W23" s="21" cm="1">
        <f t="array" ref="W23">IFERROR(IF($G23=Nominal,W$10,INDEX($N$10:$AH$10,,MATCH($G23,$N$8:$AH$8,0)))
/IF($E23=Nominal,W$10,INDEX($N$10:$AH$10,,MATCH($E23,$N$8:$AH$8,0)))
*IF($H23=Mid_Period,1/(1+IF($G23=Nominal,W$9,INDEX($N$9:$AH$9,,MATCH($G23,$N$8:$AH$8,0))))^INDEX(Timing_Adj,MATCH($H23,Cash_Timing,0)),1)
*IF($F23=Mid_Period,(1+IF($E23=Nominal,W$9,INDEX($N$9:$AH$9,,MATCH($E23,$N$8:$AH$8,0))))^INDEX(Timing_Adj,MATCH($F23,Cash_Timing,0)),1),"N/A")</f>
        <v>1.0228524559472143</v>
      </c>
      <c r="X23" s="21" cm="1">
        <f t="array" ref="X23">IFERROR(IF($G23=Nominal,X$10,INDEX($N$10:$AH$10,,MATCH($G23,$N$8:$AH$8,0)))
/IF($E23=Nominal,X$10,INDEX($N$10:$AH$10,,MATCH($E23,$N$8:$AH$8,0)))
*IF($H23=Mid_Period,1/(1+IF($G23=Nominal,X$9,INDEX($N$9:$AH$9,,MATCH($G23,$N$8:$AH$8,0))))^INDEX(Timing_Adj,MATCH($H23,Cash_Timing,0)),1)
*IF($F23=Mid_Period,(1+IF($E23=Nominal,X$9,INDEX($N$9:$AH$9,,MATCH($E23,$N$8:$AH$8,0))))^INDEX(Timing_Adj,MATCH($F23,Cash_Timing,0)),1),"N/A")</f>
        <v>1.0044211723177698</v>
      </c>
      <c r="Y23" s="21" cm="1">
        <f t="array" ref="Y23">IFERROR(IF($G23=Nominal,Y$10,INDEX($N$10:$AH$10,,MATCH($G23,$N$8:$AH$8,0)))
/IF($E23=Nominal,Y$10,INDEX($N$10:$AH$10,,MATCH($E23,$N$8:$AH$8,0)))
*IF($H23=Mid_Period,1/(1+IF($G23=Nominal,Y$9,INDEX($N$9:$AH$9,,MATCH($G23,$N$8:$AH$8,0))))^INDEX(Timing_Adj,MATCH($H23,Cash_Timing,0)),1)
*IF($F23=Mid_Period,(1+IF($E23=Nominal,Y$9,INDEX($N$9:$AH$9,,MATCH($E23,$N$8:$AH$8,0))))^INDEX(Timing_Adj,MATCH($F23,Cash_Timing,0)),1),"N/A")</f>
        <v>0.99825631951042948</v>
      </c>
      <c r="Z23" s="21" cm="1">
        <f t="array" ref="Z23">IFERROR(IF($G23=Nominal,Z$10,INDEX($N$10:$AH$10,,MATCH($G23,$N$8:$AH$8,0)))
/IF($E23=Nominal,Z$10,INDEX($N$10:$AH$10,,MATCH($E23,$N$8:$AH$8,0)))
*IF($H23=Mid_Period,1/(1+IF($G23=Nominal,Z$9,INDEX($N$9:$AH$9,,MATCH($G23,$N$8:$AH$8,0))))^INDEX(Timing_Adj,MATCH($H23,Cash_Timing,0)),1)
*IF($F23=Mid_Period,(1+IF($E23=Nominal,Z$9,INDEX($N$9:$AH$9,,MATCH($E23,$N$8:$AH$8,0))))^INDEX(Timing_Adj,MATCH($F23,Cash_Timing,0)),1),"N/A")</f>
        <v>0.98130676292531627</v>
      </c>
      <c r="AA23" s="21" cm="1">
        <f t="array" ref="AA23">IFERROR(IF($G23=Nominal,AA$10,INDEX($N$10:$AH$10,,MATCH($G23,$N$8:$AH$8,0)))
/IF($E23=Nominal,AA$10,INDEX($N$10:$AH$10,,MATCH($E23,$N$8:$AH$8,0)))
*IF($H23=Mid_Period,1/(1+IF($G23=Nominal,AA$9,INDEX($N$9:$AH$9,,MATCH($G23,$N$8:$AH$8,0))))^INDEX(Timing_Adj,MATCH($H23,Cash_Timing,0)),1)
*IF($F23=Mid_Period,(1+IF($E23=Nominal,AA$9,INDEX($N$9:$AH$9,,MATCH($E23,$N$8:$AH$8,0))))^INDEX(Timing_Adj,MATCH($F23,Cash_Timing,0)),1),"N/A")</f>
        <v>0.93467421272075468</v>
      </c>
      <c r="AB23" s="21" cm="1">
        <f t="array" ref="AB23">IFERROR(IF($G23=Nominal,AB$10,INDEX($N$10:$AH$10,,MATCH($G23,$N$8:$AH$8,0)))
/IF($E23=Nominal,AB$10,INDEX($N$10:$AH$10,,MATCH($E23,$N$8:$AH$8,0)))
*IF($H23=Mid_Period,1/(1+IF($G23=Nominal,AB$9,INDEX($N$9:$AH$9,,MATCH($G23,$N$8:$AH$8,0))))^INDEX(Timing_Adj,MATCH($H23,Cash_Timing,0)),1)
*IF($F23=Mid_Period,(1+IF($E23=Nominal,AB$9,INDEX($N$9:$AH$9,,MATCH($E23,$N$8:$AH$8,0))))^INDEX(Timing_Adj,MATCH($F23,Cash_Timing,0)),1),"N/A")</f>
        <v>0.88105450779258843</v>
      </c>
      <c r="AC23" s="21" cm="1">
        <f t="array" ref="AC23">IFERROR(IF($G23=Nominal,AC$10,INDEX($N$10:$AH$10,,MATCH($G23,$N$8:$AH$8,0)))
/IF($E23=Nominal,AC$10,INDEX($N$10:$AH$10,,MATCH($E23,$N$8:$AH$8,0)))
*IF($H23=Mid_Period,1/(1+IF($G23=Nominal,AC$9,INDEX($N$9:$AH$9,,MATCH($G23,$N$8:$AH$8,0))))^INDEX(Timing_Adj,MATCH($H23,Cash_Timing,0)),1)
*IF($F23=Mid_Period,(1+IF($E23=Nominal,AC$9,INDEX($N$9:$AH$9,,MATCH($E23,$N$8:$AH$8,0))))^INDEX(Timing_Adj,MATCH($F23,Cash_Timing,0)),1),"N/A")</f>
        <v>0.84064907509750109</v>
      </c>
      <c r="AD23" s="21" cm="1">
        <f t="array" ref="AD23">IFERROR(IF($G23=Nominal,AD$10,INDEX($N$10:$AH$10,,MATCH($G23,$N$8:$AH$8,0)))
/IF($E23=Nominal,AD$10,INDEX($N$10:$AH$10,,MATCH($E23,$N$8:$AH$8,0)))
*IF($H23=Mid_Period,1/(1+IF($G23=Nominal,AD$9,INDEX($N$9:$AH$9,,MATCH($G23,$N$8:$AH$8,0))))^INDEX(Timing_Adj,MATCH($H23,Cash_Timing,0)),1)
*IF($F23=Mid_Period,(1+IF($E23=Nominal,AD$9,INDEX($N$9:$AH$9,,MATCH($E23,$N$8:$AH$8,0))))^INDEX(Timing_Adj,MATCH($F23,Cash_Timing,0)),1),"N/A")</f>
        <v>0.81458942314444638</v>
      </c>
      <c r="AE23" s="21" cm="1">
        <f t="array" ref="AE23">IFERROR(IF($G23=Nominal,AE$10,INDEX($N$10:$AH$10,,MATCH($G23,$N$8:$AH$8,0)))
/IF($E23=Nominal,AE$10,INDEX($N$10:$AH$10,,MATCH($E23,$N$8:$AH$8,0)))
*IF($H23=Mid_Period,1/(1+IF($G23=Nominal,AE$9,INDEX($N$9:$AH$9,,MATCH($G23,$N$8:$AH$8,0))))^INDEX(Timing_Adj,MATCH($H23,Cash_Timing,0)),1)
*IF($F23=Mid_Period,(1+IF($E23=Nominal,AE$9,INDEX($N$9:$AH$9,,MATCH($E23,$N$8:$AH$8,0))))^INDEX(Timing_Adj,MATCH($F23,Cash_Timing,0)),1),"N/A")</f>
        <v>0.79240384970410971</v>
      </c>
      <c r="AF23" s="21" cm="1">
        <f t="array" ref="AF23">IFERROR(IF($G23=Nominal,AF$10,INDEX($N$10:$AH$10,,MATCH($G23,$N$8:$AH$8,0)))
/IF($E23=Nominal,AF$10,INDEX($N$10:$AH$10,,MATCH($E23,$N$8:$AH$8,0)))
*IF($H23=Mid_Period,1/(1+IF($G23=Nominal,AF$9,INDEX($N$9:$AH$9,,MATCH($G23,$N$8:$AH$8,0))))^INDEX(Timing_Adj,MATCH($H23,Cash_Timing,0)),1)
*IF($F23=Mid_Period,(1+IF($E23=Nominal,AF$9,INDEX($N$9:$AH$9,,MATCH($E23,$N$8:$AH$8,0))))^INDEX(Timing_Adj,MATCH($F23,Cash_Timing,0)),1),"N/A")</f>
        <v>0.77082250663418062</v>
      </c>
      <c r="AG23" s="21" cm="1">
        <f t="array" ref="AG23">IFERROR(IF($G23=Nominal,AG$10,INDEX($N$10:$AH$10,,MATCH($G23,$N$8:$AH$8,0)))
/IF($E23=Nominal,AG$10,INDEX($N$10:$AH$10,,MATCH($E23,$N$8:$AH$8,0)))
*IF($H23=Mid_Period,1/(1+IF($G23=Nominal,AG$9,INDEX($N$9:$AH$9,,MATCH($G23,$N$8:$AH$8,0))))^INDEX(Timing_Adj,MATCH($H23,Cash_Timing,0)),1)
*IF($F23=Mid_Period,(1+IF($E23=Nominal,AG$9,INDEX($N$9:$AH$9,,MATCH($E23,$N$8:$AH$8,0))))^INDEX(Timing_Adj,MATCH($F23,Cash_Timing,0)),1),"N/A")</f>
        <v>0.74982893754954416</v>
      </c>
      <c r="AH23" s="21" cm="1">
        <f t="array" ref="AH23">IFERROR(IF($G23=Nominal,AH$10,INDEX($N$10:$AH$10,,MATCH($G23,$N$8:$AH$8,0)))
/IF($E23=Nominal,AH$10,INDEX($N$10:$AH$10,,MATCH($E23,$N$8:$AH$8,0)))
*IF($H23=Mid_Period,1/(1+IF($G23=Nominal,AH$9,INDEX($N$9:$AH$9,,MATCH($G23,$N$8:$AH$8,0))))^INDEX(Timing_Adj,MATCH($H23,Cash_Timing,0)),1)
*IF($F23=Mid_Period,(1+IF($E23=Nominal,AH$9,INDEX($N$9:$AH$9,,MATCH($E23,$N$8:$AH$8,0))))^INDEX(Timing_Adj,MATCH($F23,Cash_Timing,0)),1),"N/A")</f>
        <v>0.7294071342593913</v>
      </c>
    </row>
    <row r="24" spans="2:34" x14ac:dyDescent="0.2">
      <c r="D24" s="8" t="str">
        <f t="shared" si="5"/>
        <v>Real 2021 (End Period) to Nominal (Mid Period)</v>
      </c>
      <c r="E24" s="10">
        <v>2021</v>
      </c>
      <c r="F24" s="10" t="s">
        <v>11</v>
      </c>
      <c r="G24" s="10" t="s">
        <v>9</v>
      </c>
      <c r="H24" s="10" t="s">
        <v>10</v>
      </c>
      <c r="I24" s="4"/>
      <c r="J24" s="21" cm="1">
        <f t="array" ref="J24">IFERROR(IF($G24=Nominal,J$10,INDEX($N$10:$AH$10,,MATCH($G24,$N$8:$AH$8,0)))
/IF($E24=Nominal,J$10,INDEX($N$10:$AH$10,,MATCH($E24,$N$8:$AH$8,0)))
*IF($H24=Mid_Period,1/(1+IF($G24=Nominal,J$9,INDEX($N$9:$AH$9,,MATCH($G24,$N$8:$AH$8,0))))^INDEX(Timing_Adj,MATCH($H24,Cash_Timing,0)),1)
*IF($F24=Mid_Period,(1+IF($E24=Nominal,J$9,INDEX($N$9:$AH$9,,MATCH($E24,$N$8:$AH$8,0))))^INDEX(Timing_Adj,MATCH($F24,Cash_Timing,0)),1),"N/A")</f>
        <v>0.68681710706181109</v>
      </c>
      <c r="K24" s="21" cm="1">
        <f t="array" ref="K24">IFERROR(IF($G24=Nominal,K$10,INDEX($N$10:$AH$10,,MATCH($G24,$N$8:$AH$8,0)))
/IF($E24=Nominal,K$10,INDEX($N$10:$AH$10,,MATCH($E24,$N$8:$AH$8,0)))
*IF($H24=Mid_Period,1/(1+IF($G24=Nominal,K$9,INDEX($N$9:$AH$9,,MATCH($G24,$N$8:$AH$8,0))))^INDEX(Timing_Adj,MATCH($H24,Cash_Timing,0)),1)
*IF($F24=Mid_Period,(1+IF($E24=Nominal,K$9,INDEX($N$9:$AH$9,,MATCH($E24,$N$8:$AH$8,0))))^INDEX(Timing_Adj,MATCH($F24,Cash_Timing,0)),1),"N/A")</f>
        <v>0.70903906717484178</v>
      </c>
      <c r="L24" s="21" cm="1">
        <f t="array" ref="L24">IFERROR(IF($G24=Nominal,L$10,INDEX($N$10:$AH$10,,MATCH($G24,$N$8:$AH$8,0)))
/IF($E24=Nominal,L$10,INDEX($N$10:$AH$10,,MATCH($E24,$N$8:$AH$8,0)))
*IF($H24=Mid_Period,1/(1+IF($G24=Nominal,L$9,INDEX($N$9:$AH$9,,MATCH($G24,$N$8:$AH$8,0))))^INDEX(Timing_Adj,MATCH($H24,Cash_Timing,0)),1)
*IF($F24=Mid_Period,(1+IF($E24=Nominal,L$9,INDEX($N$9:$AH$9,,MATCH($E24,$N$8:$AH$8,0))))^INDEX(Timing_Adj,MATCH($F24,Cash_Timing,0)),1),"N/A")</f>
        <v>0.73060045434317333</v>
      </c>
      <c r="M24" s="21" cm="1">
        <f t="array" ref="M24">IFERROR(IF($G24=Nominal,M$10,INDEX($N$10:$AH$10,,MATCH($G24,$N$8:$AH$8,0)))
/IF($E24=Nominal,M$10,INDEX($N$10:$AH$10,,MATCH($E24,$N$8:$AH$8,0)))
*IF($H24=Mid_Period,1/(1+IF($G24=Nominal,M$9,INDEX($N$9:$AH$9,,MATCH($G24,$N$8:$AH$8,0))))^INDEX(Timing_Adj,MATCH($H24,Cash_Timing,0)),1)
*IF($F24=Mid_Period,(1+IF($E24=Nominal,M$9,INDEX($N$9:$AH$9,,MATCH($E24,$N$8:$AH$8,0))))^INDEX(Timing_Adj,MATCH($F24,Cash_Timing,0)),1),"N/A")</f>
        <v>0.75445109442334846</v>
      </c>
      <c r="N24" s="21" cm="1">
        <f t="array" ref="N24">IFERROR(IF($G24=Nominal,N$10,INDEX($N$10:$AH$10,,MATCH($G24,$N$8:$AH$8,0)))
/IF($E24=Nominal,N$10,INDEX($N$10:$AH$10,,MATCH($E24,$N$8:$AH$8,0)))
*IF($H24=Mid_Period,1/(1+IF($G24=Nominal,N$9,INDEX($N$9:$AH$9,,MATCH($G24,$N$8:$AH$8,0))))^INDEX(Timing_Adj,MATCH($H24,Cash_Timing,0)),1)
*IF($F24=Mid_Period,(1+IF($E24=Nominal,N$9,INDEX($N$9:$AH$9,,MATCH($E24,$N$8:$AH$8,0))))^INDEX(Timing_Adj,MATCH($F24,Cash_Timing,0)),1),"N/A")</f>
        <v>0.77649587540973808</v>
      </c>
      <c r="O24" s="21" cm="1">
        <f t="array" ref="O24">IFERROR(IF($G24=Nominal,O$10,INDEX($N$10:$AH$10,,MATCH($G24,$N$8:$AH$8,0)))
/IF($E24=Nominal,O$10,INDEX($N$10:$AH$10,,MATCH($E24,$N$8:$AH$8,0)))
*IF($H24=Mid_Period,1/(1+IF($G24=Nominal,O$9,INDEX($N$9:$AH$9,,MATCH($G24,$N$8:$AH$8,0))))^INDEX(Timing_Adj,MATCH($H24,Cash_Timing,0)),1)
*IF($F24=Mid_Period,(1+IF($E24=Nominal,O$9,INDEX($N$9:$AH$9,,MATCH($E24,$N$8:$AH$8,0))))^INDEX(Timing_Adj,MATCH($F24,Cash_Timing,0)),1),"N/A")</f>
        <v>0.79409812556944759</v>
      </c>
      <c r="P24" s="21" cm="1">
        <f t="array" ref="P24">IFERROR(IF($G24=Nominal,P$10,INDEX($N$10:$AH$10,,MATCH($G24,$N$8:$AH$8,0)))
/IF($E24=Nominal,P$10,INDEX($N$10:$AH$10,,MATCH($E24,$N$8:$AH$8,0)))
*IF($H24=Mid_Period,1/(1+IF($G24=Nominal,P$9,INDEX($N$9:$AH$9,,MATCH($G24,$N$8:$AH$8,0))))^INDEX(Timing_Adj,MATCH($H24,Cash_Timing,0)),1)
*IF($F24=Mid_Period,(1+IF($E24=Nominal,P$9,INDEX($N$9:$AH$9,,MATCH($E24,$N$8:$AH$8,0))))^INDEX(Timing_Adj,MATCH($F24,Cash_Timing,0)),1),"N/A")</f>
        <v>0.82058230943274624</v>
      </c>
      <c r="Q24" s="21" cm="1">
        <f t="array" ref="Q24">IFERROR(IF($G24=Nominal,Q$10,INDEX($N$10:$AH$10,,MATCH($G24,$N$8:$AH$8,0)))
/IF($E24=Nominal,Q$10,INDEX($N$10:$AH$10,,MATCH($E24,$N$8:$AH$8,0)))
*IF($H24=Mid_Period,1/(1+IF($G24=Nominal,Q$9,INDEX($N$9:$AH$9,,MATCH($G24,$N$8:$AH$8,0))))^INDEX(Timing_Adj,MATCH($H24,Cash_Timing,0)),1)
*IF($F24=Mid_Period,(1+IF($E24=Nominal,Q$9,INDEX($N$9:$AH$9,,MATCH($E24,$N$8:$AH$8,0))))^INDEX(Timing_Adj,MATCH($F24,Cash_Timing,0)),1),"N/A")</f>
        <v>0.84005215805124311</v>
      </c>
      <c r="R24" s="21" cm="1">
        <f t="array" ref="R24">IFERROR(IF($G24=Nominal,R$10,INDEX($N$10:$AH$10,,MATCH($G24,$N$8:$AH$8,0)))
/IF($E24=Nominal,R$10,INDEX($N$10:$AH$10,,MATCH($E24,$N$8:$AH$8,0)))
*IF($H24=Mid_Period,1/(1+IF($G24=Nominal,R$9,INDEX($N$9:$AH$9,,MATCH($G24,$N$8:$AH$8,0))))^INDEX(Timing_Adj,MATCH($H24,Cash_Timing,0)),1)
*IF($F24=Mid_Period,(1+IF($E24=Nominal,R$9,INDEX($N$9:$AH$9,,MATCH($E24,$N$8:$AH$8,0))))^INDEX(Timing_Adj,MATCH($F24,Cash_Timing,0)),1),"N/A")</f>
        <v>0.85515920150390035</v>
      </c>
      <c r="S24" s="21" cm="1">
        <f t="array" ref="S24">IFERROR(IF($G24=Nominal,S$10,INDEX($N$10:$AH$10,,MATCH($G24,$N$8:$AH$8,0)))
/IF($E24=Nominal,S$10,INDEX($N$10:$AH$10,,MATCH($E24,$N$8:$AH$8,0)))
*IF($H24=Mid_Period,1/(1+IF($G24=Nominal,S$9,INDEX($N$9:$AH$9,,MATCH($G24,$N$8:$AH$8,0))))^INDEX(Timing_Adj,MATCH($H24,Cash_Timing,0)),1)
*IF($F24=Mid_Period,(1+IF($E24=Nominal,S$9,INDEX($N$9:$AH$9,,MATCH($E24,$N$8:$AH$8,0))))^INDEX(Timing_Adj,MATCH($F24,Cash_Timing,0)),1),"N/A")</f>
        <v>0.87827009785868737</v>
      </c>
      <c r="T24" s="21" cm="1">
        <f t="array" ref="T24">IFERROR(IF($G24=Nominal,T$10,INDEX($N$10:$AH$10,,MATCH($G24,$N$8:$AH$8,0)))
/IF($E24=Nominal,T$10,INDEX($N$10:$AH$10,,MATCH($E24,$N$8:$AH$8,0)))
*IF($H24=Mid_Period,1/(1+IF($G24=Nominal,T$9,INDEX($N$9:$AH$9,,MATCH($G24,$N$8:$AH$8,0))))^INDEX(Timing_Adj,MATCH($H24,Cash_Timing,0)),1)
*IF($F24=Mid_Period,(1+IF($E24=Nominal,T$9,INDEX($N$9:$AH$9,,MATCH($E24,$N$8:$AH$8,0))))^INDEX(Timing_Adj,MATCH($F24,Cash_Timing,0)),1),"N/A")</f>
        <v>0.89812290315705368</v>
      </c>
      <c r="U24" s="21" cm="1">
        <f t="array" ref="U24">IFERROR(IF($G24=Nominal,U$10,INDEX($N$10:$AH$10,,MATCH($G24,$N$8:$AH$8,0)))
/IF($E24=Nominal,U$10,INDEX($N$10:$AH$10,,MATCH($E24,$N$8:$AH$8,0)))
*IF($H24=Mid_Period,1/(1+IF($G24=Nominal,U$9,INDEX($N$9:$AH$9,,MATCH($G24,$N$8:$AH$8,0))))^INDEX(Timing_Adj,MATCH($H24,Cash_Timing,0)),1)
*IF($F24=Mid_Period,(1+IF($E24=Nominal,U$9,INDEX($N$9:$AH$9,,MATCH($E24,$N$8:$AH$8,0))))^INDEX(Timing_Adj,MATCH($F24,Cash_Timing,0)),1),"N/A")</f>
        <v>0.90950000148174992</v>
      </c>
      <c r="V24" s="21" cm="1">
        <f t="array" ref="V24">IFERROR(IF($G24=Nominal,V$10,INDEX($N$10:$AH$10,,MATCH($G24,$N$8:$AH$8,0)))
/IF($E24=Nominal,V$10,INDEX($N$10:$AH$10,,MATCH($E24,$N$8:$AH$8,0)))
*IF($H24=Mid_Period,1/(1+IF($G24=Nominal,V$9,INDEX($N$9:$AH$9,,MATCH($G24,$N$8:$AH$8,0))))^INDEX(Timing_Adj,MATCH($H24,Cash_Timing,0)),1)
*IF($F24=Mid_Period,(1+IF($E24=Nominal,V$9,INDEX($N$9:$AH$9,,MATCH($E24,$N$8:$AH$8,0))))^INDEX(Timing_Adj,MATCH($F24,Cash_Timing,0)),1),"N/A")</f>
        <v>0.92293747916635949</v>
      </c>
      <c r="W24" s="21" cm="1">
        <f t="array" ref="W24">IFERROR(IF($G24=Nominal,W$10,INDEX($N$10:$AH$10,,MATCH($G24,$N$8:$AH$8,0)))
/IF($E24=Nominal,W$10,INDEX($N$10:$AH$10,,MATCH($E24,$N$8:$AH$8,0)))
*IF($H24=Mid_Period,1/(1+IF($G24=Nominal,W$9,INDEX($N$9:$AH$9,,MATCH($G24,$N$8:$AH$8,0))))^INDEX(Timing_Adj,MATCH($H24,Cash_Timing,0)),1)
*IF($F24=Mid_Period,(1+IF($E24=Nominal,W$9,INDEX($N$9:$AH$9,,MATCH($E24,$N$8:$AH$8,0))))^INDEX(Timing_Adj,MATCH($F24,Cash_Timing,0)),1),"N/A")</f>
        <v>0.94144855141517902</v>
      </c>
      <c r="X24" s="21" cm="1">
        <f t="array" ref="X24">IFERROR(IF($G24=Nominal,X$10,INDEX($N$10:$AH$10,,MATCH($G24,$N$8:$AH$8,0)))
/IF($E24=Nominal,X$10,INDEX($N$10:$AH$10,,MATCH($E24,$N$8:$AH$8,0)))
*IF($H24=Mid_Period,1/(1+IF($G24=Nominal,X$9,INDEX($N$9:$AH$9,,MATCH($G24,$N$8:$AH$8,0))))^INDEX(Timing_Adj,MATCH($H24,Cash_Timing,0)),1)
*IF($F24=Mid_Period,(1+IF($E24=Nominal,X$9,INDEX($N$9:$AH$9,,MATCH($E24,$N$8:$AH$8,0))))^INDEX(Timing_Adj,MATCH($F24,Cash_Timing,0)),1),"N/A")</f>
        <v>0.95872427772590729</v>
      </c>
      <c r="Y24" s="21" cm="1">
        <f t="array" ref="Y24">IFERROR(IF($G24=Nominal,Y$10,INDEX($N$10:$AH$10,,MATCH($G24,$N$8:$AH$8,0)))
/IF($E24=Nominal,Y$10,INDEX($N$10:$AH$10,,MATCH($E24,$N$8:$AH$8,0)))
*IF($H24=Mid_Period,1/(1+IF($G24=Nominal,Y$9,INDEX($N$9:$AH$9,,MATCH($G24,$N$8:$AH$8,0))))^INDEX(Timing_Adj,MATCH($H24,Cash_Timing,0)),1)
*IF($F24=Mid_Period,(1+IF($E24=Nominal,Y$9,INDEX($N$9:$AH$9,,MATCH($E24,$N$8:$AH$8,0))))^INDEX(Timing_Adj,MATCH($F24,Cash_Timing,0)),1),"N/A")</f>
        <v>0.96464499562118966</v>
      </c>
      <c r="Z24" s="21" cm="1">
        <f t="array" ref="Z24">IFERROR(IF($G24=Nominal,Z$10,INDEX($N$10:$AH$10,,MATCH($G24,$N$8:$AH$8,0)))
/IF($E24=Nominal,Z$10,INDEX($N$10:$AH$10,,MATCH($E24,$N$8:$AH$8,0)))
*IF($H24=Mid_Period,1/(1+IF($G24=Nominal,Z$9,INDEX($N$9:$AH$9,,MATCH($G24,$N$8:$AH$8,0))))^INDEX(Timing_Adj,MATCH($H24,Cash_Timing,0)),1)
*IF($F24=Mid_Period,(1+IF($E24=Nominal,Z$9,INDEX($N$9:$AH$9,,MATCH($E24,$N$8:$AH$8,0))))^INDEX(Timing_Adj,MATCH($F24,Cash_Timing,0)),1),"N/A")</f>
        <v>0.98130676292531649</v>
      </c>
      <c r="AA24" s="21" cm="1">
        <f t="array" ref="AA24">IFERROR(IF($G24=Nominal,AA$10,INDEX($N$10:$AH$10,,MATCH($G24,$N$8:$AH$8,0)))
/IF($E24=Nominal,AA$10,INDEX($N$10:$AH$10,,MATCH($E24,$N$8:$AH$8,0)))
*IF($H24=Mid_Period,1/(1+IF($G24=Nominal,AA$9,INDEX($N$9:$AH$9,,MATCH($G24,$N$8:$AH$8,0))))^INDEX(Timing_Adj,MATCH($H24,Cash_Timing,0)),1)
*IF($F24=Mid_Period,(1+IF($E24=Nominal,AA$9,INDEX($N$9:$AH$9,,MATCH($E24,$N$8:$AH$8,0))))^INDEX(Timing_Adj,MATCH($F24,Cash_Timing,0)),1),"N/A")</f>
        <v>1.0302658935671953</v>
      </c>
      <c r="AB24" s="21" cm="1">
        <f t="array" ref="AB24">IFERROR(IF($G24=Nominal,AB$10,INDEX($N$10:$AH$10,,MATCH($G24,$N$8:$AH$8,0)))
/IF($E24=Nominal,AB$10,INDEX($N$10:$AH$10,,MATCH($E24,$N$8:$AH$8,0)))
*IF($H24=Mid_Period,1/(1+IF($G24=Nominal,AB$9,INDEX($N$9:$AH$9,,MATCH($G24,$N$8:$AH$8,0))))^INDEX(Timing_Adj,MATCH($H24,Cash_Timing,0)),1)
*IF($F24=Mid_Period,(1+IF($E24=Nominal,AB$9,INDEX($N$9:$AH$9,,MATCH($E24,$N$8:$AH$8,0))))^INDEX(Timing_Adj,MATCH($F24,Cash_Timing,0)),1),"N/A")</f>
        <v>1.0929663879430001</v>
      </c>
      <c r="AC24" s="21" cm="1">
        <f t="array" ref="AC24">IFERROR(IF($G24=Nominal,AC$10,INDEX($N$10:$AH$10,,MATCH($G24,$N$8:$AH$8,0)))
/IF($E24=Nominal,AC$10,INDEX($N$10:$AH$10,,MATCH($E24,$N$8:$AH$8,0)))
*IF($H24=Mid_Period,1/(1+IF($G24=Nominal,AC$9,INDEX($N$9:$AH$9,,MATCH($G24,$N$8:$AH$8,0))))^INDEX(Timing_Adj,MATCH($H24,Cash_Timing,0)),1)
*IF($F24=Mid_Period,(1+IF($E24=Nominal,AC$9,INDEX($N$9:$AH$9,,MATCH($E24,$N$8:$AH$8,0))))^INDEX(Timing_Adj,MATCH($F24,Cash_Timing,0)),1),"N/A")</f>
        <v>1.1454993426969222</v>
      </c>
      <c r="AD24" s="21" cm="1">
        <f t="array" ref="AD24">IFERROR(IF($G24=Nominal,AD$10,INDEX($N$10:$AH$10,,MATCH($G24,$N$8:$AH$8,0)))
/IF($E24=Nominal,AD$10,INDEX($N$10:$AH$10,,MATCH($E24,$N$8:$AH$8,0)))
*IF($H24=Mid_Period,1/(1+IF($G24=Nominal,AD$9,INDEX($N$9:$AH$9,,MATCH($G24,$N$8:$AH$8,0))))^INDEX(Timing_Adj,MATCH($H24,Cash_Timing,0)),1)
*IF($F24=Mid_Period,(1+IF($E24=Nominal,AD$9,INDEX($N$9:$AH$9,,MATCH($E24,$N$8:$AH$8,0))))^INDEX(Timing_Adj,MATCH($F24,Cash_Timing,0)),1),"N/A")</f>
        <v>1.182145183331464</v>
      </c>
      <c r="AE24" s="21" cm="1">
        <f t="array" ref="AE24">IFERROR(IF($G24=Nominal,AE$10,INDEX($N$10:$AH$10,,MATCH($G24,$N$8:$AH$8,0)))
/IF($E24=Nominal,AE$10,INDEX($N$10:$AH$10,,MATCH($E24,$N$8:$AH$8,0)))
*IF($H24=Mid_Period,1/(1+IF($G24=Nominal,AE$9,INDEX($N$9:$AH$9,,MATCH($G24,$N$8:$AH$8,0))))^INDEX(Timing_Adj,MATCH($H24,Cash_Timing,0)),1)
*IF($F24=Mid_Period,(1+IF($E24=Nominal,AE$9,INDEX($N$9:$AH$9,,MATCH($E24,$N$8:$AH$8,0))))^INDEX(Timing_Adj,MATCH($F24,Cash_Timing,0)),1),"N/A")</f>
        <v>1.2152426610781126</v>
      </c>
      <c r="AF24" s="21" cm="1">
        <f t="array" ref="AF24">IFERROR(IF($G24=Nominal,AF$10,INDEX($N$10:$AH$10,,MATCH($G24,$N$8:$AH$8,0)))
/IF($E24=Nominal,AF$10,INDEX($N$10:$AH$10,,MATCH($E24,$N$8:$AH$8,0)))
*IF($H24=Mid_Period,1/(1+IF($G24=Nominal,AF$9,INDEX($N$9:$AH$9,,MATCH($G24,$N$8:$AH$8,0))))^INDEX(Timing_Adj,MATCH($H24,Cash_Timing,0)),1)
*IF($F24=Mid_Period,(1+IF($E24=Nominal,AF$9,INDEX($N$9:$AH$9,,MATCH($E24,$N$8:$AH$8,0))))^INDEX(Timing_Adj,MATCH($F24,Cash_Timing,0)),1),"N/A")</f>
        <v>1.2492667957605046</v>
      </c>
      <c r="AG24" s="21" cm="1">
        <f t="array" ref="AG24">IFERROR(IF($G24=Nominal,AG$10,INDEX($N$10:$AH$10,,MATCH($G24,$N$8:$AH$8,0)))
/IF($E24=Nominal,AG$10,INDEX($N$10:$AH$10,,MATCH($E24,$N$8:$AH$8,0)))
*IF($H24=Mid_Period,1/(1+IF($G24=Nominal,AG$9,INDEX($N$9:$AH$9,,MATCH($G24,$N$8:$AH$8,0))))^INDEX(Timing_Adj,MATCH($H24,Cash_Timing,0)),1)
*IF($F24=Mid_Period,(1+IF($E24=Nominal,AG$9,INDEX($N$9:$AH$9,,MATCH($E24,$N$8:$AH$8,0))))^INDEX(Timing_Adj,MATCH($F24,Cash_Timing,0)),1),"N/A")</f>
        <v>1.2842435317446472</v>
      </c>
      <c r="AH24" s="21" cm="1">
        <f t="array" ref="AH24">IFERROR(IF($G24=Nominal,AH$10,INDEX($N$10:$AH$10,,MATCH($G24,$N$8:$AH$8,0)))
/IF($E24=Nominal,AH$10,INDEX($N$10:$AH$10,,MATCH($E24,$N$8:$AH$8,0)))
*IF($H24=Mid_Period,1/(1+IF($G24=Nominal,AH$9,INDEX($N$9:$AH$9,,MATCH($G24,$N$8:$AH$8,0))))^INDEX(Timing_Adj,MATCH($H24,Cash_Timing,0)),1)
*IF($F24=Mid_Period,(1+IF($E24=Nominal,AH$9,INDEX($N$9:$AH$9,,MATCH($E24,$N$8:$AH$8,0))))^INDEX(Timing_Adj,MATCH($F24,Cash_Timing,0)),1),"N/A")</f>
        <v>1.3201995397820097</v>
      </c>
    </row>
    <row r="25" spans="2:34" x14ac:dyDescent="0.2">
      <c r="D25" s="8" t="str">
        <f t="shared" si="5"/>
        <v>Real 2022 (End Period) to Real 2024 (End Period)</v>
      </c>
      <c r="E25" s="10">
        <v>2022</v>
      </c>
      <c r="F25" s="10" t="s">
        <v>11</v>
      </c>
      <c r="G25" s="10">
        <v>2024</v>
      </c>
      <c r="H25" s="10" t="s">
        <v>11</v>
      </c>
      <c r="I25" s="4"/>
      <c r="J25" s="21" cm="1">
        <f t="array" ref="J25">IFERROR(IF($G25=Nominal,J$10,INDEX($N$10:$AH$10,,MATCH($G25,$N$8:$AH$8,0)))
/IF($E25=Nominal,J$10,INDEX($N$10:$AH$10,,MATCH($E25,$N$8:$AH$8,0)))
*IF($H25=Mid_Period,1/(1+IF($G25=Nominal,J$9,INDEX($N$9:$AH$9,,MATCH($G25,$N$8:$AH$8,0))))^INDEX(Timing_Adj,MATCH($H25,Cash_Timing,0)),1)
*IF($F25=Mid_Period,(1+IF($E25=Nominal,J$9,INDEX($N$9:$AH$9,,MATCH($E25,$N$8:$AH$8,0))))^INDEX(Timing_Adj,MATCH($F25,Cash_Timing,0)),1),"N/A")</f>
        <v>1.0984393338620142</v>
      </c>
      <c r="K25" s="21" cm="1">
        <f t="array" ref="K25">IFERROR(IF($G25=Nominal,K$10,INDEX($N$10:$AH$10,,MATCH($G25,$N$8:$AH$8,0)))
/IF($E25=Nominal,K$10,INDEX($N$10:$AH$10,,MATCH($E25,$N$8:$AH$8,0)))
*IF($H25=Mid_Period,1/(1+IF($G25=Nominal,K$9,INDEX($N$9:$AH$9,,MATCH($G25,$N$8:$AH$8,0))))^INDEX(Timing_Adj,MATCH($H25,Cash_Timing,0)),1)
*IF($F25=Mid_Period,(1+IF($E25=Nominal,K$9,INDEX($N$9:$AH$9,,MATCH($E25,$N$8:$AH$8,0))))^INDEX(Timing_Adj,MATCH($F25,Cash_Timing,0)),1),"N/A")</f>
        <v>1.0984393338620142</v>
      </c>
      <c r="L25" s="21" cm="1">
        <f t="array" ref="L25">IFERROR(IF($G25=Nominal,L$10,INDEX($N$10:$AH$10,,MATCH($G25,$N$8:$AH$8,0)))
/IF($E25=Nominal,L$10,INDEX($N$10:$AH$10,,MATCH($E25,$N$8:$AH$8,0)))
*IF($H25=Mid_Period,1/(1+IF($G25=Nominal,L$9,INDEX($N$9:$AH$9,,MATCH($G25,$N$8:$AH$8,0))))^INDEX(Timing_Adj,MATCH($H25,Cash_Timing,0)),1)
*IF($F25=Mid_Period,(1+IF($E25=Nominal,L$9,INDEX($N$9:$AH$9,,MATCH($E25,$N$8:$AH$8,0))))^INDEX(Timing_Adj,MATCH($F25,Cash_Timing,0)),1),"N/A")</f>
        <v>1.0984393338620142</v>
      </c>
      <c r="M25" s="21" cm="1">
        <f t="array" ref="M25">IFERROR(IF($G25=Nominal,M$10,INDEX($N$10:$AH$10,,MATCH($G25,$N$8:$AH$8,0)))
/IF($E25=Nominal,M$10,INDEX($N$10:$AH$10,,MATCH($E25,$N$8:$AH$8,0)))
*IF($H25=Mid_Period,1/(1+IF($G25=Nominal,M$9,INDEX($N$9:$AH$9,,MATCH($G25,$N$8:$AH$8,0))))^INDEX(Timing_Adj,MATCH($H25,Cash_Timing,0)),1)
*IF($F25=Mid_Period,(1+IF($E25=Nominal,M$9,INDEX($N$9:$AH$9,,MATCH($E25,$N$8:$AH$8,0))))^INDEX(Timing_Adj,MATCH($F25,Cash_Timing,0)),1),"N/A")</f>
        <v>1.0984393338620142</v>
      </c>
      <c r="N25" s="21" cm="1">
        <f t="array" ref="N25">IFERROR(IF($G25=Nominal,N$10,INDEX($N$10:$AH$10,,MATCH($G25,$N$8:$AH$8,0)))
/IF($E25=Nominal,N$10,INDEX($N$10:$AH$10,,MATCH($E25,$N$8:$AH$8,0)))
*IF($H25=Mid_Period,1/(1+IF($G25=Nominal,N$9,INDEX($N$9:$AH$9,,MATCH($G25,$N$8:$AH$8,0))))^INDEX(Timing_Adj,MATCH($H25,Cash_Timing,0)),1)
*IF($F25=Mid_Period,(1+IF($E25=Nominal,N$9,INDEX($N$9:$AH$9,,MATCH($E25,$N$8:$AH$8,0))))^INDEX(Timing_Adj,MATCH($F25,Cash_Timing,0)),1),"N/A")</f>
        <v>1.0984393338620142</v>
      </c>
      <c r="O25" s="21" cm="1">
        <f t="array" ref="O25">IFERROR(IF($G25=Nominal,O$10,INDEX($N$10:$AH$10,,MATCH($G25,$N$8:$AH$8,0)))
/IF($E25=Nominal,O$10,INDEX($N$10:$AH$10,,MATCH($E25,$N$8:$AH$8,0)))
*IF($H25=Mid_Period,1/(1+IF($G25=Nominal,O$9,INDEX($N$9:$AH$9,,MATCH($G25,$N$8:$AH$8,0))))^INDEX(Timing_Adj,MATCH($H25,Cash_Timing,0)),1)
*IF($F25=Mid_Period,(1+IF($E25=Nominal,O$9,INDEX($N$9:$AH$9,,MATCH($E25,$N$8:$AH$8,0))))^INDEX(Timing_Adj,MATCH($F25,Cash_Timing,0)),1),"N/A")</f>
        <v>1.0984393338620142</v>
      </c>
      <c r="P25" s="21" cm="1">
        <f t="array" ref="P25">IFERROR(IF($G25=Nominal,P$10,INDEX($N$10:$AH$10,,MATCH($G25,$N$8:$AH$8,0)))
/IF($E25=Nominal,P$10,INDEX($N$10:$AH$10,,MATCH($E25,$N$8:$AH$8,0)))
*IF($H25=Mid_Period,1/(1+IF($G25=Nominal,P$9,INDEX($N$9:$AH$9,,MATCH($G25,$N$8:$AH$8,0))))^INDEX(Timing_Adj,MATCH($H25,Cash_Timing,0)),1)
*IF($F25=Mid_Period,(1+IF($E25=Nominal,P$9,INDEX($N$9:$AH$9,,MATCH($E25,$N$8:$AH$8,0))))^INDEX(Timing_Adj,MATCH($F25,Cash_Timing,0)),1),"N/A")</f>
        <v>1.0984393338620142</v>
      </c>
      <c r="Q25" s="21" cm="1">
        <f t="array" ref="Q25">IFERROR(IF($G25=Nominal,Q$10,INDEX($N$10:$AH$10,,MATCH($G25,$N$8:$AH$8,0)))
/IF($E25=Nominal,Q$10,INDEX($N$10:$AH$10,,MATCH($E25,$N$8:$AH$8,0)))
*IF($H25=Mid_Period,1/(1+IF($G25=Nominal,Q$9,INDEX($N$9:$AH$9,,MATCH($G25,$N$8:$AH$8,0))))^INDEX(Timing_Adj,MATCH($H25,Cash_Timing,0)),1)
*IF($F25=Mid_Period,(1+IF($E25=Nominal,Q$9,INDEX($N$9:$AH$9,,MATCH($E25,$N$8:$AH$8,0))))^INDEX(Timing_Adj,MATCH($F25,Cash_Timing,0)),1),"N/A")</f>
        <v>1.0984393338620142</v>
      </c>
      <c r="R25" s="21" cm="1">
        <f t="array" ref="R25">IFERROR(IF($G25=Nominal,R$10,INDEX($N$10:$AH$10,,MATCH($G25,$N$8:$AH$8,0)))
/IF($E25=Nominal,R$10,INDEX($N$10:$AH$10,,MATCH($E25,$N$8:$AH$8,0)))
*IF($H25=Mid_Period,1/(1+IF($G25=Nominal,R$9,INDEX($N$9:$AH$9,,MATCH($G25,$N$8:$AH$8,0))))^INDEX(Timing_Adj,MATCH($H25,Cash_Timing,0)),1)
*IF($F25=Mid_Period,(1+IF($E25=Nominal,R$9,INDEX($N$9:$AH$9,,MATCH($E25,$N$8:$AH$8,0))))^INDEX(Timing_Adj,MATCH($F25,Cash_Timing,0)),1),"N/A")</f>
        <v>1.0984393338620142</v>
      </c>
      <c r="S25" s="21" cm="1">
        <f t="array" ref="S25">IFERROR(IF($G25=Nominal,S$10,INDEX($N$10:$AH$10,,MATCH($G25,$N$8:$AH$8,0)))
/IF($E25=Nominal,S$10,INDEX($N$10:$AH$10,,MATCH($E25,$N$8:$AH$8,0)))
*IF($H25=Mid_Period,1/(1+IF($G25=Nominal,S$9,INDEX($N$9:$AH$9,,MATCH($G25,$N$8:$AH$8,0))))^INDEX(Timing_Adj,MATCH($H25,Cash_Timing,0)),1)
*IF($F25=Mid_Period,(1+IF($E25=Nominal,S$9,INDEX($N$9:$AH$9,,MATCH($E25,$N$8:$AH$8,0))))^INDEX(Timing_Adj,MATCH($F25,Cash_Timing,0)),1),"N/A")</f>
        <v>1.0984393338620142</v>
      </c>
      <c r="T25" s="21" cm="1">
        <f t="array" ref="T25">IFERROR(IF($G25=Nominal,T$10,INDEX($N$10:$AH$10,,MATCH($G25,$N$8:$AH$8,0)))
/IF($E25=Nominal,T$10,INDEX($N$10:$AH$10,,MATCH($E25,$N$8:$AH$8,0)))
*IF($H25=Mid_Period,1/(1+IF($G25=Nominal,T$9,INDEX($N$9:$AH$9,,MATCH($G25,$N$8:$AH$8,0))))^INDEX(Timing_Adj,MATCH($H25,Cash_Timing,0)),1)
*IF($F25=Mid_Period,(1+IF($E25=Nominal,T$9,INDEX($N$9:$AH$9,,MATCH($E25,$N$8:$AH$8,0))))^INDEX(Timing_Adj,MATCH($F25,Cash_Timing,0)),1),"N/A")</f>
        <v>1.0984393338620142</v>
      </c>
      <c r="U25" s="21" cm="1">
        <f t="array" ref="U25">IFERROR(IF($G25=Nominal,U$10,INDEX($N$10:$AH$10,,MATCH($G25,$N$8:$AH$8,0)))
/IF($E25=Nominal,U$10,INDEX($N$10:$AH$10,,MATCH($E25,$N$8:$AH$8,0)))
*IF($H25=Mid_Period,1/(1+IF($G25=Nominal,U$9,INDEX($N$9:$AH$9,,MATCH($G25,$N$8:$AH$8,0))))^INDEX(Timing_Adj,MATCH($H25,Cash_Timing,0)),1)
*IF($F25=Mid_Period,(1+IF($E25=Nominal,U$9,INDEX($N$9:$AH$9,,MATCH($E25,$N$8:$AH$8,0))))^INDEX(Timing_Adj,MATCH($F25,Cash_Timing,0)),1),"N/A")</f>
        <v>1.0984393338620142</v>
      </c>
      <c r="V25" s="21" cm="1">
        <f t="array" ref="V25">IFERROR(IF($G25=Nominal,V$10,INDEX($N$10:$AH$10,,MATCH($G25,$N$8:$AH$8,0)))
/IF($E25=Nominal,V$10,INDEX($N$10:$AH$10,,MATCH($E25,$N$8:$AH$8,0)))
*IF($H25=Mid_Period,1/(1+IF($G25=Nominal,V$9,INDEX($N$9:$AH$9,,MATCH($G25,$N$8:$AH$8,0))))^INDEX(Timing_Adj,MATCH($H25,Cash_Timing,0)),1)
*IF($F25=Mid_Period,(1+IF($E25=Nominal,V$9,INDEX($N$9:$AH$9,,MATCH($E25,$N$8:$AH$8,0))))^INDEX(Timing_Adj,MATCH($F25,Cash_Timing,0)),1),"N/A")</f>
        <v>1.0984393338620142</v>
      </c>
      <c r="W25" s="21" cm="1">
        <f t="array" ref="W25">IFERROR(IF($G25=Nominal,W$10,INDEX($N$10:$AH$10,,MATCH($G25,$N$8:$AH$8,0)))
/IF($E25=Nominal,W$10,INDEX($N$10:$AH$10,,MATCH($E25,$N$8:$AH$8,0)))
*IF($H25=Mid_Period,1/(1+IF($G25=Nominal,W$9,INDEX($N$9:$AH$9,,MATCH($G25,$N$8:$AH$8,0))))^INDEX(Timing_Adj,MATCH($H25,Cash_Timing,0)),1)
*IF($F25=Mid_Period,(1+IF($E25=Nominal,W$9,INDEX($N$9:$AH$9,,MATCH($E25,$N$8:$AH$8,0))))^INDEX(Timing_Adj,MATCH($F25,Cash_Timing,0)),1),"N/A")</f>
        <v>1.0984393338620142</v>
      </c>
      <c r="X25" s="21" cm="1">
        <f t="array" ref="X25">IFERROR(IF($G25=Nominal,X$10,INDEX($N$10:$AH$10,,MATCH($G25,$N$8:$AH$8,0)))
/IF($E25=Nominal,X$10,INDEX($N$10:$AH$10,,MATCH($E25,$N$8:$AH$8,0)))
*IF($H25=Mid_Period,1/(1+IF($G25=Nominal,X$9,INDEX($N$9:$AH$9,,MATCH($G25,$N$8:$AH$8,0))))^INDEX(Timing_Adj,MATCH($H25,Cash_Timing,0)),1)
*IF($F25=Mid_Period,(1+IF($E25=Nominal,X$9,INDEX($N$9:$AH$9,,MATCH($E25,$N$8:$AH$8,0))))^INDEX(Timing_Adj,MATCH($F25,Cash_Timing,0)),1),"N/A")</f>
        <v>1.0984393338620142</v>
      </c>
      <c r="Y25" s="21" cm="1">
        <f t="array" ref="Y25">IFERROR(IF($G25=Nominal,Y$10,INDEX($N$10:$AH$10,,MATCH($G25,$N$8:$AH$8,0)))
/IF($E25=Nominal,Y$10,INDEX($N$10:$AH$10,,MATCH($E25,$N$8:$AH$8,0)))
*IF($H25=Mid_Period,1/(1+IF($G25=Nominal,Y$9,INDEX($N$9:$AH$9,,MATCH($G25,$N$8:$AH$8,0))))^INDEX(Timing_Adj,MATCH($H25,Cash_Timing,0)),1)
*IF($F25=Mid_Period,(1+IF($E25=Nominal,Y$9,INDEX($N$9:$AH$9,,MATCH($E25,$N$8:$AH$8,0))))^INDEX(Timing_Adj,MATCH($F25,Cash_Timing,0)),1),"N/A")</f>
        <v>1.0984393338620142</v>
      </c>
      <c r="Z25" s="21" cm="1">
        <f t="array" ref="Z25">IFERROR(IF($G25=Nominal,Z$10,INDEX($N$10:$AH$10,,MATCH($G25,$N$8:$AH$8,0)))
/IF($E25=Nominal,Z$10,INDEX($N$10:$AH$10,,MATCH($E25,$N$8:$AH$8,0)))
*IF($H25=Mid_Period,1/(1+IF($G25=Nominal,Z$9,INDEX($N$9:$AH$9,,MATCH($G25,$N$8:$AH$8,0))))^INDEX(Timing_Adj,MATCH($H25,Cash_Timing,0)),1)
*IF($F25=Mid_Period,(1+IF($E25=Nominal,Z$9,INDEX($N$9:$AH$9,,MATCH($E25,$N$8:$AH$8,0))))^INDEX(Timing_Adj,MATCH($F25,Cash_Timing,0)),1),"N/A")</f>
        <v>1.0984393338620142</v>
      </c>
      <c r="AA25" s="21" cm="1">
        <f t="array" ref="AA25">IFERROR(IF($G25=Nominal,AA$10,INDEX($N$10:$AH$10,,MATCH($G25,$N$8:$AH$8,0)))
/IF($E25=Nominal,AA$10,INDEX($N$10:$AH$10,,MATCH($E25,$N$8:$AH$8,0)))
*IF($H25=Mid_Period,1/(1+IF($G25=Nominal,AA$9,INDEX($N$9:$AH$9,,MATCH($G25,$N$8:$AH$8,0))))^INDEX(Timing_Adj,MATCH($H25,Cash_Timing,0)),1)
*IF($F25=Mid_Period,(1+IF($E25=Nominal,AA$9,INDEX($N$9:$AH$9,,MATCH($E25,$N$8:$AH$8,0))))^INDEX(Timing_Adj,MATCH($F25,Cash_Timing,0)),1),"N/A")</f>
        <v>1.0984393338620142</v>
      </c>
      <c r="AB25" s="21" cm="1">
        <f t="array" ref="AB25">IFERROR(IF($G25=Nominal,AB$10,INDEX($N$10:$AH$10,,MATCH($G25,$N$8:$AH$8,0)))
/IF($E25=Nominal,AB$10,INDEX($N$10:$AH$10,,MATCH($E25,$N$8:$AH$8,0)))
*IF($H25=Mid_Period,1/(1+IF($G25=Nominal,AB$9,INDEX($N$9:$AH$9,,MATCH($G25,$N$8:$AH$8,0))))^INDEX(Timing_Adj,MATCH($H25,Cash_Timing,0)),1)
*IF($F25=Mid_Period,(1+IF($E25=Nominal,AB$9,INDEX($N$9:$AH$9,,MATCH($E25,$N$8:$AH$8,0))))^INDEX(Timing_Adj,MATCH($F25,Cash_Timing,0)),1),"N/A")</f>
        <v>1.0984393338620142</v>
      </c>
      <c r="AC25" s="21" cm="1">
        <f t="array" ref="AC25">IFERROR(IF($G25=Nominal,AC$10,INDEX($N$10:$AH$10,,MATCH($G25,$N$8:$AH$8,0)))
/IF($E25=Nominal,AC$10,INDEX($N$10:$AH$10,,MATCH($E25,$N$8:$AH$8,0)))
*IF($H25=Mid_Period,1/(1+IF($G25=Nominal,AC$9,INDEX($N$9:$AH$9,,MATCH($G25,$N$8:$AH$8,0))))^INDEX(Timing_Adj,MATCH($H25,Cash_Timing,0)),1)
*IF($F25=Mid_Period,(1+IF($E25=Nominal,AC$9,INDEX($N$9:$AH$9,,MATCH($E25,$N$8:$AH$8,0))))^INDEX(Timing_Adj,MATCH($F25,Cash_Timing,0)),1),"N/A")</f>
        <v>1.0984393338620142</v>
      </c>
      <c r="AD25" s="21" cm="1">
        <f t="array" ref="AD25">IFERROR(IF($G25=Nominal,AD$10,INDEX($N$10:$AH$10,,MATCH($G25,$N$8:$AH$8,0)))
/IF($E25=Nominal,AD$10,INDEX($N$10:$AH$10,,MATCH($E25,$N$8:$AH$8,0)))
*IF($H25=Mid_Period,1/(1+IF($G25=Nominal,AD$9,INDEX($N$9:$AH$9,,MATCH($G25,$N$8:$AH$8,0))))^INDEX(Timing_Adj,MATCH($H25,Cash_Timing,0)),1)
*IF($F25=Mid_Period,(1+IF($E25=Nominal,AD$9,INDEX($N$9:$AH$9,,MATCH($E25,$N$8:$AH$8,0))))^INDEX(Timing_Adj,MATCH($F25,Cash_Timing,0)),1),"N/A")</f>
        <v>1.0984393338620142</v>
      </c>
      <c r="AE25" s="21" cm="1">
        <f t="array" ref="AE25">IFERROR(IF($G25=Nominal,AE$10,INDEX($N$10:$AH$10,,MATCH($G25,$N$8:$AH$8,0)))
/IF($E25=Nominal,AE$10,INDEX($N$10:$AH$10,,MATCH($E25,$N$8:$AH$8,0)))
*IF($H25=Mid_Period,1/(1+IF($G25=Nominal,AE$9,INDEX($N$9:$AH$9,,MATCH($G25,$N$8:$AH$8,0))))^INDEX(Timing_Adj,MATCH($H25,Cash_Timing,0)),1)
*IF($F25=Mid_Period,(1+IF($E25=Nominal,AE$9,INDEX($N$9:$AH$9,,MATCH($E25,$N$8:$AH$8,0))))^INDEX(Timing_Adj,MATCH($F25,Cash_Timing,0)),1),"N/A")</f>
        <v>1.0984393338620142</v>
      </c>
      <c r="AF25" s="21" cm="1">
        <f t="array" ref="AF25">IFERROR(IF($G25=Nominal,AF$10,INDEX($N$10:$AH$10,,MATCH($G25,$N$8:$AH$8,0)))
/IF($E25=Nominal,AF$10,INDEX($N$10:$AH$10,,MATCH($E25,$N$8:$AH$8,0)))
*IF($H25=Mid_Period,1/(1+IF($G25=Nominal,AF$9,INDEX($N$9:$AH$9,,MATCH($G25,$N$8:$AH$8,0))))^INDEX(Timing_Adj,MATCH($H25,Cash_Timing,0)),1)
*IF($F25=Mid_Period,(1+IF($E25=Nominal,AF$9,INDEX($N$9:$AH$9,,MATCH($E25,$N$8:$AH$8,0))))^INDEX(Timing_Adj,MATCH($F25,Cash_Timing,0)),1),"N/A")</f>
        <v>1.0984393338620142</v>
      </c>
      <c r="AG25" s="21" cm="1">
        <f t="array" ref="AG25">IFERROR(IF($G25=Nominal,AG$10,INDEX($N$10:$AH$10,,MATCH($G25,$N$8:$AH$8,0)))
/IF($E25=Nominal,AG$10,INDEX($N$10:$AH$10,,MATCH($E25,$N$8:$AH$8,0)))
*IF($H25=Mid_Period,1/(1+IF($G25=Nominal,AG$9,INDEX($N$9:$AH$9,,MATCH($G25,$N$8:$AH$8,0))))^INDEX(Timing_Adj,MATCH($H25,Cash_Timing,0)),1)
*IF($F25=Mid_Period,(1+IF($E25=Nominal,AG$9,INDEX($N$9:$AH$9,,MATCH($E25,$N$8:$AH$8,0))))^INDEX(Timing_Adj,MATCH($F25,Cash_Timing,0)),1),"N/A")</f>
        <v>1.0984393338620142</v>
      </c>
      <c r="AH25" s="21" cm="1">
        <f t="array" ref="AH25">IFERROR(IF($G25=Nominal,AH$10,INDEX($N$10:$AH$10,,MATCH($G25,$N$8:$AH$8,0)))
/IF($E25=Nominal,AH$10,INDEX($N$10:$AH$10,,MATCH($E25,$N$8:$AH$8,0)))
*IF($H25=Mid_Period,1/(1+IF($G25=Nominal,AH$9,INDEX($N$9:$AH$9,,MATCH($G25,$N$8:$AH$8,0))))^INDEX(Timing_Adj,MATCH($H25,Cash_Timing,0)),1)
*IF($F25=Mid_Period,(1+IF($E25=Nominal,AH$9,INDEX($N$9:$AH$9,,MATCH($E25,$N$8:$AH$8,0))))^INDEX(Timing_Adj,MATCH($F25,Cash_Timing,0)),1),"N/A")</f>
        <v>1.0984393338620142</v>
      </c>
    </row>
    <row r="26" spans="2:34" x14ac:dyDescent="0.2">
      <c r="D26" s="8" t="str">
        <f t="shared" si="5"/>
        <v>Real 2014 (End Period) to Real 2024 (End Period)</v>
      </c>
      <c r="E26" s="10">
        <v>2014</v>
      </c>
      <c r="F26" s="10" t="s">
        <v>11</v>
      </c>
      <c r="G26" s="10">
        <v>2024</v>
      </c>
      <c r="H26" s="10" t="s">
        <v>11</v>
      </c>
      <c r="I26" s="4"/>
      <c r="J26" s="21" cm="1">
        <f t="array" ref="J26">IFERROR(IF($G26=Nominal,J$10,INDEX($N$10:$AH$10,,MATCH($G26,$N$8:$AH$8,0)))
/IF($E26=Nominal,J$10,INDEX($N$10:$AH$10,,MATCH($E26,$N$8:$AH$8,0)))
*IF($H26=Mid_Period,1/(1+IF($G26=Nominal,J$9,INDEX($N$9:$AH$9,,MATCH($G26,$N$8:$AH$8,0))))^INDEX(Timing_Adj,MATCH($H26,Cash_Timing,0)),1)
*IF($F26=Mid_Period,(1+IF($E26=Nominal,J$9,INDEX($N$9:$AH$9,,MATCH($E26,$N$8:$AH$8,0))))^INDEX(Timing_Adj,MATCH($F26,Cash_Timing,0)),1),"N/A")</f>
        <v>1.3079622285174692</v>
      </c>
      <c r="K26" s="21" cm="1">
        <f t="array" ref="K26">IFERROR(IF($G26=Nominal,K$10,INDEX($N$10:$AH$10,,MATCH($G26,$N$8:$AH$8,0)))
/IF($E26=Nominal,K$10,INDEX($N$10:$AH$10,,MATCH($E26,$N$8:$AH$8,0)))
*IF($H26=Mid_Period,1/(1+IF($G26=Nominal,K$9,INDEX($N$9:$AH$9,,MATCH($G26,$N$8:$AH$8,0))))^INDEX(Timing_Adj,MATCH($H26,Cash_Timing,0)),1)
*IF($F26=Mid_Period,(1+IF($E26=Nominal,K$9,INDEX($N$9:$AH$9,,MATCH($E26,$N$8:$AH$8,0))))^INDEX(Timing_Adj,MATCH($F26,Cash_Timing,0)),1),"N/A")</f>
        <v>1.3079622285174692</v>
      </c>
      <c r="L26" s="21" cm="1">
        <f t="array" ref="L26">IFERROR(IF($G26=Nominal,L$10,INDEX($N$10:$AH$10,,MATCH($G26,$N$8:$AH$8,0)))
/IF($E26=Nominal,L$10,INDEX($N$10:$AH$10,,MATCH($E26,$N$8:$AH$8,0)))
*IF($H26=Mid_Period,1/(1+IF($G26=Nominal,L$9,INDEX($N$9:$AH$9,,MATCH($G26,$N$8:$AH$8,0))))^INDEX(Timing_Adj,MATCH($H26,Cash_Timing,0)),1)
*IF($F26=Mid_Period,(1+IF($E26=Nominal,L$9,INDEX($N$9:$AH$9,,MATCH($E26,$N$8:$AH$8,0))))^INDEX(Timing_Adj,MATCH($F26,Cash_Timing,0)),1),"N/A")</f>
        <v>1.3079622285174692</v>
      </c>
      <c r="M26" s="21" cm="1">
        <f t="array" ref="M26">IFERROR(IF($G26=Nominal,M$10,INDEX($N$10:$AH$10,,MATCH($G26,$N$8:$AH$8,0)))
/IF($E26=Nominal,M$10,INDEX($N$10:$AH$10,,MATCH($E26,$N$8:$AH$8,0)))
*IF($H26=Mid_Period,1/(1+IF($G26=Nominal,M$9,INDEX($N$9:$AH$9,,MATCH($G26,$N$8:$AH$8,0))))^INDEX(Timing_Adj,MATCH($H26,Cash_Timing,0)),1)
*IF($F26=Mid_Period,(1+IF($E26=Nominal,M$9,INDEX($N$9:$AH$9,,MATCH($E26,$N$8:$AH$8,0))))^INDEX(Timing_Adj,MATCH($F26,Cash_Timing,0)),1),"N/A")</f>
        <v>1.3079622285174692</v>
      </c>
      <c r="N26" s="21" cm="1">
        <f t="array" ref="N26">IFERROR(IF($G26=Nominal,N$10,INDEX($N$10:$AH$10,,MATCH($G26,$N$8:$AH$8,0)))
/IF($E26=Nominal,N$10,INDEX($N$10:$AH$10,,MATCH($E26,$N$8:$AH$8,0)))
*IF($H26=Mid_Period,1/(1+IF($G26=Nominal,N$9,INDEX($N$9:$AH$9,,MATCH($G26,$N$8:$AH$8,0))))^INDEX(Timing_Adj,MATCH($H26,Cash_Timing,0)),1)
*IF($F26=Mid_Period,(1+IF($E26=Nominal,N$9,INDEX($N$9:$AH$9,,MATCH($E26,$N$8:$AH$8,0))))^INDEX(Timing_Adj,MATCH($F26,Cash_Timing,0)),1),"N/A")</f>
        <v>1.3079622285174692</v>
      </c>
      <c r="O26" s="21" cm="1">
        <f t="array" ref="O26">IFERROR(IF($G26=Nominal,O$10,INDEX($N$10:$AH$10,,MATCH($G26,$N$8:$AH$8,0)))
/IF($E26=Nominal,O$10,INDEX($N$10:$AH$10,,MATCH($E26,$N$8:$AH$8,0)))
*IF($H26=Mid_Period,1/(1+IF($G26=Nominal,O$9,INDEX($N$9:$AH$9,,MATCH($G26,$N$8:$AH$8,0))))^INDEX(Timing_Adj,MATCH($H26,Cash_Timing,0)),1)
*IF($F26=Mid_Period,(1+IF($E26=Nominal,O$9,INDEX($N$9:$AH$9,,MATCH($E26,$N$8:$AH$8,0))))^INDEX(Timing_Adj,MATCH($F26,Cash_Timing,0)),1),"N/A")</f>
        <v>1.3079622285174692</v>
      </c>
      <c r="P26" s="21" cm="1">
        <f t="array" ref="P26">IFERROR(IF($G26=Nominal,P$10,INDEX($N$10:$AH$10,,MATCH($G26,$N$8:$AH$8,0)))
/IF($E26=Nominal,P$10,INDEX($N$10:$AH$10,,MATCH($E26,$N$8:$AH$8,0)))
*IF($H26=Mid_Period,1/(1+IF($G26=Nominal,P$9,INDEX($N$9:$AH$9,,MATCH($G26,$N$8:$AH$8,0))))^INDEX(Timing_Adj,MATCH($H26,Cash_Timing,0)),1)
*IF($F26=Mid_Period,(1+IF($E26=Nominal,P$9,INDEX($N$9:$AH$9,,MATCH($E26,$N$8:$AH$8,0))))^INDEX(Timing_Adj,MATCH($F26,Cash_Timing,0)),1),"N/A")</f>
        <v>1.3079622285174692</v>
      </c>
      <c r="Q26" s="21" cm="1">
        <f t="array" ref="Q26">IFERROR(IF($G26=Nominal,Q$10,INDEX($N$10:$AH$10,,MATCH($G26,$N$8:$AH$8,0)))
/IF($E26=Nominal,Q$10,INDEX($N$10:$AH$10,,MATCH($E26,$N$8:$AH$8,0)))
*IF($H26=Mid_Period,1/(1+IF($G26=Nominal,Q$9,INDEX($N$9:$AH$9,,MATCH($G26,$N$8:$AH$8,0))))^INDEX(Timing_Adj,MATCH($H26,Cash_Timing,0)),1)
*IF($F26=Mid_Period,(1+IF($E26=Nominal,Q$9,INDEX($N$9:$AH$9,,MATCH($E26,$N$8:$AH$8,0))))^INDEX(Timing_Adj,MATCH($F26,Cash_Timing,0)),1),"N/A")</f>
        <v>1.3079622285174692</v>
      </c>
      <c r="R26" s="21" cm="1">
        <f t="array" ref="R26">IFERROR(IF($G26=Nominal,R$10,INDEX($N$10:$AH$10,,MATCH($G26,$N$8:$AH$8,0)))
/IF($E26=Nominal,R$10,INDEX($N$10:$AH$10,,MATCH($E26,$N$8:$AH$8,0)))
*IF($H26=Mid_Period,1/(1+IF($G26=Nominal,R$9,INDEX($N$9:$AH$9,,MATCH($G26,$N$8:$AH$8,0))))^INDEX(Timing_Adj,MATCH($H26,Cash_Timing,0)),1)
*IF($F26=Mid_Period,(1+IF($E26=Nominal,R$9,INDEX($N$9:$AH$9,,MATCH($E26,$N$8:$AH$8,0))))^INDEX(Timing_Adj,MATCH($F26,Cash_Timing,0)),1),"N/A")</f>
        <v>1.3079622285174692</v>
      </c>
      <c r="S26" s="21" cm="1">
        <f t="array" ref="S26">IFERROR(IF($G26=Nominal,S$10,INDEX($N$10:$AH$10,,MATCH($G26,$N$8:$AH$8,0)))
/IF($E26=Nominal,S$10,INDEX($N$10:$AH$10,,MATCH($E26,$N$8:$AH$8,0)))
*IF($H26=Mid_Period,1/(1+IF($G26=Nominal,S$9,INDEX($N$9:$AH$9,,MATCH($G26,$N$8:$AH$8,0))))^INDEX(Timing_Adj,MATCH($H26,Cash_Timing,0)),1)
*IF($F26=Mid_Period,(1+IF($E26=Nominal,S$9,INDEX($N$9:$AH$9,,MATCH($E26,$N$8:$AH$8,0))))^INDEX(Timing_Adj,MATCH($F26,Cash_Timing,0)),1),"N/A")</f>
        <v>1.3079622285174692</v>
      </c>
      <c r="T26" s="21" cm="1">
        <f t="array" ref="T26">IFERROR(IF($G26=Nominal,T$10,INDEX($N$10:$AH$10,,MATCH($G26,$N$8:$AH$8,0)))
/IF($E26=Nominal,T$10,INDEX($N$10:$AH$10,,MATCH($E26,$N$8:$AH$8,0)))
*IF($H26=Mid_Period,1/(1+IF($G26=Nominal,T$9,INDEX($N$9:$AH$9,,MATCH($G26,$N$8:$AH$8,0))))^INDEX(Timing_Adj,MATCH($H26,Cash_Timing,0)),1)
*IF($F26=Mid_Period,(1+IF($E26=Nominal,T$9,INDEX($N$9:$AH$9,,MATCH($E26,$N$8:$AH$8,0))))^INDEX(Timing_Adj,MATCH($F26,Cash_Timing,0)),1),"N/A")</f>
        <v>1.3079622285174692</v>
      </c>
      <c r="U26" s="21" cm="1">
        <f t="array" ref="U26">IFERROR(IF($G26=Nominal,U$10,INDEX($N$10:$AH$10,,MATCH($G26,$N$8:$AH$8,0)))
/IF($E26=Nominal,U$10,INDEX($N$10:$AH$10,,MATCH($E26,$N$8:$AH$8,0)))
*IF($H26=Mid_Period,1/(1+IF($G26=Nominal,U$9,INDEX($N$9:$AH$9,,MATCH($G26,$N$8:$AH$8,0))))^INDEX(Timing_Adj,MATCH($H26,Cash_Timing,0)),1)
*IF($F26=Mid_Period,(1+IF($E26=Nominal,U$9,INDEX($N$9:$AH$9,,MATCH($E26,$N$8:$AH$8,0))))^INDEX(Timing_Adj,MATCH($F26,Cash_Timing,0)),1),"N/A")</f>
        <v>1.3079622285174692</v>
      </c>
      <c r="V26" s="21" cm="1">
        <f t="array" ref="V26">IFERROR(IF($G26=Nominal,V$10,INDEX($N$10:$AH$10,,MATCH($G26,$N$8:$AH$8,0)))
/IF($E26=Nominal,V$10,INDEX($N$10:$AH$10,,MATCH($E26,$N$8:$AH$8,0)))
*IF($H26=Mid_Period,1/(1+IF($G26=Nominal,V$9,INDEX($N$9:$AH$9,,MATCH($G26,$N$8:$AH$8,0))))^INDEX(Timing_Adj,MATCH($H26,Cash_Timing,0)),1)
*IF($F26=Mid_Period,(1+IF($E26=Nominal,V$9,INDEX($N$9:$AH$9,,MATCH($E26,$N$8:$AH$8,0))))^INDEX(Timing_Adj,MATCH($F26,Cash_Timing,0)),1),"N/A")</f>
        <v>1.3079622285174692</v>
      </c>
      <c r="W26" s="21" cm="1">
        <f t="array" ref="W26">IFERROR(IF($G26=Nominal,W$10,INDEX($N$10:$AH$10,,MATCH($G26,$N$8:$AH$8,0)))
/IF($E26=Nominal,W$10,INDEX($N$10:$AH$10,,MATCH($E26,$N$8:$AH$8,0)))
*IF($H26=Mid_Period,1/(1+IF($G26=Nominal,W$9,INDEX($N$9:$AH$9,,MATCH($G26,$N$8:$AH$8,0))))^INDEX(Timing_Adj,MATCH($H26,Cash_Timing,0)),1)
*IF($F26=Mid_Period,(1+IF($E26=Nominal,W$9,INDEX($N$9:$AH$9,,MATCH($E26,$N$8:$AH$8,0))))^INDEX(Timing_Adj,MATCH($F26,Cash_Timing,0)),1),"N/A")</f>
        <v>1.3079622285174692</v>
      </c>
      <c r="X26" s="21" cm="1">
        <f t="array" ref="X26">IFERROR(IF($G26=Nominal,X$10,INDEX($N$10:$AH$10,,MATCH($G26,$N$8:$AH$8,0)))
/IF($E26=Nominal,X$10,INDEX($N$10:$AH$10,,MATCH($E26,$N$8:$AH$8,0)))
*IF($H26=Mid_Period,1/(1+IF($G26=Nominal,X$9,INDEX($N$9:$AH$9,,MATCH($G26,$N$8:$AH$8,0))))^INDEX(Timing_Adj,MATCH($H26,Cash_Timing,0)),1)
*IF($F26=Mid_Period,(1+IF($E26=Nominal,X$9,INDEX($N$9:$AH$9,,MATCH($E26,$N$8:$AH$8,0))))^INDEX(Timing_Adj,MATCH($F26,Cash_Timing,0)),1),"N/A")</f>
        <v>1.3079622285174692</v>
      </c>
      <c r="Y26" s="21" cm="1">
        <f t="array" ref="Y26">IFERROR(IF($G26=Nominal,Y$10,INDEX($N$10:$AH$10,,MATCH($G26,$N$8:$AH$8,0)))
/IF($E26=Nominal,Y$10,INDEX($N$10:$AH$10,,MATCH($E26,$N$8:$AH$8,0)))
*IF($H26=Mid_Period,1/(1+IF($G26=Nominal,Y$9,INDEX($N$9:$AH$9,,MATCH($G26,$N$8:$AH$8,0))))^INDEX(Timing_Adj,MATCH($H26,Cash_Timing,0)),1)
*IF($F26=Mid_Period,(1+IF($E26=Nominal,Y$9,INDEX($N$9:$AH$9,,MATCH($E26,$N$8:$AH$8,0))))^INDEX(Timing_Adj,MATCH($F26,Cash_Timing,0)),1),"N/A")</f>
        <v>1.3079622285174692</v>
      </c>
      <c r="Z26" s="21" cm="1">
        <f t="array" ref="Z26">IFERROR(IF($G26=Nominal,Z$10,INDEX($N$10:$AH$10,,MATCH($G26,$N$8:$AH$8,0)))
/IF($E26=Nominal,Z$10,INDEX($N$10:$AH$10,,MATCH($E26,$N$8:$AH$8,0)))
*IF($H26=Mid_Period,1/(1+IF($G26=Nominal,Z$9,INDEX($N$9:$AH$9,,MATCH($G26,$N$8:$AH$8,0))))^INDEX(Timing_Adj,MATCH($H26,Cash_Timing,0)),1)
*IF($F26=Mid_Period,(1+IF($E26=Nominal,Z$9,INDEX($N$9:$AH$9,,MATCH($E26,$N$8:$AH$8,0))))^INDEX(Timing_Adj,MATCH($F26,Cash_Timing,0)),1),"N/A")</f>
        <v>1.3079622285174692</v>
      </c>
      <c r="AA26" s="21" cm="1">
        <f t="array" ref="AA26">IFERROR(IF($G26=Nominal,AA$10,INDEX($N$10:$AH$10,,MATCH($G26,$N$8:$AH$8,0)))
/IF($E26=Nominal,AA$10,INDEX($N$10:$AH$10,,MATCH($E26,$N$8:$AH$8,0)))
*IF($H26=Mid_Period,1/(1+IF($G26=Nominal,AA$9,INDEX($N$9:$AH$9,,MATCH($G26,$N$8:$AH$8,0))))^INDEX(Timing_Adj,MATCH($H26,Cash_Timing,0)),1)
*IF($F26=Mid_Period,(1+IF($E26=Nominal,AA$9,INDEX($N$9:$AH$9,,MATCH($E26,$N$8:$AH$8,0))))^INDEX(Timing_Adj,MATCH($F26,Cash_Timing,0)),1),"N/A")</f>
        <v>1.3079622285174692</v>
      </c>
      <c r="AB26" s="21" cm="1">
        <f t="array" ref="AB26">IFERROR(IF($G26=Nominal,AB$10,INDEX($N$10:$AH$10,,MATCH($G26,$N$8:$AH$8,0)))
/IF($E26=Nominal,AB$10,INDEX($N$10:$AH$10,,MATCH($E26,$N$8:$AH$8,0)))
*IF($H26=Mid_Period,1/(1+IF($G26=Nominal,AB$9,INDEX($N$9:$AH$9,,MATCH($G26,$N$8:$AH$8,0))))^INDEX(Timing_Adj,MATCH($H26,Cash_Timing,0)),1)
*IF($F26=Mid_Period,(1+IF($E26=Nominal,AB$9,INDEX($N$9:$AH$9,,MATCH($E26,$N$8:$AH$8,0))))^INDEX(Timing_Adj,MATCH($F26,Cash_Timing,0)),1),"N/A")</f>
        <v>1.3079622285174692</v>
      </c>
      <c r="AC26" s="21" cm="1">
        <f t="array" ref="AC26">IFERROR(IF($G26=Nominal,AC$10,INDEX($N$10:$AH$10,,MATCH($G26,$N$8:$AH$8,0)))
/IF($E26=Nominal,AC$10,INDEX($N$10:$AH$10,,MATCH($E26,$N$8:$AH$8,0)))
*IF($H26=Mid_Period,1/(1+IF($G26=Nominal,AC$9,INDEX($N$9:$AH$9,,MATCH($G26,$N$8:$AH$8,0))))^INDEX(Timing_Adj,MATCH($H26,Cash_Timing,0)),1)
*IF($F26=Mid_Period,(1+IF($E26=Nominal,AC$9,INDEX($N$9:$AH$9,,MATCH($E26,$N$8:$AH$8,0))))^INDEX(Timing_Adj,MATCH($F26,Cash_Timing,0)),1),"N/A")</f>
        <v>1.3079622285174692</v>
      </c>
      <c r="AD26" s="21" cm="1">
        <f t="array" ref="AD26">IFERROR(IF($G26=Nominal,AD$10,INDEX($N$10:$AH$10,,MATCH($G26,$N$8:$AH$8,0)))
/IF($E26=Nominal,AD$10,INDEX($N$10:$AH$10,,MATCH($E26,$N$8:$AH$8,0)))
*IF($H26=Mid_Period,1/(1+IF($G26=Nominal,AD$9,INDEX($N$9:$AH$9,,MATCH($G26,$N$8:$AH$8,0))))^INDEX(Timing_Adj,MATCH($H26,Cash_Timing,0)),1)
*IF($F26=Mid_Period,(1+IF($E26=Nominal,AD$9,INDEX($N$9:$AH$9,,MATCH($E26,$N$8:$AH$8,0))))^INDEX(Timing_Adj,MATCH($F26,Cash_Timing,0)),1),"N/A")</f>
        <v>1.3079622285174692</v>
      </c>
      <c r="AE26" s="21" cm="1">
        <f t="array" ref="AE26">IFERROR(IF($G26=Nominal,AE$10,INDEX($N$10:$AH$10,,MATCH($G26,$N$8:$AH$8,0)))
/IF($E26=Nominal,AE$10,INDEX($N$10:$AH$10,,MATCH($E26,$N$8:$AH$8,0)))
*IF($H26=Mid_Period,1/(1+IF($G26=Nominal,AE$9,INDEX($N$9:$AH$9,,MATCH($G26,$N$8:$AH$8,0))))^INDEX(Timing_Adj,MATCH($H26,Cash_Timing,0)),1)
*IF($F26=Mid_Period,(1+IF($E26=Nominal,AE$9,INDEX($N$9:$AH$9,,MATCH($E26,$N$8:$AH$8,0))))^INDEX(Timing_Adj,MATCH($F26,Cash_Timing,0)),1),"N/A")</f>
        <v>1.3079622285174692</v>
      </c>
      <c r="AF26" s="21" cm="1">
        <f t="array" ref="AF26">IFERROR(IF($G26=Nominal,AF$10,INDEX($N$10:$AH$10,,MATCH($G26,$N$8:$AH$8,0)))
/IF($E26=Nominal,AF$10,INDEX($N$10:$AH$10,,MATCH($E26,$N$8:$AH$8,0)))
*IF($H26=Mid_Period,1/(1+IF($G26=Nominal,AF$9,INDEX($N$9:$AH$9,,MATCH($G26,$N$8:$AH$8,0))))^INDEX(Timing_Adj,MATCH($H26,Cash_Timing,0)),1)
*IF($F26=Mid_Period,(1+IF($E26=Nominal,AF$9,INDEX($N$9:$AH$9,,MATCH($E26,$N$8:$AH$8,0))))^INDEX(Timing_Adj,MATCH($F26,Cash_Timing,0)),1),"N/A")</f>
        <v>1.3079622285174692</v>
      </c>
      <c r="AG26" s="21" cm="1">
        <f t="array" ref="AG26">IFERROR(IF($G26=Nominal,AG$10,INDEX($N$10:$AH$10,,MATCH($G26,$N$8:$AH$8,0)))
/IF($E26=Nominal,AG$10,INDEX($N$10:$AH$10,,MATCH($E26,$N$8:$AH$8,0)))
*IF($H26=Mid_Period,1/(1+IF($G26=Nominal,AG$9,INDEX($N$9:$AH$9,,MATCH($G26,$N$8:$AH$8,0))))^INDEX(Timing_Adj,MATCH($H26,Cash_Timing,0)),1)
*IF($F26=Mid_Period,(1+IF($E26=Nominal,AG$9,INDEX($N$9:$AH$9,,MATCH($E26,$N$8:$AH$8,0))))^INDEX(Timing_Adj,MATCH($F26,Cash_Timing,0)),1),"N/A")</f>
        <v>1.3079622285174692</v>
      </c>
      <c r="AH26" s="21" cm="1">
        <f t="array" ref="AH26">IFERROR(IF($G26=Nominal,AH$10,INDEX($N$10:$AH$10,,MATCH($G26,$N$8:$AH$8,0)))
/IF($E26=Nominal,AH$10,INDEX($N$10:$AH$10,,MATCH($E26,$N$8:$AH$8,0)))
*IF($H26=Mid_Period,1/(1+IF($G26=Nominal,AH$9,INDEX($N$9:$AH$9,,MATCH($G26,$N$8:$AH$8,0))))^INDEX(Timing_Adj,MATCH($H26,Cash_Timing,0)),1)
*IF($F26=Mid_Period,(1+IF($E26=Nominal,AH$9,INDEX($N$9:$AH$9,,MATCH($E26,$N$8:$AH$8,0))))^INDEX(Timing_Adj,MATCH($F26,Cash_Timing,0)),1),"N/A")</f>
        <v>1.3079622285174692</v>
      </c>
    </row>
    <row r="27" spans="2:34" x14ac:dyDescent="0.2">
      <c r="D27" s="8" t="str">
        <f t="shared" si="5"/>
        <v>Nominal (End Period) to Nominal (End Period)</v>
      </c>
      <c r="E27" s="10" t="s">
        <v>9</v>
      </c>
      <c r="F27" s="10" t="s">
        <v>11</v>
      </c>
      <c r="G27" s="10" t="s">
        <v>9</v>
      </c>
      <c r="H27" s="10" t="s">
        <v>11</v>
      </c>
      <c r="I27" s="4"/>
      <c r="J27" s="21" cm="1">
        <f t="array" ref="J27">IFERROR(IF($G27=Nominal,J$10,INDEX($N$10:$AH$10,,MATCH($G27,$N$8:$AH$8,0)))
/IF($E27=Nominal,J$10,INDEX($N$10:$AH$10,,MATCH($E27,$N$8:$AH$8,0)))
*IF($H27=Mid_Period,1/(1+IF($G27=Nominal,J$9,INDEX($N$9:$AH$9,,MATCH($G27,$N$8:$AH$8,0))))^INDEX(Timing_Adj,MATCH($H27,Cash_Timing,0)),1)
*IF($F27=Mid_Period,(1+IF($E27=Nominal,J$9,INDEX($N$9:$AH$9,,MATCH($E27,$N$8:$AH$8,0))))^INDEX(Timing_Adj,MATCH($F27,Cash_Timing,0)),1),"N/A")</f>
        <v>1</v>
      </c>
      <c r="K27" s="21" cm="1">
        <f t="array" ref="K27">IFERROR(IF($G27=Nominal,K$10,INDEX($N$10:$AH$10,,MATCH($G27,$N$8:$AH$8,0)))
/IF($E27=Nominal,K$10,INDEX($N$10:$AH$10,,MATCH($E27,$N$8:$AH$8,0)))
*IF($H27=Mid_Period,1/(1+IF($G27=Nominal,K$9,INDEX($N$9:$AH$9,,MATCH($G27,$N$8:$AH$8,0))))^INDEX(Timing_Adj,MATCH($H27,Cash_Timing,0)),1)
*IF($F27=Mid_Period,(1+IF($E27=Nominal,K$9,INDEX($N$9:$AH$9,,MATCH($E27,$N$8:$AH$8,0))))^INDEX(Timing_Adj,MATCH($F27,Cash_Timing,0)),1),"N/A")</f>
        <v>1</v>
      </c>
      <c r="L27" s="21" cm="1">
        <f t="array" ref="L27">IFERROR(IF($G27=Nominal,L$10,INDEX($N$10:$AH$10,,MATCH($G27,$N$8:$AH$8,0)))
/IF($E27=Nominal,L$10,INDEX($N$10:$AH$10,,MATCH($E27,$N$8:$AH$8,0)))
*IF($H27=Mid_Period,1/(1+IF($G27=Nominal,L$9,INDEX($N$9:$AH$9,,MATCH($G27,$N$8:$AH$8,0))))^INDEX(Timing_Adj,MATCH($H27,Cash_Timing,0)),1)
*IF($F27=Mid_Period,(1+IF($E27=Nominal,L$9,INDEX($N$9:$AH$9,,MATCH($E27,$N$8:$AH$8,0))))^INDEX(Timing_Adj,MATCH($F27,Cash_Timing,0)),1),"N/A")</f>
        <v>1</v>
      </c>
      <c r="M27" s="21" cm="1">
        <f t="array" ref="M27">IFERROR(IF($G27=Nominal,M$10,INDEX($N$10:$AH$10,,MATCH($G27,$N$8:$AH$8,0)))
/IF($E27=Nominal,M$10,INDEX($N$10:$AH$10,,MATCH($E27,$N$8:$AH$8,0)))
*IF($H27=Mid_Period,1/(1+IF($G27=Nominal,M$9,INDEX($N$9:$AH$9,,MATCH($G27,$N$8:$AH$8,0))))^INDEX(Timing_Adj,MATCH($H27,Cash_Timing,0)),1)
*IF($F27=Mid_Period,(1+IF($E27=Nominal,M$9,INDEX($N$9:$AH$9,,MATCH($E27,$N$8:$AH$8,0))))^INDEX(Timing_Adj,MATCH($F27,Cash_Timing,0)),1),"N/A")</f>
        <v>1</v>
      </c>
      <c r="N27" s="21" cm="1">
        <f t="array" ref="N27">IFERROR(IF($G27=Nominal,N$10,INDEX($N$10:$AH$10,,MATCH($G27,$N$8:$AH$8,0)))
/IF($E27=Nominal,N$10,INDEX($N$10:$AH$10,,MATCH($E27,$N$8:$AH$8,0)))
*IF($H27=Mid_Period,1/(1+IF($G27=Nominal,N$9,INDEX($N$9:$AH$9,,MATCH($G27,$N$8:$AH$8,0))))^INDEX(Timing_Adj,MATCH($H27,Cash_Timing,0)),1)
*IF($F27=Mid_Period,(1+IF($E27=Nominal,N$9,INDEX($N$9:$AH$9,,MATCH($E27,$N$8:$AH$8,0))))^INDEX(Timing_Adj,MATCH($F27,Cash_Timing,0)),1),"N/A")</f>
        <v>1</v>
      </c>
      <c r="O27" s="21" cm="1">
        <f t="array" ref="O27">IFERROR(IF($G27=Nominal,O$10,INDEX($N$10:$AH$10,,MATCH($G27,$N$8:$AH$8,0)))
/IF($E27=Nominal,O$10,INDEX($N$10:$AH$10,,MATCH($E27,$N$8:$AH$8,0)))
*IF($H27=Mid_Period,1/(1+IF($G27=Nominal,O$9,INDEX($N$9:$AH$9,,MATCH($G27,$N$8:$AH$8,0))))^INDEX(Timing_Adj,MATCH($H27,Cash_Timing,0)),1)
*IF($F27=Mid_Period,(1+IF($E27=Nominal,O$9,INDEX($N$9:$AH$9,,MATCH($E27,$N$8:$AH$8,0))))^INDEX(Timing_Adj,MATCH($F27,Cash_Timing,0)),1),"N/A")</f>
        <v>1</v>
      </c>
      <c r="P27" s="21" cm="1">
        <f t="array" ref="P27">IFERROR(IF($G27=Nominal,P$10,INDEX($N$10:$AH$10,,MATCH($G27,$N$8:$AH$8,0)))
/IF($E27=Nominal,P$10,INDEX($N$10:$AH$10,,MATCH($E27,$N$8:$AH$8,0)))
*IF($H27=Mid_Period,1/(1+IF($G27=Nominal,P$9,INDEX($N$9:$AH$9,,MATCH($G27,$N$8:$AH$8,0))))^INDEX(Timing_Adj,MATCH($H27,Cash_Timing,0)),1)
*IF($F27=Mid_Period,(1+IF($E27=Nominal,P$9,INDEX($N$9:$AH$9,,MATCH($E27,$N$8:$AH$8,0))))^INDEX(Timing_Adj,MATCH($F27,Cash_Timing,0)),1),"N/A")</f>
        <v>1</v>
      </c>
      <c r="Q27" s="21" cm="1">
        <f t="array" ref="Q27">IFERROR(IF($G27=Nominal,Q$10,INDEX($N$10:$AH$10,,MATCH($G27,$N$8:$AH$8,0)))
/IF($E27=Nominal,Q$10,INDEX($N$10:$AH$10,,MATCH($E27,$N$8:$AH$8,0)))
*IF($H27=Mid_Period,1/(1+IF($G27=Nominal,Q$9,INDEX($N$9:$AH$9,,MATCH($G27,$N$8:$AH$8,0))))^INDEX(Timing_Adj,MATCH($H27,Cash_Timing,0)),1)
*IF($F27=Mid_Period,(1+IF($E27=Nominal,Q$9,INDEX($N$9:$AH$9,,MATCH($E27,$N$8:$AH$8,0))))^INDEX(Timing_Adj,MATCH($F27,Cash_Timing,0)),1),"N/A")</f>
        <v>1</v>
      </c>
      <c r="R27" s="21" cm="1">
        <f t="array" ref="R27">IFERROR(IF($G27=Nominal,R$10,INDEX($N$10:$AH$10,,MATCH($G27,$N$8:$AH$8,0)))
/IF($E27=Nominal,R$10,INDEX($N$10:$AH$10,,MATCH($E27,$N$8:$AH$8,0)))
*IF($H27=Mid_Period,1/(1+IF($G27=Nominal,R$9,INDEX($N$9:$AH$9,,MATCH($G27,$N$8:$AH$8,0))))^INDEX(Timing_Adj,MATCH($H27,Cash_Timing,0)),1)
*IF($F27=Mid_Period,(1+IF($E27=Nominal,R$9,INDEX($N$9:$AH$9,,MATCH($E27,$N$8:$AH$8,0))))^INDEX(Timing_Adj,MATCH($F27,Cash_Timing,0)),1),"N/A")</f>
        <v>1</v>
      </c>
      <c r="S27" s="21" cm="1">
        <f t="array" ref="S27">IFERROR(IF($G27=Nominal,S$10,INDEX($N$10:$AH$10,,MATCH($G27,$N$8:$AH$8,0)))
/IF($E27=Nominal,S$10,INDEX($N$10:$AH$10,,MATCH($E27,$N$8:$AH$8,0)))
*IF($H27=Mid_Period,1/(1+IF($G27=Nominal,S$9,INDEX($N$9:$AH$9,,MATCH($G27,$N$8:$AH$8,0))))^INDEX(Timing_Adj,MATCH($H27,Cash_Timing,0)),1)
*IF($F27=Mid_Period,(1+IF($E27=Nominal,S$9,INDEX($N$9:$AH$9,,MATCH($E27,$N$8:$AH$8,0))))^INDEX(Timing_Adj,MATCH($F27,Cash_Timing,0)),1),"N/A")</f>
        <v>1</v>
      </c>
      <c r="T27" s="21" cm="1">
        <f t="array" ref="T27">IFERROR(IF($G27=Nominal,T$10,INDEX($N$10:$AH$10,,MATCH($G27,$N$8:$AH$8,0)))
/IF($E27=Nominal,T$10,INDEX($N$10:$AH$10,,MATCH($E27,$N$8:$AH$8,0)))
*IF($H27=Mid_Period,1/(1+IF($G27=Nominal,T$9,INDEX($N$9:$AH$9,,MATCH($G27,$N$8:$AH$8,0))))^INDEX(Timing_Adj,MATCH($H27,Cash_Timing,0)),1)
*IF($F27=Mid_Period,(1+IF($E27=Nominal,T$9,INDEX($N$9:$AH$9,,MATCH($E27,$N$8:$AH$8,0))))^INDEX(Timing_Adj,MATCH($F27,Cash_Timing,0)),1),"N/A")</f>
        <v>1</v>
      </c>
      <c r="U27" s="21" cm="1">
        <f t="array" ref="U27">IFERROR(IF($G27=Nominal,U$10,INDEX($N$10:$AH$10,,MATCH($G27,$N$8:$AH$8,0)))
/IF($E27=Nominal,U$10,INDEX($N$10:$AH$10,,MATCH($E27,$N$8:$AH$8,0)))
*IF($H27=Mid_Period,1/(1+IF($G27=Nominal,U$9,INDEX($N$9:$AH$9,,MATCH($G27,$N$8:$AH$8,0))))^INDEX(Timing_Adj,MATCH($H27,Cash_Timing,0)),1)
*IF($F27=Mid_Period,(1+IF($E27=Nominal,U$9,INDEX($N$9:$AH$9,,MATCH($E27,$N$8:$AH$8,0))))^INDEX(Timing_Adj,MATCH($F27,Cash_Timing,0)),1),"N/A")</f>
        <v>1</v>
      </c>
      <c r="V27" s="21" cm="1">
        <f t="array" ref="V27">IFERROR(IF($G27=Nominal,V$10,INDEX($N$10:$AH$10,,MATCH($G27,$N$8:$AH$8,0)))
/IF($E27=Nominal,V$10,INDEX($N$10:$AH$10,,MATCH($E27,$N$8:$AH$8,0)))
*IF($H27=Mid_Period,1/(1+IF($G27=Nominal,V$9,INDEX($N$9:$AH$9,,MATCH($G27,$N$8:$AH$8,0))))^INDEX(Timing_Adj,MATCH($H27,Cash_Timing,0)),1)
*IF($F27=Mid_Period,(1+IF($E27=Nominal,V$9,INDEX($N$9:$AH$9,,MATCH($E27,$N$8:$AH$8,0))))^INDEX(Timing_Adj,MATCH($F27,Cash_Timing,0)),1),"N/A")</f>
        <v>1</v>
      </c>
      <c r="W27" s="21" cm="1">
        <f t="array" ref="W27">IFERROR(IF($G27=Nominal,W$10,INDEX($N$10:$AH$10,,MATCH($G27,$N$8:$AH$8,0)))
/IF($E27=Nominal,W$10,INDEX($N$10:$AH$10,,MATCH($E27,$N$8:$AH$8,0)))
*IF($H27=Mid_Period,1/(1+IF($G27=Nominal,W$9,INDEX($N$9:$AH$9,,MATCH($G27,$N$8:$AH$8,0))))^INDEX(Timing_Adj,MATCH($H27,Cash_Timing,0)),1)
*IF($F27=Mid_Period,(1+IF($E27=Nominal,W$9,INDEX($N$9:$AH$9,,MATCH($E27,$N$8:$AH$8,0))))^INDEX(Timing_Adj,MATCH($F27,Cash_Timing,0)),1),"N/A")</f>
        <v>1</v>
      </c>
      <c r="X27" s="21" cm="1">
        <f t="array" ref="X27">IFERROR(IF($G27=Nominal,X$10,INDEX($N$10:$AH$10,,MATCH($G27,$N$8:$AH$8,0)))
/IF($E27=Nominal,X$10,INDEX($N$10:$AH$10,,MATCH($E27,$N$8:$AH$8,0)))
*IF($H27=Mid_Period,1/(1+IF($G27=Nominal,X$9,INDEX($N$9:$AH$9,,MATCH($G27,$N$8:$AH$8,0))))^INDEX(Timing_Adj,MATCH($H27,Cash_Timing,0)),1)
*IF($F27=Mid_Period,(1+IF($E27=Nominal,X$9,INDEX($N$9:$AH$9,,MATCH($E27,$N$8:$AH$8,0))))^INDEX(Timing_Adj,MATCH($F27,Cash_Timing,0)),1),"N/A")</f>
        <v>1</v>
      </c>
      <c r="Y27" s="21" cm="1">
        <f t="array" ref="Y27">IFERROR(IF($G27=Nominal,Y$10,INDEX($N$10:$AH$10,,MATCH($G27,$N$8:$AH$8,0)))
/IF($E27=Nominal,Y$10,INDEX($N$10:$AH$10,,MATCH($E27,$N$8:$AH$8,0)))
*IF($H27=Mid_Period,1/(1+IF($G27=Nominal,Y$9,INDEX($N$9:$AH$9,,MATCH($G27,$N$8:$AH$8,0))))^INDEX(Timing_Adj,MATCH($H27,Cash_Timing,0)),1)
*IF($F27=Mid_Period,(1+IF($E27=Nominal,Y$9,INDEX($N$9:$AH$9,,MATCH($E27,$N$8:$AH$8,0))))^INDEX(Timing_Adj,MATCH($F27,Cash_Timing,0)),1),"N/A")</f>
        <v>1</v>
      </c>
      <c r="Z27" s="21" cm="1">
        <f t="array" ref="Z27">IFERROR(IF($G27=Nominal,Z$10,INDEX($N$10:$AH$10,,MATCH($G27,$N$8:$AH$8,0)))
/IF($E27=Nominal,Z$10,INDEX($N$10:$AH$10,,MATCH($E27,$N$8:$AH$8,0)))
*IF($H27=Mid_Period,1/(1+IF($G27=Nominal,Z$9,INDEX($N$9:$AH$9,,MATCH($G27,$N$8:$AH$8,0))))^INDEX(Timing_Adj,MATCH($H27,Cash_Timing,0)),1)
*IF($F27=Mid_Period,(1+IF($E27=Nominal,Z$9,INDEX($N$9:$AH$9,,MATCH($E27,$N$8:$AH$8,0))))^INDEX(Timing_Adj,MATCH($F27,Cash_Timing,0)),1),"N/A")</f>
        <v>1</v>
      </c>
      <c r="AA27" s="21" cm="1">
        <f t="array" ref="AA27">IFERROR(IF($G27=Nominal,AA$10,INDEX($N$10:$AH$10,,MATCH($G27,$N$8:$AH$8,0)))
/IF($E27=Nominal,AA$10,INDEX($N$10:$AH$10,,MATCH($E27,$N$8:$AH$8,0)))
*IF($H27=Mid_Period,1/(1+IF($G27=Nominal,AA$9,INDEX($N$9:$AH$9,,MATCH($G27,$N$8:$AH$8,0))))^INDEX(Timing_Adj,MATCH($H27,Cash_Timing,0)),1)
*IF($F27=Mid_Period,(1+IF($E27=Nominal,AA$9,INDEX($N$9:$AH$9,,MATCH($E27,$N$8:$AH$8,0))))^INDEX(Timing_Adj,MATCH($F27,Cash_Timing,0)),1),"N/A")</f>
        <v>1</v>
      </c>
      <c r="AB27" s="21" cm="1">
        <f t="array" ref="AB27">IFERROR(IF($G27=Nominal,AB$10,INDEX($N$10:$AH$10,,MATCH($G27,$N$8:$AH$8,0)))
/IF($E27=Nominal,AB$10,INDEX($N$10:$AH$10,,MATCH($E27,$N$8:$AH$8,0)))
*IF($H27=Mid_Period,1/(1+IF($G27=Nominal,AB$9,INDEX($N$9:$AH$9,,MATCH($G27,$N$8:$AH$8,0))))^INDEX(Timing_Adj,MATCH($H27,Cash_Timing,0)),1)
*IF($F27=Mid_Period,(1+IF($E27=Nominal,AB$9,INDEX($N$9:$AH$9,,MATCH($E27,$N$8:$AH$8,0))))^INDEX(Timing_Adj,MATCH($F27,Cash_Timing,0)),1),"N/A")</f>
        <v>1</v>
      </c>
      <c r="AC27" s="21" cm="1">
        <f t="array" ref="AC27">IFERROR(IF($G27=Nominal,AC$10,INDEX($N$10:$AH$10,,MATCH($G27,$N$8:$AH$8,0)))
/IF($E27=Nominal,AC$10,INDEX($N$10:$AH$10,,MATCH($E27,$N$8:$AH$8,0)))
*IF($H27=Mid_Period,1/(1+IF($G27=Nominal,AC$9,INDEX($N$9:$AH$9,,MATCH($G27,$N$8:$AH$8,0))))^INDEX(Timing_Adj,MATCH($H27,Cash_Timing,0)),1)
*IF($F27=Mid_Period,(1+IF($E27=Nominal,AC$9,INDEX($N$9:$AH$9,,MATCH($E27,$N$8:$AH$8,0))))^INDEX(Timing_Adj,MATCH($F27,Cash_Timing,0)),1),"N/A")</f>
        <v>1</v>
      </c>
      <c r="AD27" s="21" cm="1">
        <f t="array" ref="AD27">IFERROR(IF($G27=Nominal,AD$10,INDEX($N$10:$AH$10,,MATCH($G27,$N$8:$AH$8,0)))
/IF($E27=Nominal,AD$10,INDEX($N$10:$AH$10,,MATCH($E27,$N$8:$AH$8,0)))
*IF($H27=Mid_Period,1/(1+IF($G27=Nominal,AD$9,INDEX($N$9:$AH$9,,MATCH($G27,$N$8:$AH$8,0))))^INDEX(Timing_Adj,MATCH($H27,Cash_Timing,0)),1)
*IF($F27=Mid_Period,(1+IF($E27=Nominal,AD$9,INDEX($N$9:$AH$9,,MATCH($E27,$N$8:$AH$8,0))))^INDEX(Timing_Adj,MATCH($F27,Cash_Timing,0)),1),"N/A")</f>
        <v>1</v>
      </c>
      <c r="AE27" s="21" cm="1">
        <f t="array" ref="AE27">IFERROR(IF($G27=Nominal,AE$10,INDEX($N$10:$AH$10,,MATCH($G27,$N$8:$AH$8,0)))
/IF($E27=Nominal,AE$10,INDEX($N$10:$AH$10,,MATCH($E27,$N$8:$AH$8,0)))
*IF($H27=Mid_Period,1/(1+IF($G27=Nominal,AE$9,INDEX($N$9:$AH$9,,MATCH($G27,$N$8:$AH$8,0))))^INDEX(Timing_Adj,MATCH($H27,Cash_Timing,0)),1)
*IF($F27=Mid_Period,(1+IF($E27=Nominal,AE$9,INDEX($N$9:$AH$9,,MATCH($E27,$N$8:$AH$8,0))))^INDEX(Timing_Adj,MATCH($F27,Cash_Timing,0)),1),"N/A")</f>
        <v>1</v>
      </c>
      <c r="AF27" s="21" cm="1">
        <f t="array" ref="AF27">IFERROR(IF($G27=Nominal,AF$10,INDEX($N$10:$AH$10,,MATCH($G27,$N$8:$AH$8,0)))
/IF($E27=Nominal,AF$10,INDEX($N$10:$AH$10,,MATCH($E27,$N$8:$AH$8,0)))
*IF($H27=Mid_Period,1/(1+IF($G27=Nominal,AF$9,INDEX($N$9:$AH$9,,MATCH($G27,$N$8:$AH$8,0))))^INDEX(Timing_Adj,MATCH($H27,Cash_Timing,0)),1)
*IF($F27=Mid_Period,(1+IF($E27=Nominal,AF$9,INDEX($N$9:$AH$9,,MATCH($E27,$N$8:$AH$8,0))))^INDEX(Timing_Adj,MATCH($F27,Cash_Timing,0)),1),"N/A")</f>
        <v>1</v>
      </c>
      <c r="AG27" s="21" cm="1">
        <f t="array" ref="AG27">IFERROR(IF($G27=Nominal,AG$10,INDEX($N$10:$AH$10,,MATCH($G27,$N$8:$AH$8,0)))
/IF($E27=Nominal,AG$10,INDEX($N$10:$AH$10,,MATCH($E27,$N$8:$AH$8,0)))
*IF($H27=Mid_Period,1/(1+IF($G27=Nominal,AG$9,INDEX($N$9:$AH$9,,MATCH($G27,$N$8:$AH$8,0))))^INDEX(Timing_Adj,MATCH($H27,Cash_Timing,0)),1)
*IF($F27=Mid_Period,(1+IF($E27=Nominal,AG$9,INDEX($N$9:$AH$9,,MATCH($E27,$N$8:$AH$8,0))))^INDEX(Timing_Adj,MATCH($F27,Cash_Timing,0)),1),"N/A")</f>
        <v>1</v>
      </c>
      <c r="AH27" s="21" cm="1">
        <f t="array" ref="AH27">IFERROR(IF($G27=Nominal,AH$10,INDEX($N$10:$AH$10,,MATCH($G27,$N$8:$AH$8,0)))
/IF($E27=Nominal,AH$10,INDEX($N$10:$AH$10,,MATCH($E27,$N$8:$AH$8,0)))
*IF($H27=Mid_Period,1/(1+IF($G27=Nominal,AH$9,INDEX($N$9:$AH$9,,MATCH($G27,$N$8:$AH$8,0))))^INDEX(Timing_Adj,MATCH($H27,Cash_Timing,0)),1)
*IF($F27=Mid_Period,(1+IF($E27=Nominal,AH$9,INDEX($N$9:$AH$9,,MATCH($E27,$N$8:$AH$8,0))))^INDEX(Timing_Adj,MATCH($F27,Cash_Timing,0)),1),"N/A")</f>
        <v>1</v>
      </c>
    </row>
    <row r="28" spans="2:34" x14ac:dyDescent="0.2">
      <c r="D28" s="8" t="str">
        <f t="shared" si="5"/>
        <v>Real 2024 (End Period) to Nominal (End Period)</v>
      </c>
      <c r="E28" s="10">
        <v>2024</v>
      </c>
      <c r="F28" s="10" t="s">
        <v>11</v>
      </c>
      <c r="G28" s="10" t="s">
        <v>9</v>
      </c>
      <c r="H28" s="10" t="s">
        <v>11</v>
      </c>
      <c r="I28" s="4"/>
      <c r="J28" s="21" cm="1">
        <f t="array" ref="J28">IFERROR(IF($G28=Nominal,J$10,INDEX($N$10:$AH$10,,MATCH($G28,$N$8:$AH$8,0)))
/IF($E28=Nominal,J$10,INDEX($N$10:$AH$10,,MATCH($E28,$N$8:$AH$8,0)))
*IF($H28=Mid_Period,1/(1+IF($G28=Nominal,J$9,INDEX($N$9:$AH$9,,MATCH($G28,$N$8:$AH$8,0))))^INDEX(Timing_Adj,MATCH($H28,Cash_Timing,0)),1)
*IF($F28=Mid_Period,(1+IF($E28=Nominal,J$9,INDEX($N$9:$AH$9,,MATCH($E28,$N$8:$AH$8,0))))^INDEX(Timing_Adj,MATCH($F28,Cash_Timing,0)),1),"N/A")</f>
        <v>0.59633305706604123</v>
      </c>
      <c r="K28" s="21" cm="1">
        <f t="array" ref="K28">IFERROR(IF($G28=Nominal,K$10,INDEX($N$10:$AH$10,,MATCH($G28,$N$8:$AH$8,0)))
/IF($E28=Nominal,K$10,INDEX($N$10:$AH$10,,MATCH($E28,$N$8:$AH$8,0)))
*IF($H28=Mid_Period,1/(1+IF($G28=Nominal,K$9,INDEX($N$9:$AH$9,,MATCH($G28,$N$8:$AH$8,0))))^INDEX(Timing_Adj,MATCH($H28,Cash_Timing,0)),1)
*IF($F28=Mid_Period,(1+IF($E28=Nominal,K$9,INDEX($N$9:$AH$9,,MATCH($E28,$N$8:$AH$8,0))))^INDEX(Timing_Adj,MATCH($F28,Cash_Timing,0)),1),"N/A")</f>
        <v>0.62015750123453928</v>
      </c>
      <c r="L28" s="21" cm="1">
        <f t="array" ref="L28">IFERROR(IF($G28=Nominal,L$10,INDEX($N$10:$AH$10,,MATCH($G28,$N$8:$AH$8,0)))
/IF($E28=Nominal,L$10,INDEX($N$10:$AH$10,,MATCH($E28,$N$8:$AH$8,0)))
*IF($H28=Mid_Period,1/(1+IF($G28=Nominal,L$9,INDEX($N$9:$AH$9,,MATCH($G28,$N$8:$AH$8,0))))^INDEX(Timing_Adj,MATCH($H28,Cash_Timing,0)),1)
*IF($F28=Mid_Period,(1+IF($E28=Nominal,L$9,INDEX($N$9:$AH$9,,MATCH($E28,$N$8:$AH$8,0))))^INDEX(Timing_Adj,MATCH($F28,Cash_Timing,0)),1),"N/A")</f>
        <v>0.63315265259917464</v>
      </c>
      <c r="M28" s="21" cm="1">
        <f t="array" ref="M28">IFERROR(IF($G28=Nominal,M$10,INDEX($N$10:$AH$10,,MATCH($G28,$N$8:$AH$8,0)))
/IF($E28=Nominal,M$10,INDEX($N$10:$AH$10,,MATCH($E28,$N$8:$AH$8,0)))
*IF($H28=Mid_Period,1/(1+IF($G28=Nominal,M$9,INDEX($N$9:$AH$9,,MATCH($G28,$N$8:$AH$8,0))))^INDEX(Timing_Adj,MATCH($H28,Cash_Timing,0)),1)
*IF($F28=Mid_Period,(1+IF($E28=Nominal,M$9,INDEX($N$9:$AH$9,,MATCH($E28,$N$8:$AH$8,0))))^INDEX(Timing_Adj,MATCH($F28,Cash_Timing,0)),1),"N/A")</f>
        <v>0.66130881388921747</v>
      </c>
      <c r="N28" s="21" cm="1">
        <f t="array" ref="N28">IFERROR(IF($G28=Nominal,N$10,INDEX($N$10:$AH$10,,MATCH($G28,$N$8:$AH$8,0)))
/IF($E28=Nominal,N$10,INDEX($N$10:$AH$10,,MATCH($E28,$N$8:$AH$8,0)))
*IF($H28=Mid_Period,1/(1+IF($G28=Nominal,N$9,INDEX($N$9:$AH$9,,MATCH($G28,$N$8:$AH$8,0))))^INDEX(Timing_Adj,MATCH($H28,Cash_Timing,0)),1)
*IF($F28=Mid_Period,(1+IF($E28=Nominal,N$9,INDEX($N$9:$AH$9,,MATCH($E28,$N$8:$AH$8,0))))^INDEX(Timing_Adj,MATCH($F28,Cash_Timing,0)),1),"N/A")</f>
        <v>0.6706942009858986</v>
      </c>
      <c r="O28" s="21" cm="1">
        <f t="array" ref="O28">IFERROR(IF($G28=Nominal,O$10,INDEX($N$10:$AH$10,,MATCH($G28,$N$8:$AH$8,0)))
/IF($E28=Nominal,O$10,INDEX($N$10:$AH$10,,MATCH($E28,$N$8:$AH$8,0)))
*IF($H28=Mid_Period,1/(1+IF($G28=Nominal,O$9,INDEX($N$9:$AH$9,,MATCH($G28,$N$8:$AH$8,0))))^INDEX(Timing_Adj,MATCH($H28,Cash_Timing,0)),1)
*IF($F28=Mid_Period,(1+IF($E28=Nominal,O$9,INDEX($N$9:$AH$9,,MATCH($E28,$N$8:$AH$8,0))))^INDEX(Timing_Adj,MATCH($F28,Cash_Timing,0)),1),"N/A")</f>
        <v>0.6916308337400332</v>
      </c>
      <c r="P28" s="21" cm="1">
        <f t="array" ref="P28">IFERROR(IF($G28=Nominal,P$10,INDEX($N$10:$AH$10,,MATCH($G28,$N$8:$AH$8,0)))
/IF($E28=Nominal,P$10,INDEX($N$10:$AH$10,,MATCH($E28,$N$8:$AH$8,0)))
*IF($H28=Mid_Period,1/(1+IF($G28=Nominal,P$9,INDEX($N$9:$AH$9,,MATCH($G28,$N$8:$AH$8,0))))^INDEX(Timing_Adj,MATCH($H28,Cash_Timing,0)),1)
*IF($F28=Mid_Period,(1+IF($E28=Nominal,P$9,INDEX($N$9:$AH$9,,MATCH($E28,$N$8:$AH$8,0))))^INDEX(Timing_Adj,MATCH($F28,Cash_Timing,0)),1),"N/A")</f>
        <v>0.71617723076212225</v>
      </c>
      <c r="Q28" s="21" cm="1">
        <f t="array" ref="Q28">IFERROR(IF($G28=Nominal,Q$10,INDEX($N$10:$AH$10,,MATCH($G28,$N$8:$AH$8,0)))
/IF($E28=Nominal,Q$10,INDEX($N$10:$AH$10,,MATCH($E28,$N$8:$AH$8,0)))
*IF($H28=Mid_Period,1/(1+IF($G28=Nominal,Q$9,INDEX($N$9:$AH$9,,MATCH($G28,$N$8:$AH$8,0))))^INDEX(Timing_Adj,MATCH($H28,Cash_Timing,0)),1)
*IF($F28=Mid_Period,(1+IF($E28=Nominal,Q$9,INDEX($N$9:$AH$9,,MATCH($E28,$N$8:$AH$8,0))))^INDEX(Timing_Adj,MATCH($F28,Cash_Timing,0)),1),"N/A")</f>
        <v>0.72484066500521249</v>
      </c>
      <c r="R28" s="21" cm="1">
        <f t="array" ref="R28">IFERROR(IF($G28=Nominal,R$10,INDEX($N$10:$AH$10,,MATCH($G28,$N$8:$AH$8,0)))
/IF($E28=Nominal,R$10,INDEX($N$10:$AH$10,,MATCH($E28,$N$8:$AH$8,0)))
*IF($H28=Mid_Period,1/(1+IF($G28=Nominal,R$9,INDEX($N$9:$AH$9,,MATCH($G28,$N$8:$AH$8,0))))^INDEX(Timing_Adj,MATCH($H28,Cash_Timing,0)),1)
*IF($F28=Mid_Period,(1+IF($E28=Nominal,R$9,INDEX($N$9:$AH$9,,MATCH($E28,$N$8:$AH$8,0))))^INDEX(Timing_Adj,MATCH($F28,Cash_Timing,0)),1),"N/A")</f>
        <v>0.74216753349139297</v>
      </c>
      <c r="S28" s="21" cm="1">
        <f t="array" ref="S28">IFERROR(IF($G28=Nominal,S$10,INDEX($N$10:$AH$10,,MATCH($G28,$N$8:$AH$8,0)))
/IF($E28=Nominal,S$10,INDEX($N$10:$AH$10,,MATCH($E28,$N$8:$AH$8,0)))
*IF($H28=Mid_Period,1/(1+IF($G28=Nominal,S$9,INDEX($N$9:$AH$9,,MATCH($G28,$N$8:$AH$8,0))))^INDEX(Timing_Adj,MATCH($H28,Cash_Timing,0)),1)
*IF($F28=Mid_Period,(1+IF($E28=Nominal,S$9,INDEX($N$9:$AH$9,,MATCH($E28,$N$8:$AH$8,0))))^INDEX(Timing_Adj,MATCH($F28,Cash_Timing,0)),1),"N/A")</f>
        <v>0.76454807195270924</v>
      </c>
      <c r="T28" s="21" cm="1">
        <f t="array" ref="T28">IFERROR(IF($G28=Nominal,T$10,INDEX($N$10:$AH$10,,MATCH($G28,$N$8:$AH$8,0)))
/IF($E28=Nominal,T$10,INDEX($N$10:$AH$10,,MATCH($E28,$N$8:$AH$8,0)))
*IF($H28=Mid_Period,1/(1+IF($G28=Nominal,T$9,INDEX($N$9:$AH$9,,MATCH($G28,$N$8:$AH$8,0))))^INDEX(Timing_Adj,MATCH($H28,Cash_Timing,0)),1)
*IF($F28=Mid_Period,(1+IF($E28=Nominal,T$9,INDEX($N$9:$AH$9,,MATCH($E28,$N$8:$AH$8,0))))^INDEX(Timing_Adj,MATCH($F28,Cash_Timing,0)),1),"N/A")</f>
        <v>0.77609931761016282</v>
      </c>
      <c r="U28" s="21" cm="1">
        <f t="array" ref="U28">IFERROR(IF($G28=Nominal,U$10,INDEX($N$10:$AH$10,,MATCH($G28,$N$8:$AH$8,0)))
/IF($E28=Nominal,U$10,INDEX($N$10:$AH$10,,MATCH($E28,$N$8:$AH$8,0)))
*IF($H28=Mid_Period,1/(1+IF($G28=Nominal,U$9,INDEX($N$9:$AH$9,,MATCH($G28,$N$8:$AH$8,0))))^INDEX(Timing_Adj,MATCH($H28,Cash_Timing,0)),1)
*IF($F28=Mid_Period,(1+IF($E28=Nominal,U$9,INDEX($N$9:$AH$9,,MATCH($E28,$N$8:$AH$8,0))))^INDEX(Timing_Adj,MATCH($F28,Cash_Timing,0)),1),"N/A")</f>
        <v>0.78404079899966217</v>
      </c>
      <c r="V28" s="21" cm="1">
        <f t="array" ref="V28">IFERROR(IF($G28=Nominal,V$10,INDEX($N$10:$AH$10,,MATCH($G28,$N$8:$AH$8,0)))
/IF($E28=Nominal,V$10,INDEX($N$10:$AH$10,,MATCH($E28,$N$8:$AH$8,0)))
*IF($H28=Mid_Period,1/(1+IF($G28=Nominal,V$9,INDEX($N$9:$AH$9,,MATCH($G28,$N$8:$AH$8,0))))^INDEX(Timing_Adj,MATCH($H28,Cash_Timing,0)),1)
*IF($F28=Mid_Period,(1+IF($E28=Nominal,V$9,INDEX($N$9:$AH$9,,MATCH($E28,$N$8:$AH$8,0))))^INDEX(Timing_Adj,MATCH($F28,Cash_Timing,0)),1),"N/A")</f>
        <v>0.79920180892506998</v>
      </c>
      <c r="W28" s="21" cm="1">
        <f t="array" ref="W28">IFERROR(IF($G28=Nominal,W$10,INDEX($N$10:$AH$10,,MATCH($G28,$N$8:$AH$8,0)))
/IF($E28=Nominal,W$10,INDEX($N$10:$AH$10,,MATCH($E28,$N$8:$AH$8,0)))
*IF($H28=Mid_Period,1/(1+IF($G28=Nominal,W$9,INDEX($N$9:$AH$9,,MATCH($G28,$N$8:$AH$8,0))))^INDEX(Timing_Adj,MATCH($H28,Cash_Timing,0)),1)
*IF($F28=Mid_Period,(1+IF($E28=Nominal,W$9,INDEX($N$9:$AH$9,,MATCH($E28,$N$8:$AH$8,0))))^INDEX(Timing_Adj,MATCH($F28,Cash_Timing,0)),1),"N/A")</f>
        <v>0.81580672455765957</v>
      </c>
      <c r="X28" s="21" cm="1">
        <f t="array" ref="X28">IFERROR(IF($G28=Nominal,X$10,INDEX($N$10:$AH$10,,MATCH($G28,$N$8:$AH$8,0)))
/IF($E28=Nominal,X$10,INDEX($N$10:$AH$10,,MATCH($E28,$N$8:$AH$8,0)))
*IF($H28=Mid_Period,1/(1+IF($G28=Nominal,X$9,INDEX($N$9:$AH$9,,MATCH($G28,$N$8:$AH$8,0))))^INDEX(Timing_Adj,MATCH($H28,Cash_Timing,0)),1)
*IF($F28=Mid_Period,(1+IF($E28=Nominal,X$9,INDEX($N$9:$AH$9,,MATCH($E28,$N$8:$AH$8,0))))^INDEX(Timing_Adj,MATCH($F28,Cash_Timing,0)),1),"N/A")</f>
        <v>0.82880187592229493</v>
      </c>
      <c r="Y28" s="21" cm="1">
        <f t="array" ref="Y28">IFERROR(IF($G28=Nominal,Y$10,INDEX($N$10:$AH$10,,MATCH($G28,$N$8:$AH$8,0)))
/IF($E28=Nominal,Y$10,INDEX($N$10:$AH$10,,MATCH($E28,$N$8:$AH$8,0)))
*IF($H28=Mid_Period,1/(1+IF($G28=Nominal,Y$9,INDEX($N$9:$AH$9,,MATCH($G28,$N$8:$AH$8,0))))^INDEX(Timing_Adj,MATCH($H28,Cash_Timing,0)),1)
*IF($F28=Mid_Period,(1+IF($E28=Nominal,Y$9,INDEX($N$9:$AH$9,,MATCH($E28,$N$8:$AH$8,0))))^INDEX(Timing_Adj,MATCH($F28,Cash_Timing,0)),1),"N/A")</f>
        <v>0.82591406450793148</v>
      </c>
      <c r="Z28" s="21" cm="1">
        <f t="array" ref="Z28">IFERROR(IF($G28=Nominal,Z$10,INDEX($N$10:$AH$10,,MATCH($G28,$N$8:$AH$8,0)))
/IF($E28=Nominal,Z$10,INDEX($N$10:$AH$10,,MATCH($E28,$N$8:$AH$8,0)))
*IF($H28=Mid_Period,1/(1+IF($G28=Nominal,Z$9,INDEX($N$9:$AH$9,,MATCH($G28,$N$8:$AH$8,0))))^INDEX(Timing_Adj,MATCH($H28,Cash_Timing,0)),1)
*IF($F28=Mid_Period,(1+IF($E28=Nominal,Z$9,INDEX($N$9:$AH$9,,MATCH($E28,$N$8:$AH$8,0))))^INDEX(Timing_Adj,MATCH($F28,Cash_Timing,0)),1),"N/A")</f>
        <v>0.85767999006592877</v>
      </c>
      <c r="AA28" s="21" cm="1">
        <f t="array" ref="AA28">IFERROR(IF($G28=Nominal,AA$10,INDEX($N$10:$AH$10,,MATCH($G28,$N$8:$AH$8,0)))
/IF($E28=Nominal,AA$10,INDEX($N$10:$AH$10,,MATCH($E28,$N$8:$AH$8,0)))
*IF($H28=Mid_Period,1/(1+IF($G28=Nominal,AA$9,INDEX($N$9:$AH$9,,MATCH($G28,$N$8:$AH$8,0))))^INDEX(Timing_Adj,MATCH($H28,Cash_Timing,0)),1)
*IF($F28=Mid_Period,(1+IF($E28=Nominal,AA$9,INDEX($N$9:$AH$9,,MATCH($E28,$N$8:$AH$8,0))))^INDEX(Timing_Adj,MATCH($F28,Cash_Timing,0)),1),"N/A")</f>
        <v>0.91038254837806065</v>
      </c>
      <c r="AB28" s="21" cm="1">
        <f t="array" ref="AB28">IFERROR(IF($G28=Nominal,AB$10,INDEX($N$10:$AH$10,,MATCH($G28,$N$8:$AH$8,0)))
/IF($E28=Nominal,AB$10,INDEX($N$10:$AH$10,,MATCH($E28,$N$8:$AH$8,0)))
*IF($H28=Mid_Period,1/(1+IF($G28=Nominal,AB$9,INDEX($N$9:$AH$9,,MATCH($G28,$N$8:$AH$8,0))))^INDEX(Timing_Adj,MATCH($H28,Cash_Timing,0)),1)
*IF($F28=Mid_Period,(1+IF($E28=Nominal,AB$9,INDEX($N$9:$AH$9,,MATCH($E28,$N$8:$AH$8,0))))^INDEX(Timing_Adj,MATCH($F28,Cash_Timing,0)),1),"N/A")</f>
        <v>0.96525096525096521</v>
      </c>
      <c r="AC28" s="21" cm="1">
        <f t="array" ref="AC28">IFERROR(IF($G28=Nominal,AC$10,INDEX($N$10:$AH$10,,MATCH($G28,$N$8:$AH$8,0)))
/IF($E28=Nominal,AC$10,INDEX($N$10:$AH$10,,MATCH($E28,$N$8:$AH$8,0)))
*IF($H28=Mid_Period,1/(1+IF($G28=Nominal,AC$9,INDEX($N$9:$AH$9,,MATCH($G28,$N$8:$AH$8,0))))^INDEX(Timing_Adj,MATCH($H28,Cash_Timing,0)),1)
*IF($F28=Mid_Period,(1+IF($E28=Nominal,AC$9,INDEX($N$9:$AH$9,,MATCH($E28,$N$8:$AH$8,0))))^INDEX(Timing_Adj,MATCH($F28,Cash_Timing,0)),1),"N/A")</f>
        <v>1</v>
      </c>
      <c r="AD28" s="21" cm="1">
        <f t="array" ref="AD28">IFERROR(IF($G28=Nominal,AD$10,INDEX($N$10:$AH$10,,MATCH($G28,$N$8:$AH$8,0)))
/IF($E28=Nominal,AD$10,INDEX($N$10:$AH$10,,MATCH($E28,$N$8:$AH$8,0)))
*IF($H28=Mid_Period,1/(1+IF($G28=Nominal,AD$9,INDEX($N$9:$AH$9,,MATCH($G28,$N$8:$AH$8,0))))^INDEX(Timing_Adj,MATCH($H28,Cash_Timing,0)),1)
*IF($F28=Mid_Period,(1+IF($E28=Nominal,AD$9,INDEX($N$9:$AH$9,,MATCH($E28,$N$8:$AH$8,0))))^INDEX(Timing_Adj,MATCH($F28,Cash_Timing,0)),1),"N/A")</f>
        <v>1.0279978112784547</v>
      </c>
      <c r="AE28" s="21" cm="1">
        <f t="array" ref="AE28">IFERROR(IF($G28=Nominal,AE$10,INDEX($N$10:$AH$10,,MATCH($G28,$N$8:$AH$8,0)))
/IF($E28=Nominal,AE$10,INDEX($N$10:$AH$10,,MATCH($E28,$N$8:$AH$8,0)))
*IF($H28=Mid_Period,1/(1+IF($G28=Nominal,AE$9,INDEX($N$9:$AH$9,,MATCH($G28,$N$8:$AH$8,0))))^INDEX(Timing_Adj,MATCH($H28,Cash_Timing,0)),1)
*IF($F28=Mid_Period,(1+IF($E28=Nominal,AE$9,INDEX($N$9:$AH$9,,MATCH($E28,$N$8:$AH$8,0))))^INDEX(Timing_Adj,MATCH($F28,Cash_Timing,0)),1),"N/A")</f>
        <v>1.0567794999932933</v>
      </c>
      <c r="AF28" s="21" cm="1">
        <f t="array" ref="AF28">IFERROR(IF($G28=Nominal,AF$10,INDEX($N$10:$AH$10,,MATCH($G28,$N$8:$AH$8,0)))
/IF($E28=Nominal,AF$10,INDEX($N$10:$AH$10,,MATCH($E28,$N$8:$AH$8,0)))
*IF($H28=Mid_Period,1/(1+IF($G28=Nominal,AF$9,INDEX($N$9:$AH$9,,MATCH($G28,$N$8:$AH$8,0))))^INDEX(Timing_Adj,MATCH($H28,Cash_Timing,0)),1)
*IF($F28=Mid_Period,(1+IF($E28=Nominal,AF$9,INDEX($N$9:$AH$9,,MATCH($E28,$N$8:$AH$8,0))))^INDEX(Timing_Adj,MATCH($F28,Cash_Timing,0)),1),"N/A")</f>
        <v>1.0863670129970453</v>
      </c>
      <c r="AG28" s="21" cm="1">
        <f t="array" ref="AG28">IFERROR(IF($G28=Nominal,AG$10,INDEX($N$10:$AH$10,,MATCH($G28,$N$8:$AH$8,0)))
/IF($E28=Nominal,AG$10,INDEX($N$10:$AH$10,,MATCH($E28,$N$8:$AH$8,0)))
*IF($H28=Mid_Period,1/(1+IF($G28=Nominal,AG$9,INDEX($N$9:$AH$9,,MATCH($G28,$N$8:$AH$8,0))))^INDEX(Timing_Adj,MATCH($H28,Cash_Timing,0)),1)
*IF($F28=Mid_Period,(1+IF($E28=Nominal,AG$9,INDEX($N$9:$AH$9,,MATCH($E28,$N$8:$AH$8,0))))^INDEX(Timing_Adj,MATCH($F28,Cash_Timing,0)),1),"N/A")</f>
        <v>1.1167829116060752</v>
      </c>
      <c r="AH28" s="21" cm="1">
        <f t="array" ref="AH28">IFERROR(IF($G28=Nominal,AH$10,INDEX($N$10:$AH$10,,MATCH($G28,$N$8:$AH$8,0)))
/IF($E28=Nominal,AH$10,INDEX($N$10:$AH$10,,MATCH($E28,$N$8:$AH$8,0)))
*IF($H28=Mid_Period,1/(1+IF($G28=Nominal,AH$9,INDEX($N$9:$AH$9,,MATCH($G28,$N$8:$AH$8,0))))^INDEX(Timing_Adj,MATCH($H28,Cash_Timing,0)),1)
*IF($F28=Mid_Period,(1+IF($E28=Nominal,AH$9,INDEX($N$9:$AH$9,,MATCH($E28,$N$8:$AH$8,0))))^INDEX(Timing_Adj,MATCH($F28,Cash_Timing,0)),1),"N/A")</f>
        <v>1.1480503888042253</v>
      </c>
    </row>
    <row r="30" spans="2:34" s="6" customFormat="1" ht="18.75" x14ac:dyDescent="0.2">
      <c r="B30" s="6" t="s">
        <v>43</v>
      </c>
    </row>
  </sheetData>
  <dataValidations count="2">
    <dataValidation type="list" allowBlank="1" showInputMessage="1" showErrorMessage="1" sqref="F14:F28 H14:H28" xr:uid="{207C7592-A8F3-46C0-B78B-091967379183}">
      <formula1>Cash_Timing</formula1>
    </dataValidation>
    <dataValidation type="list" allowBlank="1" showInputMessage="1" showErrorMessage="1" sqref="E14:E28 G14:G28" xr:uid="{71858FB8-A1EB-433E-8AC0-B7876C9FE459}">
      <formula1>Index_Period</formula1>
    </dataValidation>
  </dataValidations>
  <hyperlinks>
    <hyperlink ref="B4" location="ToC!A1" display="ToC!A1" xr:uid="{51FCC2E4-0313-4908-A5CD-90C02534AFE2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D88AD-2B00-4E16-B1BC-641CC659C447}">
  <sheetPr codeName="Sheet4">
    <tabColor theme="4" tint="0.79998168889431442"/>
  </sheetPr>
  <dimension ref="A1:Z124"/>
  <sheetViews>
    <sheetView showGridLines="0" zoomScaleNormal="100" workbookViewId="0">
      <pane xSplit="4" ySplit="4" topLeftCell="E5" activePane="bottomRight" state="frozen"/>
      <selection activeCell="B5" sqref="B5"/>
      <selection pane="topRight" activeCell="B5" sqref="B5"/>
      <selection pane="bottomLeft" activeCell="B5" sqref="B5"/>
      <selection pane="bottomRight" activeCell="E5" sqref="E5"/>
    </sheetView>
  </sheetViews>
  <sheetFormatPr defaultRowHeight="12.75" x14ac:dyDescent="0.2"/>
  <cols>
    <col min="1" max="3" width="3.7109375" customWidth="1"/>
    <col min="4" max="4" width="40.140625" customWidth="1"/>
    <col min="5" max="8" width="13.5703125" customWidth="1"/>
    <col min="9" max="9" width="3.5703125" customWidth="1"/>
    <col min="10" max="10" width="11" bestFit="1" customWidth="1"/>
    <col min="19" max="19" width="9.7109375" bestFit="1" customWidth="1"/>
    <col min="24" max="24" width="10" bestFit="1" customWidth="1"/>
    <col min="25" max="25" width="2.5703125" customWidth="1"/>
  </cols>
  <sheetData>
    <row r="1" spans="1:26" ht="23.25" x14ac:dyDescent="0.35">
      <c r="A1" s="52">
        <f>IF(SUM(A5:A124)&lt;&gt;0,1,0)</f>
        <v>0</v>
      </c>
      <c r="B1" s="16" t="s">
        <v>580</v>
      </c>
    </row>
    <row r="2" spans="1:26" ht="15" x14ac:dyDescent="0.2">
      <c r="B2" s="34" t="str">
        <f>Model_Name</f>
        <v>Power and Water - Revised Proposal - Tables and Charts</v>
      </c>
    </row>
    <row r="3" spans="1:26" x14ac:dyDescent="0.2">
      <c r="B3" s="37" t="str">
        <f>"Model Checks:"&amp;IF(Model_Checks=0," OK"," Check")</f>
        <v>Model Checks: OK</v>
      </c>
      <c r="J3" s="62" t="str">
        <f>LookupTab!M$40</f>
        <v>FY15</v>
      </c>
      <c r="K3" s="62" t="str">
        <f>LookupTab!N$40</f>
        <v>FY16</v>
      </c>
      <c r="L3" s="62" t="str">
        <f>LookupTab!O$40</f>
        <v>FY17</v>
      </c>
      <c r="M3" s="62" t="str">
        <f>LookupTab!P$40</f>
        <v>FY18</v>
      </c>
      <c r="N3" s="62" t="str">
        <f>LookupTab!Q$40</f>
        <v>FY19</v>
      </c>
      <c r="O3" s="62" t="str">
        <f>LookupTab!R$40</f>
        <v>FY20</v>
      </c>
      <c r="P3" s="62" t="str">
        <f>LookupTab!S$40</f>
        <v>FY21</v>
      </c>
      <c r="Q3" s="62" t="str">
        <f>LookupTab!T$40</f>
        <v>FY22</v>
      </c>
      <c r="R3" s="62" t="str">
        <f>LookupTab!U$40</f>
        <v>FY23</v>
      </c>
      <c r="S3" s="62" t="str">
        <f>LookupTab!V$40</f>
        <v>FY24</v>
      </c>
      <c r="T3" s="62" t="str">
        <f>LookupTab!W$40</f>
        <v>FY25</v>
      </c>
      <c r="U3" s="62" t="str">
        <f>LookupTab!X$40</f>
        <v>FY26</v>
      </c>
      <c r="V3" s="62" t="str">
        <f>LookupTab!Y$40</f>
        <v>FY27</v>
      </c>
      <c r="W3" s="62" t="str">
        <f>LookupTab!Z$40</f>
        <v>FY28</v>
      </c>
      <c r="X3" s="62" t="str">
        <f>LookupTab!AA$40</f>
        <v>FY29</v>
      </c>
    </row>
    <row r="4" spans="1:26" ht="15" x14ac:dyDescent="0.2">
      <c r="B4" s="29" t="str">
        <f>ToC!$B$1</f>
        <v>Table of contents</v>
      </c>
      <c r="E4" s="48" t="s">
        <v>2</v>
      </c>
      <c r="F4" s="48" t="s">
        <v>3</v>
      </c>
      <c r="G4" s="48" t="s">
        <v>4</v>
      </c>
      <c r="H4" s="48" t="s">
        <v>1</v>
      </c>
      <c r="J4" s="110" t="str">
        <f>LookupTab!M$41</f>
        <v>Previous Period</v>
      </c>
      <c r="K4" s="41"/>
      <c r="L4" s="41"/>
      <c r="M4" s="41"/>
      <c r="N4" s="41"/>
      <c r="O4" s="111" t="str">
        <f>LookupTab!R$41</f>
        <v>Current Period</v>
      </c>
      <c r="P4" s="42"/>
      <c r="Q4" s="42"/>
      <c r="R4" s="42"/>
      <c r="S4" s="42"/>
      <c r="T4" s="112" t="str">
        <f>LookupTab!W$41</f>
        <v>Next Period</v>
      </c>
      <c r="U4" s="43"/>
      <c r="V4" s="43"/>
      <c r="W4" s="43"/>
      <c r="X4" s="43"/>
    </row>
    <row r="6" spans="1:26" s="6" customFormat="1" ht="18.75" x14ac:dyDescent="0.2">
      <c r="B6" s="6" t="s">
        <v>581</v>
      </c>
    </row>
    <row r="8" spans="1:26" s="121" customFormat="1" ht="15.75" x14ac:dyDescent="0.2">
      <c r="C8" s="121" t="s">
        <v>582</v>
      </c>
    </row>
    <row r="10" spans="1:26" x14ac:dyDescent="0.2">
      <c r="D10" s="60" t="s">
        <v>56</v>
      </c>
      <c r="E10" s="61" t="str">
        <f>E$4</f>
        <v>Unit</v>
      </c>
      <c r="F10" s="61" t="str">
        <f>F$4</f>
        <v>Basis</v>
      </c>
      <c r="G10" s="61" t="str">
        <f>G$4</f>
        <v>Timing</v>
      </c>
      <c r="H10" s="61" t="str">
        <f>H$4</f>
        <v>Source</v>
      </c>
      <c r="I10" s="60"/>
      <c r="J10" s="62" t="str">
        <f>J$3</f>
        <v>FY15</v>
      </c>
      <c r="K10" s="62" t="str">
        <f t="shared" ref="K10:X10" si="0">K$3</f>
        <v>FY16</v>
      </c>
      <c r="L10" s="62" t="str">
        <f t="shared" si="0"/>
        <v>FY17</v>
      </c>
      <c r="M10" s="62" t="str">
        <f t="shared" si="0"/>
        <v>FY18</v>
      </c>
      <c r="N10" s="62" t="str">
        <f t="shared" si="0"/>
        <v>FY19</v>
      </c>
      <c r="O10" s="62" t="str">
        <f t="shared" si="0"/>
        <v>FY20</v>
      </c>
      <c r="P10" s="62" t="str">
        <f t="shared" si="0"/>
        <v>FY21</v>
      </c>
      <c r="Q10" s="62" t="str">
        <f t="shared" si="0"/>
        <v>FY22</v>
      </c>
      <c r="R10" s="62" t="str">
        <f t="shared" si="0"/>
        <v>FY23</v>
      </c>
      <c r="S10" s="62" t="str">
        <f t="shared" si="0"/>
        <v>FY24</v>
      </c>
      <c r="T10" s="62" t="str">
        <f t="shared" si="0"/>
        <v>FY25</v>
      </c>
      <c r="U10" s="62" t="str">
        <f t="shared" si="0"/>
        <v>FY26</v>
      </c>
      <c r="V10" s="62" t="str">
        <f t="shared" si="0"/>
        <v>FY27</v>
      </c>
      <c r="W10" s="62" t="str">
        <f t="shared" si="0"/>
        <v>FY28</v>
      </c>
      <c r="X10" s="62" t="str">
        <f t="shared" si="0"/>
        <v>FY29</v>
      </c>
      <c r="Z10" s="70" t="s">
        <v>138</v>
      </c>
    </row>
    <row r="12" spans="1:26" x14ac:dyDescent="0.2">
      <c r="D12" s="37" t="s">
        <v>97</v>
      </c>
      <c r="E12" s="39" t="s">
        <v>117</v>
      </c>
      <c r="F12" s="31" t="s">
        <v>6</v>
      </c>
      <c r="G12" s="31" t="s">
        <v>6</v>
      </c>
      <c r="H12" s="31" t="s">
        <v>124</v>
      </c>
      <c r="J12" s="57">
        <v>82646</v>
      </c>
      <c r="K12" s="57">
        <v>84201</v>
      </c>
      <c r="L12" s="57">
        <v>85710</v>
      </c>
      <c r="M12" s="57">
        <v>85276</v>
      </c>
      <c r="N12" s="57">
        <v>85743</v>
      </c>
      <c r="O12" s="57">
        <v>86263</v>
      </c>
      <c r="P12" s="57">
        <v>83236</v>
      </c>
      <c r="Q12" s="57">
        <v>84065</v>
      </c>
      <c r="R12" s="292">
        <v>85906</v>
      </c>
      <c r="S12" s="58"/>
      <c r="T12" s="58"/>
      <c r="U12" s="58"/>
      <c r="V12" s="58"/>
      <c r="W12" s="58"/>
      <c r="X12" s="58"/>
    </row>
    <row r="13" spans="1:26" x14ac:dyDescent="0.2">
      <c r="D13" s="37" t="s">
        <v>778</v>
      </c>
      <c r="E13" s="39" t="str">
        <f t="shared" ref="E13:G14" si="1">E12</f>
        <v>Number</v>
      </c>
      <c r="F13" s="39" t="str">
        <f t="shared" si="1"/>
        <v>N/A</v>
      </c>
      <c r="G13" s="39" t="str">
        <f t="shared" si="1"/>
        <v>N/A</v>
      </c>
      <c r="H13" s="39" t="s">
        <v>8</v>
      </c>
      <c r="J13" s="58"/>
      <c r="K13" s="58"/>
      <c r="L13" s="58"/>
      <c r="M13" s="58"/>
      <c r="N13" s="58"/>
      <c r="O13" s="58"/>
      <c r="P13" s="58"/>
      <c r="Q13" s="58"/>
      <c r="R13" s="58"/>
      <c r="S13" s="292">
        <v>86119.01146704983</v>
      </c>
      <c r="T13" s="292">
        <v>86084.144838590568</v>
      </c>
      <c r="U13" s="292">
        <v>86372.958614888892</v>
      </c>
      <c r="V13" s="292">
        <v>86663.543851075097</v>
      </c>
      <c r="W13" s="292">
        <v>86953.879635657082</v>
      </c>
      <c r="X13" s="292">
        <v>87245.97975897076</v>
      </c>
    </row>
    <row r="14" spans="1:26" x14ac:dyDescent="0.2">
      <c r="D14" s="37" t="s">
        <v>779</v>
      </c>
      <c r="E14" s="39" t="str">
        <f t="shared" si="1"/>
        <v>Number</v>
      </c>
      <c r="F14" s="39" t="str">
        <f t="shared" si="1"/>
        <v>N/A</v>
      </c>
      <c r="G14" s="39" t="str">
        <f t="shared" si="1"/>
        <v>N/A</v>
      </c>
      <c r="H14" s="39" t="s">
        <v>8</v>
      </c>
      <c r="J14" s="58"/>
      <c r="K14" s="58"/>
      <c r="L14" s="58"/>
      <c r="M14" s="58"/>
      <c r="N14" s="58"/>
      <c r="O14" s="58"/>
      <c r="P14" s="58"/>
      <c r="Q14" s="58"/>
      <c r="R14" s="58"/>
      <c r="S14" s="292">
        <v>397</v>
      </c>
      <c r="T14" s="292">
        <v>397</v>
      </c>
      <c r="U14" s="292">
        <v>397</v>
      </c>
      <c r="V14" s="292">
        <v>397</v>
      </c>
      <c r="W14" s="292">
        <v>397</v>
      </c>
      <c r="X14" s="292">
        <v>397</v>
      </c>
      <c r="Y14" s="37" t="s">
        <v>1595</v>
      </c>
    </row>
    <row r="15" spans="1:26" x14ac:dyDescent="0.2">
      <c r="H15" s="61"/>
    </row>
    <row r="16" spans="1:26" x14ac:dyDescent="0.2">
      <c r="D16" s="115" t="str">
        <f>"Applied "&amp;C8</f>
        <v>Applied Customer numbers</v>
      </c>
      <c r="E16" s="116" t="str">
        <f>E13</f>
        <v>Number</v>
      </c>
      <c r="F16" s="116" t="str">
        <f>F13</f>
        <v>N/A</v>
      </c>
      <c r="G16" s="116" t="str">
        <f>G13</f>
        <v>N/A</v>
      </c>
      <c r="H16" s="116" t="s">
        <v>8</v>
      </c>
      <c r="J16" s="120">
        <f>IF(ISBLANK(J12),J13+J14,J12)</f>
        <v>82646</v>
      </c>
      <c r="K16" s="120">
        <f t="shared" ref="K16:X16" si="2">IF(ISBLANK(K12),K13+K14,K12)</f>
        <v>84201</v>
      </c>
      <c r="L16" s="120">
        <f t="shared" si="2"/>
        <v>85710</v>
      </c>
      <c r="M16" s="120">
        <f t="shared" si="2"/>
        <v>85276</v>
      </c>
      <c r="N16" s="120">
        <f t="shared" si="2"/>
        <v>85743</v>
      </c>
      <c r="O16" s="120">
        <f t="shared" si="2"/>
        <v>86263</v>
      </c>
      <c r="P16" s="120">
        <f t="shared" si="2"/>
        <v>83236</v>
      </c>
      <c r="Q16" s="120">
        <f t="shared" si="2"/>
        <v>84065</v>
      </c>
      <c r="R16" s="120">
        <f t="shared" si="2"/>
        <v>85906</v>
      </c>
      <c r="S16" s="120">
        <f t="shared" si="2"/>
        <v>86516.01146704983</v>
      </c>
      <c r="T16" s="120">
        <f t="shared" si="2"/>
        <v>86481.144838590568</v>
      </c>
      <c r="U16" s="120">
        <f t="shared" si="2"/>
        <v>86769.958614888892</v>
      </c>
      <c r="V16" s="120">
        <f t="shared" si="2"/>
        <v>87060.543851075097</v>
      </c>
      <c r="W16" s="120">
        <f t="shared" si="2"/>
        <v>87350.879635657082</v>
      </c>
      <c r="X16" s="120">
        <f t="shared" si="2"/>
        <v>87642.97975897076</v>
      </c>
    </row>
    <row r="18" spans="3:26" x14ac:dyDescent="0.2">
      <c r="D18" s="37" t="s">
        <v>127</v>
      </c>
      <c r="E18" s="39" t="str">
        <f>E12</f>
        <v>Number</v>
      </c>
      <c r="F18" s="39" t="str">
        <f>NA</f>
        <v>N/A</v>
      </c>
      <c r="G18" s="39" t="str">
        <f>NA</f>
        <v>N/A</v>
      </c>
      <c r="H18" s="39" t="s">
        <v>8</v>
      </c>
      <c r="J18" s="58"/>
      <c r="K18" s="59">
        <f>K16-J16</f>
        <v>1555</v>
      </c>
      <c r="L18" s="59">
        <f t="shared" ref="L18:X18" si="3">L16-K16</f>
        <v>1509</v>
      </c>
      <c r="M18" s="59">
        <f t="shared" si="3"/>
        <v>-434</v>
      </c>
      <c r="N18" s="59">
        <f t="shared" si="3"/>
        <v>467</v>
      </c>
      <c r="O18" s="59">
        <f t="shared" si="3"/>
        <v>520</v>
      </c>
      <c r="P18" s="59">
        <f>P16-O16</f>
        <v>-3027</v>
      </c>
      <c r="Q18" s="59">
        <f t="shared" si="3"/>
        <v>829</v>
      </c>
      <c r="R18" s="59">
        <f t="shared" si="3"/>
        <v>1841</v>
      </c>
      <c r="S18" s="59">
        <f t="shared" si="3"/>
        <v>610.01146704982966</v>
      </c>
      <c r="T18" s="59">
        <f t="shared" si="3"/>
        <v>-34.866628459261847</v>
      </c>
      <c r="U18" s="59">
        <f t="shared" si="3"/>
        <v>288.81377629832423</v>
      </c>
      <c r="V18" s="59">
        <f t="shared" si="3"/>
        <v>290.58523618620529</v>
      </c>
      <c r="W18" s="59">
        <f t="shared" si="3"/>
        <v>290.33578458198463</v>
      </c>
      <c r="X18" s="59">
        <f t="shared" si="3"/>
        <v>292.10012331367761</v>
      </c>
    </row>
    <row r="19" spans="3:26" x14ac:dyDescent="0.2">
      <c r="D19" s="37" t="s">
        <v>126</v>
      </c>
      <c r="E19" s="39" t="str">
        <f>Unit_Perc</f>
        <v>Percent</v>
      </c>
      <c r="F19" s="39" t="str">
        <f>NA</f>
        <v>N/A</v>
      </c>
      <c r="G19" s="39" t="str">
        <f>NA</f>
        <v>N/A</v>
      </c>
      <c r="H19" s="39" t="s">
        <v>8</v>
      </c>
      <c r="J19" s="58"/>
      <c r="K19" s="114">
        <f t="shared" ref="K19:Q19" si="4">K16/J16-1</f>
        <v>1.8815187667884814E-2</v>
      </c>
      <c r="L19" s="114">
        <f t="shared" si="4"/>
        <v>1.7921402358641814E-2</v>
      </c>
      <c r="M19" s="114">
        <f t="shared" si="4"/>
        <v>-5.0635865126589241E-3</v>
      </c>
      <c r="N19" s="114">
        <f t="shared" si="4"/>
        <v>5.4763356630236348E-3</v>
      </c>
      <c r="O19" s="114">
        <f t="shared" si="4"/>
        <v>6.0646350139370586E-3</v>
      </c>
      <c r="P19" s="114">
        <f t="shared" si="4"/>
        <v>-3.5090363191634832E-2</v>
      </c>
      <c r="Q19" s="114">
        <f t="shared" si="4"/>
        <v>9.9596328511701859E-3</v>
      </c>
      <c r="R19" s="293">
        <f t="shared" ref="R19:X19" si="5">R16/Q16-1</f>
        <v>2.1899720454410243E-2</v>
      </c>
      <c r="S19" s="293">
        <f t="shared" si="5"/>
        <v>7.1009180621821599E-3</v>
      </c>
      <c r="T19" s="293">
        <f t="shared" si="5"/>
        <v>-4.030078117105429E-4</v>
      </c>
      <c r="U19" s="293">
        <f t="shared" si="5"/>
        <v>3.3396155524694215E-3</v>
      </c>
      <c r="V19" s="293">
        <f t="shared" si="5"/>
        <v>3.348915233161609E-3</v>
      </c>
      <c r="W19" s="293">
        <f t="shared" si="5"/>
        <v>3.3348721675645621E-3</v>
      </c>
      <c r="X19" s="293">
        <f t="shared" si="5"/>
        <v>3.3439860540847022E-3</v>
      </c>
      <c r="Z19" s="114">
        <f>AVERAGE(O19:Q19)</f>
        <v>-6.3553651088425296E-3</v>
      </c>
    </row>
    <row r="21" spans="3:26" x14ac:dyDescent="0.2">
      <c r="D21" s="37" t="s">
        <v>305</v>
      </c>
      <c r="E21" s="39" t="s">
        <v>117</v>
      </c>
      <c r="F21" s="39" t="str">
        <f t="shared" ref="F21:G27" si="6">NA</f>
        <v>N/A</v>
      </c>
      <c r="G21" s="39" t="str">
        <f t="shared" si="6"/>
        <v>N/A</v>
      </c>
      <c r="H21" s="31" t="s">
        <v>308</v>
      </c>
      <c r="J21" s="58"/>
      <c r="K21" s="58"/>
      <c r="L21" s="58"/>
      <c r="M21" s="57">
        <v>76656</v>
      </c>
      <c r="N21" s="57">
        <v>75034</v>
      </c>
      <c r="O21" s="57">
        <v>72387</v>
      </c>
      <c r="P21" s="57">
        <v>71951</v>
      </c>
      <c r="Q21" s="57">
        <v>70859.248376837088</v>
      </c>
      <c r="R21" s="57">
        <v>71395.763580125858</v>
      </c>
      <c r="S21" s="57">
        <v>71923.416687863239</v>
      </c>
      <c r="T21" s="57">
        <v>70609.773342410859</v>
      </c>
      <c r="U21" s="57">
        <v>71098.086039433198</v>
      </c>
      <c r="V21" s="57">
        <v>71587.004211495165</v>
      </c>
      <c r="W21" s="57">
        <v>72076.544013030652</v>
      </c>
      <c r="X21" s="57">
        <v>72566.722036084975</v>
      </c>
    </row>
    <row r="22" spans="3:26" x14ac:dyDescent="0.2">
      <c r="D22" s="37" t="s">
        <v>275</v>
      </c>
      <c r="E22" s="39" t="s">
        <v>117</v>
      </c>
      <c r="F22" s="39" t="str">
        <f t="shared" si="6"/>
        <v>N/A</v>
      </c>
      <c r="G22" s="39" t="str">
        <f t="shared" si="6"/>
        <v>N/A</v>
      </c>
      <c r="H22" s="39" t="s">
        <v>8</v>
      </c>
      <c r="J22" s="58"/>
      <c r="K22" s="58"/>
      <c r="L22" s="58"/>
      <c r="M22" s="58"/>
      <c r="N22" s="59">
        <f>N21-M21</f>
        <v>-1622</v>
      </c>
      <c r="O22" s="59">
        <f t="shared" ref="O22:X22" si="7">O21-N21</f>
        <v>-2647</v>
      </c>
      <c r="P22" s="59">
        <f t="shared" si="7"/>
        <v>-436</v>
      </c>
      <c r="Q22" s="59">
        <f t="shared" si="7"/>
        <v>-1091.7516231629124</v>
      </c>
      <c r="R22" s="59">
        <f t="shared" si="7"/>
        <v>536.51520328877086</v>
      </c>
      <c r="S22" s="59">
        <f t="shared" si="7"/>
        <v>527.6531077373802</v>
      </c>
      <c r="T22" s="59">
        <f t="shared" si="7"/>
        <v>-1313.6433454523794</v>
      </c>
      <c r="U22" s="59">
        <f t="shared" si="7"/>
        <v>488.3126970223384</v>
      </c>
      <c r="V22" s="59">
        <f t="shared" si="7"/>
        <v>488.9181720619672</v>
      </c>
      <c r="W22" s="59">
        <f t="shared" si="7"/>
        <v>489.53980153548764</v>
      </c>
      <c r="X22" s="59">
        <f t="shared" si="7"/>
        <v>490.17802305432269</v>
      </c>
    </row>
    <row r="23" spans="3:26" x14ac:dyDescent="0.2">
      <c r="D23" t="s">
        <v>274</v>
      </c>
      <c r="E23" s="39" t="s">
        <v>117</v>
      </c>
      <c r="F23" s="39" t="str">
        <f t="shared" si="6"/>
        <v>N/A</v>
      </c>
      <c r="G23" s="39" t="str">
        <f t="shared" si="6"/>
        <v>N/A</v>
      </c>
      <c r="H23" s="39" t="s">
        <v>8</v>
      </c>
      <c r="J23" s="58"/>
      <c r="K23" s="58"/>
      <c r="L23" s="58"/>
      <c r="M23" s="58"/>
      <c r="N23" s="59">
        <f>N24-N22</f>
        <v>2315</v>
      </c>
      <c r="O23" s="59">
        <f t="shared" ref="O23:X23" si="8">O24-O22</f>
        <v>3056</v>
      </c>
      <c r="P23" s="59">
        <f t="shared" si="8"/>
        <v>955</v>
      </c>
      <c r="Q23" s="59">
        <f t="shared" si="8"/>
        <v>1683.7516231629124</v>
      </c>
      <c r="R23" s="59">
        <f t="shared" si="8"/>
        <v>34.603128845712945</v>
      </c>
      <c r="S23" s="59">
        <f t="shared" si="8"/>
        <v>45.647876749281977</v>
      </c>
      <c r="T23" s="59">
        <f t="shared" si="8"/>
        <v>1848.4597988252392</v>
      </c>
      <c r="U23" s="59">
        <f t="shared" si="8"/>
        <v>49.245806553418106</v>
      </c>
      <c r="V23" s="59">
        <f t="shared" si="8"/>
        <v>51.403734871590814</v>
      </c>
      <c r="W23" s="59">
        <f t="shared" si="8"/>
        <v>53.567431625634526</v>
      </c>
      <c r="X23" s="59">
        <f t="shared" si="8"/>
        <v>55.737044352136309</v>
      </c>
    </row>
    <row r="24" spans="3:26" x14ac:dyDescent="0.2">
      <c r="D24" s="37" t="s">
        <v>306</v>
      </c>
      <c r="E24" s="39" t="s">
        <v>117</v>
      </c>
      <c r="F24" s="39" t="str">
        <f t="shared" si="6"/>
        <v>N/A</v>
      </c>
      <c r="G24" s="39" t="str">
        <f t="shared" si="6"/>
        <v>N/A</v>
      </c>
      <c r="H24" s="31" t="s">
        <v>308</v>
      </c>
      <c r="J24" s="58"/>
      <c r="K24" s="58"/>
      <c r="L24" s="58"/>
      <c r="M24" s="57">
        <v>687</v>
      </c>
      <c r="N24" s="57">
        <v>693</v>
      </c>
      <c r="O24" s="57">
        <v>409</v>
      </c>
      <c r="P24" s="57">
        <v>519</v>
      </c>
      <c r="Q24" s="57">
        <v>592</v>
      </c>
      <c r="R24" s="57">
        <v>571.11833213448381</v>
      </c>
      <c r="S24" s="57">
        <v>573.30098448666217</v>
      </c>
      <c r="T24" s="57">
        <v>534.81645337285977</v>
      </c>
      <c r="U24" s="57">
        <v>537.5585035757565</v>
      </c>
      <c r="V24" s="57">
        <v>540.32190693355801</v>
      </c>
      <c r="W24" s="57">
        <v>543.10723316112217</v>
      </c>
      <c r="X24" s="57">
        <v>545.915067406459</v>
      </c>
    </row>
    <row r="26" spans="3:26" x14ac:dyDescent="0.2">
      <c r="D26" s="37" t="s">
        <v>277</v>
      </c>
      <c r="E26" s="39" t="s">
        <v>117</v>
      </c>
      <c r="F26" s="39" t="str">
        <f t="shared" si="6"/>
        <v>N/A</v>
      </c>
      <c r="G26" s="39" t="str">
        <f t="shared" si="6"/>
        <v>N/A</v>
      </c>
      <c r="H26" s="31" t="s">
        <v>105</v>
      </c>
      <c r="J26" s="58"/>
      <c r="K26" s="58"/>
      <c r="L26" s="58"/>
      <c r="M26" s="57">
        <v>85276</v>
      </c>
      <c r="N26" s="57">
        <v>85743</v>
      </c>
      <c r="O26" s="57">
        <v>86343</v>
      </c>
      <c r="P26" s="57">
        <v>87284</v>
      </c>
      <c r="Q26" s="57">
        <v>87575</v>
      </c>
      <c r="R26" s="58"/>
      <c r="S26" s="58"/>
      <c r="T26" s="58"/>
      <c r="U26" s="58"/>
      <c r="V26" s="58"/>
      <c r="W26" s="58"/>
      <c r="X26" s="58"/>
    </row>
    <row r="27" spans="3:26" x14ac:dyDescent="0.2">
      <c r="D27" s="37" t="s">
        <v>278</v>
      </c>
      <c r="E27" s="39" t="s">
        <v>117</v>
      </c>
      <c r="F27" s="39" t="str">
        <f t="shared" si="6"/>
        <v>N/A</v>
      </c>
      <c r="G27" s="39" t="str">
        <f t="shared" si="6"/>
        <v>N/A</v>
      </c>
      <c r="H27" s="31" t="s">
        <v>105</v>
      </c>
      <c r="J27" s="58"/>
      <c r="K27" s="58"/>
      <c r="L27" s="58"/>
      <c r="M27" s="57">
        <v>2685</v>
      </c>
      <c r="N27" s="57">
        <v>3302</v>
      </c>
      <c r="O27" s="57">
        <v>3742</v>
      </c>
      <c r="P27" s="57">
        <v>2419</v>
      </c>
      <c r="Q27" s="57">
        <v>1206</v>
      </c>
      <c r="R27" s="58"/>
      <c r="S27" s="58"/>
      <c r="T27" s="58"/>
      <c r="U27" s="58"/>
      <c r="V27" s="58"/>
      <c r="W27" s="58"/>
      <c r="X27" s="58"/>
    </row>
    <row r="29" spans="3:26" s="121" customFormat="1" ht="15.75" x14ac:dyDescent="0.2">
      <c r="C29" s="121" t="s">
        <v>583</v>
      </c>
    </row>
    <row r="31" spans="3:26" x14ac:dyDescent="0.2">
      <c r="D31" s="60" t="s">
        <v>56</v>
      </c>
      <c r="E31" s="61" t="str">
        <f>E$4</f>
        <v>Unit</v>
      </c>
      <c r="F31" s="61" t="str">
        <f>F$4</f>
        <v>Basis</v>
      </c>
      <c r="G31" s="61" t="str">
        <f>G$4</f>
        <v>Timing</v>
      </c>
      <c r="H31" s="61" t="str">
        <f>H$4</f>
        <v>Source</v>
      </c>
      <c r="I31" s="60"/>
      <c r="J31" s="62" t="str">
        <f>J$3</f>
        <v>FY15</v>
      </c>
      <c r="K31" s="62" t="str">
        <f t="shared" ref="K31:X31" si="9">K$3</f>
        <v>FY16</v>
      </c>
      <c r="L31" s="62" t="str">
        <f t="shared" si="9"/>
        <v>FY17</v>
      </c>
      <c r="M31" s="62" t="str">
        <f t="shared" si="9"/>
        <v>FY18</v>
      </c>
      <c r="N31" s="62" t="str">
        <f t="shared" si="9"/>
        <v>FY19</v>
      </c>
      <c r="O31" s="62" t="str">
        <f t="shared" si="9"/>
        <v>FY20</v>
      </c>
      <c r="P31" s="62" t="str">
        <f t="shared" si="9"/>
        <v>FY21</v>
      </c>
      <c r="Q31" s="62" t="str">
        <f t="shared" si="9"/>
        <v>FY22</v>
      </c>
      <c r="R31" s="62" t="str">
        <f t="shared" si="9"/>
        <v>FY23</v>
      </c>
      <c r="S31" s="62" t="str">
        <f t="shared" si="9"/>
        <v>FY24</v>
      </c>
      <c r="T31" s="62" t="str">
        <f t="shared" si="9"/>
        <v>FY25</v>
      </c>
      <c r="U31" s="62" t="str">
        <f t="shared" si="9"/>
        <v>FY26</v>
      </c>
      <c r="V31" s="62" t="str">
        <f t="shared" si="9"/>
        <v>FY27</v>
      </c>
      <c r="W31" s="62" t="str">
        <f t="shared" si="9"/>
        <v>FY28</v>
      </c>
      <c r="X31" s="62" t="str">
        <f t="shared" si="9"/>
        <v>FY29</v>
      </c>
    </row>
    <row r="33" spans="3:26" x14ac:dyDescent="0.2">
      <c r="D33" s="37" t="str">
        <f>$D$12</f>
        <v>Actual</v>
      </c>
      <c r="E33" s="39" t="s">
        <v>118</v>
      </c>
      <c r="F33" s="31" t="s">
        <v>6</v>
      </c>
      <c r="G33" s="31" t="s">
        <v>6</v>
      </c>
      <c r="H33" s="31" t="s">
        <v>122</v>
      </c>
      <c r="J33" s="57">
        <v>6845.0452486310824</v>
      </c>
      <c r="K33" s="57">
        <v>6944.8262185339436</v>
      </c>
      <c r="L33" s="57">
        <v>7014.7993669631696</v>
      </c>
      <c r="M33" s="57">
        <v>7049</v>
      </c>
      <c r="N33" s="57">
        <v>7103.2629147000007</v>
      </c>
      <c r="O33" s="57">
        <v>6991.0996945000006</v>
      </c>
      <c r="P33" s="57">
        <v>6996.9542096000005</v>
      </c>
      <c r="Q33" s="57">
        <v>7032.1142555000006</v>
      </c>
      <c r="R33" s="292">
        <v>7092.617570800001</v>
      </c>
      <c r="S33" s="58"/>
      <c r="T33" s="58"/>
      <c r="U33" s="58"/>
      <c r="V33" s="58"/>
      <c r="W33" s="58"/>
      <c r="X33" s="58"/>
    </row>
    <row r="34" spans="3:26" x14ac:dyDescent="0.2">
      <c r="D34" s="37" t="s">
        <v>116</v>
      </c>
      <c r="E34" s="39" t="str">
        <f>E33</f>
        <v>Km</v>
      </c>
      <c r="F34" s="39" t="str">
        <f>F33</f>
        <v>N/A</v>
      </c>
      <c r="G34" s="39" t="str">
        <f>G33</f>
        <v>N/A</v>
      </c>
      <c r="H34" s="31" t="s">
        <v>137</v>
      </c>
      <c r="J34" s="58"/>
      <c r="K34" s="58"/>
      <c r="L34" s="58"/>
      <c r="M34" s="58"/>
      <c r="N34" s="58"/>
      <c r="O34" s="58"/>
      <c r="P34" s="58"/>
      <c r="Q34" s="58"/>
      <c r="R34" s="294"/>
      <c r="S34" s="59">
        <f t="shared" ref="S34:X34" si="10">R36+S100</f>
        <v>7139.5268708344593</v>
      </c>
      <c r="T34" s="59">
        <f t="shared" si="10"/>
        <v>7163.6262940785036</v>
      </c>
      <c r="U34" s="59">
        <f t="shared" si="10"/>
        <v>7180.0733958747069</v>
      </c>
      <c r="V34" s="59">
        <f t="shared" si="10"/>
        <v>7199.1970917265671</v>
      </c>
      <c r="W34" s="59">
        <f t="shared" si="10"/>
        <v>7214.2085793021124</v>
      </c>
      <c r="X34" s="59">
        <f t="shared" si="10"/>
        <v>7228.2952305361441</v>
      </c>
    </row>
    <row r="35" spans="3:26" x14ac:dyDescent="0.2">
      <c r="H35" s="61"/>
    </row>
    <row r="36" spans="3:26" x14ac:dyDescent="0.2">
      <c r="D36" s="115" t="str">
        <f>"Applied "&amp;C29</f>
        <v>Applied Circuit length (Overhead and underground)</v>
      </c>
      <c r="E36" s="116" t="str">
        <f>E34</f>
        <v>Km</v>
      </c>
      <c r="F36" s="116" t="str">
        <f>F34</f>
        <v>N/A</v>
      </c>
      <c r="G36" s="116" t="str">
        <f>G34</f>
        <v>N/A</v>
      </c>
      <c r="H36" s="116" t="s">
        <v>8</v>
      </c>
      <c r="J36" s="120">
        <f t="shared" ref="J36:X36" si="11">IF(ISBLANK(J33),J34,J33)</f>
        <v>6845.0452486310824</v>
      </c>
      <c r="K36" s="120">
        <f t="shared" si="11"/>
        <v>6944.8262185339436</v>
      </c>
      <c r="L36" s="120">
        <f t="shared" si="11"/>
        <v>7014.7993669631696</v>
      </c>
      <c r="M36" s="120">
        <f t="shared" si="11"/>
        <v>7049</v>
      </c>
      <c r="N36" s="120">
        <f t="shared" si="11"/>
        <v>7103.2629147000007</v>
      </c>
      <c r="O36" s="120">
        <f t="shared" si="11"/>
        <v>6991.0996945000006</v>
      </c>
      <c r="P36" s="120">
        <f t="shared" si="11"/>
        <v>6996.9542096000005</v>
      </c>
      <c r="Q36" s="120">
        <f t="shared" si="11"/>
        <v>7032.1142555000006</v>
      </c>
      <c r="R36" s="120">
        <f t="shared" si="11"/>
        <v>7092.617570800001</v>
      </c>
      <c r="S36" s="120">
        <f t="shared" si="11"/>
        <v>7139.5268708344593</v>
      </c>
      <c r="T36" s="120">
        <f t="shared" si="11"/>
        <v>7163.6262940785036</v>
      </c>
      <c r="U36" s="120">
        <f t="shared" si="11"/>
        <v>7180.0733958747069</v>
      </c>
      <c r="V36" s="120">
        <f t="shared" si="11"/>
        <v>7199.1970917265671</v>
      </c>
      <c r="W36" s="120">
        <f t="shared" si="11"/>
        <v>7214.2085793021124</v>
      </c>
      <c r="X36" s="120">
        <f t="shared" si="11"/>
        <v>7228.2952305361441</v>
      </c>
    </row>
    <row r="38" spans="3:26" x14ac:dyDescent="0.2">
      <c r="D38" s="63" t="s">
        <v>127</v>
      </c>
      <c r="E38" s="65" t="str">
        <f>E33</f>
        <v>Km</v>
      </c>
      <c r="F38" s="65" t="str">
        <f>NA</f>
        <v>N/A</v>
      </c>
      <c r="G38" s="65" t="str">
        <f>NA</f>
        <v>N/A</v>
      </c>
      <c r="H38" s="64" t="s">
        <v>8</v>
      </c>
      <c r="J38" s="58"/>
      <c r="K38" s="59">
        <f>K36-J36</f>
        <v>99.780969902861216</v>
      </c>
      <c r="L38" s="59">
        <f t="shared" ref="L38:X38" si="12">L36-K36</f>
        <v>69.973148429226057</v>
      </c>
      <c r="M38" s="59">
        <f t="shared" si="12"/>
        <v>34.200633036830368</v>
      </c>
      <c r="N38" s="59">
        <f t="shared" si="12"/>
        <v>54.262914700000692</v>
      </c>
      <c r="O38" s="59">
        <f t="shared" si="12"/>
        <v>-112.16322020000007</v>
      </c>
      <c r="P38" s="59">
        <f t="shared" si="12"/>
        <v>5.8545150999998441</v>
      </c>
      <c r="Q38" s="59">
        <f t="shared" si="12"/>
        <v>35.160045900000114</v>
      </c>
      <c r="R38" s="59">
        <f t="shared" si="12"/>
        <v>60.503315300000395</v>
      </c>
      <c r="S38" s="59">
        <f t="shared" si="12"/>
        <v>46.909300034458283</v>
      </c>
      <c r="T38" s="59">
        <f t="shared" si="12"/>
        <v>24.099423244044374</v>
      </c>
      <c r="U38" s="59">
        <f t="shared" si="12"/>
        <v>16.447101796203242</v>
      </c>
      <c r="V38" s="59">
        <f t="shared" si="12"/>
        <v>19.123695851860248</v>
      </c>
      <c r="W38" s="59">
        <f t="shared" si="12"/>
        <v>15.011487575545289</v>
      </c>
      <c r="X38" s="59">
        <f t="shared" si="12"/>
        <v>14.086651234031706</v>
      </c>
    </row>
    <row r="39" spans="3:26" x14ac:dyDescent="0.2">
      <c r="D39" s="63" t="s">
        <v>126</v>
      </c>
      <c r="E39" s="65" t="str">
        <f>Unit_Perc</f>
        <v>Percent</v>
      </c>
      <c r="F39" s="65" t="str">
        <f>NA</f>
        <v>N/A</v>
      </c>
      <c r="G39" s="65" t="str">
        <f>NA</f>
        <v>N/A</v>
      </c>
      <c r="H39" s="64" t="s">
        <v>8</v>
      </c>
      <c r="J39" s="58"/>
      <c r="K39" s="114">
        <f t="shared" ref="K39:R39" si="13">K36/J36-1</f>
        <v>1.457710888365793E-2</v>
      </c>
      <c r="L39" s="114">
        <f t="shared" si="13"/>
        <v>1.0075579464103201E-2</v>
      </c>
      <c r="M39" s="114">
        <f t="shared" si="13"/>
        <v>4.8754969668700632E-3</v>
      </c>
      <c r="N39" s="114">
        <f t="shared" si="13"/>
        <v>7.6979592424457621E-3</v>
      </c>
      <c r="O39" s="114">
        <f t="shared" si="13"/>
        <v>-1.5790379934815801E-2</v>
      </c>
      <c r="P39" s="114">
        <f t="shared" si="13"/>
        <v>8.3742406142572889E-4</v>
      </c>
      <c r="Q39" s="114">
        <f t="shared" si="13"/>
        <v>5.0250501642215006E-3</v>
      </c>
      <c r="R39" s="293">
        <f t="shared" si="13"/>
        <v>8.603858399012676E-3</v>
      </c>
      <c r="S39" s="58"/>
      <c r="T39" s="58"/>
      <c r="U39" s="58"/>
      <c r="V39" s="58"/>
      <c r="W39" s="58"/>
      <c r="X39" s="58"/>
    </row>
    <row r="41" spans="3:26" s="121" customFormat="1" ht="15.75" x14ac:dyDescent="0.2">
      <c r="C41" s="121" t="s">
        <v>584</v>
      </c>
    </row>
    <row r="43" spans="3:26" x14ac:dyDescent="0.2">
      <c r="D43" s="60" t="s">
        <v>56</v>
      </c>
      <c r="E43" s="61" t="str">
        <f>E$4</f>
        <v>Unit</v>
      </c>
      <c r="F43" s="61" t="str">
        <f>F$4</f>
        <v>Basis</v>
      </c>
      <c r="G43" s="61" t="str">
        <f>G$4</f>
        <v>Timing</v>
      </c>
      <c r="H43" s="61" t="str">
        <f>H$4</f>
        <v>Source</v>
      </c>
      <c r="I43" s="60"/>
      <c r="J43" s="62" t="str">
        <f>J$3</f>
        <v>FY15</v>
      </c>
      <c r="K43" s="62" t="str">
        <f t="shared" ref="K43:X43" si="14">K$3</f>
        <v>FY16</v>
      </c>
      <c r="L43" s="62" t="str">
        <f t="shared" si="14"/>
        <v>FY17</v>
      </c>
      <c r="M43" s="62" t="str">
        <f t="shared" si="14"/>
        <v>FY18</v>
      </c>
      <c r="N43" s="62" t="str">
        <f t="shared" si="14"/>
        <v>FY19</v>
      </c>
      <c r="O43" s="62" t="str">
        <f t="shared" si="14"/>
        <v>FY20</v>
      </c>
      <c r="P43" s="62" t="str">
        <f t="shared" si="14"/>
        <v>FY21</v>
      </c>
      <c r="Q43" s="62" t="str">
        <f t="shared" si="14"/>
        <v>FY22</v>
      </c>
      <c r="R43" s="62" t="str">
        <f t="shared" si="14"/>
        <v>FY23</v>
      </c>
      <c r="S43" s="62" t="str">
        <f t="shared" si="14"/>
        <v>FY24</v>
      </c>
      <c r="T43" s="62" t="str">
        <f t="shared" si="14"/>
        <v>FY25</v>
      </c>
      <c r="U43" s="62" t="str">
        <f t="shared" si="14"/>
        <v>FY26</v>
      </c>
      <c r="V43" s="62" t="str">
        <f t="shared" si="14"/>
        <v>FY27</v>
      </c>
      <c r="W43" s="62" t="str">
        <f t="shared" si="14"/>
        <v>FY28</v>
      </c>
      <c r="X43" s="62" t="str">
        <f t="shared" si="14"/>
        <v>FY29</v>
      </c>
      <c r="Z43" s="70" t="str">
        <f>$Z$10</f>
        <v>3 Yr Av Growth</v>
      </c>
    </row>
    <row r="45" spans="3:26" x14ac:dyDescent="0.2">
      <c r="D45" s="37" t="str">
        <f>$D$12</f>
        <v>Actual</v>
      </c>
      <c r="E45" s="39" t="s">
        <v>119</v>
      </c>
      <c r="F45" s="31" t="s">
        <v>6</v>
      </c>
      <c r="G45" s="31" t="s">
        <v>6</v>
      </c>
      <c r="H45" s="31" t="s">
        <v>125</v>
      </c>
      <c r="J45" s="57">
        <v>348.89</v>
      </c>
      <c r="K45" s="57">
        <v>501.5</v>
      </c>
      <c r="L45" s="57">
        <v>499.42</v>
      </c>
      <c r="M45" s="57">
        <v>455</v>
      </c>
      <c r="N45" s="57">
        <v>457</v>
      </c>
      <c r="O45" s="57">
        <v>463</v>
      </c>
      <c r="P45" s="57">
        <v>448.85818340590998</v>
      </c>
      <c r="Q45" s="57">
        <v>328</v>
      </c>
      <c r="R45" s="292">
        <v>423</v>
      </c>
      <c r="S45" s="58"/>
      <c r="T45" s="58"/>
      <c r="U45" s="58"/>
      <c r="V45" s="58"/>
      <c r="W45" s="58"/>
      <c r="X45" s="58"/>
    </row>
    <row r="46" spans="3:26" x14ac:dyDescent="0.2">
      <c r="D46" s="37" t="s">
        <v>116</v>
      </c>
      <c r="E46" s="39" t="str">
        <f>E45</f>
        <v>MW</v>
      </c>
      <c r="F46" s="39" t="str">
        <f>F45</f>
        <v>N/A</v>
      </c>
      <c r="G46" s="39" t="str">
        <f>G45</f>
        <v>N/A</v>
      </c>
      <c r="H46" s="31" t="s">
        <v>8</v>
      </c>
      <c r="J46" s="58"/>
      <c r="K46" s="58"/>
      <c r="L46" s="58"/>
      <c r="M46" s="58"/>
      <c r="N46" s="58"/>
      <c r="O46" s="58"/>
      <c r="P46" s="58"/>
      <c r="Q46" s="58"/>
      <c r="R46" s="294"/>
      <c r="S46" s="59">
        <f t="shared" ref="S46:X46" si="15">R48*(1+S$53)</f>
        <v>442.87635357330782</v>
      </c>
      <c r="T46" s="59">
        <f t="shared" si="15"/>
        <v>455.49380975263904</v>
      </c>
      <c r="U46" s="59">
        <f t="shared" si="15"/>
        <v>467.79122959644201</v>
      </c>
      <c r="V46" s="59">
        <f t="shared" si="15"/>
        <v>477.26230822324533</v>
      </c>
      <c r="W46" s="59">
        <f t="shared" si="15"/>
        <v>487.14714283705598</v>
      </c>
      <c r="X46" s="59">
        <f t="shared" si="15"/>
        <v>495.36221503944449</v>
      </c>
    </row>
    <row r="47" spans="3:26" x14ac:dyDescent="0.2">
      <c r="H47" s="61"/>
    </row>
    <row r="48" spans="3:26" x14ac:dyDescent="0.2">
      <c r="D48" s="115" t="str">
        <f>"Applied "&amp;C41</f>
        <v>Applied Maximum demand</v>
      </c>
      <c r="E48" s="116" t="str">
        <f>E46</f>
        <v>MW</v>
      </c>
      <c r="F48" s="116" t="str">
        <f>F46</f>
        <v>N/A</v>
      </c>
      <c r="G48" s="116" t="str">
        <f>G46</f>
        <v>N/A</v>
      </c>
      <c r="H48" s="116" t="s">
        <v>8</v>
      </c>
      <c r="J48" s="120">
        <f t="shared" ref="J48:X48" si="16">IF(ISBLANK(J45),J46,J45)</f>
        <v>348.89</v>
      </c>
      <c r="K48" s="120">
        <f t="shared" si="16"/>
        <v>501.5</v>
      </c>
      <c r="L48" s="120">
        <f t="shared" si="16"/>
        <v>499.42</v>
      </c>
      <c r="M48" s="120">
        <f t="shared" si="16"/>
        <v>455</v>
      </c>
      <c r="N48" s="120">
        <f t="shared" si="16"/>
        <v>457</v>
      </c>
      <c r="O48" s="120">
        <f t="shared" si="16"/>
        <v>463</v>
      </c>
      <c r="P48" s="120">
        <f t="shared" si="16"/>
        <v>448.85818340590998</v>
      </c>
      <c r="Q48" s="120">
        <f t="shared" si="16"/>
        <v>328</v>
      </c>
      <c r="R48" s="120">
        <f t="shared" si="16"/>
        <v>423</v>
      </c>
      <c r="S48" s="120">
        <f t="shared" si="16"/>
        <v>442.87635357330782</v>
      </c>
      <c r="T48" s="120">
        <f t="shared" si="16"/>
        <v>455.49380975263904</v>
      </c>
      <c r="U48" s="120">
        <f t="shared" si="16"/>
        <v>467.79122959644201</v>
      </c>
      <c r="V48" s="120">
        <f t="shared" si="16"/>
        <v>477.26230822324533</v>
      </c>
      <c r="W48" s="120">
        <f t="shared" si="16"/>
        <v>487.14714283705598</v>
      </c>
      <c r="X48" s="120">
        <f t="shared" si="16"/>
        <v>495.36221503944449</v>
      </c>
    </row>
    <row r="50" spans="3:26" x14ac:dyDescent="0.2">
      <c r="D50" s="63" t="str">
        <f>"Applied Ratcheted "&amp;C41</f>
        <v>Applied Ratcheted Maximum demand</v>
      </c>
      <c r="E50" s="65" t="str">
        <f>E48</f>
        <v>MW</v>
      </c>
      <c r="F50" s="65" t="str">
        <f>F48</f>
        <v>N/A</v>
      </c>
      <c r="G50" s="65" t="str">
        <f>G48</f>
        <v>N/A</v>
      </c>
      <c r="H50" s="64" t="str">
        <f>H48</f>
        <v>Calculated</v>
      </c>
      <c r="J50" s="59">
        <f>MAX($J48:J48)</f>
        <v>348.89</v>
      </c>
      <c r="K50" s="59">
        <f>MAX($J48:K48)</f>
        <v>501.5</v>
      </c>
      <c r="L50" s="59">
        <f>MAX($J48:L48)</f>
        <v>501.5</v>
      </c>
      <c r="M50" s="59">
        <f>MAX($J48:M48)</f>
        <v>501.5</v>
      </c>
      <c r="N50" s="59">
        <f>MAX($J48:N48)</f>
        <v>501.5</v>
      </c>
      <c r="O50" s="59">
        <f>MAX($J48:O48)</f>
        <v>501.5</v>
      </c>
      <c r="P50" s="59">
        <f>MAX($J48:P48)</f>
        <v>501.5</v>
      </c>
      <c r="Q50" s="59">
        <f>MAX($J48:Q48)</f>
        <v>501.5</v>
      </c>
      <c r="R50" s="59">
        <f>MAX($J48:R48)</f>
        <v>501.5</v>
      </c>
      <c r="S50" s="59">
        <f>MAX($J48:S48)</f>
        <v>501.5</v>
      </c>
      <c r="T50" s="59">
        <f>MAX($J48:T48)</f>
        <v>501.5</v>
      </c>
      <c r="U50" s="59">
        <f>MAX($J48:U48)</f>
        <v>501.5</v>
      </c>
      <c r="V50" s="59">
        <f>MAX($J48:V48)</f>
        <v>501.5</v>
      </c>
      <c r="W50" s="59">
        <f>MAX($J48:W48)</f>
        <v>501.5</v>
      </c>
      <c r="X50" s="59">
        <f>MAX($J48:X48)</f>
        <v>501.5</v>
      </c>
    </row>
    <row r="51" spans="3:26" x14ac:dyDescent="0.2">
      <c r="Z51" s="72"/>
    </row>
    <row r="52" spans="3:26" x14ac:dyDescent="0.2">
      <c r="D52" s="63" t="s">
        <v>127</v>
      </c>
      <c r="E52" s="65" t="str">
        <f>E48</f>
        <v>MW</v>
      </c>
      <c r="F52" s="65" t="str">
        <f>NA</f>
        <v>N/A</v>
      </c>
      <c r="G52" s="65" t="str">
        <f>NA</f>
        <v>N/A</v>
      </c>
      <c r="H52" s="64" t="s">
        <v>8</v>
      </c>
      <c r="J52" s="58"/>
      <c r="K52" s="59">
        <f>K50-J50</f>
        <v>152.61000000000001</v>
      </c>
      <c r="L52" s="59">
        <f t="shared" ref="L52:X52" si="17">L50-K50</f>
        <v>0</v>
      </c>
      <c r="M52" s="59">
        <f t="shared" si="17"/>
        <v>0</v>
      </c>
      <c r="N52" s="59">
        <f t="shared" si="17"/>
        <v>0</v>
      </c>
      <c r="O52" s="59">
        <f t="shared" si="17"/>
        <v>0</v>
      </c>
      <c r="P52" s="59">
        <f t="shared" si="17"/>
        <v>0</v>
      </c>
      <c r="Q52" s="59">
        <f t="shared" si="17"/>
        <v>0</v>
      </c>
      <c r="R52" s="59">
        <f t="shared" si="17"/>
        <v>0</v>
      </c>
      <c r="S52" s="59">
        <f t="shared" si="17"/>
        <v>0</v>
      </c>
      <c r="T52" s="59">
        <f t="shared" si="17"/>
        <v>0</v>
      </c>
      <c r="U52" s="59">
        <f t="shared" si="17"/>
        <v>0</v>
      </c>
      <c r="V52" s="59">
        <f t="shared" si="17"/>
        <v>0</v>
      </c>
      <c r="W52" s="59">
        <f t="shared" si="17"/>
        <v>0</v>
      </c>
      <c r="X52" s="59">
        <f t="shared" si="17"/>
        <v>0</v>
      </c>
    </row>
    <row r="53" spans="3:26" x14ac:dyDescent="0.2">
      <c r="D53" s="63" t="s">
        <v>126</v>
      </c>
      <c r="E53" s="65" t="str">
        <f>Unit_Perc</f>
        <v>Percent</v>
      </c>
      <c r="F53" s="65" t="str">
        <f>NA</f>
        <v>N/A</v>
      </c>
      <c r="G53" s="65" t="str">
        <f>NA</f>
        <v>N/A</v>
      </c>
      <c r="H53" s="64" t="s">
        <v>8</v>
      </c>
      <c r="J53" s="58"/>
      <c r="K53" s="114">
        <f t="shared" ref="K53:R53" si="18">K48/J48-1</f>
        <v>0.43741580440826633</v>
      </c>
      <c r="L53" s="114">
        <f t="shared" si="18"/>
        <v>-4.1475573280159717E-3</v>
      </c>
      <c r="M53" s="114">
        <f t="shared" si="18"/>
        <v>-8.8943174081935084E-2</v>
      </c>
      <c r="N53" s="114">
        <f t="shared" si="18"/>
        <v>4.39560439560438E-3</v>
      </c>
      <c r="O53" s="114">
        <f t="shared" si="18"/>
        <v>1.3129102844638973E-2</v>
      </c>
      <c r="P53" s="114">
        <f t="shared" si="18"/>
        <v>-3.054388033280786E-2</v>
      </c>
      <c r="Q53" s="114">
        <f t="shared" si="18"/>
        <v>-0.26925694545400747</v>
      </c>
      <c r="R53" s="293">
        <f t="shared" si="18"/>
        <v>0.28963414634146334</v>
      </c>
      <c r="S53" s="113">
        <f t="shared" ref="S53:X53" si="19">S60/R60-1</f>
        <v>4.698901553973478E-2</v>
      </c>
      <c r="T53" s="113">
        <f t="shared" si="19"/>
        <v>2.8489794222537279E-2</v>
      </c>
      <c r="U53" s="113">
        <f t="shared" si="19"/>
        <v>2.6997995539129738E-2</v>
      </c>
      <c r="V53" s="113">
        <f t="shared" si="19"/>
        <v>2.024637921273964E-2</v>
      </c>
      <c r="W53" s="113">
        <f t="shared" si="19"/>
        <v>2.0711534188840419E-2</v>
      </c>
      <c r="X53" s="113">
        <f t="shared" si="19"/>
        <v>1.6863636219942579E-2</v>
      </c>
      <c r="Z53" s="114">
        <f>AVERAGE(O53:Q53)</f>
        <v>-9.5557240980725447E-2</v>
      </c>
    </row>
    <row r="55" spans="3:26" x14ac:dyDescent="0.2">
      <c r="D55" s="60" t="s">
        <v>216</v>
      </c>
    </row>
    <row r="56" spans="3:26" x14ac:dyDescent="0.2">
      <c r="D56" s="95" t="s">
        <v>215</v>
      </c>
    </row>
    <row r="57" spans="3:26" x14ac:dyDescent="0.2">
      <c r="D57" s="96" t="s">
        <v>214</v>
      </c>
      <c r="E57" s="39" t="s">
        <v>119</v>
      </c>
      <c r="F57" s="65" t="str">
        <f t="shared" ref="F57:G60" si="20">NA</f>
        <v>N/A</v>
      </c>
      <c r="G57" s="65" t="str">
        <f t="shared" si="20"/>
        <v>N/A</v>
      </c>
      <c r="H57" s="31" t="s">
        <v>308</v>
      </c>
      <c r="J57" s="57">
        <v>290.82</v>
      </c>
      <c r="K57" s="57">
        <v>293.92</v>
      </c>
      <c r="L57" s="57">
        <v>289.10000000000002</v>
      </c>
      <c r="M57" s="57">
        <v>286.38</v>
      </c>
      <c r="N57" s="57">
        <v>286.99</v>
      </c>
      <c r="O57" s="57">
        <v>272</v>
      </c>
      <c r="P57" s="57">
        <v>285.86</v>
      </c>
      <c r="Q57" s="57">
        <v>284.62</v>
      </c>
      <c r="R57" s="57">
        <v>293.67913880911885</v>
      </c>
      <c r="S57" s="57">
        <v>306.2915359323365</v>
      </c>
      <c r="T57" s="57">
        <v>313.20647781465283</v>
      </c>
      <c r="U57" s="57">
        <v>322.23026257966745</v>
      </c>
      <c r="V57" s="57">
        <v>329.33714082506049</v>
      </c>
      <c r="W57" s="57">
        <v>336.77835138221985</v>
      </c>
      <c r="X57" s="57">
        <v>342.82364535964439</v>
      </c>
      <c r="Y57" s="157" t="s">
        <v>313</v>
      </c>
    </row>
    <row r="58" spans="3:26" x14ac:dyDescent="0.2">
      <c r="D58" s="96" t="s">
        <v>205</v>
      </c>
      <c r="E58" s="39" t="s">
        <v>119</v>
      </c>
      <c r="F58" s="65" t="str">
        <f t="shared" si="20"/>
        <v>N/A</v>
      </c>
      <c r="G58" s="65" t="str">
        <f t="shared" si="20"/>
        <v>N/A</v>
      </c>
      <c r="H58" s="31" t="str">
        <f>H57</f>
        <v>Energeia</v>
      </c>
      <c r="J58" s="57">
        <v>51.15</v>
      </c>
      <c r="K58" s="57">
        <v>53.11</v>
      </c>
      <c r="L58" s="57">
        <v>51.86</v>
      </c>
      <c r="M58" s="57">
        <v>52.67</v>
      </c>
      <c r="N58" s="57">
        <v>52.85</v>
      </c>
      <c r="O58" s="57">
        <v>50.9</v>
      </c>
      <c r="P58" s="57">
        <v>53.27</v>
      </c>
      <c r="Q58" s="57">
        <v>48.8</v>
      </c>
      <c r="R58" s="57">
        <v>49.897013250761411</v>
      </c>
      <c r="S58" s="57">
        <v>53.699331508947544</v>
      </c>
      <c r="T58" s="57">
        <v>57.189867543941205</v>
      </c>
      <c r="U58" s="57">
        <v>58.303565397248832</v>
      </c>
      <c r="V58" s="57">
        <v>58.985383737111661</v>
      </c>
      <c r="W58" s="57">
        <v>59.673906176939433</v>
      </c>
      <c r="X58" s="57">
        <v>60.373547767268334</v>
      </c>
    </row>
    <row r="59" spans="3:26" x14ac:dyDescent="0.2">
      <c r="D59" s="96" t="s">
        <v>206</v>
      </c>
      <c r="E59" s="39" t="s">
        <v>119</v>
      </c>
      <c r="F59" s="65" t="str">
        <f t="shared" si="20"/>
        <v>N/A</v>
      </c>
      <c r="G59" s="65" t="str">
        <f t="shared" si="20"/>
        <v>N/A</v>
      </c>
      <c r="H59" s="31" t="str">
        <f>H58</f>
        <v>Energeia</v>
      </c>
      <c r="J59" s="57">
        <v>6.72</v>
      </c>
      <c r="K59" s="57">
        <v>6.62</v>
      </c>
      <c r="L59" s="57">
        <v>6.64</v>
      </c>
      <c r="M59" s="57">
        <v>6.57</v>
      </c>
      <c r="N59" s="57">
        <v>7.17</v>
      </c>
      <c r="O59" s="57">
        <v>6.8</v>
      </c>
      <c r="P59" s="57">
        <v>7.08</v>
      </c>
      <c r="Q59" s="57">
        <v>6.393949645200296</v>
      </c>
      <c r="R59" s="57">
        <v>6.4238371906754566</v>
      </c>
      <c r="S59" s="57">
        <v>6.4552767430730791</v>
      </c>
      <c r="T59" s="57">
        <v>6.489774067217577</v>
      </c>
      <c r="U59" s="57">
        <v>6.527461219913258</v>
      </c>
      <c r="V59" s="57">
        <v>6.5753542743083484</v>
      </c>
      <c r="W59" s="57">
        <v>6.6245621959434766</v>
      </c>
      <c r="X59" s="57">
        <v>6.6769674852314962</v>
      </c>
    </row>
    <row r="60" spans="3:26" x14ac:dyDescent="0.2">
      <c r="D60" s="96" t="s">
        <v>72</v>
      </c>
      <c r="E60" s="39" t="s">
        <v>119</v>
      </c>
      <c r="F60" s="65" t="str">
        <f t="shared" si="20"/>
        <v>N/A</v>
      </c>
      <c r="G60" s="65" t="str">
        <f t="shared" si="20"/>
        <v>N/A</v>
      </c>
      <c r="H60" s="64" t="s">
        <v>8</v>
      </c>
      <c r="J60" s="59">
        <f>SUM(J57:J59)</f>
        <v>348.69</v>
      </c>
      <c r="K60" s="59">
        <f t="shared" ref="K60:X60" si="21">SUM(K57:K59)</f>
        <v>353.65000000000003</v>
      </c>
      <c r="L60" s="59">
        <f t="shared" si="21"/>
        <v>347.6</v>
      </c>
      <c r="M60" s="59">
        <f t="shared" si="21"/>
        <v>345.62</v>
      </c>
      <c r="N60" s="59">
        <f t="shared" si="21"/>
        <v>347.01000000000005</v>
      </c>
      <c r="O60" s="59">
        <f t="shared" si="21"/>
        <v>329.7</v>
      </c>
      <c r="P60" s="59">
        <f t="shared" si="21"/>
        <v>346.21</v>
      </c>
      <c r="Q60" s="59">
        <f t="shared" si="21"/>
        <v>339.8139496452003</v>
      </c>
      <c r="R60" s="59">
        <f t="shared" si="21"/>
        <v>349.9999892505557</v>
      </c>
      <c r="S60" s="59">
        <f t="shared" si="21"/>
        <v>366.44614418435708</v>
      </c>
      <c r="T60" s="59">
        <f t="shared" si="21"/>
        <v>376.88611942581161</v>
      </c>
      <c r="U60" s="59">
        <f t="shared" si="21"/>
        <v>387.06128919682959</v>
      </c>
      <c r="V60" s="59">
        <f t="shared" si="21"/>
        <v>394.89787883648046</v>
      </c>
      <c r="W60" s="59">
        <f t="shared" si="21"/>
        <v>403.0768197551028</v>
      </c>
      <c r="X60" s="59">
        <f t="shared" si="21"/>
        <v>409.87416061214424</v>
      </c>
    </row>
    <row r="62" spans="3:26" s="121" customFormat="1" ht="15.75" x14ac:dyDescent="0.2">
      <c r="C62" s="121" t="s">
        <v>121</v>
      </c>
    </row>
    <row r="64" spans="3:26" x14ac:dyDescent="0.2">
      <c r="D64" s="60" t="s">
        <v>56</v>
      </c>
      <c r="E64" s="61" t="str">
        <f>E$4</f>
        <v>Unit</v>
      </c>
      <c r="F64" s="61" t="str">
        <f>F$4</f>
        <v>Basis</v>
      </c>
      <c r="G64" s="61" t="str">
        <f>G$4</f>
        <v>Timing</v>
      </c>
      <c r="H64" s="61" t="str">
        <f>H$4</f>
        <v>Source</v>
      </c>
      <c r="I64" s="60"/>
      <c r="J64" s="62" t="str">
        <f>J$3</f>
        <v>FY15</v>
      </c>
      <c r="K64" s="62" t="str">
        <f t="shared" ref="K64:X64" si="22">K$3</f>
        <v>FY16</v>
      </c>
      <c r="L64" s="62" t="str">
        <f t="shared" si="22"/>
        <v>FY17</v>
      </c>
      <c r="M64" s="62" t="str">
        <f t="shared" si="22"/>
        <v>FY18</v>
      </c>
      <c r="N64" s="62" t="str">
        <f t="shared" si="22"/>
        <v>FY19</v>
      </c>
      <c r="O64" s="62" t="str">
        <f t="shared" si="22"/>
        <v>FY20</v>
      </c>
      <c r="P64" s="62" t="str">
        <f t="shared" si="22"/>
        <v>FY21</v>
      </c>
      <c r="Q64" s="62" t="str">
        <f t="shared" si="22"/>
        <v>FY22</v>
      </c>
      <c r="R64" s="62" t="str">
        <f t="shared" si="22"/>
        <v>FY23</v>
      </c>
      <c r="S64" s="62" t="str">
        <f t="shared" si="22"/>
        <v>FY24</v>
      </c>
      <c r="T64" s="62" t="str">
        <f t="shared" si="22"/>
        <v>FY25</v>
      </c>
      <c r="U64" s="62" t="str">
        <f t="shared" si="22"/>
        <v>FY26</v>
      </c>
      <c r="V64" s="62" t="str">
        <f t="shared" si="22"/>
        <v>FY27</v>
      </c>
      <c r="W64" s="62" t="str">
        <f t="shared" si="22"/>
        <v>FY28</v>
      </c>
      <c r="X64" s="62" t="str">
        <f t="shared" si="22"/>
        <v>FY29</v>
      </c>
      <c r="Z64" s="70" t="str">
        <f>$Z$10</f>
        <v>3 Yr Av Growth</v>
      </c>
    </row>
    <row r="66" spans="2:25" x14ac:dyDescent="0.2">
      <c r="D66" s="37" t="str">
        <f>$D$12</f>
        <v>Actual</v>
      </c>
      <c r="E66" s="39" t="s">
        <v>120</v>
      </c>
      <c r="F66" s="31" t="s">
        <v>6</v>
      </c>
      <c r="G66" s="31" t="s">
        <v>6</v>
      </c>
      <c r="H66" s="31" t="s">
        <v>123</v>
      </c>
      <c r="J66" s="57">
        <v>1750.9817492680004</v>
      </c>
      <c r="K66" s="57">
        <v>1812.1782020339995</v>
      </c>
      <c r="L66" s="57">
        <v>1779.5014095849997</v>
      </c>
      <c r="M66" s="57">
        <v>1730.478285572</v>
      </c>
      <c r="N66" s="57">
        <v>1718</v>
      </c>
      <c r="O66" s="57">
        <v>1666.57</v>
      </c>
      <c r="P66" s="57">
        <v>1645.93</v>
      </c>
      <c r="Q66" s="57">
        <v>1727.68</v>
      </c>
      <c r="R66" s="292">
        <v>1647.95</v>
      </c>
      <c r="S66" s="58"/>
      <c r="T66" s="58"/>
      <c r="U66" s="58"/>
      <c r="V66" s="58"/>
      <c r="W66" s="58"/>
      <c r="X66" s="58"/>
    </row>
    <row r="67" spans="2:25" x14ac:dyDescent="0.2">
      <c r="D67" s="37" t="s">
        <v>778</v>
      </c>
      <c r="E67" s="39" t="str">
        <f t="shared" ref="E67:G68" si="23">E66</f>
        <v>GWh</v>
      </c>
      <c r="F67" s="39" t="str">
        <f t="shared" si="23"/>
        <v>N/A</v>
      </c>
      <c r="G67" s="39" t="str">
        <f t="shared" si="23"/>
        <v>N/A</v>
      </c>
      <c r="H67" s="31" t="s">
        <v>392</v>
      </c>
      <c r="J67" s="58"/>
      <c r="K67" s="58"/>
      <c r="L67" s="58"/>
      <c r="M67" s="58"/>
      <c r="N67" s="58"/>
      <c r="O67" s="58"/>
      <c r="P67" s="58"/>
      <c r="Q67" s="58"/>
      <c r="R67" s="294"/>
      <c r="S67" s="292">
        <v>1694.3312106724716</v>
      </c>
      <c r="T67" s="292">
        <v>1704.8397894065354</v>
      </c>
      <c r="U67" s="292">
        <v>1716.8917150906013</v>
      </c>
      <c r="V67" s="292">
        <v>1721.7208675321449</v>
      </c>
      <c r="W67" s="292">
        <v>1721.1465329815321</v>
      </c>
      <c r="X67" s="292">
        <v>1725.9360716850572</v>
      </c>
    </row>
    <row r="68" spans="2:25" x14ac:dyDescent="0.2">
      <c r="D68" s="37" t="s">
        <v>779</v>
      </c>
      <c r="E68" s="39" t="str">
        <f t="shared" si="23"/>
        <v>GWh</v>
      </c>
      <c r="F68" s="39" t="str">
        <f t="shared" si="23"/>
        <v>N/A</v>
      </c>
      <c r="G68" s="39" t="str">
        <f t="shared" si="23"/>
        <v>N/A</v>
      </c>
      <c r="H68" s="31" t="s">
        <v>1593</v>
      </c>
      <c r="J68" s="58"/>
      <c r="K68" s="58"/>
      <c r="L68" s="58"/>
      <c r="M68" s="58"/>
      <c r="N68" s="58"/>
      <c r="O68" s="58"/>
      <c r="P68" s="58"/>
      <c r="Q68" s="58"/>
      <c r="R68" s="294"/>
      <c r="S68" s="292">
        <v>14.95</v>
      </c>
      <c r="T68" s="292">
        <f>S68</f>
        <v>14.95</v>
      </c>
      <c r="U68" s="292">
        <f>T68</f>
        <v>14.95</v>
      </c>
      <c r="V68" s="292">
        <f>U68</f>
        <v>14.95</v>
      </c>
      <c r="W68" s="292">
        <f>V68</f>
        <v>14.95</v>
      </c>
      <c r="X68" s="292">
        <f>W68</f>
        <v>14.95</v>
      </c>
      <c r="Y68" s="37" t="s">
        <v>1594</v>
      </c>
    </row>
    <row r="69" spans="2:25" x14ac:dyDescent="0.2">
      <c r="H69" s="61"/>
    </row>
    <row r="70" spans="2:25" x14ac:dyDescent="0.2">
      <c r="D70" s="115" t="str">
        <f>"Applied "&amp;C62</f>
        <v>Applied Energy throughput</v>
      </c>
      <c r="E70" s="116" t="str">
        <f>E67</f>
        <v>GWh</v>
      </c>
      <c r="F70" s="116" t="str">
        <f>F67</f>
        <v>N/A</v>
      </c>
      <c r="G70" s="116" t="str">
        <f>G67</f>
        <v>N/A</v>
      </c>
      <c r="H70" s="116" t="s">
        <v>8</v>
      </c>
      <c r="J70" s="120">
        <f t="shared" ref="J70:X70" si="24">IF(ISBLANK(J66),J67+J68,J66)</f>
        <v>1750.9817492680004</v>
      </c>
      <c r="K70" s="120">
        <f t="shared" si="24"/>
        <v>1812.1782020339995</v>
      </c>
      <c r="L70" s="120">
        <f t="shared" si="24"/>
        <v>1779.5014095849997</v>
      </c>
      <c r="M70" s="120">
        <f t="shared" si="24"/>
        <v>1730.478285572</v>
      </c>
      <c r="N70" s="120">
        <f t="shared" si="24"/>
        <v>1718</v>
      </c>
      <c r="O70" s="120">
        <f t="shared" si="24"/>
        <v>1666.57</v>
      </c>
      <c r="P70" s="120">
        <f t="shared" si="24"/>
        <v>1645.93</v>
      </c>
      <c r="Q70" s="120">
        <f t="shared" si="24"/>
        <v>1727.68</v>
      </c>
      <c r="R70" s="120">
        <f t="shared" si="24"/>
        <v>1647.95</v>
      </c>
      <c r="S70" s="120">
        <f t="shared" si="24"/>
        <v>1709.2812106724716</v>
      </c>
      <c r="T70" s="120">
        <f t="shared" si="24"/>
        <v>1719.7897894065354</v>
      </c>
      <c r="U70" s="120">
        <f t="shared" si="24"/>
        <v>1731.8417150906014</v>
      </c>
      <c r="V70" s="120">
        <f t="shared" si="24"/>
        <v>1736.6708675321449</v>
      </c>
      <c r="W70" s="120">
        <f t="shared" si="24"/>
        <v>1736.0965329815322</v>
      </c>
      <c r="X70" s="120">
        <f t="shared" si="24"/>
        <v>1740.8860716850572</v>
      </c>
    </row>
    <row r="72" spans="2:25" x14ac:dyDescent="0.2">
      <c r="D72" s="63" t="s">
        <v>127</v>
      </c>
      <c r="E72" s="65" t="str">
        <f>E66</f>
        <v>GWh</v>
      </c>
      <c r="F72" s="65" t="str">
        <f>NA</f>
        <v>N/A</v>
      </c>
      <c r="G72" s="65" t="str">
        <f>NA</f>
        <v>N/A</v>
      </c>
      <c r="H72" s="64" t="s">
        <v>8</v>
      </c>
      <c r="J72" s="58"/>
      <c r="K72" s="59">
        <f>K70-J70</f>
        <v>61.196452765999084</v>
      </c>
      <c r="L72" s="59">
        <f t="shared" ref="L72:X72" si="25">L70-K70</f>
        <v>-32.676792448999777</v>
      </c>
      <c r="M72" s="59">
        <f t="shared" si="25"/>
        <v>-49.023124012999688</v>
      </c>
      <c r="N72" s="59">
        <f t="shared" si="25"/>
        <v>-12.478285572000004</v>
      </c>
      <c r="O72" s="59">
        <f t="shared" si="25"/>
        <v>-51.430000000000064</v>
      </c>
      <c r="P72" s="59">
        <f t="shared" si="25"/>
        <v>-20.639999999999873</v>
      </c>
      <c r="Q72" s="59">
        <f t="shared" si="25"/>
        <v>81.75</v>
      </c>
      <c r="R72" s="59">
        <f t="shared" si="25"/>
        <v>-79.730000000000018</v>
      </c>
      <c r="S72" s="59">
        <f t="shared" si="25"/>
        <v>61.33121067247157</v>
      </c>
      <c r="T72" s="59">
        <f t="shared" si="25"/>
        <v>10.508578734063803</v>
      </c>
      <c r="U72" s="59">
        <f t="shared" si="25"/>
        <v>12.051925684065964</v>
      </c>
      <c r="V72" s="59">
        <f t="shared" si="25"/>
        <v>4.8291524415435561</v>
      </c>
      <c r="W72" s="59">
        <f t="shared" si="25"/>
        <v>-0.57433455061277527</v>
      </c>
      <c r="X72" s="59">
        <f t="shared" si="25"/>
        <v>4.7895387035250678</v>
      </c>
    </row>
    <row r="73" spans="2:25" x14ac:dyDescent="0.2">
      <c r="D73" s="63" t="s">
        <v>585</v>
      </c>
      <c r="E73" s="65" t="str">
        <f>Unit_Perc</f>
        <v>Percent</v>
      </c>
      <c r="F73" s="65" t="str">
        <f>NA</f>
        <v>N/A</v>
      </c>
      <c r="G73" s="65" t="str">
        <f>NA</f>
        <v>N/A</v>
      </c>
      <c r="H73" s="64" t="s">
        <v>8</v>
      </c>
      <c r="J73" s="58"/>
      <c r="K73" s="114">
        <f t="shared" ref="K73:Q73" si="26">K70/J70-1</f>
        <v>3.4949794760329445E-2</v>
      </c>
      <c r="L73" s="114">
        <f t="shared" si="26"/>
        <v>-1.8031776572703051E-2</v>
      </c>
      <c r="M73" s="114">
        <f t="shared" si="26"/>
        <v>-2.7548797516509071E-2</v>
      </c>
      <c r="N73" s="114">
        <f t="shared" si="26"/>
        <v>-7.210888270623661E-3</v>
      </c>
      <c r="O73" s="114">
        <f t="shared" si="26"/>
        <v>-2.9935972060535554E-2</v>
      </c>
      <c r="P73" s="114">
        <f t="shared" si="26"/>
        <v>-1.2384718313662169E-2</v>
      </c>
      <c r="Q73" s="114">
        <f t="shared" si="26"/>
        <v>4.966796886866387E-2</v>
      </c>
      <c r="R73" s="114">
        <f t="shared" ref="R73:X73" si="27">R70/Q70-1</f>
        <v>-4.6148592331913374E-2</v>
      </c>
      <c r="S73" s="114">
        <f t="shared" si="27"/>
        <v>3.7216669603125974E-2</v>
      </c>
      <c r="T73" s="114">
        <f t="shared" si="27"/>
        <v>6.1479519393590198E-3</v>
      </c>
      <c r="U73" s="114">
        <f t="shared" si="27"/>
        <v>7.00778999753493E-3</v>
      </c>
      <c r="V73" s="114">
        <f t="shared" si="27"/>
        <v>2.7884490825369479E-3</v>
      </c>
      <c r="W73" s="114">
        <f t="shared" si="27"/>
        <v>-3.3071007371066052E-4</v>
      </c>
      <c r="X73" s="114">
        <f t="shared" si="27"/>
        <v>2.758797458859874E-3</v>
      </c>
    </row>
    <row r="75" spans="2:25" s="6" customFormat="1" ht="18.75" x14ac:dyDescent="0.2">
      <c r="B75" s="6" t="s">
        <v>586</v>
      </c>
    </row>
    <row r="77" spans="2:25" s="121" customFormat="1" ht="15.75" x14ac:dyDescent="0.2">
      <c r="C77" s="121" t="s">
        <v>129</v>
      </c>
    </row>
    <row r="79" spans="2:25" x14ac:dyDescent="0.2">
      <c r="D79" s="60" t="s">
        <v>56</v>
      </c>
      <c r="E79" s="61" t="str">
        <f>E$4</f>
        <v>Unit</v>
      </c>
      <c r="F79" s="61" t="str">
        <f>F$4</f>
        <v>Basis</v>
      </c>
      <c r="G79" s="61" t="str">
        <f>G$4</f>
        <v>Timing</v>
      </c>
      <c r="H79" s="61" t="str">
        <f>H$4</f>
        <v>Source</v>
      </c>
      <c r="I79" s="60"/>
      <c r="J79" s="62" t="str">
        <f>J$3</f>
        <v>FY15</v>
      </c>
      <c r="K79" s="62" t="str">
        <f t="shared" ref="K79:X79" si="28">K$3</f>
        <v>FY16</v>
      </c>
      <c r="L79" s="62" t="str">
        <f t="shared" si="28"/>
        <v>FY17</v>
      </c>
      <c r="M79" s="62" t="str">
        <f t="shared" si="28"/>
        <v>FY18</v>
      </c>
      <c r="N79" s="62" t="str">
        <f t="shared" si="28"/>
        <v>FY19</v>
      </c>
      <c r="O79" s="62" t="str">
        <f t="shared" si="28"/>
        <v>FY20</v>
      </c>
      <c r="P79" s="62" t="str">
        <f t="shared" si="28"/>
        <v>FY21</v>
      </c>
      <c r="Q79" s="62" t="str">
        <f t="shared" si="28"/>
        <v>FY22</v>
      </c>
      <c r="R79" s="62" t="str">
        <f t="shared" si="28"/>
        <v>FY23</v>
      </c>
      <c r="S79" s="62" t="str">
        <f t="shared" si="28"/>
        <v>FY24</v>
      </c>
      <c r="T79" s="62" t="str">
        <f t="shared" si="28"/>
        <v>FY25</v>
      </c>
      <c r="U79" s="62" t="str">
        <f t="shared" si="28"/>
        <v>FY26</v>
      </c>
      <c r="V79" s="62" t="str">
        <f t="shared" si="28"/>
        <v>FY27</v>
      </c>
      <c r="W79" s="62" t="str">
        <f t="shared" si="28"/>
        <v>FY28</v>
      </c>
      <c r="X79" s="62" t="str">
        <f t="shared" si="28"/>
        <v>FY29</v>
      </c>
      <c r="Y79" s="62"/>
    </row>
    <row r="80" spans="2:25" x14ac:dyDescent="0.2">
      <c r="H80" s="61"/>
    </row>
    <row r="81" spans="3:26" x14ac:dyDescent="0.2">
      <c r="D81" s="63" t="s">
        <v>128</v>
      </c>
      <c r="E81" s="65" t="str">
        <f>Unit_Dollar_M</f>
        <v>$Million</v>
      </c>
      <c r="F81" s="65" t="str">
        <f>Nominal</f>
        <v>Nominal</v>
      </c>
      <c r="G81" s="65" t="str">
        <f>Mid_Period</f>
        <v>Mid Period</v>
      </c>
      <c r="H81" s="31" t="s">
        <v>130</v>
      </c>
      <c r="I81" s="66"/>
      <c r="J81" s="67">
        <f>Input_Capex!N37</f>
        <v>23.668510701580434</v>
      </c>
      <c r="K81" s="68">
        <f>Input_Capex!O37</f>
        <v>17.562837162606233</v>
      </c>
      <c r="L81" s="68">
        <f>Input_Capex!P37</f>
        <v>12.834467993108163</v>
      </c>
      <c r="M81" s="68">
        <f>Input_Capex!Q37</f>
        <v>17.626042000000002</v>
      </c>
      <c r="N81" s="68">
        <f>Input_Capex!R37</f>
        <v>8.4337621999999985</v>
      </c>
      <c r="O81" s="68">
        <f>Input_Capex!S37</f>
        <v>14.82449153</v>
      </c>
      <c r="P81" s="68">
        <f>Input_Capex!T37</f>
        <v>11.259719</v>
      </c>
      <c r="Q81" s="68">
        <f>Input_Capex!U37</f>
        <v>9.9248209999999997</v>
      </c>
      <c r="R81" s="68">
        <f>Input_Capex!V37</f>
        <v>10.793633</v>
      </c>
      <c r="S81" s="58"/>
      <c r="T81" s="58"/>
      <c r="U81" s="58"/>
      <c r="V81" s="58"/>
      <c r="W81" s="58"/>
      <c r="X81" s="58"/>
    </row>
    <row r="82" spans="3:26" x14ac:dyDescent="0.2">
      <c r="D82" s="63" t="s">
        <v>131</v>
      </c>
      <c r="E82" s="65" t="str">
        <f>Unit_Dollar_M</f>
        <v>$Million</v>
      </c>
      <c r="F82" s="65" t="str">
        <f>Nominal</f>
        <v>Nominal</v>
      </c>
      <c r="G82" s="65" t="str">
        <f>Mid_Period</f>
        <v>Mid Period</v>
      </c>
      <c r="H82" s="64" t="str">
        <f>H81</f>
        <v>CA RIN 2.1.1</v>
      </c>
      <c r="I82" s="66"/>
      <c r="J82" s="67">
        <f>Input_Capex!N36</f>
        <v>16.666967323017378</v>
      </c>
      <c r="K82" s="68">
        <f>Input_Capex!O36</f>
        <v>13.786243152085314</v>
      </c>
      <c r="L82" s="68">
        <f>Input_Capex!P36</f>
        <v>11.690115570963664</v>
      </c>
      <c r="M82" s="68">
        <f>Input_Capex!Q36</f>
        <v>10.199939526299998</v>
      </c>
      <c r="N82" s="68">
        <f>Input_Capex!R36</f>
        <v>5.7193809098934283</v>
      </c>
      <c r="O82" s="68">
        <f>Input_Capex!S36</f>
        <v>4.0726707448574899</v>
      </c>
      <c r="P82" s="68">
        <f>Input_Capex!T36</f>
        <v>6.28920244738074</v>
      </c>
      <c r="Q82" s="68">
        <f>Input_Capex!U36</f>
        <v>5.0725532343333235</v>
      </c>
      <c r="R82" s="68">
        <f>Input_Capex!V36</f>
        <v>8.5099398199166423</v>
      </c>
      <c r="S82" s="58"/>
      <c r="T82" s="58"/>
      <c r="U82" s="58"/>
      <c r="V82" s="58"/>
      <c r="W82" s="58"/>
      <c r="X82" s="58"/>
    </row>
    <row r="84" spans="3:26" x14ac:dyDescent="0.2">
      <c r="D84" s="63" t="str">
        <f>$D$81</f>
        <v>Augmentation expenditure</v>
      </c>
      <c r="E84" s="65" t="str">
        <f>Unit_Dollar_M</f>
        <v>$Million</v>
      </c>
      <c r="F84" s="65" t="str">
        <f>Real_Input</f>
        <v>Real 2024</v>
      </c>
      <c r="G84" s="65" t="str">
        <f>End_Period</f>
        <v>End Period</v>
      </c>
      <c r="H84" s="31" t="s">
        <v>132</v>
      </c>
      <c r="I84" s="66"/>
      <c r="J84" s="58"/>
      <c r="K84" s="58"/>
      <c r="L84" s="58"/>
      <c r="M84" s="58"/>
      <c r="N84" s="58"/>
      <c r="O84" s="58"/>
      <c r="P84" s="58"/>
      <c r="Q84" s="58"/>
      <c r="R84" s="58"/>
      <c r="S84" s="68">
        <f>Input_Capex!W16</f>
        <v>13.546480610193314</v>
      </c>
      <c r="T84" s="68">
        <f>Input_Capex!X16</f>
        <v>9.4855153762789328</v>
      </c>
      <c r="U84" s="68">
        <f>Input_Capex!Y16</f>
        <v>6.0246979087984371</v>
      </c>
      <c r="V84" s="68">
        <f>Input_Capex!Z16</f>
        <v>7.2162069931347013</v>
      </c>
      <c r="W84" s="68">
        <f>Input_Capex!AA16</f>
        <v>5.3517768869779863</v>
      </c>
      <c r="X84" s="68">
        <f>Input_Capex!AB16</f>
        <v>4.9208958491892503</v>
      </c>
    </row>
    <row r="85" spans="3:26" x14ac:dyDescent="0.2">
      <c r="D85" s="63" t="str">
        <f>$D$82</f>
        <v>Connection expenditure</v>
      </c>
      <c r="E85" s="65" t="str">
        <f>Unit_Dollar_M</f>
        <v>$Million</v>
      </c>
      <c r="F85" s="65" t="str">
        <f>Real_Input</f>
        <v>Real 2024</v>
      </c>
      <c r="G85" s="65" t="str">
        <f>End_Period</f>
        <v>End Period</v>
      </c>
      <c r="H85" s="64" t="str">
        <f>H84</f>
        <v>Capex Model</v>
      </c>
      <c r="I85" s="66"/>
      <c r="J85" s="58"/>
      <c r="K85" s="58"/>
      <c r="L85" s="58"/>
      <c r="M85" s="58"/>
      <c r="N85" s="58"/>
      <c r="O85" s="58"/>
      <c r="P85" s="58"/>
      <c r="Q85" s="58"/>
      <c r="R85" s="58"/>
      <c r="S85" s="68">
        <f>Input_Capex!W15</f>
        <v>7.5685323717673958</v>
      </c>
      <c r="T85" s="68">
        <f>Input_Capex!X15</f>
        <v>1.3622191727759292</v>
      </c>
      <c r="U85" s="68">
        <f>Input_Capex!Y15</f>
        <v>1.3785412716487917</v>
      </c>
      <c r="V85" s="68">
        <f>Input_Capex!Z15</f>
        <v>1.3918320498372652</v>
      </c>
      <c r="W85" s="68">
        <f>Input_Capex!AA15</f>
        <v>1.4052575348391252</v>
      </c>
      <c r="X85" s="68">
        <f>Input_Capex!AB15</f>
        <v>1.4198473181663556</v>
      </c>
    </row>
    <row r="87" spans="3:26" s="121" customFormat="1" ht="15.75" x14ac:dyDescent="0.2">
      <c r="C87" s="121" t="s">
        <v>136</v>
      </c>
    </row>
    <row r="89" spans="3:26" x14ac:dyDescent="0.2">
      <c r="D89" s="60" t="s">
        <v>56</v>
      </c>
      <c r="E89" s="61" t="str">
        <f>E$4</f>
        <v>Unit</v>
      </c>
      <c r="F89" s="61" t="str">
        <f>F$4</f>
        <v>Basis</v>
      </c>
      <c r="G89" s="61" t="str">
        <f>G$4</f>
        <v>Timing</v>
      </c>
      <c r="H89" s="61" t="str">
        <f>H$4</f>
        <v>Source</v>
      </c>
      <c r="I89" s="60"/>
      <c r="J89" s="62" t="str">
        <f>J$3</f>
        <v>FY15</v>
      </c>
      <c r="K89" s="62" t="str">
        <f t="shared" ref="K89:X89" si="29">K$3</f>
        <v>FY16</v>
      </c>
      <c r="L89" s="62" t="str">
        <f t="shared" si="29"/>
        <v>FY17</v>
      </c>
      <c r="M89" s="62" t="str">
        <f t="shared" si="29"/>
        <v>FY18</v>
      </c>
      <c r="N89" s="62" t="str">
        <f t="shared" si="29"/>
        <v>FY19</v>
      </c>
      <c r="O89" s="62" t="str">
        <f t="shared" si="29"/>
        <v>FY20</v>
      </c>
      <c r="P89" s="62" t="str">
        <f t="shared" si="29"/>
        <v>FY21</v>
      </c>
      <c r="Q89" s="62" t="str">
        <f t="shared" si="29"/>
        <v>FY22</v>
      </c>
      <c r="R89" s="62" t="str">
        <f t="shared" si="29"/>
        <v>FY23</v>
      </c>
      <c r="S89" s="62" t="str">
        <f t="shared" si="29"/>
        <v>FY24</v>
      </c>
      <c r="T89" s="62" t="str">
        <f t="shared" si="29"/>
        <v>FY25</v>
      </c>
      <c r="U89" s="62" t="str">
        <f t="shared" si="29"/>
        <v>FY26</v>
      </c>
      <c r="V89" s="62" t="str">
        <f t="shared" si="29"/>
        <v>FY27</v>
      </c>
      <c r="W89" s="62" t="str">
        <f t="shared" si="29"/>
        <v>FY28</v>
      </c>
      <c r="X89" s="62" t="str">
        <f t="shared" si="29"/>
        <v>FY29</v>
      </c>
      <c r="Z89" s="70" t="str">
        <f>"Average (km per Million, "&amp;Real_Input&amp;")"</f>
        <v>Average (km per Million, Real 2024)</v>
      </c>
    </row>
    <row r="91" spans="3:26" x14ac:dyDescent="0.2">
      <c r="D91" s="63" t="str">
        <f>$D$81</f>
        <v>Augmentation expenditure</v>
      </c>
      <c r="E91" s="65" t="str">
        <f>Unit_Dollar_M</f>
        <v>$Million</v>
      </c>
      <c r="F91" s="65" t="str">
        <f>Real_Input</f>
        <v>Real 2024</v>
      </c>
      <c r="G91" s="65" t="str">
        <f>End_Period</f>
        <v>End Period</v>
      </c>
      <c r="H91" s="31" t="s">
        <v>8</v>
      </c>
      <c r="J91" s="53">
        <f>IF(ISBLANK(J81),J84,J81*Input_CPI!T$20)</f>
        <v>30.726272800625658</v>
      </c>
      <c r="K91" s="54">
        <f>IF(ISBLANK(K81),K84,K81*Input_CPI!U$20)</f>
        <v>22.514727377385729</v>
      </c>
      <c r="L91" s="54">
        <f>IF(ISBLANK(L81),L84,L81*Input_CPI!V$20)</f>
        <v>16.213631971299371</v>
      </c>
      <c r="M91" s="54">
        <f>IF(ISBLANK(M81),M84,M81*Input_CPI!W$20)</f>
        <v>21.828954273917216</v>
      </c>
      <c r="N91" s="55">
        <f>IF(ISBLANK(N81),N84,N81*Input_CPI!X$20)</f>
        <v>10.256574721269859</v>
      </c>
      <c r="O91" s="53">
        <f>IF(ISBLANK(O81),O84,O81*Input_CPI!Y$20)</f>
        <v>17.917896049110347</v>
      </c>
      <c r="P91" s="54">
        <f>IF(ISBLANK(P81),P84,P81*Input_CPI!Z$20)</f>
        <v>13.378193783298347</v>
      </c>
      <c r="Q91" s="54">
        <f>IF(ISBLANK(Q81),Q84,Q81*Input_CPI!AA$20)</f>
        <v>11.231766903129579</v>
      </c>
      <c r="R91" s="54">
        <f>IF(ISBLANK(R81),R84,R81*Input_CPI!AB$20)</f>
        <v>11.514247569781533</v>
      </c>
      <c r="S91" s="55">
        <f>IF(ISBLANK(S81),S84,S81*Input_CPI!AC$20)</f>
        <v>13.546480610193314</v>
      </c>
      <c r="T91" s="53">
        <f>IF(ISBLANK(T81),T84,T81*Input_CPI!AD$20)</f>
        <v>9.4855153762789328</v>
      </c>
      <c r="U91" s="54">
        <f>IF(ISBLANK(U81),U84,U81*Input_CPI!AE$20)</f>
        <v>6.0246979087984371</v>
      </c>
      <c r="V91" s="54">
        <f>IF(ISBLANK(V81),V84,V81*Input_CPI!AF$20)</f>
        <v>7.2162069931347013</v>
      </c>
      <c r="W91" s="54">
        <f>IF(ISBLANK(W81),W84,W81*Input_CPI!AG$20)</f>
        <v>5.3517768869779863</v>
      </c>
      <c r="X91" s="55">
        <f>IF(ISBLANK(X81),X84,X81*Input_CPI!AH$20)</f>
        <v>4.9208958491892503</v>
      </c>
    </row>
    <row r="92" spans="3:26" x14ac:dyDescent="0.2">
      <c r="D92" s="63" t="str">
        <f>$D$82</f>
        <v>Connection expenditure</v>
      </c>
      <c r="E92" s="65" t="str">
        <f>Unit_Dollar_M</f>
        <v>$Million</v>
      </c>
      <c r="F92" s="65" t="str">
        <f>Real_Input</f>
        <v>Real 2024</v>
      </c>
      <c r="G92" s="65" t="str">
        <f>End_Period</f>
        <v>End Period</v>
      </c>
      <c r="H92" s="64" t="str">
        <f>H91</f>
        <v>Calculated</v>
      </c>
      <c r="J92" s="53">
        <f>IF(ISBLANK(J82),J85,J82*Input_CPI!T$20)</f>
        <v>21.636924738654965</v>
      </c>
      <c r="K92" s="54">
        <f>IF(ISBLANK(K82),K85,K82*Input_CPI!U$20)</f>
        <v>17.673312304484806</v>
      </c>
      <c r="L92" s="54">
        <f>IF(ISBLANK(L82),L85,L82*Input_CPI!V$20)</f>
        <v>14.767985059555224</v>
      </c>
      <c r="M92" s="54">
        <f>IF(ISBLANK(M82),M85,M82*Input_CPI!W$20)</f>
        <v>12.632105013497837</v>
      </c>
      <c r="N92" s="55">
        <f>IF(ISBLANK(N82),N85,N82*Input_CPI!X$20)</f>
        <v>6.9555266404981584</v>
      </c>
      <c r="O92" s="53">
        <f>IF(ISBLANK(O82),O85,O82*Input_CPI!Y$20)</f>
        <v>4.9225088699287962</v>
      </c>
      <c r="P92" s="54">
        <f>IF(ISBLANK(P82),P85,P82*Input_CPI!Z$20)</f>
        <v>7.4724927934217327</v>
      </c>
      <c r="Q92" s="54">
        <f>IF(ISBLANK(Q82),Q85,Q82*Input_CPI!AA$20)</f>
        <v>5.7405302858104861</v>
      </c>
      <c r="R92" s="54">
        <f>IF(ISBLANK(R82),R85,R82*Input_CPI!AB$20)</f>
        <v>9.0780883406414041</v>
      </c>
      <c r="S92" s="55">
        <f>IF(ISBLANK(S82),S85,S82*Input_CPI!AC$20)</f>
        <v>7.5685323717673958</v>
      </c>
      <c r="T92" s="53">
        <f>IF(ISBLANK(T82),T85,T82*Input_CPI!AD$20)</f>
        <v>1.3622191727759292</v>
      </c>
      <c r="U92" s="54">
        <f>IF(ISBLANK(U82),U85,U82*Input_CPI!AE$20)</f>
        <v>1.3785412716487917</v>
      </c>
      <c r="V92" s="54">
        <f>IF(ISBLANK(V82),V85,V82*Input_CPI!AF$20)</f>
        <v>1.3918320498372652</v>
      </c>
      <c r="W92" s="54">
        <f>IF(ISBLANK(W82),W85,W82*Input_CPI!AG$20)</f>
        <v>1.4052575348391252</v>
      </c>
      <c r="X92" s="55">
        <f>IF(ISBLANK(X82),X85,X82*Input_CPI!AH$20)</f>
        <v>1.4198473181663556</v>
      </c>
    </row>
    <row r="94" spans="3:26" x14ac:dyDescent="0.2">
      <c r="D94" s="115" t="s">
        <v>361</v>
      </c>
      <c r="E94" s="116" t="str">
        <f>E91</f>
        <v>$Million</v>
      </c>
      <c r="F94" s="116" t="str">
        <f>F91</f>
        <v>Real 2024</v>
      </c>
      <c r="G94" s="116" t="str">
        <f>G91</f>
        <v>End Period</v>
      </c>
      <c r="H94" s="116" t="str">
        <f>H91</f>
        <v>Calculated</v>
      </c>
      <c r="I94" s="69"/>
      <c r="J94" s="117">
        <f>SUM(J91:J92)</f>
        <v>52.36319753928062</v>
      </c>
      <c r="K94" s="118">
        <f t="shared" ref="K94:X94" si="30">SUM(K91:K92)</f>
        <v>40.188039681870535</v>
      </c>
      <c r="L94" s="118">
        <f t="shared" si="30"/>
        <v>30.981617030854594</v>
      </c>
      <c r="M94" s="118">
        <f t="shared" si="30"/>
        <v>34.461059287415054</v>
      </c>
      <c r="N94" s="119">
        <f t="shared" si="30"/>
        <v>17.212101361768017</v>
      </c>
      <c r="O94" s="117">
        <f t="shared" si="30"/>
        <v>22.840404919039145</v>
      </c>
      <c r="P94" s="118">
        <f t="shared" si="30"/>
        <v>20.850686576720079</v>
      </c>
      <c r="Q94" s="118">
        <f t="shared" si="30"/>
        <v>16.972297188940065</v>
      </c>
      <c r="R94" s="118">
        <f t="shared" si="30"/>
        <v>20.592335910422939</v>
      </c>
      <c r="S94" s="119">
        <f t="shared" si="30"/>
        <v>21.11501298196071</v>
      </c>
      <c r="T94" s="117">
        <f t="shared" si="30"/>
        <v>10.847734549054863</v>
      </c>
      <c r="U94" s="118">
        <f t="shared" si="30"/>
        <v>7.4032391804472288</v>
      </c>
      <c r="V94" s="118">
        <f t="shared" si="30"/>
        <v>8.6080390429719671</v>
      </c>
      <c r="W94" s="118">
        <f t="shared" si="30"/>
        <v>6.7570344218171119</v>
      </c>
      <c r="X94" s="119">
        <f t="shared" si="30"/>
        <v>6.3407431673556056</v>
      </c>
    </row>
    <row r="96" spans="3:26" x14ac:dyDescent="0.2">
      <c r="D96" s="63" t="s">
        <v>134</v>
      </c>
      <c r="E96" s="65" t="str">
        <f>E38</f>
        <v>Km</v>
      </c>
      <c r="F96" s="65" t="str">
        <f>F38</f>
        <v>N/A</v>
      </c>
      <c r="G96" s="65" t="str">
        <f>G38</f>
        <v>N/A</v>
      </c>
      <c r="H96" s="64" t="str">
        <f>H38</f>
        <v>Calculated</v>
      </c>
      <c r="J96" s="58"/>
      <c r="K96" s="59">
        <f>K38</f>
        <v>99.780969902861216</v>
      </c>
      <c r="L96" s="59">
        <f>L38</f>
        <v>69.973148429226057</v>
      </c>
      <c r="M96" s="59">
        <f>M38</f>
        <v>34.200633036830368</v>
      </c>
      <c r="N96" s="59">
        <f>N38</f>
        <v>54.262914700000692</v>
      </c>
      <c r="O96" s="59">
        <f>O38</f>
        <v>-112.16322020000007</v>
      </c>
      <c r="P96" s="58"/>
      <c r="Q96" s="58"/>
      <c r="R96" s="58"/>
      <c r="S96" s="58"/>
      <c r="T96" s="58"/>
      <c r="U96" s="58"/>
      <c r="V96" s="58"/>
      <c r="W96" s="58"/>
      <c r="X96" s="58"/>
    </row>
    <row r="97" spans="2:26" x14ac:dyDescent="0.2">
      <c r="D97" s="63"/>
    </row>
    <row r="98" spans="2:26" x14ac:dyDescent="0.2">
      <c r="D98" s="63" t="s">
        <v>133</v>
      </c>
      <c r="E98" s="65" t="str">
        <f>E96</f>
        <v>Km</v>
      </c>
      <c r="F98" s="65" t="str">
        <f>F96</f>
        <v>N/A</v>
      </c>
      <c r="G98" s="65" t="str">
        <f>G96</f>
        <v>N/A</v>
      </c>
      <c r="H98" s="64" t="str">
        <f>H96</f>
        <v>Calculated</v>
      </c>
      <c r="J98" s="71" t="str">
        <f t="shared" ref="J98:X98" si="31">IF(OR(ISBLANK(J96),J94=0,J96&lt;0),NA,J96/J94)</f>
        <v>N/A</v>
      </c>
      <c r="K98" s="71">
        <f t="shared" si="31"/>
        <v>2.4828523782879115</v>
      </c>
      <c r="L98" s="71">
        <f t="shared" si="31"/>
        <v>2.2585376470033762</v>
      </c>
      <c r="M98" s="71">
        <f t="shared" si="31"/>
        <v>0.99244288318554985</v>
      </c>
      <c r="N98" s="71">
        <f t="shared" si="31"/>
        <v>3.1526025532554054</v>
      </c>
      <c r="O98" s="71" t="str">
        <f t="shared" si="31"/>
        <v>N/A</v>
      </c>
      <c r="P98" s="71" t="str">
        <f t="shared" si="31"/>
        <v>N/A</v>
      </c>
      <c r="Q98" s="71" t="str">
        <f t="shared" si="31"/>
        <v>N/A</v>
      </c>
      <c r="R98" s="71" t="str">
        <f t="shared" si="31"/>
        <v>N/A</v>
      </c>
      <c r="S98" s="71" t="str">
        <f t="shared" si="31"/>
        <v>N/A</v>
      </c>
      <c r="T98" s="71" t="str">
        <f t="shared" si="31"/>
        <v>N/A</v>
      </c>
      <c r="U98" s="71" t="str">
        <f t="shared" si="31"/>
        <v>N/A</v>
      </c>
      <c r="V98" s="71" t="str">
        <f t="shared" si="31"/>
        <v>N/A</v>
      </c>
      <c r="W98" s="71" t="str">
        <f t="shared" si="31"/>
        <v>N/A</v>
      </c>
      <c r="X98" s="71" t="str">
        <f t="shared" si="31"/>
        <v>N/A</v>
      </c>
      <c r="Z98" s="71">
        <f>AVERAGE(J98:X98)</f>
        <v>2.221608865433061</v>
      </c>
    </row>
    <row r="99" spans="2:26" x14ac:dyDescent="0.2">
      <c r="D99" s="63"/>
    </row>
    <row r="100" spans="2:26" x14ac:dyDescent="0.2">
      <c r="D100" s="63" t="s">
        <v>135</v>
      </c>
      <c r="E100" s="65" t="str">
        <f>E96</f>
        <v>Km</v>
      </c>
      <c r="F100" s="65" t="str">
        <f>F96</f>
        <v>N/A</v>
      </c>
      <c r="G100" s="65" t="str">
        <f>G96</f>
        <v>N/A</v>
      </c>
      <c r="H100" s="64" t="str">
        <f>H96</f>
        <v>Calculated</v>
      </c>
      <c r="J100" s="58"/>
      <c r="K100" s="58"/>
      <c r="L100" s="58"/>
      <c r="M100" s="58"/>
      <c r="N100" s="58"/>
      <c r="O100" s="58"/>
      <c r="P100" s="59">
        <f>P94*$Z$98</f>
        <v>46.322070149207448</v>
      </c>
      <c r="Q100" s="59">
        <f t="shared" ref="Q100:X100" si="32">Q94*$Z$98</f>
        <v>37.705805901713866</v>
      </c>
      <c r="R100" s="59">
        <f t="shared" si="32"/>
        <v>45.748116018571189</v>
      </c>
      <c r="S100" s="59">
        <f t="shared" si="32"/>
        <v>46.909300034458084</v>
      </c>
      <c r="T100" s="59">
        <f t="shared" si="32"/>
        <v>24.099423244044793</v>
      </c>
      <c r="U100" s="59">
        <f t="shared" si="32"/>
        <v>16.447101796202954</v>
      </c>
      <c r="V100" s="59">
        <f t="shared" si="32"/>
        <v>19.123695851860443</v>
      </c>
      <c r="W100" s="59">
        <f t="shared" si="32"/>
        <v>15.011487575545253</v>
      </c>
      <c r="X100" s="59">
        <f t="shared" si="32"/>
        <v>14.08665123403132</v>
      </c>
    </row>
    <row r="102" spans="2:26" s="6" customFormat="1" ht="18.75" x14ac:dyDescent="0.2">
      <c r="B102" s="6" t="s">
        <v>587</v>
      </c>
    </row>
    <row r="104" spans="2:26" x14ac:dyDescent="0.2">
      <c r="D104" s="60" t="s">
        <v>56</v>
      </c>
      <c r="E104" s="61" t="str">
        <f>E$4</f>
        <v>Unit</v>
      </c>
      <c r="F104" s="61" t="str">
        <f>F$4</f>
        <v>Basis</v>
      </c>
      <c r="G104" s="61" t="str">
        <f>G$4</f>
        <v>Timing</v>
      </c>
      <c r="H104" s="61" t="str">
        <f>H$4</f>
        <v>Source</v>
      </c>
      <c r="I104" s="60"/>
      <c r="J104" s="62" t="str">
        <f>J$3</f>
        <v>FY15</v>
      </c>
      <c r="K104" s="62" t="str">
        <f t="shared" ref="K104:X104" si="33">K$3</f>
        <v>FY16</v>
      </c>
      <c r="L104" s="62" t="str">
        <f t="shared" si="33"/>
        <v>FY17</v>
      </c>
      <c r="M104" s="62" t="str">
        <f t="shared" si="33"/>
        <v>FY18</v>
      </c>
      <c r="N104" s="62" t="str">
        <f t="shared" si="33"/>
        <v>FY19</v>
      </c>
      <c r="O104" s="62" t="str">
        <f t="shared" si="33"/>
        <v>FY20</v>
      </c>
      <c r="P104" s="62" t="str">
        <f t="shared" si="33"/>
        <v>FY21</v>
      </c>
      <c r="Q104" s="62" t="str">
        <f t="shared" si="33"/>
        <v>FY22</v>
      </c>
      <c r="R104" s="62" t="str">
        <f t="shared" si="33"/>
        <v>FY23</v>
      </c>
      <c r="S104" s="62" t="str">
        <f t="shared" si="33"/>
        <v>FY24</v>
      </c>
      <c r="T104" s="62" t="str">
        <f t="shared" si="33"/>
        <v>FY25</v>
      </c>
      <c r="U104" s="62" t="str">
        <f t="shared" si="33"/>
        <v>FY26</v>
      </c>
      <c r="V104" s="62" t="str">
        <f t="shared" si="33"/>
        <v>FY27</v>
      </c>
      <c r="W104" s="62" t="str">
        <f t="shared" si="33"/>
        <v>FY28</v>
      </c>
      <c r="X104" s="62" t="str">
        <f t="shared" si="33"/>
        <v>FY29</v>
      </c>
      <c r="Z104" s="70"/>
    </row>
    <row r="106" spans="2:26" x14ac:dyDescent="0.2">
      <c r="D106" s="30" t="s">
        <v>589</v>
      </c>
      <c r="E106" s="39" t="s">
        <v>117</v>
      </c>
      <c r="F106" s="39" t="str">
        <f t="shared" ref="F106:G109" si="34">NA</f>
        <v>N/A</v>
      </c>
      <c r="G106" s="39" t="str">
        <f t="shared" si="34"/>
        <v>N/A</v>
      </c>
      <c r="H106" s="31" t="s">
        <v>392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57">
        <v>0</v>
      </c>
      <c r="P106" s="57">
        <v>0</v>
      </c>
      <c r="Q106" s="292">
        <v>67941</v>
      </c>
      <c r="R106" s="292">
        <v>68294</v>
      </c>
      <c r="S106" s="292">
        <v>68825.636346324434</v>
      </c>
      <c r="T106" s="292">
        <v>69357.272692648854</v>
      </c>
      <c r="U106" s="292">
        <v>69888.909038973419</v>
      </c>
      <c r="V106" s="292">
        <v>70420.545385297853</v>
      </c>
      <c r="W106" s="292">
        <v>70952.181731622288</v>
      </c>
      <c r="X106" s="292">
        <v>71483.818077946722</v>
      </c>
    </row>
    <row r="107" spans="2:26" x14ac:dyDescent="0.2">
      <c r="D107" s="30" t="s">
        <v>590</v>
      </c>
      <c r="E107" s="39" t="s">
        <v>117</v>
      </c>
      <c r="F107" s="39" t="str">
        <f t="shared" si="34"/>
        <v>N/A</v>
      </c>
      <c r="G107" s="39" t="str">
        <f t="shared" si="34"/>
        <v>N/A</v>
      </c>
      <c r="H107" s="39" t="str">
        <f>H106</f>
        <v>PWC</v>
      </c>
      <c r="J107" s="57">
        <v>0</v>
      </c>
      <c r="K107" s="57">
        <v>0</v>
      </c>
      <c r="L107" s="57">
        <v>0</v>
      </c>
      <c r="M107" s="57">
        <v>0</v>
      </c>
      <c r="N107" s="57">
        <v>0</v>
      </c>
      <c r="O107" s="57">
        <v>0</v>
      </c>
      <c r="P107" s="57">
        <v>0</v>
      </c>
      <c r="Q107" s="292">
        <v>17234</v>
      </c>
      <c r="R107" s="292">
        <v>17425</v>
      </c>
      <c r="S107" s="292">
        <v>17542.192259643052</v>
      </c>
      <c r="T107" s="292">
        <v>17659.737615549875</v>
      </c>
      <c r="U107" s="292">
        <v>17777.645480997468</v>
      </c>
      <c r="V107" s="292">
        <v>17895.925524091646</v>
      </c>
      <c r="W107" s="292">
        <v>18014.587674753137</v>
      </c>
      <c r="X107" s="292">
        <v>18133.642131896824</v>
      </c>
    </row>
    <row r="108" spans="2:26" x14ac:dyDescent="0.2">
      <c r="D108" s="30" t="s">
        <v>253</v>
      </c>
      <c r="E108" s="39" t="s">
        <v>117</v>
      </c>
      <c r="F108" s="39" t="str">
        <f t="shared" si="34"/>
        <v>N/A</v>
      </c>
      <c r="G108" s="39" t="str">
        <f t="shared" si="34"/>
        <v>N/A</v>
      </c>
      <c r="H108" s="39" t="str">
        <f>H107</f>
        <v>PWC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Q108" s="292">
        <v>2256</v>
      </c>
      <c r="R108" s="292">
        <v>2301</v>
      </c>
      <c r="S108" s="292">
        <v>2316.4754312446867</v>
      </c>
      <c r="T108" s="292">
        <v>2331.9974894335878</v>
      </c>
      <c r="U108" s="292">
        <v>2347.5674176054622</v>
      </c>
      <c r="V108" s="292">
        <v>2363.1864924496344</v>
      </c>
      <c r="W108" s="292">
        <v>2378.8560252285206</v>
      </c>
      <c r="X108" s="292">
        <v>2394.5773627256581</v>
      </c>
    </row>
    <row r="109" spans="2:26" x14ac:dyDescent="0.2">
      <c r="D109" s="30" t="s">
        <v>254</v>
      </c>
      <c r="E109" s="39" t="s">
        <v>117</v>
      </c>
      <c r="F109" s="39" t="str">
        <f t="shared" si="34"/>
        <v>N/A</v>
      </c>
      <c r="G109" s="39" t="str">
        <f t="shared" si="34"/>
        <v>N/A</v>
      </c>
      <c r="H109" s="39" t="str">
        <f>H108</f>
        <v>PWC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57">
        <v>0</v>
      </c>
      <c r="P109" s="57">
        <v>0</v>
      </c>
      <c r="Q109" s="292">
        <v>124</v>
      </c>
      <c r="R109" s="292">
        <v>137</v>
      </c>
      <c r="S109" s="292">
        <v>137.9179</v>
      </c>
      <c r="T109" s="292">
        <v>138.84194993</v>
      </c>
      <c r="U109" s="292">
        <v>139.772190994531</v>
      </c>
      <c r="V109" s="292">
        <v>140.70866467419435</v>
      </c>
      <c r="W109" s="292">
        <v>141.63734186104404</v>
      </c>
      <c r="X109" s="292">
        <v>142.57214831732691</v>
      </c>
    </row>
    <row r="111" spans="2:26" x14ac:dyDescent="0.2">
      <c r="D111" s="115" t="s">
        <v>588</v>
      </c>
      <c r="E111" s="116" t="str">
        <f>E109</f>
        <v>Number</v>
      </c>
      <c r="F111" s="116" t="str">
        <f>F109</f>
        <v>N/A</v>
      </c>
      <c r="G111" s="116" t="str">
        <f>G109</f>
        <v>N/A</v>
      </c>
      <c r="H111" s="116" t="s">
        <v>8</v>
      </c>
      <c r="J111" s="120">
        <f>SUM(J106:J109)</f>
        <v>0</v>
      </c>
      <c r="K111" s="120">
        <f t="shared" ref="K111:X111" si="35">SUM(K106:K109)</f>
        <v>0</v>
      </c>
      <c r="L111" s="120">
        <f t="shared" si="35"/>
        <v>0</v>
      </c>
      <c r="M111" s="120">
        <f t="shared" si="35"/>
        <v>0</v>
      </c>
      <c r="N111" s="120">
        <f t="shared" si="35"/>
        <v>0</v>
      </c>
      <c r="O111" s="120">
        <f t="shared" si="35"/>
        <v>0</v>
      </c>
      <c r="P111" s="120">
        <f t="shared" si="35"/>
        <v>0</v>
      </c>
      <c r="Q111" s="120">
        <f t="shared" si="35"/>
        <v>87555</v>
      </c>
      <c r="R111" s="120">
        <f t="shared" si="35"/>
        <v>88157</v>
      </c>
      <c r="S111" s="120">
        <f t="shared" si="35"/>
        <v>88822.221937212176</v>
      </c>
      <c r="T111" s="120">
        <f t="shared" si="35"/>
        <v>89487.84974756233</v>
      </c>
      <c r="U111" s="120">
        <f t="shared" si="35"/>
        <v>90153.894128570872</v>
      </c>
      <c r="V111" s="120">
        <f t="shared" si="35"/>
        <v>90820.366066513321</v>
      </c>
      <c r="W111" s="120">
        <f t="shared" si="35"/>
        <v>91487.262773464987</v>
      </c>
      <c r="X111" s="120">
        <f t="shared" si="35"/>
        <v>92154.609720886525</v>
      </c>
    </row>
    <row r="113" spans="2:26" x14ac:dyDescent="0.2">
      <c r="D113" s="63" t="s">
        <v>591</v>
      </c>
      <c r="E113" s="39" t="str">
        <f>Unit_Perc</f>
        <v>Percent</v>
      </c>
      <c r="F113" s="39" t="str">
        <f>NA</f>
        <v>N/A</v>
      </c>
      <c r="G113" s="39" t="str">
        <f>NA</f>
        <v>N/A</v>
      </c>
      <c r="H113" s="39" t="s">
        <v>8</v>
      </c>
      <c r="J113" s="58"/>
      <c r="K113" s="58"/>
      <c r="L113" s="58"/>
      <c r="M113" s="58"/>
      <c r="N113" s="58"/>
      <c r="O113" s="58"/>
      <c r="P113" s="58"/>
      <c r="Q113" s="58"/>
      <c r="R113" s="294"/>
      <c r="S113" s="294"/>
      <c r="T113" s="294"/>
      <c r="U113" s="294"/>
      <c r="V113" s="294"/>
      <c r="W113" s="294"/>
      <c r="X113" s="294"/>
    </row>
    <row r="115" spans="2:26" x14ac:dyDescent="0.2">
      <c r="D115" s="60" t="s">
        <v>56</v>
      </c>
      <c r="E115" s="61" t="str">
        <f>E$4</f>
        <v>Unit</v>
      </c>
      <c r="F115" s="61" t="str">
        <f>F$4</f>
        <v>Basis</v>
      </c>
      <c r="G115" s="61" t="str">
        <f>G$4</f>
        <v>Timing</v>
      </c>
      <c r="H115" s="61" t="str">
        <f>H$4</f>
        <v>Source</v>
      </c>
      <c r="I115" s="60"/>
      <c r="J115" s="62" t="str">
        <f>J$3</f>
        <v>FY15</v>
      </c>
      <c r="K115" s="62" t="str">
        <f t="shared" ref="K115:X115" si="36">K$3</f>
        <v>FY16</v>
      </c>
      <c r="L115" s="62" t="str">
        <f t="shared" si="36"/>
        <v>FY17</v>
      </c>
      <c r="M115" s="62" t="str">
        <f t="shared" si="36"/>
        <v>FY18</v>
      </c>
      <c r="N115" s="62" t="str">
        <f t="shared" si="36"/>
        <v>FY19</v>
      </c>
      <c r="O115" s="62" t="str">
        <f t="shared" si="36"/>
        <v>FY20</v>
      </c>
      <c r="P115" s="62" t="str">
        <f t="shared" si="36"/>
        <v>FY21</v>
      </c>
      <c r="Q115" s="62" t="str">
        <f t="shared" si="36"/>
        <v>FY22</v>
      </c>
      <c r="R115" s="62" t="str">
        <f t="shared" si="36"/>
        <v>FY23</v>
      </c>
      <c r="S115" s="62" t="str">
        <f t="shared" si="36"/>
        <v>FY24</v>
      </c>
      <c r="T115" s="62" t="str">
        <f t="shared" si="36"/>
        <v>FY25</v>
      </c>
      <c r="U115" s="62" t="str">
        <f t="shared" si="36"/>
        <v>FY26</v>
      </c>
      <c r="V115" s="62" t="str">
        <f t="shared" si="36"/>
        <v>FY27</v>
      </c>
      <c r="W115" s="62" t="str">
        <f t="shared" si="36"/>
        <v>FY28</v>
      </c>
      <c r="X115" s="62" t="str">
        <f t="shared" si="36"/>
        <v>FY29</v>
      </c>
      <c r="Z115" s="70"/>
    </row>
    <row r="117" spans="2:26" x14ac:dyDescent="0.2">
      <c r="D117" s="63" t="str">
        <f>D106</f>
        <v>1 Phase meters (including Prepayment)</v>
      </c>
      <c r="E117" s="39" t="s">
        <v>117</v>
      </c>
      <c r="F117" s="39" t="str">
        <f t="shared" ref="F117:G120" si="37">NA</f>
        <v>N/A</v>
      </c>
      <c r="G117" s="39" t="str">
        <f t="shared" si="37"/>
        <v>N/A</v>
      </c>
      <c r="H117" s="31" t="s">
        <v>8</v>
      </c>
      <c r="J117" s="59">
        <f>IF(ISBLANK(J$113),J106,I117*(1+J$113))</f>
        <v>0</v>
      </c>
      <c r="K117" s="59">
        <f t="shared" ref="K117:Q117" si="38">IF(ISBLANK(K$113),K106,J117*(1+K$113))</f>
        <v>0</v>
      </c>
      <c r="L117" s="59">
        <f t="shared" si="38"/>
        <v>0</v>
      </c>
      <c r="M117" s="59">
        <f t="shared" si="38"/>
        <v>0</v>
      </c>
      <c r="N117" s="59">
        <f t="shared" si="38"/>
        <v>0</v>
      </c>
      <c r="O117" s="59">
        <f t="shared" si="38"/>
        <v>0</v>
      </c>
      <c r="P117" s="59">
        <f t="shared" si="38"/>
        <v>0</v>
      </c>
      <c r="Q117" s="59">
        <f t="shared" si="38"/>
        <v>67941</v>
      </c>
      <c r="R117" s="59">
        <f t="shared" ref="R117:X117" si="39">IF(ISBLANK(R$113),R106,Q117*(1+R$113))</f>
        <v>68294</v>
      </c>
      <c r="S117" s="59">
        <f t="shared" si="39"/>
        <v>68825.636346324434</v>
      </c>
      <c r="T117" s="59">
        <f t="shared" si="39"/>
        <v>69357.272692648854</v>
      </c>
      <c r="U117" s="59">
        <f t="shared" si="39"/>
        <v>69888.909038973419</v>
      </c>
      <c r="V117" s="59">
        <f t="shared" si="39"/>
        <v>70420.545385297853</v>
      </c>
      <c r="W117" s="59">
        <f t="shared" si="39"/>
        <v>70952.181731622288</v>
      </c>
      <c r="X117" s="59">
        <f t="shared" si="39"/>
        <v>71483.818077946722</v>
      </c>
    </row>
    <row r="118" spans="2:26" x14ac:dyDescent="0.2">
      <c r="D118" s="63" t="str">
        <f>D107</f>
        <v>3 Phase meters</v>
      </c>
      <c r="E118" s="39" t="s">
        <v>117</v>
      </c>
      <c r="F118" s="39" t="str">
        <f t="shared" si="37"/>
        <v>N/A</v>
      </c>
      <c r="G118" s="39" t="str">
        <f t="shared" si="37"/>
        <v>N/A</v>
      </c>
      <c r="H118" s="39" t="str">
        <f>H117</f>
        <v>Calculated</v>
      </c>
      <c r="J118" s="59">
        <f t="shared" ref="J118:Q118" si="40">IF(ISBLANK(J$113),J107,I118*(1+J$113))</f>
        <v>0</v>
      </c>
      <c r="K118" s="59">
        <f t="shared" si="40"/>
        <v>0</v>
      </c>
      <c r="L118" s="59">
        <f t="shared" si="40"/>
        <v>0</v>
      </c>
      <c r="M118" s="59">
        <f t="shared" si="40"/>
        <v>0</v>
      </c>
      <c r="N118" s="59">
        <f t="shared" si="40"/>
        <v>0</v>
      </c>
      <c r="O118" s="59">
        <f t="shared" si="40"/>
        <v>0</v>
      </c>
      <c r="P118" s="59">
        <f t="shared" si="40"/>
        <v>0</v>
      </c>
      <c r="Q118" s="59">
        <f t="shared" si="40"/>
        <v>17234</v>
      </c>
      <c r="R118" s="59">
        <f t="shared" ref="R118:X118" si="41">IF(ISBLANK(R$113),R107,Q118*(1+R$113))</f>
        <v>17425</v>
      </c>
      <c r="S118" s="59">
        <f t="shared" si="41"/>
        <v>17542.192259643052</v>
      </c>
      <c r="T118" s="59">
        <f t="shared" si="41"/>
        <v>17659.737615549875</v>
      </c>
      <c r="U118" s="59">
        <f t="shared" si="41"/>
        <v>17777.645480997468</v>
      </c>
      <c r="V118" s="59">
        <f t="shared" si="41"/>
        <v>17895.925524091646</v>
      </c>
      <c r="W118" s="59">
        <f t="shared" si="41"/>
        <v>18014.587674753137</v>
      </c>
      <c r="X118" s="59">
        <f t="shared" si="41"/>
        <v>18133.642131896824</v>
      </c>
    </row>
    <row r="119" spans="2:26" x14ac:dyDescent="0.2">
      <c r="D119" s="63" t="str">
        <f>D108</f>
        <v>LV CT</v>
      </c>
      <c r="E119" s="39" t="s">
        <v>117</v>
      </c>
      <c r="F119" s="39" t="str">
        <f t="shared" si="37"/>
        <v>N/A</v>
      </c>
      <c r="G119" s="39" t="str">
        <f t="shared" si="37"/>
        <v>N/A</v>
      </c>
      <c r="H119" s="39" t="str">
        <f>H118</f>
        <v>Calculated</v>
      </c>
      <c r="J119" s="59">
        <f t="shared" ref="J119:Q119" si="42">IF(ISBLANK(J$113),J108,I119*(1+J$113))</f>
        <v>0</v>
      </c>
      <c r="K119" s="59">
        <f t="shared" si="42"/>
        <v>0</v>
      </c>
      <c r="L119" s="59">
        <f t="shared" si="42"/>
        <v>0</v>
      </c>
      <c r="M119" s="59">
        <f t="shared" si="42"/>
        <v>0</v>
      </c>
      <c r="N119" s="59">
        <f t="shared" si="42"/>
        <v>0</v>
      </c>
      <c r="O119" s="59">
        <f t="shared" si="42"/>
        <v>0</v>
      </c>
      <c r="P119" s="59">
        <f t="shared" si="42"/>
        <v>0</v>
      </c>
      <c r="Q119" s="59">
        <f t="shared" si="42"/>
        <v>2256</v>
      </c>
      <c r="R119" s="59">
        <f t="shared" ref="R119:X119" si="43">IF(ISBLANK(R$113),R108,Q119*(1+R$113))</f>
        <v>2301</v>
      </c>
      <c r="S119" s="59">
        <f t="shared" si="43"/>
        <v>2316.4754312446867</v>
      </c>
      <c r="T119" s="59">
        <f t="shared" si="43"/>
        <v>2331.9974894335878</v>
      </c>
      <c r="U119" s="59">
        <f t="shared" si="43"/>
        <v>2347.5674176054622</v>
      </c>
      <c r="V119" s="59">
        <f t="shared" si="43"/>
        <v>2363.1864924496344</v>
      </c>
      <c r="W119" s="59">
        <f t="shared" si="43"/>
        <v>2378.8560252285206</v>
      </c>
      <c r="X119" s="59">
        <f t="shared" si="43"/>
        <v>2394.5773627256581</v>
      </c>
    </row>
    <row r="120" spans="2:26" x14ac:dyDescent="0.2">
      <c r="D120" s="63" t="str">
        <f>D109</f>
        <v>HV</v>
      </c>
      <c r="E120" s="39" t="s">
        <v>117</v>
      </c>
      <c r="F120" s="39" t="str">
        <f t="shared" si="37"/>
        <v>N/A</v>
      </c>
      <c r="G120" s="39" t="str">
        <f t="shared" si="37"/>
        <v>N/A</v>
      </c>
      <c r="H120" s="39" t="str">
        <f>H119</f>
        <v>Calculated</v>
      </c>
      <c r="J120" s="59">
        <f t="shared" ref="J120:Q120" si="44">IF(ISBLANK(J$113),J109,I120*(1+J$113))</f>
        <v>0</v>
      </c>
      <c r="K120" s="59">
        <f t="shared" si="44"/>
        <v>0</v>
      </c>
      <c r="L120" s="59">
        <f t="shared" si="44"/>
        <v>0</v>
      </c>
      <c r="M120" s="59">
        <f t="shared" si="44"/>
        <v>0</v>
      </c>
      <c r="N120" s="59">
        <f t="shared" si="44"/>
        <v>0</v>
      </c>
      <c r="O120" s="59">
        <f t="shared" si="44"/>
        <v>0</v>
      </c>
      <c r="P120" s="59">
        <f t="shared" si="44"/>
        <v>0</v>
      </c>
      <c r="Q120" s="59">
        <f t="shared" si="44"/>
        <v>124</v>
      </c>
      <c r="R120" s="59">
        <f t="shared" ref="R120:X120" si="45">IF(ISBLANK(R$113),R109,Q120*(1+R$113))</f>
        <v>137</v>
      </c>
      <c r="S120" s="59">
        <f t="shared" si="45"/>
        <v>137.9179</v>
      </c>
      <c r="T120" s="59">
        <f t="shared" si="45"/>
        <v>138.84194993</v>
      </c>
      <c r="U120" s="59">
        <f t="shared" si="45"/>
        <v>139.772190994531</v>
      </c>
      <c r="V120" s="59">
        <f t="shared" si="45"/>
        <v>140.70866467419435</v>
      </c>
      <c r="W120" s="59">
        <f t="shared" si="45"/>
        <v>141.63734186104404</v>
      </c>
      <c r="X120" s="59">
        <f t="shared" si="45"/>
        <v>142.57214831732691</v>
      </c>
    </row>
    <row r="122" spans="2:26" x14ac:dyDescent="0.2">
      <c r="D122" s="115" t="s">
        <v>592</v>
      </c>
      <c r="E122" s="116" t="str">
        <f>E120</f>
        <v>Number</v>
      </c>
      <c r="F122" s="116" t="str">
        <f>F120</f>
        <v>N/A</v>
      </c>
      <c r="G122" s="116" t="str">
        <f>G120</f>
        <v>N/A</v>
      </c>
      <c r="H122" s="116" t="s">
        <v>8</v>
      </c>
      <c r="J122" s="120">
        <f>SUM(J117:J120)</f>
        <v>0</v>
      </c>
      <c r="K122" s="120">
        <f t="shared" ref="K122:Q122" si="46">SUM(K117:K120)</f>
        <v>0</v>
      </c>
      <c r="L122" s="120">
        <f t="shared" si="46"/>
        <v>0</v>
      </c>
      <c r="M122" s="120">
        <f t="shared" si="46"/>
        <v>0</v>
      </c>
      <c r="N122" s="120">
        <f t="shared" si="46"/>
        <v>0</v>
      </c>
      <c r="O122" s="120">
        <f t="shared" si="46"/>
        <v>0</v>
      </c>
      <c r="P122" s="120">
        <f t="shared" si="46"/>
        <v>0</v>
      </c>
      <c r="Q122" s="120">
        <f t="shared" si="46"/>
        <v>87555</v>
      </c>
      <c r="R122" s="120">
        <f t="shared" ref="R122:X122" si="47">SUM(R117:R120)</f>
        <v>88157</v>
      </c>
      <c r="S122" s="120">
        <f t="shared" si="47"/>
        <v>88822.221937212176</v>
      </c>
      <c r="T122" s="120">
        <f t="shared" si="47"/>
        <v>89487.84974756233</v>
      </c>
      <c r="U122" s="120">
        <f t="shared" si="47"/>
        <v>90153.894128570872</v>
      </c>
      <c r="V122" s="120">
        <f t="shared" si="47"/>
        <v>90820.366066513321</v>
      </c>
      <c r="W122" s="120">
        <f t="shared" si="47"/>
        <v>91487.262773464987</v>
      </c>
      <c r="X122" s="120">
        <f t="shared" si="47"/>
        <v>92154.609720886525</v>
      </c>
    </row>
    <row r="124" spans="2:26" s="6" customFormat="1" ht="18.75" x14ac:dyDescent="0.2">
      <c r="B124" s="6" t="s">
        <v>43</v>
      </c>
    </row>
  </sheetData>
  <hyperlinks>
    <hyperlink ref="B4" location="ToC!A1" display="ToC!A1" xr:uid="{6CE629ED-159B-4A3C-9DC2-DAD8CFA7AC89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464D9-CE7D-4F24-BDE9-F1EA13C18F18}">
  <sheetPr codeName="Sheet5">
    <tabColor theme="4" tint="0.79998168889431442"/>
  </sheetPr>
  <dimension ref="A1:AA42"/>
  <sheetViews>
    <sheetView showGridLines="0" zoomScaleNormal="100" workbookViewId="0">
      <pane xSplit="4" ySplit="4" topLeftCell="E5" activePane="bottomRight" state="frozen"/>
      <selection activeCell="B5" sqref="B5"/>
      <selection pane="topRight" activeCell="B5" sqref="B5"/>
      <selection pane="bottomLeft" activeCell="B5" sqref="B5"/>
      <selection pane="bottomRight" activeCell="E5" sqref="E5"/>
    </sheetView>
  </sheetViews>
  <sheetFormatPr defaultRowHeight="12.75" outlineLevelRow="1" x14ac:dyDescent="0.2"/>
  <cols>
    <col min="1" max="3" width="3.7109375" customWidth="1"/>
    <col min="4" max="4" width="34" customWidth="1"/>
    <col min="5" max="8" width="13.5703125" customWidth="1"/>
    <col min="9" max="9" width="2.5703125" customWidth="1"/>
    <col min="10" max="24" width="10.5703125" customWidth="1"/>
  </cols>
  <sheetData>
    <row r="1" spans="1:24" ht="23.25" x14ac:dyDescent="0.35">
      <c r="A1" s="52">
        <f>IF(SUM(A5:A42)&lt;&gt;0,1,0)</f>
        <v>0</v>
      </c>
      <c r="B1" s="16" t="s">
        <v>258</v>
      </c>
    </row>
    <row r="2" spans="1:24" ht="15" x14ac:dyDescent="0.2">
      <c r="B2" s="34" t="str">
        <f>Model_Name</f>
        <v>Power and Water - Revised Proposal - Tables and Charts</v>
      </c>
    </row>
    <row r="3" spans="1:24" x14ac:dyDescent="0.2">
      <c r="B3" s="37" t="str">
        <f>"Model Checks:"&amp;IF(Model_Checks=0," OK"," Check")</f>
        <v>Model Checks: OK</v>
      </c>
      <c r="J3" s="62" t="str">
        <f>LookupTab!M$40</f>
        <v>FY15</v>
      </c>
      <c r="K3" s="62" t="str">
        <f>LookupTab!N$40</f>
        <v>FY16</v>
      </c>
      <c r="L3" s="62" t="str">
        <f>LookupTab!O$40</f>
        <v>FY17</v>
      </c>
      <c r="M3" s="62" t="str">
        <f>LookupTab!P$40</f>
        <v>FY18</v>
      </c>
      <c r="N3" s="62" t="str">
        <f>LookupTab!Q$40</f>
        <v>FY19</v>
      </c>
      <c r="O3" s="62" t="str">
        <f>LookupTab!R$40</f>
        <v>FY20</v>
      </c>
      <c r="P3" s="62" t="str">
        <f>LookupTab!S$40</f>
        <v>FY21</v>
      </c>
      <c r="Q3" s="62" t="str">
        <f>LookupTab!T$40</f>
        <v>FY22</v>
      </c>
      <c r="R3" s="62" t="str">
        <f>LookupTab!U$40</f>
        <v>FY23</v>
      </c>
      <c r="S3" s="62" t="str">
        <f>LookupTab!V$40</f>
        <v>FY24</v>
      </c>
      <c r="T3" s="62" t="str">
        <f>LookupTab!W$40</f>
        <v>FY25</v>
      </c>
      <c r="U3" s="62" t="str">
        <f>LookupTab!X$40</f>
        <v>FY26</v>
      </c>
      <c r="V3" s="62" t="str">
        <f>LookupTab!Y$40</f>
        <v>FY27</v>
      </c>
      <c r="W3" s="62" t="str">
        <f>LookupTab!Z$40</f>
        <v>FY28</v>
      </c>
      <c r="X3" s="62" t="str">
        <f>LookupTab!AA$40</f>
        <v>FY29</v>
      </c>
    </row>
    <row r="4" spans="1:24" ht="15" x14ac:dyDescent="0.2">
      <c r="B4" s="29" t="str">
        <f>ToC!$B$1</f>
        <v>Table of contents</v>
      </c>
      <c r="E4" s="48" t="s">
        <v>2</v>
      </c>
      <c r="F4" s="48" t="s">
        <v>3</v>
      </c>
      <c r="G4" s="48" t="s">
        <v>4</v>
      </c>
      <c r="H4" s="48" t="s">
        <v>1</v>
      </c>
      <c r="J4" s="110" t="str">
        <f>LookupTab!M$41</f>
        <v>Previous Period</v>
      </c>
      <c r="K4" s="41"/>
      <c r="L4" s="41"/>
      <c r="M4" s="41"/>
      <c r="N4" s="41"/>
      <c r="O4" s="111" t="str">
        <f>LookupTab!R$41</f>
        <v>Current Period</v>
      </c>
      <c r="P4" s="42"/>
      <c r="Q4" s="42"/>
      <c r="R4" s="42"/>
      <c r="S4" s="42"/>
      <c r="T4" s="112" t="str">
        <f>LookupTab!W$41</f>
        <v>Next Period</v>
      </c>
      <c r="U4" s="43"/>
      <c r="V4" s="43"/>
      <c r="W4" s="43"/>
      <c r="X4" s="43"/>
    </row>
    <row r="6" spans="1:24" s="6" customFormat="1" ht="18.75" x14ac:dyDescent="0.2">
      <c r="B6" s="6" t="s">
        <v>139</v>
      </c>
    </row>
    <row r="8" spans="1:24" s="121" customFormat="1" ht="15.75" x14ac:dyDescent="0.2">
      <c r="C8" s="121" t="s">
        <v>593</v>
      </c>
    </row>
    <row r="10" spans="1:24" x14ac:dyDescent="0.2">
      <c r="D10" s="60" t="s">
        <v>56</v>
      </c>
      <c r="E10" s="61" t="str">
        <f>E$4</f>
        <v>Unit</v>
      </c>
      <c r="F10" s="61" t="str">
        <f>F$4</f>
        <v>Basis</v>
      </c>
      <c r="G10" s="61" t="str">
        <f>G$4</f>
        <v>Timing</v>
      </c>
      <c r="H10" s="61" t="str">
        <f>H$4</f>
        <v>Source</v>
      </c>
      <c r="I10" s="60"/>
      <c r="J10" s="62" t="str">
        <f>J$3</f>
        <v>FY15</v>
      </c>
      <c r="K10" s="62" t="str">
        <f t="shared" ref="K10:X10" si="0">K$3</f>
        <v>FY16</v>
      </c>
      <c r="L10" s="62" t="str">
        <f t="shared" si="0"/>
        <v>FY17</v>
      </c>
      <c r="M10" s="62" t="str">
        <f t="shared" si="0"/>
        <v>FY18</v>
      </c>
      <c r="N10" s="62" t="str">
        <f t="shared" si="0"/>
        <v>FY19</v>
      </c>
      <c r="O10" s="62" t="str">
        <f t="shared" si="0"/>
        <v>FY20</v>
      </c>
      <c r="P10" s="62" t="str">
        <f t="shared" si="0"/>
        <v>FY21</v>
      </c>
      <c r="Q10" s="62" t="str">
        <f t="shared" si="0"/>
        <v>FY22</v>
      </c>
      <c r="R10" s="62" t="str">
        <f t="shared" si="0"/>
        <v>FY23</v>
      </c>
      <c r="S10" s="62" t="str">
        <f t="shared" si="0"/>
        <v>FY24</v>
      </c>
      <c r="T10" s="62" t="str">
        <f t="shared" si="0"/>
        <v>FY25</v>
      </c>
      <c r="U10" s="62" t="str">
        <f t="shared" si="0"/>
        <v>FY26</v>
      </c>
      <c r="V10" s="62" t="str">
        <f t="shared" si="0"/>
        <v>FY27</v>
      </c>
      <c r="W10" s="62" t="str">
        <f t="shared" si="0"/>
        <v>FY28</v>
      </c>
      <c r="X10" s="62" t="str">
        <f t="shared" si="0"/>
        <v>FY29</v>
      </c>
    </row>
    <row r="11" spans="1:24" x14ac:dyDescent="0.2">
      <c r="J11" s="31" t="s">
        <v>9</v>
      </c>
      <c r="K11" s="39" t="str">
        <f>J11</f>
        <v>Nominal</v>
      </c>
      <c r="L11" s="39" t="str">
        <f>K11</f>
        <v>Nominal</v>
      </c>
      <c r="M11" s="39" t="str">
        <f>L11</f>
        <v>Nominal</v>
      </c>
      <c r="N11" s="39" t="str">
        <f>M11</f>
        <v>Nominal</v>
      </c>
      <c r="O11" s="31" t="s">
        <v>102</v>
      </c>
      <c r="P11" s="39" t="str">
        <f>O11</f>
        <v>Real 2019</v>
      </c>
      <c r="Q11" s="39" t="str">
        <f>P11</f>
        <v>Real 2019</v>
      </c>
      <c r="R11" s="39" t="str">
        <f>Q11</f>
        <v>Real 2019</v>
      </c>
      <c r="S11" s="39" t="str">
        <f>R11</f>
        <v>Real 2019</v>
      </c>
      <c r="T11" s="31" t="s">
        <v>101</v>
      </c>
      <c r="U11" s="39" t="str">
        <f>T11</f>
        <v>Real 2024</v>
      </c>
      <c r="V11" s="39" t="str">
        <f>U11</f>
        <v>Real 2024</v>
      </c>
      <c r="W11" s="39" t="str">
        <f>V11</f>
        <v>Real 2024</v>
      </c>
      <c r="X11" s="39" t="str">
        <f>W11</f>
        <v>Real 2024</v>
      </c>
    </row>
    <row r="12" spans="1:24" x14ac:dyDescent="0.2">
      <c r="D12" s="45" t="s">
        <v>59</v>
      </c>
      <c r="E12" s="39" t="str">
        <f>Unit_Dollar_M</f>
        <v>$Million</v>
      </c>
      <c r="F12" s="31" t="s">
        <v>62</v>
      </c>
      <c r="G12" s="39" t="str">
        <f>End_Period</f>
        <v>End Period</v>
      </c>
      <c r="H12" s="31" t="s">
        <v>77</v>
      </c>
      <c r="J12" s="93" t="e">
        <f>NA()</f>
        <v>#N/A</v>
      </c>
      <c r="K12" s="93" t="e">
        <f>NA()</f>
        <v>#N/A</v>
      </c>
      <c r="L12" s="93" t="e">
        <f>NA()</f>
        <v>#N/A</v>
      </c>
      <c r="M12" s="93" t="e">
        <f>NA()</f>
        <v>#N/A</v>
      </c>
      <c r="N12" s="93" t="e">
        <f>NA()</f>
        <v>#N/A</v>
      </c>
      <c r="O12" s="93" t="e">
        <f>NA()</f>
        <v>#N/A</v>
      </c>
      <c r="P12" s="93" t="e">
        <f>NA()</f>
        <v>#N/A</v>
      </c>
      <c r="Q12" s="93" t="e">
        <f>NA()</f>
        <v>#N/A</v>
      </c>
      <c r="R12" s="93" t="e">
        <f>NA()</f>
        <v>#N/A</v>
      </c>
      <c r="S12" s="93" t="e">
        <f>NA()</f>
        <v>#N/A</v>
      </c>
      <c r="T12" s="46">
        <v>168.72627221033039</v>
      </c>
      <c r="U12" s="46">
        <v>180.489968952612</v>
      </c>
      <c r="V12" s="46">
        <v>193.07383767659815</v>
      </c>
      <c r="W12" s="46">
        <v>206.53506126402323</v>
      </c>
      <c r="X12" s="46">
        <v>212.38899199525338</v>
      </c>
    </row>
    <row r="13" spans="1:24" x14ac:dyDescent="0.2">
      <c r="D13" s="45" t="s">
        <v>60</v>
      </c>
      <c r="E13" s="39" t="str">
        <f>Unit_Dollar_M</f>
        <v>$Million</v>
      </c>
      <c r="F13" s="39" t="str">
        <f>Nominal</f>
        <v>Nominal</v>
      </c>
      <c r="G13" s="39" t="str">
        <f>Mid_Period</f>
        <v>Mid Period</v>
      </c>
      <c r="H13" s="31" t="s">
        <v>240</v>
      </c>
      <c r="J13" s="46">
        <v>143.50099570137766</v>
      </c>
      <c r="K13" s="46">
        <v>165.42309480461367</v>
      </c>
      <c r="L13" s="46">
        <v>167.80137341850002</v>
      </c>
      <c r="M13" s="46">
        <v>159.78246102156695</v>
      </c>
      <c r="N13" s="46">
        <v>165.68571700000001</v>
      </c>
      <c r="O13" s="46">
        <v>172.09497206999998</v>
      </c>
      <c r="P13" s="46">
        <v>151.65829631</v>
      </c>
      <c r="Q13" s="46">
        <v>148.74895078</v>
      </c>
      <c r="R13" s="46">
        <v>135.84320094883856</v>
      </c>
      <c r="S13" s="46">
        <v>157.655030402629</v>
      </c>
      <c r="T13" s="93" t="e">
        <f>NA()</f>
        <v>#N/A</v>
      </c>
      <c r="U13" s="93" t="e">
        <f>NA()</f>
        <v>#N/A</v>
      </c>
      <c r="V13" s="93" t="e">
        <f>NA()</f>
        <v>#N/A</v>
      </c>
      <c r="W13" s="93" t="e">
        <f>NA()</f>
        <v>#N/A</v>
      </c>
      <c r="X13" s="93" t="e">
        <f>NA()</f>
        <v>#N/A</v>
      </c>
    </row>
    <row r="14" spans="1:24" x14ac:dyDescent="0.2">
      <c r="D14" s="45" t="s">
        <v>61</v>
      </c>
      <c r="E14" s="39" t="str">
        <f>Unit_Dollar_M</f>
        <v>$Million</v>
      </c>
      <c r="F14" s="39" t="str">
        <f>F12</f>
        <v>Various</v>
      </c>
      <c r="G14" s="39" t="str">
        <f>End_Period</f>
        <v>End Period</v>
      </c>
      <c r="H14" s="31" t="s">
        <v>76</v>
      </c>
      <c r="J14" s="46">
        <v>179.19605995541366</v>
      </c>
      <c r="K14" s="46">
        <v>196.86049076157855</v>
      </c>
      <c r="L14" s="46">
        <v>206.19305604711266</v>
      </c>
      <c r="M14" s="46">
        <v>205.05981901107774</v>
      </c>
      <c r="N14" s="46">
        <v>204.9777950834733</v>
      </c>
      <c r="O14" s="46">
        <v>138.38135648945391</v>
      </c>
      <c r="P14" s="46">
        <v>139.59639797418492</v>
      </c>
      <c r="Q14" s="46">
        <v>140.4253754872546</v>
      </c>
      <c r="R14" s="46">
        <v>140.61279878620047</v>
      </c>
      <c r="S14" s="46">
        <v>142.01892677406246</v>
      </c>
      <c r="T14" s="93" t="e">
        <f>NA()</f>
        <v>#N/A</v>
      </c>
      <c r="U14" s="93" t="e">
        <f>NA()</f>
        <v>#N/A</v>
      </c>
      <c r="V14" s="93" t="e">
        <f>NA()</f>
        <v>#N/A</v>
      </c>
      <c r="W14" s="93" t="e">
        <f>NA()</f>
        <v>#N/A</v>
      </c>
      <c r="X14" s="93" t="e">
        <f>NA()</f>
        <v>#N/A</v>
      </c>
    </row>
    <row r="16" spans="1:24" s="121" customFormat="1" ht="15.75" x14ac:dyDescent="0.2">
      <c r="C16" s="121" t="s">
        <v>594</v>
      </c>
    </row>
    <row r="18" spans="2:27" x14ac:dyDescent="0.2">
      <c r="D18" s="60" t="s">
        <v>56</v>
      </c>
      <c r="E18" s="61" t="str">
        <f>E$4</f>
        <v>Unit</v>
      </c>
      <c r="F18" s="61" t="str">
        <f>F$4</f>
        <v>Basis</v>
      </c>
      <c r="G18" s="61" t="str">
        <f>G$4</f>
        <v>Timing</v>
      </c>
      <c r="H18" s="61" t="str">
        <f>H$4</f>
        <v>Source</v>
      </c>
      <c r="I18" s="60"/>
      <c r="J18" s="62" t="str">
        <f>J$3</f>
        <v>FY15</v>
      </c>
      <c r="K18" s="62" t="str">
        <f t="shared" ref="K18:X18" si="1">K$3</f>
        <v>FY16</v>
      </c>
      <c r="L18" s="62" t="str">
        <f t="shared" si="1"/>
        <v>FY17</v>
      </c>
      <c r="M18" s="62" t="str">
        <f t="shared" si="1"/>
        <v>FY18</v>
      </c>
      <c r="N18" s="62" t="str">
        <f t="shared" si="1"/>
        <v>FY19</v>
      </c>
      <c r="O18" s="62" t="str">
        <f t="shared" si="1"/>
        <v>FY20</v>
      </c>
      <c r="P18" s="62" t="str">
        <f t="shared" si="1"/>
        <v>FY21</v>
      </c>
      <c r="Q18" s="62" t="str">
        <f t="shared" si="1"/>
        <v>FY22</v>
      </c>
      <c r="R18" s="62" t="str">
        <f t="shared" si="1"/>
        <v>FY23</v>
      </c>
      <c r="S18" s="62" t="str">
        <f t="shared" si="1"/>
        <v>FY24</v>
      </c>
      <c r="T18" s="62" t="str">
        <f t="shared" si="1"/>
        <v>FY25</v>
      </c>
      <c r="U18" s="62" t="str">
        <f t="shared" si="1"/>
        <v>FY26</v>
      </c>
      <c r="V18" s="62" t="str">
        <f t="shared" si="1"/>
        <v>FY27</v>
      </c>
      <c r="W18" s="62" t="str">
        <f t="shared" si="1"/>
        <v>FY28</v>
      </c>
      <c r="X18" s="62" t="str">
        <f t="shared" si="1"/>
        <v>FY29</v>
      </c>
    </row>
    <row r="19" spans="2:27" x14ac:dyDescent="0.2">
      <c r="J19" s="31" t="s">
        <v>9</v>
      </c>
      <c r="K19" s="39" t="str">
        <f>J19</f>
        <v>Nominal</v>
      </c>
      <c r="L19" s="39" t="str">
        <f>K19</f>
        <v>Nominal</v>
      </c>
      <c r="M19" s="39" t="str">
        <f>L19</f>
        <v>Nominal</v>
      </c>
      <c r="N19" s="39" t="str">
        <f>M19</f>
        <v>Nominal</v>
      </c>
      <c r="O19" s="31" t="s">
        <v>102</v>
      </c>
      <c r="P19" s="39" t="str">
        <f>O19</f>
        <v>Real 2019</v>
      </c>
      <c r="Q19" s="39" t="str">
        <f>P19</f>
        <v>Real 2019</v>
      </c>
      <c r="R19" s="39" t="str">
        <f>Q19</f>
        <v>Real 2019</v>
      </c>
      <c r="S19" s="39" t="str">
        <f>R19</f>
        <v>Real 2019</v>
      </c>
      <c r="T19" s="31" t="s">
        <v>101</v>
      </c>
      <c r="U19" s="39" t="str">
        <f>T19</f>
        <v>Real 2024</v>
      </c>
      <c r="V19" s="39" t="str">
        <f>U19</f>
        <v>Real 2024</v>
      </c>
      <c r="W19" s="39" t="str">
        <f>V19</f>
        <v>Real 2024</v>
      </c>
      <c r="X19" s="39" t="str">
        <f>W19</f>
        <v>Real 2024</v>
      </c>
    </row>
    <row r="20" spans="2:27" x14ac:dyDescent="0.2">
      <c r="D20" s="45" t="s">
        <v>163</v>
      </c>
      <c r="E20" s="39" t="str">
        <f t="shared" ref="E20:E26" si="2">Unit_Dollar_M</f>
        <v>$Million</v>
      </c>
      <c r="F20" s="31" t="s">
        <v>62</v>
      </c>
      <c r="G20" s="39" t="str">
        <f t="shared" ref="G20:G26" si="3">End_Period</f>
        <v>End Period</v>
      </c>
      <c r="H20" s="31" t="s">
        <v>103</v>
      </c>
      <c r="J20" s="46">
        <v>40.126182048622823</v>
      </c>
      <c r="K20" s="46">
        <v>45.599081075941257</v>
      </c>
      <c r="L20" s="46">
        <v>49.475517671645832</v>
      </c>
      <c r="M20" s="46">
        <v>50.184331037236213</v>
      </c>
      <c r="N20" s="46">
        <v>51.436027342449563</v>
      </c>
      <c r="O20" s="46">
        <v>45.806529592882526</v>
      </c>
      <c r="P20" s="46">
        <v>47.38674990697421</v>
      </c>
      <c r="Q20" s="46">
        <v>47.468085729171186</v>
      </c>
      <c r="R20" s="46">
        <v>48.157513078287124</v>
      </c>
      <c r="S20" s="46">
        <v>50.627705096036323</v>
      </c>
      <c r="T20" s="46">
        <v>70.110797832113462</v>
      </c>
      <c r="U20" s="46">
        <v>73.574210396255467</v>
      </c>
      <c r="V20" s="46">
        <v>77.177641565328997</v>
      </c>
      <c r="W20" s="46">
        <v>79.812094129796378</v>
      </c>
      <c r="X20" s="46">
        <v>84.397129130164458</v>
      </c>
    </row>
    <row r="21" spans="2:27" x14ac:dyDescent="0.2">
      <c r="D21" s="45" t="s">
        <v>595</v>
      </c>
      <c r="E21" s="39" t="str">
        <f t="shared" si="2"/>
        <v>$Million</v>
      </c>
      <c r="F21" s="39" t="str">
        <f>F20</f>
        <v>Various</v>
      </c>
      <c r="G21" s="39" t="str">
        <f t="shared" si="3"/>
        <v>End Period</v>
      </c>
      <c r="H21" s="39" t="str">
        <f>H20</f>
        <v>AER PTRM</v>
      </c>
      <c r="J21" s="46">
        <v>28.490464006480725</v>
      </c>
      <c r="K21" s="46">
        <v>34.143121076443251</v>
      </c>
      <c r="L21" s="46">
        <v>31.90165004523816</v>
      </c>
      <c r="M21" s="46">
        <v>34.505409841174924</v>
      </c>
      <c r="N21" s="46">
        <v>37.850963199394336</v>
      </c>
      <c r="O21" s="46">
        <v>18.022348029297063</v>
      </c>
      <c r="P21" s="46">
        <v>22.40656337426627</v>
      </c>
      <c r="Q21" s="46">
        <v>24.790166768935315</v>
      </c>
      <c r="R21" s="46">
        <v>28.176291029851456</v>
      </c>
      <c r="S21" s="46">
        <v>30.336957349453581</v>
      </c>
      <c r="T21" s="46">
        <v>35.032672451395868</v>
      </c>
      <c r="U21" s="46">
        <v>35.258221682353387</v>
      </c>
      <c r="V21" s="46">
        <v>37.016673557613885</v>
      </c>
      <c r="W21" s="46">
        <v>41.493723680272829</v>
      </c>
      <c r="X21" s="46">
        <v>44.137153642236385</v>
      </c>
    </row>
    <row r="22" spans="2:27" x14ac:dyDescent="0.2">
      <c r="D22" s="45" t="s">
        <v>190</v>
      </c>
      <c r="E22" s="39" t="str">
        <f t="shared" si="2"/>
        <v>$Million</v>
      </c>
      <c r="F22" s="39" t="str">
        <f t="shared" ref="F22:H24" si="4">F21</f>
        <v>Various</v>
      </c>
      <c r="G22" s="39" t="str">
        <f t="shared" si="3"/>
        <v>End Period</v>
      </c>
      <c r="H22" s="39" t="str">
        <f t="shared" si="4"/>
        <v>AER PTRM</v>
      </c>
      <c r="J22" s="46">
        <v>103.2108422725609</v>
      </c>
      <c r="K22" s="46">
        <v>108.43259131820697</v>
      </c>
      <c r="L22" s="46">
        <v>114.762519910039</v>
      </c>
      <c r="M22" s="46">
        <v>109.41155678634661</v>
      </c>
      <c r="N22" s="46">
        <v>103.71100069523501</v>
      </c>
      <c r="O22" s="46">
        <v>67.362247831654585</v>
      </c>
      <c r="P22" s="46">
        <v>66.857796597121464</v>
      </c>
      <c r="Q22" s="46">
        <v>66.559017678659814</v>
      </c>
      <c r="R22" s="46">
        <v>66.146649798539656</v>
      </c>
      <c r="S22" s="46">
        <v>65.728881754977451</v>
      </c>
      <c r="T22" s="46">
        <v>75.855422003279543</v>
      </c>
      <c r="U22" s="46">
        <v>76.880235282069876</v>
      </c>
      <c r="V22" s="46">
        <v>77.357023474111045</v>
      </c>
      <c r="W22" s="46">
        <v>78.389915395690636</v>
      </c>
      <c r="X22" s="46">
        <v>78.75657326489943</v>
      </c>
    </row>
    <row r="23" spans="2:27" x14ac:dyDescent="0.2">
      <c r="D23" s="45" t="s">
        <v>168</v>
      </c>
      <c r="E23" s="39" t="str">
        <f t="shared" si="2"/>
        <v>$Million</v>
      </c>
      <c r="F23" s="39" t="str">
        <f t="shared" si="4"/>
        <v>Various</v>
      </c>
      <c r="G23" s="39" t="str">
        <f t="shared" si="3"/>
        <v>End Period</v>
      </c>
      <c r="H23" s="39" t="str">
        <f t="shared" si="4"/>
        <v>AER PTRM</v>
      </c>
      <c r="J23" s="46">
        <v>7.3685716277492181</v>
      </c>
      <c r="K23" s="46">
        <v>8.685697290987056</v>
      </c>
      <c r="L23" s="46">
        <v>10.053368420189708</v>
      </c>
      <c r="M23" s="46">
        <v>10.958521346319987</v>
      </c>
      <c r="N23" s="46">
        <v>11.979803846394363</v>
      </c>
      <c r="O23" s="46">
        <v>4.4517655737711492E-2</v>
      </c>
      <c r="P23" s="46">
        <v>4.8583325675999489E-2</v>
      </c>
      <c r="Q23" s="46">
        <v>5.0998721147446913E-2</v>
      </c>
      <c r="R23" s="46">
        <v>5.4131003821278612E-2</v>
      </c>
      <c r="S23" s="46">
        <v>5.5676256834340854E-2</v>
      </c>
      <c r="T23" s="46">
        <v>-1.0879511875397037</v>
      </c>
      <c r="U23" s="46">
        <v>-1.0879511875397037</v>
      </c>
      <c r="V23" s="46">
        <v>-1.0879511875397037</v>
      </c>
      <c r="W23" s="46">
        <v>-1.0879511875397037</v>
      </c>
      <c r="X23" s="46">
        <v>-1.0879511875397037</v>
      </c>
    </row>
    <row r="24" spans="2:27" x14ac:dyDescent="0.2">
      <c r="D24" s="45" t="s">
        <v>596</v>
      </c>
      <c r="E24" s="39" t="str">
        <f t="shared" si="2"/>
        <v>$Million</v>
      </c>
      <c r="F24" s="39" t="str">
        <f t="shared" si="4"/>
        <v>Various</v>
      </c>
      <c r="G24" s="39" t="str">
        <f t="shared" si="3"/>
        <v>End Period</v>
      </c>
      <c r="H24" s="39" t="str">
        <f t="shared" si="4"/>
        <v>AER PTRM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1.6930215903872079</v>
      </c>
      <c r="P24" s="46">
        <v>0.99351711465772696</v>
      </c>
      <c r="Q24" s="46">
        <v>1.0266863340987589</v>
      </c>
      <c r="R24" s="46">
        <v>0.78362198147289608</v>
      </c>
      <c r="S24" s="46">
        <v>1.0570494178540055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</row>
    <row r="26" spans="2:27" x14ac:dyDescent="0.2">
      <c r="D26" s="104" t="s">
        <v>597</v>
      </c>
      <c r="E26" s="125" t="str">
        <f t="shared" si="2"/>
        <v>$Million</v>
      </c>
      <c r="F26" s="125" t="str">
        <f>F24</f>
        <v>Various</v>
      </c>
      <c r="G26" s="125" t="str">
        <f t="shared" si="3"/>
        <v>End Period</v>
      </c>
      <c r="H26" s="125" t="s">
        <v>8</v>
      </c>
      <c r="I26" s="69"/>
      <c r="J26" s="122">
        <f>SUM(J20:J24)</f>
        <v>179.19605995541366</v>
      </c>
      <c r="K26" s="123">
        <f t="shared" ref="K26:X26" si="5">SUM(K20:K24)</f>
        <v>196.86049076157855</v>
      </c>
      <c r="L26" s="123">
        <f t="shared" si="5"/>
        <v>206.19305604711269</v>
      </c>
      <c r="M26" s="123">
        <f t="shared" si="5"/>
        <v>205.05981901107774</v>
      </c>
      <c r="N26" s="124">
        <f t="shared" si="5"/>
        <v>204.97779508347327</v>
      </c>
      <c r="O26" s="122">
        <f t="shared" si="5"/>
        <v>132.92866469995909</v>
      </c>
      <c r="P26" s="123">
        <f t="shared" si="5"/>
        <v>137.69321031869563</v>
      </c>
      <c r="Q26" s="123">
        <f t="shared" si="5"/>
        <v>139.89495523201253</v>
      </c>
      <c r="R26" s="123">
        <f t="shared" si="5"/>
        <v>143.31820689197241</v>
      </c>
      <c r="S26" s="124">
        <f t="shared" si="5"/>
        <v>147.80626987515572</v>
      </c>
      <c r="T26" s="122">
        <f t="shared" si="5"/>
        <v>179.91094109924916</v>
      </c>
      <c r="U26" s="123">
        <f t="shared" si="5"/>
        <v>184.62471617313901</v>
      </c>
      <c r="V26" s="123">
        <f t="shared" si="5"/>
        <v>190.46338740951421</v>
      </c>
      <c r="W26" s="123">
        <f t="shared" si="5"/>
        <v>198.60778201822012</v>
      </c>
      <c r="X26" s="124">
        <f t="shared" si="5"/>
        <v>206.20290484976056</v>
      </c>
    </row>
    <row r="28" spans="2:27" x14ac:dyDescent="0.2">
      <c r="D28" s="45" t="s">
        <v>559</v>
      </c>
    </row>
    <row r="30" spans="2:27" s="6" customFormat="1" ht="18.75" x14ac:dyDescent="0.2">
      <c r="B30" s="6" t="s">
        <v>389</v>
      </c>
    </row>
    <row r="32" spans="2:27" s="97" customFormat="1" ht="11.25" customHeight="1" outlineLevel="1" x14ac:dyDescent="0.2">
      <c r="D32" s="138"/>
      <c r="E32" s="138"/>
      <c r="F32" s="138"/>
      <c r="G32" s="138"/>
      <c r="H32" s="138"/>
      <c r="J32" s="211" t="s">
        <v>229</v>
      </c>
      <c r="K32" s="212"/>
      <c r="L32" s="212"/>
      <c r="M32" s="212"/>
      <c r="N32" s="21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2:27" s="105" customFormat="1" ht="11.25" customHeight="1" outlineLevel="1" x14ac:dyDescent="0.25">
      <c r="D33" s="60" t="s">
        <v>598</v>
      </c>
      <c r="E33" s="61" t="s">
        <v>1</v>
      </c>
      <c r="F33" s="61" t="s">
        <v>2</v>
      </c>
      <c r="G33" s="61" t="s">
        <v>3</v>
      </c>
      <c r="H33" s="61" t="s">
        <v>4</v>
      </c>
      <c r="I33" s="106"/>
      <c r="J33" s="62" t="str">
        <f>J$3</f>
        <v>FY15</v>
      </c>
      <c r="K33" s="62" t="str">
        <f>K$3</f>
        <v>FY16</v>
      </c>
      <c r="L33" s="62" t="str">
        <f>L$3</f>
        <v>FY17</v>
      </c>
      <c r="M33" s="62" t="str">
        <f>M$3</f>
        <v>FY18</v>
      </c>
      <c r="N33" s="62" t="str">
        <f>N$3</f>
        <v>FY19</v>
      </c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2:27" s="105" customFormat="1" ht="11.25" customHeight="1" outlineLevel="1" x14ac:dyDescent="0.25">
      <c r="B34" s="97"/>
      <c r="C34" s="63"/>
      <c r="D34"/>
      <c r="E34"/>
      <c r="F34"/>
      <c r="G34"/>
      <c r="H34"/>
      <c r="I34" s="106"/>
      <c r="J34" s="106"/>
      <c r="K34" s="106"/>
      <c r="L34" s="106"/>
      <c r="M34" s="106"/>
      <c r="N34" s="106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2:27" s="105" customFormat="1" ht="11.25" customHeight="1" outlineLevel="1" x14ac:dyDescent="0.25">
      <c r="B35" s="97"/>
      <c r="C35" s="63"/>
      <c r="D35" s="45" t="s">
        <v>227</v>
      </c>
      <c r="E35" s="31" t="s">
        <v>226</v>
      </c>
      <c r="F35" s="39" t="str">
        <f t="shared" ref="F35:F40" si="6">Unit_Dollar_M</f>
        <v>$Million</v>
      </c>
      <c r="G35" s="39" t="str">
        <f t="shared" ref="G35:G40" si="7">Nominal</f>
        <v>Nominal</v>
      </c>
      <c r="H35" s="39" t="str">
        <f t="shared" ref="H35:H40" si="8">End_Period</f>
        <v>End Period</v>
      </c>
      <c r="I35" s="106"/>
      <c r="J35" s="46">
        <v>184.73820613960171</v>
      </c>
      <c r="K35" s="46">
        <v>202.94895954801913</v>
      </c>
      <c r="L35" s="46">
        <v>212.57016087331203</v>
      </c>
      <c r="M35" s="46">
        <v>211.4018752691523</v>
      </c>
      <c r="N35" s="46">
        <v>211.31731451904463</v>
      </c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7" s="105" customFormat="1" ht="11.25" customHeight="1" outlineLevel="1" x14ac:dyDescent="0.25">
      <c r="B36" s="97"/>
      <c r="C36" s="63"/>
      <c r="D36" s="45" t="s">
        <v>225</v>
      </c>
      <c r="E36" s="31" t="s">
        <v>224</v>
      </c>
      <c r="F36" s="39" t="str">
        <f t="shared" si="6"/>
        <v>$Million</v>
      </c>
      <c r="G36" s="39" t="str">
        <f t="shared" si="7"/>
        <v>Nominal</v>
      </c>
      <c r="H36" s="39" t="str">
        <f t="shared" si="8"/>
        <v>End Period</v>
      </c>
      <c r="I36" s="106"/>
      <c r="J36" s="46">
        <v>153.31882522715472</v>
      </c>
      <c r="K36" s="46">
        <v>168.4323817427468</v>
      </c>
      <c r="L36" s="46">
        <v>171.27888899419921</v>
      </c>
      <c r="M36" s="46">
        <v>173.81381655131335</v>
      </c>
      <c r="N36" s="46">
        <v>177.29009288233959</v>
      </c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7" s="107" customFormat="1" ht="11.25" customHeight="1" outlineLevel="1" x14ac:dyDescent="0.2">
      <c r="D37" s="45" t="s">
        <v>223</v>
      </c>
      <c r="E37" s="39" t="s">
        <v>62</v>
      </c>
      <c r="F37" s="39" t="str">
        <f t="shared" si="6"/>
        <v>$Million</v>
      </c>
      <c r="G37" s="39" t="str">
        <f t="shared" si="7"/>
        <v>Nominal</v>
      </c>
      <c r="H37" s="39" t="str">
        <f t="shared" si="8"/>
        <v>End Period</v>
      </c>
      <c r="J37" s="56">
        <f t="shared" ref="J37:N38" si="9">J35-J39</f>
        <v>179.19605995541366</v>
      </c>
      <c r="K37" s="56">
        <f t="shared" si="9"/>
        <v>196.86049076157855</v>
      </c>
      <c r="L37" s="56">
        <f t="shared" si="9"/>
        <v>206.19305604711266</v>
      </c>
      <c r="M37" s="56">
        <f t="shared" si="9"/>
        <v>205.05981901107774</v>
      </c>
      <c r="N37" s="56">
        <f t="shared" si="9"/>
        <v>204.9777950834733</v>
      </c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7" s="105" customFormat="1" ht="11.25" customHeight="1" outlineLevel="1" x14ac:dyDescent="0.25">
      <c r="B38" s="97"/>
      <c r="C38" s="63"/>
      <c r="D38" s="45" t="s">
        <v>222</v>
      </c>
      <c r="E38" s="39" t="s">
        <v>8</v>
      </c>
      <c r="F38" s="39" t="str">
        <f t="shared" si="6"/>
        <v>$Million</v>
      </c>
      <c r="G38" s="39" t="str">
        <f t="shared" si="7"/>
        <v>Nominal</v>
      </c>
      <c r="H38" s="39" t="str">
        <f t="shared" si="8"/>
        <v>End Period</v>
      </c>
      <c r="I38" s="106"/>
      <c r="J38" s="56">
        <f t="shared" si="9"/>
        <v>148.71926047034009</v>
      </c>
      <c r="K38" s="56">
        <f t="shared" si="9"/>
        <v>163.37941029046439</v>
      </c>
      <c r="L38" s="56">
        <f t="shared" si="9"/>
        <v>166.14052232437322</v>
      </c>
      <c r="M38" s="56">
        <f t="shared" si="9"/>
        <v>168.59940205477395</v>
      </c>
      <c r="N38" s="56">
        <f t="shared" si="9"/>
        <v>171.9713900958694</v>
      </c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7" s="105" customFormat="1" ht="11.25" customHeight="1" outlineLevel="1" x14ac:dyDescent="0.25">
      <c r="B39" s="97"/>
      <c r="C39" s="63"/>
      <c r="D39" s="45" t="s">
        <v>221</v>
      </c>
      <c r="E39" s="39" t="s">
        <v>8</v>
      </c>
      <c r="F39" s="39" t="str">
        <f t="shared" si="6"/>
        <v>$Million</v>
      </c>
      <c r="G39" s="39" t="str">
        <f t="shared" si="7"/>
        <v>Nominal</v>
      </c>
      <c r="H39" s="39" t="str">
        <f t="shared" si="8"/>
        <v>End Period</v>
      </c>
      <c r="I39" s="106"/>
      <c r="J39" s="46">
        <v>5.5421461841880513</v>
      </c>
      <c r="K39" s="46">
        <v>6.0884687864405738</v>
      </c>
      <c r="L39" s="46">
        <v>6.3771048261993606</v>
      </c>
      <c r="M39" s="46">
        <v>6.3420562580745683</v>
      </c>
      <c r="N39" s="46">
        <v>6.3395194355713382</v>
      </c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7" s="105" customFormat="1" ht="11.25" customHeight="1" outlineLevel="1" x14ac:dyDescent="0.25">
      <c r="B40" s="97"/>
      <c r="C40" s="63"/>
      <c r="D40" s="45" t="s">
        <v>220</v>
      </c>
      <c r="E40" s="39" t="s">
        <v>8</v>
      </c>
      <c r="F40" s="39" t="str">
        <f t="shared" si="6"/>
        <v>$Million</v>
      </c>
      <c r="G40" s="39" t="str">
        <f t="shared" si="7"/>
        <v>Nominal</v>
      </c>
      <c r="H40" s="39" t="str">
        <f t="shared" si="8"/>
        <v>End Period</v>
      </c>
      <c r="I40" s="106"/>
      <c r="J40" s="46">
        <v>4.5995647568146412</v>
      </c>
      <c r="K40" s="46">
        <v>5.0529714522824039</v>
      </c>
      <c r="L40" s="46">
        <v>5.1383666698259765</v>
      </c>
      <c r="M40" s="46">
        <v>5.2144144965394004</v>
      </c>
      <c r="N40" s="46">
        <v>5.3187027864701877</v>
      </c>
      <c r="O40"/>
      <c r="P40"/>
      <c r="Q40"/>
      <c r="R40"/>
      <c r="S40"/>
      <c r="T40"/>
      <c r="U40"/>
      <c r="V40"/>
      <c r="W40"/>
      <c r="X40"/>
      <c r="Y40"/>
      <c r="Z40"/>
      <c r="AA40"/>
    </row>
    <row r="42" spans="2:27" s="6" customFormat="1" ht="18.75" x14ac:dyDescent="0.2">
      <c r="B42" s="6" t="s">
        <v>43</v>
      </c>
    </row>
  </sheetData>
  <hyperlinks>
    <hyperlink ref="B4" location="ToC!A1" display="ToC!A1" xr:uid="{093F8207-76FD-406F-9683-CF0EA652D2F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DCE4-BB48-4817-8BB1-FBA7DFA72BBA}">
  <sheetPr codeName="Sheet6">
    <tabColor theme="4" tint="0.79998168889431442"/>
  </sheetPr>
  <dimension ref="A1:AK68"/>
  <sheetViews>
    <sheetView showGridLines="0" zoomScaleNormal="100" workbookViewId="0">
      <pane xSplit="4" ySplit="4" topLeftCell="E5" activePane="bottomRight" state="frozen"/>
      <selection activeCell="B5" sqref="B5"/>
      <selection pane="topRight" activeCell="B5" sqref="B5"/>
      <selection pane="bottomLeft" activeCell="B5" sqref="B5"/>
      <selection pane="bottomRight" activeCell="E5" sqref="E5"/>
    </sheetView>
  </sheetViews>
  <sheetFormatPr defaultRowHeight="12.75" x14ac:dyDescent="0.2"/>
  <cols>
    <col min="1" max="3" width="3.7109375" customWidth="1"/>
    <col min="4" max="4" width="20.42578125" customWidth="1"/>
    <col min="5" max="8" width="12.5703125" customWidth="1"/>
    <col min="9" max="9" width="2.5703125" customWidth="1"/>
    <col min="10" max="24" width="11.140625" customWidth="1"/>
  </cols>
  <sheetData>
    <row r="1" spans="1:37" ht="23.25" x14ac:dyDescent="0.35">
      <c r="A1" s="52">
        <f>IF(SUM(A5:A68)&lt;&gt;0,1,0)</f>
        <v>0</v>
      </c>
      <c r="B1" s="16" t="s">
        <v>259</v>
      </c>
    </row>
    <row r="2" spans="1:37" ht="15" x14ac:dyDescent="0.2">
      <c r="B2" s="34" t="str">
        <f>Model_Name</f>
        <v>Power and Water - Revised Proposal - Tables and Charts</v>
      </c>
    </row>
    <row r="3" spans="1:37" x14ac:dyDescent="0.2">
      <c r="B3" s="37" t="str">
        <f>"Model Checks:"&amp;IF(Model_Checks=0," OK"," Check")</f>
        <v>Model Checks: OK</v>
      </c>
      <c r="J3" s="62" t="str">
        <f>LookupTab!M$40</f>
        <v>FY15</v>
      </c>
      <c r="K3" s="62" t="str">
        <f>LookupTab!N$40</f>
        <v>FY16</v>
      </c>
      <c r="L3" s="62" t="str">
        <f>LookupTab!O$40</f>
        <v>FY17</v>
      </c>
      <c r="M3" s="62" t="str">
        <f>LookupTab!P$40</f>
        <v>FY18</v>
      </c>
      <c r="N3" s="62" t="str">
        <f>LookupTab!Q$40</f>
        <v>FY19</v>
      </c>
      <c r="O3" s="62" t="str">
        <f>LookupTab!R$40</f>
        <v>FY20</v>
      </c>
      <c r="P3" s="62" t="str">
        <f>LookupTab!S$40</f>
        <v>FY21</v>
      </c>
      <c r="Q3" s="62" t="str">
        <f>LookupTab!T$40</f>
        <v>FY22</v>
      </c>
      <c r="R3" s="62" t="str">
        <f>LookupTab!U$40</f>
        <v>FY23</v>
      </c>
      <c r="S3" s="62" t="str">
        <f>LookupTab!V$40</f>
        <v>FY24</v>
      </c>
      <c r="T3" s="62" t="str">
        <f>LookupTab!W$40</f>
        <v>FY25</v>
      </c>
      <c r="U3" s="62" t="str">
        <f>LookupTab!X$40</f>
        <v>FY26</v>
      </c>
      <c r="V3" s="62" t="str">
        <f>LookupTab!Y$40</f>
        <v>FY27</v>
      </c>
      <c r="W3" s="62" t="str">
        <f>LookupTab!Z$40</f>
        <v>FY28</v>
      </c>
      <c r="X3" s="62" t="str">
        <f>LookupTab!AA$40</f>
        <v>FY29</v>
      </c>
    </row>
    <row r="4" spans="1:37" ht="15" x14ac:dyDescent="0.2">
      <c r="B4" s="29" t="str">
        <f>ToC!$B$1</f>
        <v>Table of contents</v>
      </c>
      <c r="E4" s="48" t="s">
        <v>2</v>
      </c>
      <c r="F4" s="48" t="s">
        <v>3</v>
      </c>
      <c r="G4" s="48" t="s">
        <v>4</v>
      </c>
      <c r="H4" s="48" t="s">
        <v>1</v>
      </c>
      <c r="J4" s="110" t="str">
        <f>LookupTab!M$41</f>
        <v>Previous Period</v>
      </c>
      <c r="K4" s="41"/>
      <c r="L4" s="41"/>
      <c r="M4" s="41"/>
      <c r="N4" s="41"/>
      <c r="O4" s="111" t="str">
        <f>LookupTab!R$41</f>
        <v>Current Period</v>
      </c>
      <c r="P4" s="42"/>
      <c r="Q4" s="42"/>
      <c r="R4" s="42"/>
      <c r="S4" s="42"/>
      <c r="T4" s="112" t="str">
        <f>LookupTab!W$41</f>
        <v>Next Period</v>
      </c>
      <c r="U4" s="43"/>
      <c r="V4" s="43"/>
      <c r="W4" s="43"/>
      <c r="X4" s="43"/>
    </row>
    <row r="6" spans="1:37" s="6" customFormat="1" ht="18.75" x14ac:dyDescent="0.2">
      <c r="B6" s="6" t="s">
        <v>599</v>
      </c>
    </row>
    <row r="8" spans="1:37" s="121" customFormat="1" ht="15.75" x14ac:dyDescent="0.2">
      <c r="C8" s="121" t="s">
        <v>59</v>
      </c>
    </row>
    <row r="10" spans="1:37" x14ac:dyDescent="0.2">
      <c r="D10" s="60" t="s">
        <v>56</v>
      </c>
      <c r="E10" s="61" t="str">
        <f>E$4</f>
        <v>Unit</v>
      </c>
      <c r="F10" s="61" t="str">
        <f>F$4</f>
        <v>Basis</v>
      </c>
      <c r="G10" s="61" t="str">
        <f>G$4</f>
        <v>Timing</v>
      </c>
      <c r="H10" s="61" t="str">
        <f>H$4</f>
        <v>Source</v>
      </c>
      <c r="I10" s="60"/>
      <c r="J10" s="62" t="str">
        <f>J$3</f>
        <v>FY15</v>
      </c>
      <c r="K10" s="62" t="str">
        <f t="shared" ref="K10:X10" si="0">K$3</f>
        <v>FY16</v>
      </c>
      <c r="L10" s="62" t="str">
        <f t="shared" si="0"/>
        <v>FY17</v>
      </c>
      <c r="M10" s="62" t="str">
        <f t="shared" si="0"/>
        <v>FY18</v>
      </c>
      <c r="N10" s="62" t="str">
        <f t="shared" si="0"/>
        <v>FY19</v>
      </c>
      <c r="O10" s="62" t="str">
        <f t="shared" si="0"/>
        <v>FY20</v>
      </c>
      <c r="P10" s="62" t="str">
        <f t="shared" si="0"/>
        <v>FY21</v>
      </c>
      <c r="Q10" s="62" t="str">
        <f t="shared" si="0"/>
        <v>FY22</v>
      </c>
      <c r="R10" s="62" t="str">
        <f t="shared" si="0"/>
        <v>FY23</v>
      </c>
      <c r="S10" s="62" t="str">
        <f t="shared" si="0"/>
        <v>FY24</v>
      </c>
      <c r="T10" s="62" t="str">
        <f t="shared" si="0"/>
        <v>FY25</v>
      </c>
      <c r="U10" s="62" t="str">
        <f t="shared" si="0"/>
        <v>FY26</v>
      </c>
      <c r="V10" s="62" t="str">
        <f t="shared" si="0"/>
        <v>FY27</v>
      </c>
      <c r="W10" s="62" t="str">
        <f t="shared" si="0"/>
        <v>FY28</v>
      </c>
      <c r="X10" s="62" t="str">
        <f t="shared" si="0"/>
        <v>FY29</v>
      </c>
      <c r="AA10" s="211" t="s">
        <v>1262</v>
      </c>
      <c r="AB10" s="211"/>
      <c r="AC10" s="209"/>
      <c r="AD10" s="209"/>
      <c r="AE10" s="62" t="s">
        <v>101</v>
      </c>
      <c r="AG10" s="211" t="s">
        <v>1264</v>
      </c>
      <c r="AH10" s="211"/>
      <c r="AI10" s="209"/>
      <c r="AJ10" s="209"/>
      <c r="AK10" s="209"/>
    </row>
    <row r="11" spans="1:37" x14ac:dyDescent="0.2">
      <c r="J11" s="31" t="s">
        <v>104</v>
      </c>
      <c r="K11" s="39" t="str">
        <f>J11</f>
        <v>Real 2015</v>
      </c>
      <c r="L11" s="39" t="str">
        <f>K11</f>
        <v>Real 2015</v>
      </c>
      <c r="M11" s="39" t="str">
        <f>L11</f>
        <v>Real 2015</v>
      </c>
      <c r="N11" s="39" t="str">
        <f>M11</f>
        <v>Real 2015</v>
      </c>
      <c r="O11" s="31" t="s">
        <v>102</v>
      </c>
      <c r="P11" s="39" t="str">
        <f>O11</f>
        <v>Real 2019</v>
      </c>
      <c r="Q11" s="39" t="str">
        <f>P11</f>
        <v>Real 2019</v>
      </c>
      <c r="R11" s="39" t="str">
        <f>Q11</f>
        <v>Real 2019</v>
      </c>
      <c r="S11" s="39" t="str">
        <f>R11</f>
        <v>Real 2019</v>
      </c>
      <c r="T11" s="31" t="s">
        <v>101</v>
      </c>
      <c r="U11" s="39" t="str">
        <f>T11</f>
        <v>Real 2024</v>
      </c>
      <c r="V11" s="39" t="str">
        <f>U11</f>
        <v>Real 2024</v>
      </c>
      <c r="W11" s="39" t="str">
        <f>V11</f>
        <v>Real 2024</v>
      </c>
      <c r="X11" s="39" t="str">
        <f>W11</f>
        <v>Real 2024</v>
      </c>
      <c r="AA11" s="39" t="s">
        <v>1259</v>
      </c>
      <c r="AB11" s="39" t="s">
        <v>1258</v>
      </c>
      <c r="AC11" s="39" t="s">
        <v>1260</v>
      </c>
      <c r="AD11" s="39" t="s">
        <v>1261</v>
      </c>
      <c r="AE11" s="39" t="s">
        <v>1261</v>
      </c>
      <c r="AG11" s="39" t="str">
        <f>T$3</f>
        <v>FY25</v>
      </c>
      <c r="AH11" s="39" t="str">
        <f t="shared" ref="AH11" si="1">U$3</f>
        <v>FY26</v>
      </c>
      <c r="AI11" s="39" t="str">
        <f t="shared" ref="AI11" si="2">V$3</f>
        <v>FY27</v>
      </c>
      <c r="AJ11" s="39" t="str">
        <f t="shared" ref="AJ11" si="3">W$3</f>
        <v>FY28</v>
      </c>
      <c r="AK11" s="39" t="str">
        <f t="shared" ref="AK11" si="4">X$3</f>
        <v>FY29</v>
      </c>
    </row>
    <row r="12" spans="1:37" x14ac:dyDescent="0.2">
      <c r="D12" s="37" t="str">
        <f>Input_General!$E$94</f>
        <v>Vegetation management</v>
      </c>
      <c r="E12" s="39" t="str">
        <f t="shared" ref="E12:E21" si="5">Unit_Dollar_M</f>
        <v>$Million</v>
      </c>
      <c r="F12" s="31" t="str">
        <f>Real_Input</f>
        <v>Real 2024</v>
      </c>
      <c r="G12" s="39" t="str">
        <f t="shared" ref="G12:G21" si="6">End_Period</f>
        <v>End Period</v>
      </c>
      <c r="H12" s="31" t="s">
        <v>331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6">
        <f>$AE12*(1+AA$24)+AG12</f>
        <v>2.8631474820746901</v>
      </c>
      <c r="U12" s="46">
        <f t="shared" ref="U12:U19" si="7">$AE12*(1+AB$24)+AH12</f>
        <v>2.8785218988154848</v>
      </c>
      <c r="V12" s="46">
        <f t="shared" ref="V12:V19" si="8">$AE12*(1+AC$24)+AI12</f>
        <v>2.8855115671935545</v>
      </c>
      <c r="W12" s="46">
        <f t="shared" ref="W12:W19" si="9">$AE12*(1+AD$24)+AJ12</f>
        <v>2.8920179931303607</v>
      </c>
      <c r="X12" s="46">
        <f t="shared" ref="X12:X19" si="10">$AE12*(1+AE$24)+AK12</f>
        <v>2.900799691692979</v>
      </c>
      <c r="AA12" s="458">
        <v>2.5460099999999999</v>
      </c>
      <c r="AB12" s="46"/>
      <c r="AC12" s="46"/>
      <c r="AD12" s="74">
        <f>SUM(AA12:AC12)</f>
        <v>2.5460099999999999</v>
      </c>
      <c r="AE12" s="74">
        <f>AD12*Input_CPI!$AA$20</f>
        <v>2.8812802621867877</v>
      </c>
      <c r="AG12" s="46"/>
      <c r="AH12" s="46"/>
      <c r="AI12" s="46"/>
      <c r="AJ12" s="46"/>
      <c r="AK12" s="46"/>
    </row>
    <row r="13" spans="1:37" x14ac:dyDescent="0.2">
      <c r="D13" s="37" t="str">
        <f>Input_General!$E$95</f>
        <v>Maintenance</v>
      </c>
      <c r="E13" s="39" t="str">
        <f t="shared" si="5"/>
        <v>$Million</v>
      </c>
      <c r="F13" s="39" t="str">
        <f>F12</f>
        <v>Real 2024</v>
      </c>
      <c r="G13" s="39" t="str">
        <f t="shared" si="6"/>
        <v>End Period</v>
      </c>
      <c r="H13" s="39" t="str">
        <f>H12</f>
        <v>RIN Pop Model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6">
        <f t="shared" ref="T13:T19" si="11">$AE13*(1+AA$24)+AG13</f>
        <v>16.506380747395522</v>
      </c>
      <c r="U13" s="46">
        <f t="shared" si="7"/>
        <v>16.595016061531979</v>
      </c>
      <c r="V13" s="46">
        <f t="shared" si="8"/>
        <v>16.63531231880436</v>
      </c>
      <c r="W13" s="46">
        <f t="shared" si="9"/>
        <v>16.672822626774884</v>
      </c>
      <c r="X13" s="46">
        <f t="shared" si="10"/>
        <v>16.723450148057299</v>
      </c>
      <c r="AA13" s="458">
        <v>14.678046</v>
      </c>
      <c r="AB13" s="46"/>
      <c r="AC13" s="46"/>
      <c r="AD13" s="74">
        <f t="shared" ref="AD13:AD19" si="12">SUM(AA13:AC13)</f>
        <v>14.678046</v>
      </c>
      <c r="AE13" s="74">
        <f>AD13*Input_CPI!$AA$20</f>
        <v>16.610918349601821</v>
      </c>
      <c r="AG13" s="46"/>
      <c r="AH13" s="46"/>
      <c r="AI13" s="46"/>
      <c r="AJ13" s="46"/>
      <c r="AK13" s="46"/>
    </row>
    <row r="14" spans="1:37" x14ac:dyDescent="0.2">
      <c r="D14" s="37" t="str">
        <f>Input_General!$E$96</f>
        <v>Emergency response</v>
      </c>
      <c r="E14" s="39" t="str">
        <f t="shared" si="5"/>
        <v>$Million</v>
      </c>
      <c r="F14" s="39" t="str">
        <f>F12</f>
        <v>Real 2024</v>
      </c>
      <c r="G14" s="39" t="str">
        <f>Mid_Period</f>
        <v>Mid Period</v>
      </c>
      <c r="H14" s="39" t="str">
        <f>H12</f>
        <v>RIN Pop Model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6">
        <f t="shared" si="11"/>
        <v>8.5571135222156478</v>
      </c>
      <c r="U14" s="46">
        <f t="shared" si="7"/>
        <v>8.603063173853398</v>
      </c>
      <c r="V14" s="46">
        <f t="shared" si="8"/>
        <v>8.6239532558936158</v>
      </c>
      <c r="W14" s="46">
        <f t="shared" si="9"/>
        <v>8.6433990670904581</v>
      </c>
      <c r="X14" s="46">
        <f t="shared" si="10"/>
        <v>8.669645005166883</v>
      </c>
      <c r="AA14" s="458">
        <v>7.6092820000000003</v>
      </c>
      <c r="AB14" s="46"/>
      <c r="AC14" s="46"/>
      <c r="AD14" s="74">
        <f t="shared" si="12"/>
        <v>7.6092820000000003</v>
      </c>
      <c r="AE14" s="74">
        <f>AD14*Input_CPI!$AA$20</f>
        <v>8.6113071182018945</v>
      </c>
      <c r="AG14" s="46"/>
      <c r="AH14" s="46"/>
      <c r="AI14" s="46"/>
      <c r="AJ14" s="46"/>
      <c r="AK14" s="46"/>
    </row>
    <row r="15" spans="1:37" x14ac:dyDescent="0.2">
      <c r="D15" s="37" t="str">
        <f>Input_General!$E$97</f>
        <v>Non-network</v>
      </c>
      <c r="E15" s="39" t="str">
        <f t="shared" si="5"/>
        <v>$Million</v>
      </c>
      <c r="F15" s="39" t="str">
        <f>F13</f>
        <v>Real 2024</v>
      </c>
      <c r="G15" s="39" t="str">
        <f t="shared" si="6"/>
        <v>End Period</v>
      </c>
      <c r="H15" s="39" t="str">
        <f>H13</f>
        <v>RIN Pop Model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6">
        <f t="shared" si="11"/>
        <v>4.6728801188320919</v>
      </c>
      <c r="U15" s="46">
        <f t="shared" si="7"/>
        <v>4.6979723667084183</v>
      </c>
      <c r="V15" s="46">
        <f t="shared" si="8"/>
        <v>4.7093800509459918</v>
      </c>
      <c r="W15" s="46">
        <f t="shared" si="9"/>
        <v>4.7199990458091987</v>
      </c>
      <c r="X15" s="46">
        <f t="shared" si="10"/>
        <v>4.7343314631505162</v>
      </c>
      <c r="AA15" s="458">
        <v>4.1552870000000004</v>
      </c>
      <c r="AB15" s="46"/>
      <c r="AC15" s="46"/>
      <c r="AD15" s="74">
        <f t="shared" si="12"/>
        <v>4.1552870000000004</v>
      </c>
      <c r="AE15" s="74">
        <f>AD15*Input_CPI!$AA$20</f>
        <v>4.7024742309815561</v>
      </c>
      <c r="AG15" s="46"/>
      <c r="AH15" s="46"/>
      <c r="AI15" s="46"/>
      <c r="AJ15" s="46"/>
      <c r="AK15" s="46"/>
    </row>
    <row r="16" spans="1:37" x14ac:dyDescent="0.2">
      <c r="D16" s="37" t="str">
        <f>Input_General!$E$98</f>
        <v>Export services</v>
      </c>
      <c r="E16" s="39" t="str">
        <f t="shared" si="5"/>
        <v>$Million</v>
      </c>
      <c r="F16" s="39" t="str">
        <f>F14</f>
        <v>Real 2024</v>
      </c>
      <c r="G16" s="39" t="str">
        <f t="shared" si="6"/>
        <v>End Period</v>
      </c>
      <c r="H16" s="39" t="str">
        <f>H14</f>
        <v>RIN Pop Model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6">
        <f t="shared" si="11"/>
        <v>0</v>
      </c>
      <c r="U16" s="46">
        <f t="shared" si="7"/>
        <v>0</v>
      </c>
      <c r="V16" s="46">
        <f t="shared" si="8"/>
        <v>0</v>
      </c>
      <c r="W16" s="46">
        <f t="shared" si="9"/>
        <v>0</v>
      </c>
      <c r="X16" s="46">
        <f t="shared" si="10"/>
        <v>0</v>
      </c>
      <c r="AA16" s="458"/>
      <c r="AB16" s="46"/>
      <c r="AC16" s="46"/>
      <c r="AD16" s="74">
        <f t="shared" si="12"/>
        <v>0</v>
      </c>
      <c r="AE16" s="74">
        <f>AD16*Input_CPI!$AA$20</f>
        <v>0</v>
      </c>
      <c r="AG16" s="46"/>
      <c r="AH16" s="46"/>
      <c r="AI16" s="46"/>
      <c r="AJ16" s="46"/>
      <c r="AK16" s="46"/>
    </row>
    <row r="17" spans="1:37" x14ac:dyDescent="0.2">
      <c r="D17" s="37" t="str">
        <f>Input_General!$E$99</f>
        <v>Network overheads</v>
      </c>
      <c r="E17" s="39" t="str">
        <f t="shared" si="5"/>
        <v>$Million</v>
      </c>
      <c r="F17" s="39" t="str">
        <f>F15</f>
        <v>Real 2024</v>
      </c>
      <c r="G17" s="39" t="str">
        <f t="shared" si="6"/>
        <v>End Period</v>
      </c>
      <c r="H17" s="39" t="str">
        <f>H15</f>
        <v>RIN Pop Model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6">
        <f t="shared" si="11"/>
        <v>19.398814565046735</v>
      </c>
      <c r="U17" s="46">
        <f t="shared" si="7"/>
        <v>19.957808142138202</v>
      </c>
      <c r="V17" s="46">
        <f t="shared" si="8"/>
        <v>20.16599374694303</v>
      </c>
      <c r="W17" s="46">
        <f t="shared" si="9"/>
        <v>20.94901423118851</v>
      </c>
      <c r="X17" s="46">
        <f t="shared" si="10"/>
        <v>21.018557576869579</v>
      </c>
      <c r="AA17" s="458">
        <v>16.701371999999999</v>
      </c>
      <c r="AB17" s="46"/>
      <c r="AC17" s="46">
        <v>-0.34274155000000001</v>
      </c>
      <c r="AD17" s="74">
        <f t="shared" si="12"/>
        <v>16.35863045</v>
      </c>
      <c r="AE17" s="74">
        <f>AD17*Input_CPI!$AA$20</f>
        <v>18.512809860131252</v>
      </c>
      <c r="AG17" s="46">
        <v>1.0025114935317561</v>
      </c>
      <c r="AH17" s="46">
        <v>1.4627213259219225</v>
      </c>
      <c r="AI17" s="46">
        <v>1.6259968942520735</v>
      </c>
      <c r="AJ17" s="46">
        <v>2.3672122726847271</v>
      </c>
      <c r="AK17" s="46">
        <v>2.380331424623757</v>
      </c>
    </row>
    <row r="18" spans="1:37" x14ac:dyDescent="0.2">
      <c r="D18" s="37" t="str">
        <f>Input_General!$E$100</f>
        <v>Corporate overheads</v>
      </c>
      <c r="E18" s="39" t="str">
        <f t="shared" si="5"/>
        <v>$Million</v>
      </c>
      <c r="F18" s="39" t="str">
        <f>F17</f>
        <v>Real 2024</v>
      </c>
      <c r="G18" s="39" t="str">
        <f t="shared" si="6"/>
        <v>End Period</v>
      </c>
      <c r="H18" s="39" t="str">
        <f>H17</f>
        <v>RIN Pop Model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6">
        <f t="shared" si="11"/>
        <v>23.137073941868422</v>
      </c>
      <c r="U18" s="46">
        <f t="shared" si="7"/>
        <v>23.410712075913302</v>
      </c>
      <c r="V18" s="46">
        <f t="shared" si="8"/>
        <v>23.58222611518293</v>
      </c>
      <c r="W18" s="46">
        <f t="shared" si="9"/>
        <v>23.749951212088028</v>
      </c>
      <c r="X18" s="46">
        <f t="shared" si="10"/>
        <v>23.922256848467502</v>
      </c>
      <c r="AA18" s="458">
        <v>18.513138999999999</v>
      </c>
      <c r="AB18" s="46">
        <v>-2.963776000000001E-2</v>
      </c>
      <c r="AC18" s="46"/>
      <c r="AD18" s="74">
        <f t="shared" si="12"/>
        <v>18.483501239999999</v>
      </c>
      <c r="AE18" s="74">
        <f>AD18*Input_CPI!$AA$20</f>
        <v>20.917493371556677</v>
      </c>
      <c r="AG18" s="46">
        <v>2.3512207695594314</v>
      </c>
      <c r="AH18" s="46">
        <v>2.5132438467534914</v>
      </c>
      <c r="AI18" s="46">
        <v>2.6340143523632982</v>
      </c>
      <c r="AJ18" s="46">
        <v>2.7545041548779894</v>
      </c>
      <c r="AK18" s="46">
        <v>2.8630564924599478</v>
      </c>
    </row>
    <row r="19" spans="1:37" x14ac:dyDescent="0.2">
      <c r="D19" s="37" t="str">
        <f>Input_General!$E$101</f>
        <v>Other/Balancing item</v>
      </c>
      <c r="E19" s="39" t="str">
        <f t="shared" si="5"/>
        <v>$Million</v>
      </c>
      <c r="F19" s="39" t="str">
        <f>F18</f>
        <v>Real 2024</v>
      </c>
      <c r="G19" s="39" t="str">
        <f t="shared" si="6"/>
        <v>End Period</v>
      </c>
      <c r="H19" s="39" t="str">
        <f>H18</f>
        <v>RIN Pop Model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6">
        <f t="shared" si="11"/>
        <v>4.8662913816107378E-2</v>
      </c>
      <c r="U19" s="46">
        <f t="shared" si="7"/>
        <v>4.8924222016790107E-2</v>
      </c>
      <c r="V19" s="46">
        <f t="shared" si="8"/>
        <v>4.9043020518094935E-2</v>
      </c>
      <c r="W19" s="46">
        <f t="shared" si="9"/>
        <v>4.9153605685850338E-2</v>
      </c>
      <c r="X19" s="46">
        <f t="shared" si="10"/>
        <v>4.9302862069947627E-2</v>
      </c>
      <c r="AA19" s="458">
        <v>4.3272749999999999E-2</v>
      </c>
      <c r="AB19" s="46"/>
      <c r="AC19" s="46"/>
      <c r="AD19" s="74">
        <f t="shared" si="12"/>
        <v>4.3272749999999999E-2</v>
      </c>
      <c r="AE19" s="74">
        <f>AD19*Input_CPI!$AA$20</f>
        <v>4.8971103988414547E-2</v>
      </c>
      <c r="AG19" s="46"/>
      <c r="AH19" s="46"/>
      <c r="AI19" s="46"/>
      <c r="AJ19" s="46"/>
      <c r="AK19" s="46"/>
    </row>
    <row r="21" spans="1:37" x14ac:dyDescent="0.2">
      <c r="D21" s="104" t="s">
        <v>72</v>
      </c>
      <c r="E21" s="125" t="str">
        <f t="shared" si="5"/>
        <v>$Million</v>
      </c>
      <c r="F21" s="125" t="str">
        <f>F19</f>
        <v>Real 2024</v>
      </c>
      <c r="G21" s="125" t="str">
        <f t="shared" si="6"/>
        <v>End Period</v>
      </c>
      <c r="H21" s="125" t="s">
        <v>8</v>
      </c>
      <c r="I21" s="69"/>
      <c r="J21" s="122">
        <f>SUM(J12:J19)</f>
        <v>0</v>
      </c>
      <c r="K21" s="123">
        <f t="shared" ref="K21:X21" si="13">SUM(K12:K19)</f>
        <v>0</v>
      </c>
      <c r="L21" s="123">
        <f t="shared" si="13"/>
        <v>0</v>
      </c>
      <c r="M21" s="123">
        <f t="shared" si="13"/>
        <v>0</v>
      </c>
      <c r="N21" s="124">
        <f t="shared" si="13"/>
        <v>0</v>
      </c>
      <c r="O21" s="122">
        <f t="shared" si="13"/>
        <v>0</v>
      </c>
      <c r="P21" s="123">
        <f t="shared" si="13"/>
        <v>0</v>
      </c>
      <c r="Q21" s="123">
        <f t="shared" si="13"/>
        <v>0</v>
      </c>
      <c r="R21" s="123">
        <f t="shared" si="13"/>
        <v>0</v>
      </c>
      <c r="S21" s="124">
        <f t="shared" si="13"/>
        <v>0</v>
      </c>
      <c r="T21" s="122">
        <f t="shared" si="13"/>
        <v>75.18407329124922</v>
      </c>
      <c r="U21" s="123">
        <f t="shared" si="13"/>
        <v>76.192017940977578</v>
      </c>
      <c r="V21" s="123">
        <f t="shared" si="13"/>
        <v>76.651420075481582</v>
      </c>
      <c r="W21" s="123">
        <f t="shared" si="13"/>
        <v>77.676357781767294</v>
      </c>
      <c r="X21" s="124">
        <f t="shared" si="13"/>
        <v>78.018343595474704</v>
      </c>
      <c r="AA21" s="123">
        <f t="shared" ref="AA21:AK21" si="14">SUM(AA12:AA19)</f>
        <v>64.246408750000001</v>
      </c>
      <c r="AB21" s="123">
        <f t="shared" si="14"/>
        <v>-2.963776000000001E-2</v>
      </c>
      <c r="AC21" s="123">
        <f t="shared" si="14"/>
        <v>-0.34274155000000001</v>
      </c>
      <c r="AD21" s="123">
        <f t="shared" si="14"/>
        <v>63.874029440000001</v>
      </c>
      <c r="AE21" s="123">
        <f t="shared" si="14"/>
        <v>72.285254296648404</v>
      </c>
      <c r="AG21" s="123">
        <f t="shared" si="14"/>
        <v>3.3537322630911874</v>
      </c>
      <c r="AH21" s="123">
        <f t="shared" si="14"/>
        <v>3.9759651726754139</v>
      </c>
      <c r="AI21" s="123">
        <f t="shared" si="14"/>
        <v>4.2600112466153721</v>
      </c>
      <c r="AJ21" s="123">
        <f t="shared" si="14"/>
        <v>5.1217164275627169</v>
      </c>
      <c r="AK21" s="123">
        <f t="shared" si="14"/>
        <v>5.2433879170837052</v>
      </c>
    </row>
    <row r="23" spans="1:37" x14ac:dyDescent="0.2">
      <c r="D23" s="45" t="s">
        <v>242</v>
      </c>
      <c r="E23" s="39" t="str">
        <f>Unit_Dollar_M</f>
        <v>$Million</v>
      </c>
      <c r="F23" s="31" t="str">
        <f>Real_Input</f>
        <v>Real 2024</v>
      </c>
      <c r="G23" s="39" t="str">
        <f>End_Period</f>
        <v>End Period</v>
      </c>
      <c r="H23" s="31" t="s">
        <v>85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6">
        <v>75.184073396756986</v>
      </c>
      <c r="U23" s="46">
        <v>76.192018047994992</v>
      </c>
      <c r="V23" s="46">
        <v>76.651420183185337</v>
      </c>
      <c r="W23" s="46">
        <v>77.676357890109927</v>
      </c>
      <c r="X23" s="46">
        <v>78.018343704679651</v>
      </c>
      <c r="AA23" s="62" t="str">
        <f>T$3</f>
        <v>FY25</v>
      </c>
      <c r="AB23" s="62" t="str">
        <f t="shared" ref="AB23:AE23" si="15">U$3</f>
        <v>FY26</v>
      </c>
      <c r="AC23" s="62" t="str">
        <f t="shared" si="15"/>
        <v>FY27</v>
      </c>
      <c r="AD23" s="62" t="str">
        <f t="shared" si="15"/>
        <v>FY28</v>
      </c>
      <c r="AE23" s="62" t="str">
        <f t="shared" si="15"/>
        <v>FY29</v>
      </c>
    </row>
    <row r="24" spans="1:37" x14ac:dyDescent="0.2">
      <c r="A24" s="52">
        <f>IF(SUM(J24:X24)&lt;&gt;0,1,0)</f>
        <v>0</v>
      </c>
      <c r="D24" s="45" t="s">
        <v>83</v>
      </c>
      <c r="E24" s="51" t="s">
        <v>6</v>
      </c>
      <c r="F24" s="51" t="s">
        <v>6</v>
      </c>
      <c r="G24" s="51" t="s">
        <v>6</v>
      </c>
      <c r="H24" s="51" t="s">
        <v>8</v>
      </c>
      <c r="T24" s="49">
        <f>IF(ROUND(T23-T21,4)=0,0,1)</f>
        <v>0</v>
      </c>
      <c r="U24" s="49">
        <f>IF(ROUND(U23-U21,4)=0,0,1)</f>
        <v>0</v>
      </c>
      <c r="V24" s="49">
        <f>IF(ROUND(V23-V21,4)=0,0,1)</f>
        <v>0</v>
      </c>
      <c r="W24" s="49">
        <f>IF(ROUND(W23-W21,4)=0,0,1)</f>
        <v>0</v>
      </c>
      <c r="X24" s="49">
        <f>IF(ROUND(X23-X21,4)=0,0,1)</f>
        <v>0</v>
      </c>
      <c r="Z24" s="457" t="s">
        <v>1263</v>
      </c>
      <c r="AA24" s="22">
        <v>-6.293306607506377E-3</v>
      </c>
      <c r="AB24" s="22">
        <v>-9.5733948810983183E-4</v>
      </c>
      <c r="AC24" s="22">
        <v>1.4685503046327764E-3</v>
      </c>
      <c r="AD24" s="22">
        <v>3.7267221396308781E-3</v>
      </c>
      <c r="AE24" s="22">
        <v>6.7745681537334512E-3</v>
      </c>
    </row>
    <row r="26" spans="1:37" x14ac:dyDescent="0.2">
      <c r="D26" s="45" t="s">
        <v>332</v>
      </c>
    </row>
    <row r="28" spans="1:37" s="121" customFormat="1" ht="15.75" x14ac:dyDescent="0.2">
      <c r="C28" s="121" t="s">
        <v>60</v>
      </c>
    </row>
    <row r="30" spans="1:37" x14ac:dyDescent="0.2">
      <c r="D30" s="60" t="s">
        <v>56</v>
      </c>
      <c r="E30" s="61" t="str">
        <f>E$4</f>
        <v>Unit</v>
      </c>
      <c r="F30" s="61" t="str">
        <f>F$4</f>
        <v>Basis</v>
      </c>
      <c r="G30" s="61" t="str">
        <f>G$4</f>
        <v>Timing</v>
      </c>
      <c r="H30" s="61" t="str">
        <f>H$4</f>
        <v>Source</v>
      </c>
      <c r="I30" s="60"/>
      <c r="J30" s="62" t="str">
        <f>J$3</f>
        <v>FY15</v>
      </c>
      <c r="K30" s="62" t="str">
        <f t="shared" ref="K30:X30" si="16">K$3</f>
        <v>FY16</v>
      </c>
      <c r="L30" s="62" t="str">
        <f t="shared" si="16"/>
        <v>FY17</v>
      </c>
      <c r="M30" s="62" t="str">
        <f t="shared" si="16"/>
        <v>FY18</v>
      </c>
      <c r="N30" s="62" t="str">
        <f t="shared" si="16"/>
        <v>FY19</v>
      </c>
      <c r="O30" s="62" t="str">
        <f t="shared" si="16"/>
        <v>FY20</v>
      </c>
      <c r="P30" s="62" t="str">
        <f t="shared" si="16"/>
        <v>FY21</v>
      </c>
      <c r="Q30" s="62" t="str">
        <f t="shared" si="16"/>
        <v>FY22</v>
      </c>
      <c r="R30" s="62" t="str">
        <f t="shared" si="16"/>
        <v>FY23</v>
      </c>
      <c r="S30" s="62" t="str">
        <f t="shared" si="16"/>
        <v>FY24</v>
      </c>
      <c r="T30" s="62" t="str">
        <f t="shared" si="16"/>
        <v>FY25</v>
      </c>
      <c r="U30" s="62" t="str">
        <f t="shared" si="16"/>
        <v>FY26</v>
      </c>
      <c r="V30" s="62" t="str">
        <f t="shared" si="16"/>
        <v>FY27</v>
      </c>
      <c r="W30" s="62" t="str">
        <f t="shared" si="16"/>
        <v>FY28</v>
      </c>
      <c r="X30" s="62" t="str">
        <f t="shared" si="16"/>
        <v>FY29</v>
      </c>
    </row>
    <row r="31" spans="1:37" x14ac:dyDescent="0.2">
      <c r="J31" s="39" t="s">
        <v>105</v>
      </c>
      <c r="K31" s="39" t="s">
        <v>105</v>
      </c>
      <c r="L31" s="39" t="s">
        <v>105</v>
      </c>
      <c r="M31" s="39" t="s">
        <v>105</v>
      </c>
      <c r="N31" s="39" t="s">
        <v>105</v>
      </c>
      <c r="O31" s="39" t="s">
        <v>105</v>
      </c>
      <c r="P31" s="39" t="s">
        <v>105</v>
      </c>
      <c r="Q31" s="39" t="s">
        <v>105</v>
      </c>
      <c r="R31" s="39" t="s">
        <v>105</v>
      </c>
      <c r="S31" s="31" t="s">
        <v>640</v>
      </c>
    </row>
    <row r="32" spans="1:37" x14ac:dyDescent="0.2">
      <c r="D32" s="37" t="str">
        <f>Input_General!$E$94</f>
        <v>Vegetation management</v>
      </c>
      <c r="E32" s="39" t="str">
        <f t="shared" ref="E32:E41" si="17">Unit_Dollar_M</f>
        <v>$Million</v>
      </c>
      <c r="F32" s="31" t="s">
        <v>9</v>
      </c>
      <c r="G32" s="39" t="str">
        <f t="shared" ref="G32:G43" si="18">Mid_Period</f>
        <v>Mid Period</v>
      </c>
      <c r="H32" s="31" t="s">
        <v>75</v>
      </c>
      <c r="J32" s="46">
        <v>6.1445550778248945</v>
      </c>
      <c r="K32" s="46">
        <v>5.0768939376637148</v>
      </c>
      <c r="L32" s="46">
        <v>4.6258971618097471</v>
      </c>
      <c r="M32" s="46">
        <v>4.1108180000000001</v>
      </c>
      <c r="N32" s="46">
        <v>4.9616966600000003</v>
      </c>
      <c r="O32" s="46">
        <v>3.1674269599999998</v>
      </c>
      <c r="P32" s="46">
        <v>3.4132400000000001</v>
      </c>
      <c r="Q32" s="46">
        <v>2.5460099999999999</v>
      </c>
      <c r="R32" s="46">
        <v>3.7647409999999999</v>
      </c>
      <c r="S32" s="46">
        <f>R32*(1+Input_CPI!$AC$9)</f>
        <v>3.900271676</v>
      </c>
      <c r="T32" s="47"/>
      <c r="U32" s="47"/>
      <c r="V32" s="47"/>
      <c r="W32" s="47"/>
      <c r="X32" s="47"/>
    </row>
    <row r="33" spans="1:24" x14ac:dyDescent="0.2">
      <c r="D33" s="37" t="str">
        <f>Input_General!$E$95</f>
        <v>Maintenance</v>
      </c>
      <c r="E33" s="39" t="str">
        <f t="shared" si="17"/>
        <v>$Million</v>
      </c>
      <c r="F33" s="39" t="str">
        <f>F32</f>
        <v>Nominal</v>
      </c>
      <c r="G33" s="39" t="str">
        <f t="shared" si="18"/>
        <v>Mid Period</v>
      </c>
      <c r="H33" s="39" t="str">
        <f>H32</f>
        <v>CA RIN 2.1</v>
      </c>
      <c r="J33" s="46">
        <v>20.039540769999878</v>
      </c>
      <c r="K33" s="46">
        <v>17.364288789999932</v>
      </c>
      <c r="L33" s="46">
        <v>16.872267179999977</v>
      </c>
      <c r="M33" s="46">
        <v>14.092166000000001</v>
      </c>
      <c r="N33" s="46">
        <v>13.709065259999999</v>
      </c>
      <c r="O33" s="46">
        <v>14.02385606</v>
      </c>
      <c r="P33" s="46">
        <v>17.031110999999999</v>
      </c>
      <c r="Q33" s="46">
        <v>14.678046</v>
      </c>
      <c r="R33" s="46">
        <v>14.358471</v>
      </c>
      <c r="S33" s="46">
        <f>R33*(1+Input_CPI!$AC$9)</f>
        <v>14.875375956000001</v>
      </c>
      <c r="T33" s="47"/>
      <c r="U33" s="47"/>
      <c r="V33" s="47"/>
      <c r="W33" s="47"/>
      <c r="X33" s="47"/>
    </row>
    <row r="34" spans="1:24" x14ac:dyDescent="0.2">
      <c r="D34" s="37" t="str">
        <f>Input_General!$E$96</f>
        <v>Emergency response</v>
      </c>
      <c r="E34" s="39" t="str">
        <f t="shared" si="17"/>
        <v>$Million</v>
      </c>
      <c r="F34" s="39" t="str">
        <f t="shared" ref="F34:F39" si="19">F32</f>
        <v>Nominal</v>
      </c>
      <c r="G34" s="39" t="str">
        <f t="shared" si="18"/>
        <v>Mid Period</v>
      </c>
      <c r="H34" s="39" t="str">
        <f t="shared" ref="H34:H39" si="20">H32</f>
        <v>CA RIN 2.1</v>
      </c>
      <c r="J34" s="46">
        <v>6.6796922299999864</v>
      </c>
      <c r="K34" s="46">
        <v>6.3670525699999798</v>
      </c>
      <c r="L34" s="46">
        <v>6.4586829799999874</v>
      </c>
      <c r="M34" s="46">
        <v>8.9477340000000005</v>
      </c>
      <c r="N34" s="46">
        <v>6.5929440100000001</v>
      </c>
      <c r="O34" s="46">
        <v>6.1856172100000002</v>
      </c>
      <c r="P34" s="46">
        <v>9.6444379999999992</v>
      </c>
      <c r="Q34" s="46">
        <v>7.6092820000000003</v>
      </c>
      <c r="R34" s="46">
        <v>8.5943710000000006</v>
      </c>
      <c r="S34" s="46">
        <f>R34*(1+Input_CPI!$AC$9)</f>
        <v>8.9037683560000005</v>
      </c>
      <c r="T34" s="47"/>
      <c r="U34" s="47"/>
      <c r="V34" s="47"/>
      <c r="W34" s="47"/>
      <c r="X34" s="47"/>
    </row>
    <row r="35" spans="1:24" x14ac:dyDescent="0.2">
      <c r="D35" s="37" t="str">
        <f>Input_General!$E$97</f>
        <v>Non-network</v>
      </c>
      <c r="E35" s="39" t="str">
        <f t="shared" si="17"/>
        <v>$Million</v>
      </c>
      <c r="F35" s="39" t="str">
        <f t="shared" si="19"/>
        <v>Nominal</v>
      </c>
      <c r="G35" s="39" t="str">
        <f t="shared" si="18"/>
        <v>Mid Period</v>
      </c>
      <c r="H35" s="39" t="str">
        <f t="shared" si="20"/>
        <v>CA RIN 2.1</v>
      </c>
      <c r="J35" s="46">
        <v>7.0987786393295638</v>
      </c>
      <c r="K35" s="46">
        <v>6.8245528685442922</v>
      </c>
      <c r="L35" s="46">
        <v>7.3322762183292474</v>
      </c>
      <c r="M35" s="46">
        <v>7.139659</v>
      </c>
      <c r="N35" s="46">
        <v>6.9752849299999999</v>
      </c>
      <c r="O35" s="46">
        <v>3.4090018099999999</v>
      </c>
      <c r="P35" s="46">
        <v>2.6637620000000002</v>
      </c>
      <c r="Q35" s="46">
        <v>4.1552870000000004</v>
      </c>
      <c r="R35" s="46">
        <v>3.8598089999999998</v>
      </c>
      <c r="S35" s="46">
        <f>R35*(1+Input_CPI!$AC$9)</f>
        <v>3.9987621239999998</v>
      </c>
      <c r="T35" s="47"/>
      <c r="U35" s="47"/>
      <c r="V35" s="47"/>
      <c r="W35" s="47"/>
      <c r="X35" s="47"/>
    </row>
    <row r="36" spans="1:24" x14ac:dyDescent="0.2">
      <c r="D36" s="37" t="str">
        <f>Input_General!$E$98</f>
        <v>Export services</v>
      </c>
      <c r="E36" s="39" t="str">
        <f t="shared" si="17"/>
        <v>$Million</v>
      </c>
      <c r="F36" s="39" t="str">
        <f t="shared" si="19"/>
        <v>Nominal</v>
      </c>
      <c r="G36" s="39" t="str">
        <f t="shared" si="18"/>
        <v>Mid Period</v>
      </c>
      <c r="H36" s="39" t="str">
        <f t="shared" si="20"/>
        <v>CA RIN 2.1</v>
      </c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</row>
    <row r="37" spans="1:24" x14ac:dyDescent="0.2">
      <c r="D37" s="37" t="str">
        <f>Input_General!$E$99</f>
        <v>Network overheads</v>
      </c>
      <c r="E37" s="39" t="str">
        <f t="shared" si="17"/>
        <v>$Million</v>
      </c>
      <c r="F37" s="39" t="str">
        <f t="shared" si="19"/>
        <v>Nominal</v>
      </c>
      <c r="G37" s="39" t="str">
        <f t="shared" si="18"/>
        <v>Mid Period</v>
      </c>
      <c r="H37" s="39" t="str">
        <f t="shared" si="20"/>
        <v>CA RIN 2.1</v>
      </c>
      <c r="J37" s="46">
        <v>24.797900717816848</v>
      </c>
      <c r="K37" s="46">
        <v>29.069251817136056</v>
      </c>
      <c r="L37" s="46">
        <v>29.058834925232055</v>
      </c>
      <c r="M37" s="46">
        <v>37.977440000000001</v>
      </c>
      <c r="N37" s="46">
        <v>41.064190939999996</v>
      </c>
      <c r="O37" s="46">
        <v>44.598737399999997</v>
      </c>
      <c r="P37" s="46">
        <v>28.476589000000001</v>
      </c>
      <c r="Q37" s="46">
        <v>16.701371999999999</v>
      </c>
      <c r="R37" s="46">
        <v>22.248417</v>
      </c>
      <c r="S37" s="46">
        <f>R37*(1+Input_CPI!$AC$9)</f>
        <v>23.049360012000001</v>
      </c>
      <c r="T37" s="47"/>
      <c r="U37" s="47"/>
      <c r="V37" s="47"/>
      <c r="W37" s="47"/>
      <c r="X37" s="47"/>
    </row>
    <row r="38" spans="1:24" x14ac:dyDescent="0.2">
      <c r="D38" s="37" t="str">
        <f>Input_General!$E$100</f>
        <v>Corporate overheads</v>
      </c>
      <c r="E38" s="39" t="str">
        <f t="shared" si="17"/>
        <v>$Million</v>
      </c>
      <c r="F38" s="39" t="str">
        <f t="shared" si="19"/>
        <v>Nominal</v>
      </c>
      <c r="G38" s="39" t="str">
        <f t="shared" si="18"/>
        <v>Mid Period</v>
      </c>
      <c r="H38" s="39" t="str">
        <f t="shared" si="20"/>
        <v>CA RIN 2.1</v>
      </c>
      <c r="J38" s="46">
        <v>9.8957897874633076</v>
      </c>
      <c r="K38" s="46">
        <v>16.699876787856663</v>
      </c>
      <c r="L38" s="46">
        <v>7.7494944063207747</v>
      </c>
      <c r="M38" s="46">
        <v>13.381112999999999</v>
      </c>
      <c r="N38" s="46">
        <v>15.58983731</v>
      </c>
      <c r="O38" s="46">
        <v>17.19969553</v>
      </c>
      <c r="P38" s="46">
        <v>17.515827000000002</v>
      </c>
      <c r="Q38" s="46">
        <v>18.513138999999999</v>
      </c>
      <c r="R38" s="46">
        <v>13.072445999999999</v>
      </c>
      <c r="S38" s="46">
        <f>R38*(1+Input_CPI!$AC$9)</f>
        <v>13.543054055999999</v>
      </c>
      <c r="T38" s="47"/>
      <c r="U38" s="47"/>
      <c r="V38" s="47"/>
      <c r="W38" s="47"/>
      <c r="X38" s="47"/>
    </row>
    <row r="39" spans="1:24" x14ac:dyDescent="0.2">
      <c r="D39" s="37" t="str">
        <f>Input_General!$E$101</f>
        <v>Other/Balancing item</v>
      </c>
      <c r="E39" s="39" t="str">
        <f t="shared" si="17"/>
        <v>$Million</v>
      </c>
      <c r="F39" s="39" t="str">
        <f t="shared" si="19"/>
        <v>Nominal</v>
      </c>
      <c r="G39" s="39" t="str">
        <f t="shared" si="18"/>
        <v>Mid Period</v>
      </c>
      <c r="H39" s="39" t="str">
        <f t="shared" si="20"/>
        <v>CA RIN 2.1</v>
      </c>
      <c r="J39" s="46">
        <v>-5.2791999999999999E-2</v>
      </c>
      <c r="K39" s="46">
        <v>7.7769000000000005E-2</v>
      </c>
      <c r="L39" s="46">
        <v>-0.153943</v>
      </c>
      <c r="M39" s="46">
        <v>0.10206899999999999</v>
      </c>
      <c r="N39" s="46">
        <v>0.16089373999999998</v>
      </c>
      <c r="O39" s="46">
        <v>-0.14215085999999999</v>
      </c>
      <c r="P39" s="46">
        <v>7.5884999999999994E-2</v>
      </c>
      <c r="Q39" s="46">
        <v>4.3272749999999999E-2</v>
      </c>
      <c r="R39" s="46">
        <v>-0.41200500000000001</v>
      </c>
      <c r="S39" s="46">
        <f>R39*(1+Input_CPI!$AC$9)</f>
        <v>-0.42683718000000004</v>
      </c>
      <c r="T39" s="47"/>
      <c r="U39" s="47"/>
      <c r="V39" s="47"/>
      <c r="W39" s="47"/>
      <c r="X39" s="47"/>
    </row>
    <row r="41" spans="1:24" x14ac:dyDescent="0.2">
      <c r="D41" s="104" t="s">
        <v>72</v>
      </c>
      <c r="E41" s="125" t="str">
        <f t="shared" si="17"/>
        <v>$Million</v>
      </c>
      <c r="F41" s="125" t="str">
        <f>F39</f>
        <v>Nominal</v>
      </c>
      <c r="G41" s="125" t="str">
        <f t="shared" si="18"/>
        <v>Mid Period</v>
      </c>
      <c r="H41" s="125" t="s">
        <v>8</v>
      </c>
      <c r="I41" s="69"/>
      <c r="J41" s="122">
        <f t="shared" ref="J41:X41" si="21">SUM(J32:J39)</f>
        <v>74.60346522243448</v>
      </c>
      <c r="K41" s="123">
        <f t="shared" si="21"/>
        <v>81.47968577120065</v>
      </c>
      <c r="L41" s="123">
        <f t="shared" si="21"/>
        <v>71.943509871691802</v>
      </c>
      <c r="M41" s="123">
        <f t="shared" si="21"/>
        <v>85.750999000000007</v>
      </c>
      <c r="N41" s="124">
        <f t="shared" si="21"/>
        <v>89.053912850000017</v>
      </c>
      <c r="O41" s="122">
        <f t="shared" si="21"/>
        <v>88.442184109999999</v>
      </c>
      <c r="P41" s="123">
        <f t="shared" si="21"/>
        <v>78.820852000000002</v>
      </c>
      <c r="Q41" s="123">
        <f t="shared" si="21"/>
        <v>64.246408750000001</v>
      </c>
      <c r="R41" s="295">
        <f t="shared" si="21"/>
        <v>65.486249999999998</v>
      </c>
      <c r="S41" s="124">
        <f t="shared" si="21"/>
        <v>67.843755000000002</v>
      </c>
      <c r="T41" s="122">
        <f t="shared" si="21"/>
        <v>0</v>
      </c>
      <c r="U41" s="123">
        <f t="shared" si="21"/>
        <v>0</v>
      </c>
      <c r="V41" s="123">
        <f t="shared" si="21"/>
        <v>0</v>
      </c>
      <c r="W41" s="123">
        <f t="shared" si="21"/>
        <v>0</v>
      </c>
      <c r="X41" s="124">
        <f t="shared" si="21"/>
        <v>0</v>
      </c>
    </row>
    <row r="43" spans="1:24" x14ac:dyDescent="0.2">
      <c r="D43" s="45" t="s">
        <v>241</v>
      </c>
      <c r="E43" s="39" t="str">
        <f>Unit_Dollar_M</f>
        <v>$Million</v>
      </c>
      <c r="F43" s="31" t="s">
        <v>9</v>
      </c>
      <c r="G43" s="39" t="str">
        <f t="shared" si="18"/>
        <v>Mid Period</v>
      </c>
      <c r="H43" s="31" t="s">
        <v>100</v>
      </c>
      <c r="J43" s="47"/>
      <c r="K43" s="47"/>
      <c r="L43" s="47"/>
      <c r="M43" s="47"/>
      <c r="N43" s="47"/>
      <c r="O43" s="46">
        <v>88.442183</v>
      </c>
      <c r="P43" s="46">
        <v>78.820851000000005</v>
      </c>
      <c r="Q43" s="46">
        <v>64.246409</v>
      </c>
      <c r="R43" s="46">
        <v>65.486250999999996</v>
      </c>
      <c r="S43" s="47"/>
      <c r="T43" s="47"/>
      <c r="U43" s="47"/>
      <c r="V43" s="47"/>
      <c r="W43" s="47"/>
      <c r="X43" s="47"/>
    </row>
    <row r="44" spans="1:24" x14ac:dyDescent="0.2">
      <c r="A44" s="52">
        <f>IF(SUM(J44:X44)&lt;&gt;0,1,0)</f>
        <v>0</v>
      </c>
      <c r="D44" s="45" t="s">
        <v>83</v>
      </c>
      <c r="E44" s="51" t="s">
        <v>6</v>
      </c>
      <c r="F44" s="51" t="s">
        <v>6</v>
      </c>
      <c r="G44" s="51" t="s">
        <v>6</v>
      </c>
      <c r="H44" s="51" t="s">
        <v>8</v>
      </c>
      <c r="O44" s="49">
        <f>IF(ROUND(O43-O41,2)=0,0,1)</f>
        <v>0</v>
      </c>
      <c r="P44" s="49">
        <f>IF(ROUND(P43-P41,2)=0,0,1)</f>
        <v>0</v>
      </c>
      <c r="Q44" s="49">
        <f>IF(ROUND(Q43-Q41,2)=0,0,1)</f>
        <v>0</v>
      </c>
      <c r="R44" s="49">
        <f>IF(ROUND(R43-R41,2)=0,0,1)</f>
        <v>0</v>
      </c>
      <c r="S44" s="49"/>
      <c r="T44" s="49"/>
      <c r="U44" s="49"/>
      <c r="V44" s="49"/>
      <c r="W44" s="49"/>
      <c r="X44" s="49"/>
    </row>
    <row r="46" spans="1:24" x14ac:dyDescent="0.2">
      <c r="D46" s="45" t="s">
        <v>1596</v>
      </c>
    </row>
    <row r="48" spans="1:24" s="121" customFormat="1" ht="15.75" x14ac:dyDescent="0.2">
      <c r="C48" s="121" t="s">
        <v>61</v>
      </c>
    </row>
    <row r="50" spans="1:24" x14ac:dyDescent="0.2">
      <c r="D50" s="60" t="s">
        <v>56</v>
      </c>
      <c r="E50" s="61" t="str">
        <f>E$4</f>
        <v>Unit</v>
      </c>
      <c r="F50" s="61" t="str">
        <f>F$4</f>
        <v>Basis</v>
      </c>
      <c r="G50" s="61" t="str">
        <f>G$4</f>
        <v>Timing</v>
      </c>
      <c r="H50" s="61" t="str">
        <f>H$4</f>
        <v>Source</v>
      </c>
      <c r="I50" s="60"/>
      <c r="J50" s="62" t="str">
        <f>J$3</f>
        <v>FY15</v>
      </c>
      <c r="K50" s="62" t="str">
        <f t="shared" ref="K50:X50" si="22">K$3</f>
        <v>FY16</v>
      </c>
      <c r="L50" s="62" t="str">
        <f t="shared" si="22"/>
        <v>FY17</v>
      </c>
      <c r="M50" s="62" t="str">
        <f t="shared" si="22"/>
        <v>FY18</v>
      </c>
      <c r="N50" s="62" t="str">
        <f t="shared" si="22"/>
        <v>FY19</v>
      </c>
      <c r="O50" s="62" t="str">
        <f t="shared" si="22"/>
        <v>FY20</v>
      </c>
      <c r="P50" s="62" t="str">
        <f t="shared" si="22"/>
        <v>FY21</v>
      </c>
      <c r="Q50" s="62" t="str">
        <f t="shared" si="22"/>
        <v>FY22</v>
      </c>
      <c r="R50" s="62" t="str">
        <f t="shared" si="22"/>
        <v>FY23</v>
      </c>
      <c r="S50" s="62" t="str">
        <f t="shared" si="22"/>
        <v>FY24</v>
      </c>
      <c r="T50" s="62" t="str">
        <f t="shared" si="22"/>
        <v>FY25</v>
      </c>
      <c r="U50" s="62" t="str">
        <f t="shared" si="22"/>
        <v>FY26</v>
      </c>
      <c r="V50" s="62" t="str">
        <f t="shared" si="22"/>
        <v>FY27</v>
      </c>
      <c r="W50" s="62" t="str">
        <f t="shared" si="22"/>
        <v>FY28</v>
      </c>
      <c r="X50" s="62" t="str">
        <f t="shared" si="22"/>
        <v>FY29</v>
      </c>
    </row>
    <row r="51" spans="1:24" x14ac:dyDescent="0.2">
      <c r="J51" s="31" t="s">
        <v>102</v>
      </c>
      <c r="K51" s="39" t="str">
        <f>J51</f>
        <v>Real 2019</v>
      </c>
      <c r="L51" s="39" t="str">
        <f>K51</f>
        <v>Real 2019</v>
      </c>
      <c r="M51" s="39" t="str">
        <f>L51</f>
        <v>Real 2019</v>
      </c>
      <c r="N51" s="39" t="str">
        <f>M51</f>
        <v>Real 2019</v>
      </c>
      <c r="O51" s="31" t="s">
        <v>102</v>
      </c>
      <c r="P51" s="39" t="str">
        <f>O51</f>
        <v>Real 2019</v>
      </c>
      <c r="Q51" s="39" t="str">
        <f>P51</f>
        <v>Real 2019</v>
      </c>
      <c r="R51" s="39" t="str">
        <f>Q51</f>
        <v>Real 2019</v>
      </c>
      <c r="S51" s="39" t="str">
        <f>R51</f>
        <v>Real 2019</v>
      </c>
      <c r="T51" s="31" t="s">
        <v>101</v>
      </c>
      <c r="U51" s="39" t="str">
        <f>T51</f>
        <v>Real 2024</v>
      </c>
      <c r="V51" s="39" t="str">
        <f>U51</f>
        <v>Real 2024</v>
      </c>
      <c r="W51" s="39" t="str">
        <f>V51</f>
        <v>Real 2024</v>
      </c>
      <c r="X51" s="39" t="str">
        <f>W51</f>
        <v>Real 2024</v>
      </c>
    </row>
    <row r="52" spans="1:24" x14ac:dyDescent="0.2">
      <c r="D52" s="37" t="str">
        <f>Input_General!$E$94</f>
        <v>Vegetation management</v>
      </c>
      <c r="E52" s="39" t="str">
        <f t="shared" ref="E52:E61" si="23">Unit_Dollar_M</f>
        <v>$Million</v>
      </c>
      <c r="F52" s="31" t="s">
        <v>62</v>
      </c>
      <c r="G52" s="39" t="str">
        <f t="shared" ref="G52:G61" si="24">End_Period</f>
        <v>End Period</v>
      </c>
      <c r="H52" s="31" t="s">
        <v>86</v>
      </c>
      <c r="J52" s="46">
        <f>IF(J$41=0,0,J$63*J32/J$41)</f>
        <v>8.4836421291675332</v>
      </c>
      <c r="K52" s="46">
        <f t="shared" ref="K52:S52" si="25">IF(K$41=0,0,K$63*K32/K$41)</f>
        <v>6.0116569789749548</v>
      </c>
      <c r="L52" s="46">
        <f t="shared" si="25"/>
        <v>5.9633720063292115</v>
      </c>
      <c r="M52" s="46">
        <f t="shared" si="25"/>
        <v>4.0870214124065658</v>
      </c>
      <c r="N52" s="46">
        <f t="shared" si="25"/>
        <v>4.3282028806675159</v>
      </c>
      <c r="O52" s="46">
        <f t="shared" si="25"/>
        <v>2.3953670397658624</v>
      </c>
      <c r="P52" s="46">
        <f t="shared" si="25"/>
        <v>2.8734904002865918</v>
      </c>
      <c r="Q52" s="46">
        <f t="shared" si="25"/>
        <v>2.6173385813527639</v>
      </c>
      <c r="R52" s="46">
        <f t="shared" si="25"/>
        <v>3.772368713827162</v>
      </c>
      <c r="S52" s="46">
        <f t="shared" si="25"/>
        <v>3.7483281313433889</v>
      </c>
      <c r="T52" s="47"/>
      <c r="U52" s="47"/>
      <c r="V52" s="47"/>
      <c r="W52" s="47"/>
      <c r="X52" s="47"/>
    </row>
    <row r="53" spans="1:24" x14ac:dyDescent="0.2">
      <c r="D53" s="37" t="str">
        <f>Input_General!$E$95</f>
        <v>Maintenance</v>
      </c>
      <c r="E53" s="39" t="str">
        <f t="shared" si="23"/>
        <v>$Million</v>
      </c>
      <c r="F53" s="39" t="str">
        <f>F52</f>
        <v>Various</v>
      </c>
      <c r="G53" s="39" t="str">
        <f t="shared" si="24"/>
        <v>End Period</v>
      </c>
      <c r="H53" s="39" t="str">
        <f>H52</f>
        <v>[insert]</v>
      </c>
      <c r="J53" s="46">
        <f t="shared" ref="J53:S53" si="26">IF(J$41=0,0,J$63*J33/J$41)</f>
        <v>27.668120827671459</v>
      </c>
      <c r="K53" s="46">
        <f t="shared" si="26"/>
        <v>20.5614198703109</v>
      </c>
      <c r="L53" s="46">
        <f t="shared" si="26"/>
        <v>21.750506391533364</v>
      </c>
      <c r="M53" s="46">
        <f t="shared" si="26"/>
        <v>14.010589665898074</v>
      </c>
      <c r="N53" s="46">
        <f t="shared" si="26"/>
        <v>11.958735048827222</v>
      </c>
      <c r="O53" s="46">
        <f t="shared" si="26"/>
        <v>10.60554292198888</v>
      </c>
      <c r="P53" s="46">
        <f t="shared" si="26"/>
        <v>14.337911768500126</v>
      </c>
      <c r="Q53" s="46">
        <f t="shared" si="26"/>
        <v>15.089263630021332</v>
      </c>
      <c r="R53" s="46">
        <f t="shared" si="26"/>
        <v>14.387562591635017</v>
      </c>
      <c r="S53" s="46">
        <f t="shared" si="26"/>
        <v>14.295873413968781</v>
      </c>
      <c r="T53" s="47"/>
      <c r="U53" s="47"/>
      <c r="V53" s="47"/>
      <c r="W53" s="47"/>
      <c r="X53" s="47"/>
    </row>
    <row r="54" spans="1:24" x14ac:dyDescent="0.2">
      <c r="D54" s="37" t="str">
        <f>Input_General!$E$96</f>
        <v>Emergency response</v>
      </c>
      <c r="E54" s="39" t="str">
        <f t="shared" si="23"/>
        <v>$Million</v>
      </c>
      <c r="F54" s="39" t="str">
        <f>F52</f>
        <v>Various</v>
      </c>
      <c r="G54" s="39" t="str">
        <f t="shared" si="24"/>
        <v>End Period</v>
      </c>
      <c r="H54" s="39" t="str">
        <f>H52</f>
        <v>[insert]</v>
      </c>
      <c r="J54" s="46">
        <f t="shared" ref="J54:S54" si="27">IF(J$41=0,0,J$63*J34/J$41)</f>
        <v>9.2224933611240107</v>
      </c>
      <c r="K54" s="46">
        <f t="shared" si="27"/>
        <v>7.5393609730509548</v>
      </c>
      <c r="L54" s="46">
        <f t="shared" si="27"/>
        <v>8.3260669084175607</v>
      </c>
      <c r="M54" s="46">
        <f t="shared" si="27"/>
        <v>8.8959376091372224</v>
      </c>
      <c r="N54" s="46">
        <f t="shared" si="27"/>
        <v>5.7511777143106615</v>
      </c>
      <c r="O54" s="46">
        <f t="shared" si="27"/>
        <v>4.6778737986881547</v>
      </c>
      <c r="P54" s="46">
        <f t="shared" si="27"/>
        <v>8.1193235779374469</v>
      </c>
      <c r="Q54" s="46">
        <f t="shared" si="27"/>
        <v>7.8224623449998711</v>
      </c>
      <c r="R54" s="46">
        <f t="shared" si="27"/>
        <v>8.6117839913618148</v>
      </c>
      <c r="S54" s="46">
        <f t="shared" si="27"/>
        <v>8.5569027432436435</v>
      </c>
      <c r="T54" s="47"/>
      <c r="U54" s="47"/>
      <c r="V54" s="47"/>
      <c r="W54" s="47"/>
      <c r="X54" s="47"/>
    </row>
    <row r="55" spans="1:24" x14ac:dyDescent="0.2">
      <c r="D55" s="37" t="str">
        <f>Input_General!$E$97</f>
        <v>Non-network</v>
      </c>
      <c r="E55" s="39" t="str">
        <f t="shared" si="23"/>
        <v>$Million</v>
      </c>
      <c r="F55" s="39" t="str">
        <f>F53</f>
        <v>Various</v>
      </c>
      <c r="G55" s="39" t="str">
        <f t="shared" si="24"/>
        <v>End Period</v>
      </c>
      <c r="H55" s="39" t="str">
        <f>H53</f>
        <v>[insert]</v>
      </c>
      <c r="J55" s="46">
        <f t="shared" ref="J55:S56" si="28">IF(J$41=0,0,J$63*J35/J$41)</f>
        <v>9.8011160722753807</v>
      </c>
      <c r="K55" s="46">
        <f t="shared" si="28"/>
        <v>8.0810967068277151</v>
      </c>
      <c r="L55" s="46">
        <f t="shared" si="28"/>
        <v>9.4522401198283195</v>
      </c>
      <c r="M55" s="46">
        <f t="shared" si="28"/>
        <v>7.0983291428327044</v>
      </c>
      <c r="N55" s="46">
        <f t="shared" si="28"/>
        <v>6.084702551627311</v>
      </c>
      <c r="O55" s="46">
        <f t="shared" si="28"/>
        <v>2.578058050682301</v>
      </c>
      <c r="P55" s="46">
        <f t="shared" si="28"/>
        <v>2.2425304214318982</v>
      </c>
      <c r="Q55" s="46">
        <f t="shared" si="28"/>
        <v>4.2717008109526606</v>
      </c>
      <c r="R55" s="46">
        <f t="shared" si="28"/>
        <v>3.867629330397099</v>
      </c>
      <c r="S55" s="46">
        <f t="shared" si="28"/>
        <v>3.8429816702695869</v>
      </c>
      <c r="T55" s="47"/>
      <c r="U55" s="47"/>
      <c r="V55" s="47"/>
      <c r="W55" s="47"/>
      <c r="X55" s="47"/>
    </row>
    <row r="56" spans="1:24" x14ac:dyDescent="0.2">
      <c r="D56" s="37" t="str">
        <f>Input_General!$E$98</f>
        <v>Export services</v>
      </c>
      <c r="E56" s="39" t="str">
        <f t="shared" si="23"/>
        <v>$Million</v>
      </c>
      <c r="F56" s="39" t="str">
        <f>F54</f>
        <v>Various</v>
      </c>
      <c r="G56" s="39" t="str">
        <f t="shared" si="24"/>
        <v>End Period</v>
      </c>
      <c r="H56" s="39" t="str">
        <f>H54</f>
        <v>[insert]</v>
      </c>
      <c r="J56" s="46">
        <f t="shared" si="28"/>
        <v>0</v>
      </c>
      <c r="K56" s="46">
        <f t="shared" si="28"/>
        <v>0</v>
      </c>
      <c r="L56" s="46">
        <f t="shared" si="28"/>
        <v>0</v>
      </c>
      <c r="M56" s="46">
        <f t="shared" si="28"/>
        <v>0</v>
      </c>
      <c r="N56" s="46">
        <f t="shared" si="28"/>
        <v>0</v>
      </c>
      <c r="O56" s="46">
        <f t="shared" si="28"/>
        <v>0</v>
      </c>
      <c r="P56" s="46">
        <f t="shared" si="28"/>
        <v>0</v>
      </c>
      <c r="Q56" s="46">
        <f t="shared" si="28"/>
        <v>0</v>
      </c>
      <c r="R56" s="46">
        <f t="shared" si="28"/>
        <v>0</v>
      </c>
      <c r="S56" s="46">
        <f t="shared" si="28"/>
        <v>0</v>
      </c>
      <c r="T56" s="47"/>
      <c r="U56" s="47"/>
      <c r="V56" s="47"/>
      <c r="W56" s="47"/>
      <c r="X56" s="47"/>
    </row>
    <row r="57" spans="1:24" x14ac:dyDescent="0.2">
      <c r="D57" s="37" t="str">
        <f>Input_General!$E$99</f>
        <v>Network overheads</v>
      </c>
      <c r="E57" s="39" t="str">
        <f t="shared" si="23"/>
        <v>$Million</v>
      </c>
      <c r="F57" s="39" t="str">
        <f>F55</f>
        <v>Various</v>
      </c>
      <c r="G57" s="39" t="str">
        <f t="shared" si="24"/>
        <v>End Period</v>
      </c>
      <c r="H57" s="39" t="str">
        <f>H55</f>
        <v>[insert]</v>
      </c>
      <c r="J57" s="46">
        <f t="shared" ref="J57:S57" si="29">IF(J$41=0,0,J$63*J37/J$41)</f>
        <v>34.237876067514371</v>
      </c>
      <c r="K57" s="46">
        <f t="shared" si="29"/>
        <v>34.421512977378612</v>
      </c>
      <c r="L57" s="46">
        <f t="shared" si="29"/>
        <v>37.460548012242519</v>
      </c>
      <c r="M57" s="46">
        <f t="shared" si="29"/>
        <v>37.757597263704113</v>
      </c>
      <c r="N57" s="46">
        <f t="shared" si="29"/>
        <v>35.82124456572258</v>
      </c>
      <c r="O57" s="46">
        <f t="shared" si="29"/>
        <v>33.727800808746366</v>
      </c>
      <c r="P57" s="46">
        <f t="shared" si="29"/>
        <v>23.97346952584839</v>
      </c>
      <c r="Q57" s="46">
        <f t="shared" si="29"/>
        <v>17.169274785693997</v>
      </c>
      <c r="R57" s="46">
        <f t="shared" si="29"/>
        <v>22.293494352727155</v>
      </c>
      <c r="S57" s="46">
        <f t="shared" si="29"/>
        <v>22.15142218786325</v>
      </c>
      <c r="T57" s="47"/>
      <c r="U57" s="47"/>
      <c r="V57" s="47"/>
      <c r="W57" s="47"/>
      <c r="X57" s="47"/>
    </row>
    <row r="58" spans="1:24" x14ac:dyDescent="0.2">
      <c r="D58" s="37" t="str">
        <f>Input_General!$E$100</f>
        <v>Corporate overheads</v>
      </c>
      <c r="E58" s="39" t="str">
        <f t="shared" si="23"/>
        <v>$Million</v>
      </c>
      <c r="F58" s="39" t="str">
        <f>F57</f>
        <v>Various</v>
      </c>
      <c r="G58" s="39" t="str">
        <f t="shared" si="24"/>
        <v>End Period</v>
      </c>
      <c r="H58" s="39" t="str">
        <f>H57</f>
        <v>[insert]</v>
      </c>
      <c r="J58" s="46">
        <f t="shared" ref="J58:S58" si="30">IF(J$41=0,0,J$63*J38/J$41)</f>
        <v>13.662883329874516</v>
      </c>
      <c r="K58" s="46">
        <f t="shared" si="30"/>
        <v>19.774675632861385</v>
      </c>
      <c r="L58" s="46">
        <f t="shared" si="30"/>
        <v>9.9900876282728657</v>
      </c>
      <c r="M58" s="46">
        <f t="shared" si="30"/>
        <v>13.303652789501227</v>
      </c>
      <c r="N58" s="46">
        <f t="shared" si="30"/>
        <v>13.599376055826822</v>
      </c>
      <c r="O58" s="46">
        <f t="shared" si="30"/>
        <v>13.007271923507981</v>
      </c>
      <c r="P58" s="46">
        <f t="shared" si="30"/>
        <v>14.745977645164329</v>
      </c>
      <c r="Q58" s="46">
        <f t="shared" si="30"/>
        <v>19.031799940552677</v>
      </c>
      <c r="R58" s="46">
        <f t="shared" si="30"/>
        <v>13.098931985917499</v>
      </c>
      <c r="S58" s="46">
        <f t="shared" si="30"/>
        <v>13.015455004014182</v>
      </c>
      <c r="T58" s="47"/>
      <c r="U58" s="47"/>
      <c r="V58" s="47"/>
      <c r="W58" s="47"/>
      <c r="X58" s="47"/>
    </row>
    <row r="59" spans="1:24" x14ac:dyDescent="0.2">
      <c r="D59" s="37" t="str">
        <f>Input_General!$E$101</f>
        <v>Other/Balancing item</v>
      </c>
      <c r="E59" s="39" t="str">
        <f t="shared" si="23"/>
        <v>$Million</v>
      </c>
      <c r="F59" s="39" t="str">
        <f>F58</f>
        <v>Various</v>
      </c>
      <c r="G59" s="39" t="str">
        <f t="shared" si="24"/>
        <v>End Period</v>
      </c>
      <c r="H59" s="39" t="str">
        <f>H58</f>
        <v>[insert]</v>
      </c>
      <c r="J59" s="46">
        <f t="shared" ref="J59:S59" si="31">IF(J$41=0,0,J$63*J39/J$41)</f>
        <v>-7.2888668033805462E-2</v>
      </c>
      <c r="K59" s="46">
        <f t="shared" si="31"/>
        <v>9.2087909918608005E-2</v>
      </c>
      <c r="L59" s="46">
        <f t="shared" si="31"/>
        <v>-0.19845218011962668</v>
      </c>
      <c r="M59" s="46">
        <f t="shared" si="31"/>
        <v>0.10147814584419106</v>
      </c>
      <c r="N59" s="46">
        <f t="shared" si="31"/>
        <v>0.14035133476889539</v>
      </c>
      <c r="O59" s="46">
        <f t="shared" si="31"/>
        <v>-0.10750160588339866</v>
      </c>
      <c r="P59" s="46">
        <f t="shared" si="31"/>
        <v>6.3884994616771149E-2</v>
      </c>
      <c r="Q59" s="46">
        <f t="shared" si="31"/>
        <v>4.448507197388573E-2</v>
      </c>
      <c r="R59" s="46">
        <f t="shared" si="31"/>
        <v>-0.4128397602757693</v>
      </c>
      <c r="S59" s="46">
        <f t="shared" si="31"/>
        <v>-0.41020881164312051</v>
      </c>
      <c r="T59" s="47"/>
      <c r="U59" s="47"/>
      <c r="V59" s="47"/>
      <c r="W59" s="47"/>
      <c r="X59" s="47"/>
    </row>
    <row r="61" spans="1:24" x14ac:dyDescent="0.2">
      <c r="D61" s="104" t="s">
        <v>72</v>
      </c>
      <c r="E61" s="125" t="str">
        <f t="shared" si="23"/>
        <v>$Million</v>
      </c>
      <c r="F61" s="125" t="str">
        <f>F59</f>
        <v>Various</v>
      </c>
      <c r="G61" s="125" t="str">
        <f t="shared" si="24"/>
        <v>End Period</v>
      </c>
      <c r="H61" s="125" t="s">
        <v>8</v>
      </c>
      <c r="I61" s="69"/>
      <c r="J61" s="122">
        <f t="shared" ref="J61:X61" si="32">SUM(J52:J59)</f>
        <v>103.00324311959346</v>
      </c>
      <c r="K61" s="123">
        <f t="shared" si="32"/>
        <v>96.481811049323127</v>
      </c>
      <c r="L61" s="123">
        <f t="shared" si="32"/>
        <v>92.744368886504205</v>
      </c>
      <c r="M61" s="123">
        <f t="shared" si="32"/>
        <v>85.254606029324094</v>
      </c>
      <c r="N61" s="124">
        <f t="shared" si="32"/>
        <v>77.683790151750998</v>
      </c>
      <c r="O61" s="122">
        <f t="shared" si="32"/>
        <v>66.884412937496151</v>
      </c>
      <c r="P61" s="123">
        <f t="shared" si="32"/>
        <v>66.356588333785552</v>
      </c>
      <c r="Q61" s="123">
        <f t="shared" si="32"/>
        <v>66.046325165547174</v>
      </c>
      <c r="R61" s="123">
        <f t="shared" si="32"/>
        <v>65.618931205589973</v>
      </c>
      <c r="S61" s="124">
        <f t="shared" si="32"/>
        <v>65.200754339059714</v>
      </c>
      <c r="T61" s="122">
        <f t="shared" si="32"/>
        <v>0</v>
      </c>
      <c r="U61" s="123">
        <f t="shared" si="32"/>
        <v>0</v>
      </c>
      <c r="V61" s="123">
        <f t="shared" si="32"/>
        <v>0</v>
      </c>
      <c r="W61" s="123">
        <f t="shared" si="32"/>
        <v>0</v>
      </c>
      <c r="X61" s="124">
        <f t="shared" si="32"/>
        <v>0</v>
      </c>
    </row>
    <row r="63" spans="1:24" x14ac:dyDescent="0.2">
      <c r="D63" s="45" t="s">
        <v>242</v>
      </c>
      <c r="E63" s="39" t="str">
        <f>Unit_Dollar_M</f>
        <v>$Million</v>
      </c>
      <c r="F63" s="31" t="s">
        <v>62</v>
      </c>
      <c r="G63" s="39" t="str">
        <f>End_Period</f>
        <v>End Period</v>
      </c>
      <c r="H63" s="31" t="s">
        <v>244</v>
      </c>
      <c r="J63" s="46">
        <v>103.00324311959346</v>
      </c>
      <c r="K63" s="46">
        <v>96.481811049323142</v>
      </c>
      <c r="L63" s="46">
        <v>92.744368886504233</v>
      </c>
      <c r="M63" s="46">
        <v>85.254606029324108</v>
      </c>
      <c r="N63" s="46">
        <v>77.683790151751026</v>
      </c>
      <c r="O63" s="46">
        <v>66.884412937496151</v>
      </c>
      <c r="P63" s="46">
        <v>66.356588333785552</v>
      </c>
      <c r="Q63" s="46">
        <v>66.046325165547188</v>
      </c>
      <c r="R63" s="46">
        <v>65.618931205589973</v>
      </c>
      <c r="S63" s="46">
        <v>65.200754339059714</v>
      </c>
    </row>
    <row r="64" spans="1:24" x14ac:dyDescent="0.2">
      <c r="A64" s="52">
        <f>IF(SUM(J64:X64)&lt;&gt;0,1,0)</f>
        <v>0</v>
      </c>
      <c r="D64" s="45" t="s">
        <v>83</v>
      </c>
      <c r="E64" s="51" t="s">
        <v>6</v>
      </c>
      <c r="F64" s="51" t="s">
        <v>6</v>
      </c>
      <c r="G64" s="51" t="s">
        <v>6</v>
      </c>
      <c r="H64" s="51" t="s">
        <v>8</v>
      </c>
      <c r="J64" s="49">
        <f>IF(ROUND(J63-J61,4)=0,0,1)</f>
        <v>0</v>
      </c>
      <c r="K64" s="49">
        <f t="shared" ref="K64:S64" si="33">IF(ROUND(K63-K61,4)=0,0,1)</f>
        <v>0</v>
      </c>
      <c r="L64" s="49">
        <f t="shared" si="33"/>
        <v>0</v>
      </c>
      <c r="M64" s="49">
        <f t="shared" si="33"/>
        <v>0</v>
      </c>
      <c r="N64" s="49">
        <f t="shared" si="33"/>
        <v>0</v>
      </c>
      <c r="O64" s="49">
        <f t="shared" si="33"/>
        <v>0</v>
      </c>
      <c r="P64" s="49">
        <f t="shared" si="33"/>
        <v>0</v>
      </c>
      <c r="Q64" s="49">
        <f t="shared" si="33"/>
        <v>0</v>
      </c>
      <c r="R64" s="49">
        <f t="shared" si="33"/>
        <v>0</v>
      </c>
      <c r="S64" s="49">
        <f t="shared" si="33"/>
        <v>0</v>
      </c>
    </row>
    <row r="66" spans="2:4" x14ac:dyDescent="0.2">
      <c r="D66" s="45" t="s">
        <v>243</v>
      </c>
    </row>
    <row r="68" spans="2:4" s="6" customFormat="1" ht="18.75" x14ac:dyDescent="0.2">
      <c r="B68" s="6" t="s">
        <v>43</v>
      </c>
    </row>
  </sheetData>
  <hyperlinks>
    <hyperlink ref="B4" location="ToC!A1" display="ToC!A1" xr:uid="{B6B7AC50-CF01-4177-919F-B15D2E0608F7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1887-036B-4C61-89D7-BFE0E7D3C3CD}">
  <sheetPr codeName="Sheet7">
    <tabColor theme="4" tint="0.79998168889431442"/>
  </sheetPr>
  <dimension ref="A1:AB125"/>
  <sheetViews>
    <sheetView showGridLines="0" zoomScaleNormal="100" workbookViewId="0">
      <pane xSplit="4" ySplit="4" topLeftCell="E5" activePane="bottomRight" state="frozen"/>
      <selection activeCell="B5" sqref="B5"/>
      <selection pane="topRight" activeCell="B5" sqref="B5"/>
      <selection pane="bottomLeft" activeCell="B5" sqref="B5"/>
      <selection pane="bottomRight" activeCell="E5" sqref="E5"/>
    </sheetView>
  </sheetViews>
  <sheetFormatPr defaultRowHeight="12.75" outlineLevelCol="1" x14ac:dyDescent="0.2"/>
  <cols>
    <col min="1" max="3" width="3.7109375" customWidth="1"/>
    <col min="4" max="4" width="27.42578125" customWidth="1"/>
    <col min="5" max="7" width="12.5703125" customWidth="1"/>
    <col min="8" max="8" width="18" customWidth="1"/>
    <col min="9" max="13" width="11.5703125" customWidth="1" outlineLevel="1"/>
    <col min="14" max="18" width="11.140625" customWidth="1" outlineLevel="1"/>
    <col min="19" max="28" width="11.140625" customWidth="1"/>
  </cols>
  <sheetData>
    <row r="1" spans="1:28" ht="23.25" x14ac:dyDescent="0.35">
      <c r="A1" s="52">
        <f>IF(SUM(A5:A125)&lt;&gt;0,1,0)</f>
        <v>0</v>
      </c>
      <c r="B1" s="16" t="s">
        <v>260</v>
      </c>
    </row>
    <row r="2" spans="1:28" ht="15" x14ac:dyDescent="0.2">
      <c r="B2" s="34" t="str">
        <f>Model_Name</f>
        <v>Power and Water - Revised Proposal - Tables and Charts</v>
      </c>
    </row>
    <row r="3" spans="1:28" x14ac:dyDescent="0.2">
      <c r="B3" s="37" t="str">
        <f>"Model Checks:"&amp;IF(Model_Checks=0," OK"," Check")</f>
        <v>Model Checks: OK</v>
      </c>
      <c r="I3" s="62" t="str">
        <f>"FY"&amp;RIGHT(J3,2)-1</f>
        <v>FY10</v>
      </c>
      <c r="J3" s="62" t="str">
        <f>"FY"&amp;RIGHT(K3,2)-1</f>
        <v>FY11</v>
      </c>
      <c r="K3" s="62" t="str">
        <f>"FY"&amp;RIGHT(L3,2)-1</f>
        <v>FY12</v>
      </c>
      <c r="L3" s="62" t="str">
        <f>LookupTab!K$40</f>
        <v>FY13</v>
      </c>
      <c r="M3" s="62" t="str">
        <f>LookupTab!L$40</f>
        <v>FY14</v>
      </c>
      <c r="N3" s="62" t="str">
        <f>LookupTab!M$40</f>
        <v>FY15</v>
      </c>
      <c r="O3" s="62" t="str">
        <f>LookupTab!N$40</f>
        <v>FY16</v>
      </c>
      <c r="P3" s="62" t="str">
        <f>LookupTab!O$40</f>
        <v>FY17</v>
      </c>
      <c r="Q3" s="62" t="str">
        <f>LookupTab!P$40</f>
        <v>FY18</v>
      </c>
      <c r="R3" s="62" t="str">
        <f>LookupTab!Q$40</f>
        <v>FY19</v>
      </c>
      <c r="S3" s="62" t="str">
        <f>LookupTab!R$40</f>
        <v>FY20</v>
      </c>
      <c r="T3" s="62" t="str">
        <f>LookupTab!S$40</f>
        <v>FY21</v>
      </c>
      <c r="U3" s="62" t="str">
        <f>LookupTab!T$40</f>
        <v>FY22</v>
      </c>
      <c r="V3" s="62" t="str">
        <f>LookupTab!U$40</f>
        <v>FY23</v>
      </c>
      <c r="W3" s="62" t="str">
        <f>LookupTab!V$40</f>
        <v>FY24</v>
      </c>
      <c r="X3" s="62" t="str">
        <f>LookupTab!W$40</f>
        <v>FY25</v>
      </c>
      <c r="Y3" s="62" t="str">
        <f>LookupTab!X$40</f>
        <v>FY26</v>
      </c>
      <c r="Z3" s="62" t="str">
        <f>LookupTab!Y$40</f>
        <v>FY27</v>
      </c>
      <c r="AA3" s="62" t="str">
        <f>LookupTab!Z$40</f>
        <v>FY28</v>
      </c>
      <c r="AB3" s="62" t="str">
        <f>LookupTab!AA$40</f>
        <v>FY29</v>
      </c>
    </row>
    <row r="4" spans="1:28" ht="15" x14ac:dyDescent="0.2">
      <c r="B4" s="29" t="str">
        <f>ToC!$B$1</f>
        <v>Table of contents</v>
      </c>
      <c r="E4" s="48" t="s">
        <v>2</v>
      </c>
      <c r="F4" s="48" t="s">
        <v>3</v>
      </c>
      <c r="G4" s="48" t="s">
        <v>4</v>
      </c>
      <c r="H4" s="48" t="s">
        <v>1</v>
      </c>
      <c r="I4" s="48"/>
      <c r="J4" s="48"/>
      <c r="K4" s="48"/>
      <c r="L4" s="48"/>
      <c r="M4" s="48"/>
      <c r="N4" s="110" t="str">
        <f>LookupTab!M$41</f>
        <v>Previous Period</v>
      </c>
      <c r="O4" s="41"/>
      <c r="P4" s="41"/>
      <c r="Q4" s="41"/>
      <c r="R4" s="41"/>
      <c r="S4" s="111" t="str">
        <f>LookupTab!R$41</f>
        <v>Current Period</v>
      </c>
      <c r="T4" s="42"/>
      <c r="U4" s="42"/>
      <c r="V4" s="42"/>
      <c r="W4" s="42"/>
      <c r="X4" s="112" t="str">
        <f>LookupTab!W$41</f>
        <v>Next Period</v>
      </c>
      <c r="Y4" s="43"/>
      <c r="Z4" s="43"/>
      <c r="AA4" s="43"/>
      <c r="AB4" s="43"/>
    </row>
    <row r="6" spans="1:28" s="6" customFormat="1" ht="18.75" x14ac:dyDescent="0.2">
      <c r="B6" s="6" t="s">
        <v>602</v>
      </c>
    </row>
    <row r="8" spans="1:28" s="121" customFormat="1" ht="15.75" x14ac:dyDescent="0.2">
      <c r="C8" s="121" t="s">
        <v>59</v>
      </c>
    </row>
    <row r="10" spans="1:28" s="40" customFormat="1" ht="15" x14ac:dyDescent="0.2">
      <c r="D10" s="40" t="s">
        <v>603</v>
      </c>
    </row>
    <row r="12" spans="1:28" x14ac:dyDescent="0.2">
      <c r="D12" s="60" t="s">
        <v>56</v>
      </c>
      <c r="E12" s="61" t="str">
        <f>E$4</f>
        <v>Unit</v>
      </c>
      <c r="F12" s="61" t="str">
        <f>F$4</f>
        <v>Basis</v>
      </c>
      <c r="G12" s="61" t="str">
        <f>G$4</f>
        <v>Timing</v>
      </c>
      <c r="H12" s="61" t="s">
        <v>1</v>
      </c>
      <c r="I12" s="60"/>
      <c r="J12" s="60"/>
      <c r="K12" s="60"/>
      <c r="L12" s="60"/>
      <c r="M12" s="60"/>
      <c r="N12" s="62" t="str">
        <f>N$3</f>
        <v>FY15</v>
      </c>
      <c r="O12" s="62" t="str">
        <f t="shared" ref="O12:AB12" si="0">O$3</f>
        <v>FY16</v>
      </c>
      <c r="P12" s="62" t="str">
        <f t="shared" si="0"/>
        <v>FY17</v>
      </c>
      <c r="Q12" s="62" t="str">
        <f t="shared" si="0"/>
        <v>FY18</v>
      </c>
      <c r="R12" s="62" t="str">
        <f t="shared" si="0"/>
        <v>FY19</v>
      </c>
      <c r="S12" s="62" t="str">
        <f t="shared" si="0"/>
        <v>FY20</v>
      </c>
      <c r="T12" s="62" t="str">
        <f t="shared" si="0"/>
        <v>FY21</v>
      </c>
      <c r="U12" s="62" t="str">
        <f t="shared" si="0"/>
        <v>FY22</v>
      </c>
      <c r="V12" s="62" t="str">
        <f t="shared" si="0"/>
        <v>FY23</v>
      </c>
      <c r="W12" s="62" t="str">
        <f t="shared" si="0"/>
        <v>FY24</v>
      </c>
      <c r="X12" s="62" t="str">
        <f t="shared" si="0"/>
        <v>FY25</v>
      </c>
      <c r="Y12" s="62" t="str">
        <f t="shared" si="0"/>
        <v>FY26</v>
      </c>
      <c r="Z12" s="62" t="str">
        <f t="shared" si="0"/>
        <v>FY27</v>
      </c>
      <c r="AA12" s="62" t="str">
        <f t="shared" si="0"/>
        <v>FY28</v>
      </c>
      <c r="AB12" s="62" t="str">
        <f t="shared" si="0"/>
        <v>FY29</v>
      </c>
    </row>
    <row r="13" spans="1:28" x14ac:dyDescent="0.2">
      <c r="N13" s="31" t="s">
        <v>104</v>
      </c>
      <c r="O13" s="39" t="str">
        <f>N13</f>
        <v>Real 2015</v>
      </c>
      <c r="P13" s="39" t="str">
        <f>O13</f>
        <v>Real 2015</v>
      </c>
      <c r="Q13" s="39" t="str">
        <f>P13</f>
        <v>Real 2015</v>
      </c>
      <c r="R13" s="39" t="str">
        <f>Q13</f>
        <v>Real 2015</v>
      </c>
      <c r="S13" s="31" t="s">
        <v>101</v>
      </c>
      <c r="T13" s="39" t="str">
        <f>S13</f>
        <v>Real 2024</v>
      </c>
      <c r="U13" s="39" t="str">
        <f>T13</f>
        <v>Real 2024</v>
      </c>
      <c r="V13" s="39" t="str">
        <f>U13</f>
        <v>Real 2024</v>
      </c>
      <c r="W13" s="39" t="str">
        <f>V13</f>
        <v>Real 2024</v>
      </c>
      <c r="X13" s="31" t="s">
        <v>101</v>
      </c>
      <c r="Y13" s="39" t="str">
        <f>X13</f>
        <v>Real 2024</v>
      </c>
      <c r="Z13" s="39" t="str">
        <f>Y13</f>
        <v>Real 2024</v>
      </c>
      <c r="AA13" s="39" t="str">
        <f>Z13</f>
        <v>Real 2024</v>
      </c>
      <c r="AB13" s="39" t="str">
        <f>AA13</f>
        <v>Real 2024</v>
      </c>
    </row>
    <row r="14" spans="1:28" x14ac:dyDescent="0.2">
      <c r="D14" s="37" t="str">
        <f>Input_General!$E$15</f>
        <v>Replacement expenditure</v>
      </c>
      <c r="E14" s="39" t="str">
        <f t="shared" ref="E14:E24" si="1">Unit_Dollar_M</f>
        <v>$Million</v>
      </c>
      <c r="F14" s="31" t="str">
        <f>Real_Input</f>
        <v>Real 2024</v>
      </c>
      <c r="G14" s="39" t="str">
        <f t="shared" ref="G14:G24" si="2">End_Period</f>
        <v>End Period</v>
      </c>
      <c r="H14" s="31" t="s">
        <v>132</v>
      </c>
      <c r="N14" s="47"/>
      <c r="O14" s="47"/>
      <c r="P14" s="47"/>
      <c r="Q14" s="47"/>
      <c r="R14" s="47"/>
      <c r="S14" s="47"/>
      <c r="T14" s="47"/>
      <c r="U14" s="47"/>
      <c r="V14" s="47"/>
      <c r="W14" s="141">
        <v>47.944172762622976</v>
      </c>
      <c r="X14" s="140">
        <v>47.482378411260413</v>
      </c>
      <c r="Y14" s="46">
        <v>43.716079596462826</v>
      </c>
      <c r="Z14" s="46">
        <v>30.173874312226513</v>
      </c>
      <c r="AA14" s="46">
        <v>27.224724818316563</v>
      </c>
      <c r="AB14" s="46">
        <v>26.947576970723329</v>
      </c>
    </row>
    <row r="15" spans="1:28" x14ac:dyDescent="0.2">
      <c r="D15" s="37" t="str">
        <f>Input_General!$E$16</f>
        <v>Connections</v>
      </c>
      <c r="E15" s="39" t="str">
        <f t="shared" si="1"/>
        <v>$Million</v>
      </c>
      <c r="F15" s="39" t="str">
        <f>F$14</f>
        <v>Real 2024</v>
      </c>
      <c r="G15" s="39" t="str">
        <f t="shared" si="2"/>
        <v>End Period</v>
      </c>
      <c r="H15" s="39" t="str">
        <f>H14</f>
        <v>Capex Model</v>
      </c>
      <c r="N15" s="47"/>
      <c r="O15" s="47"/>
      <c r="P15" s="47"/>
      <c r="Q15" s="47"/>
      <c r="R15" s="47"/>
      <c r="S15" s="47"/>
      <c r="T15" s="47"/>
      <c r="U15" s="47"/>
      <c r="V15" s="47"/>
      <c r="W15" s="142">
        <v>7.5685323717673958</v>
      </c>
      <c r="X15" s="140">
        <v>1.3622191727759292</v>
      </c>
      <c r="Y15" s="46">
        <v>1.3785412716487917</v>
      </c>
      <c r="Z15" s="46">
        <v>1.3918320498372652</v>
      </c>
      <c r="AA15" s="46">
        <v>1.4052575348391252</v>
      </c>
      <c r="AB15" s="46">
        <v>1.4198473181663556</v>
      </c>
    </row>
    <row r="16" spans="1:28" x14ac:dyDescent="0.2">
      <c r="D16" s="37" t="str">
        <f>Input_General!$E$17</f>
        <v>Augmentation expenditure</v>
      </c>
      <c r="E16" s="39" t="str">
        <f t="shared" si="1"/>
        <v>$Million</v>
      </c>
      <c r="F16" s="39" t="str">
        <f t="shared" ref="F16:F24" si="3">F$14</f>
        <v>Real 2024</v>
      </c>
      <c r="G16" s="39" t="str">
        <f t="shared" si="2"/>
        <v>End Period</v>
      </c>
      <c r="H16" s="39" t="str">
        <f t="shared" ref="H16:H22" si="4">H15</f>
        <v>Capex Model</v>
      </c>
      <c r="N16" s="47"/>
      <c r="O16" s="47"/>
      <c r="P16" s="47"/>
      <c r="Q16" s="47"/>
      <c r="R16" s="47"/>
      <c r="S16" s="47"/>
      <c r="T16" s="47"/>
      <c r="U16" s="47"/>
      <c r="V16" s="47"/>
      <c r="W16" s="142">
        <v>13.546480610193314</v>
      </c>
      <c r="X16" s="140">
        <v>9.4855153762789328</v>
      </c>
      <c r="Y16" s="46">
        <v>6.0246979087984371</v>
      </c>
      <c r="Z16" s="46">
        <v>7.2162069931347013</v>
      </c>
      <c r="AA16" s="46">
        <v>5.3517768869779863</v>
      </c>
      <c r="AB16" s="46">
        <v>4.9208958491892503</v>
      </c>
    </row>
    <row r="17" spans="1:28" x14ac:dyDescent="0.2">
      <c r="D17" s="37" t="str">
        <f>Input_General!$E$18</f>
        <v>Non-network - IT</v>
      </c>
      <c r="E17" s="39" t="str">
        <f t="shared" si="1"/>
        <v>$Million</v>
      </c>
      <c r="F17" s="39" t="str">
        <f t="shared" si="3"/>
        <v>Real 2024</v>
      </c>
      <c r="G17" s="39" t="str">
        <f t="shared" si="2"/>
        <v>End Period</v>
      </c>
      <c r="H17" s="39" t="str">
        <f t="shared" si="4"/>
        <v>Capex Model</v>
      </c>
      <c r="N17" s="47"/>
      <c r="O17" s="47"/>
      <c r="P17" s="47"/>
      <c r="Q17" s="47"/>
      <c r="R17" s="47"/>
      <c r="S17" s="47"/>
      <c r="T17" s="47"/>
      <c r="U17" s="47"/>
      <c r="V17" s="47"/>
      <c r="W17" s="142">
        <v>19.548453124904182</v>
      </c>
      <c r="X17" s="140">
        <v>15.195574283853276</v>
      </c>
      <c r="Y17" s="46">
        <v>18.547632452429632</v>
      </c>
      <c r="Z17" s="46">
        <v>11.249363944702427</v>
      </c>
      <c r="AA17" s="46">
        <v>9.7453969219687053</v>
      </c>
      <c r="AB17" s="46">
        <v>9.2801447622374109</v>
      </c>
    </row>
    <row r="18" spans="1:28" x14ac:dyDescent="0.2">
      <c r="D18" s="37" t="str">
        <f>Input_General!$E$19</f>
        <v>Non-network - Other</v>
      </c>
      <c r="E18" s="39" t="str">
        <f t="shared" si="1"/>
        <v>$Million</v>
      </c>
      <c r="F18" s="39" t="str">
        <f t="shared" si="3"/>
        <v>Real 2024</v>
      </c>
      <c r="G18" s="39" t="str">
        <f t="shared" si="2"/>
        <v>End Period</v>
      </c>
      <c r="H18" s="39" t="str">
        <f t="shared" si="4"/>
        <v>Capex Model</v>
      </c>
      <c r="N18" s="47"/>
      <c r="O18" s="47"/>
      <c r="P18" s="47"/>
      <c r="Q18" s="47"/>
      <c r="R18" s="47"/>
      <c r="S18" s="47"/>
      <c r="T18" s="47"/>
      <c r="U18" s="47"/>
      <c r="V18" s="47"/>
      <c r="W18" s="142">
        <v>8.4881675654382533</v>
      </c>
      <c r="X18" s="140">
        <v>4.5185272541263259</v>
      </c>
      <c r="Y18" s="46">
        <v>6.2727515625339398</v>
      </c>
      <c r="Z18" s="46">
        <v>13.447441023845927</v>
      </c>
      <c r="AA18" s="46">
        <v>45.432778575846022</v>
      </c>
      <c r="AB18" s="46">
        <v>45.612755827973473</v>
      </c>
    </row>
    <row r="19" spans="1:28" x14ac:dyDescent="0.2">
      <c r="D19" s="37" t="str">
        <f>Input_General!$E$20</f>
        <v>Export services</v>
      </c>
      <c r="E19" s="39" t="str">
        <f t="shared" si="1"/>
        <v>$Million</v>
      </c>
      <c r="F19" s="39" t="str">
        <f t="shared" si="3"/>
        <v>Real 2024</v>
      </c>
      <c r="G19" s="39" t="str">
        <f t="shared" si="2"/>
        <v>End Period</v>
      </c>
      <c r="H19" s="39" t="str">
        <f t="shared" si="4"/>
        <v>Capex Model</v>
      </c>
      <c r="N19" s="47"/>
      <c r="O19" s="47"/>
      <c r="P19" s="47"/>
      <c r="Q19" s="47"/>
      <c r="R19" s="47"/>
      <c r="S19" s="47"/>
      <c r="T19" s="47"/>
      <c r="U19" s="47"/>
      <c r="V19" s="47"/>
      <c r="W19" s="142">
        <v>0</v>
      </c>
      <c r="X19" s="140">
        <v>5.8071285990685041E-2</v>
      </c>
      <c r="Y19" s="46">
        <v>0.11048793733875202</v>
      </c>
      <c r="Z19" s="46">
        <v>1.0481099003536483</v>
      </c>
      <c r="AA19" s="46">
        <v>1.4756004877586051</v>
      </c>
      <c r="AB19" s="46">
        <v>1.0205406109734163</v>
      </c>
    </row>
    <row r="20" spans="1:28" x14ac:dyDescent="0.2">
      <c r="D20" s="37" t="str">
        <f>Input_General!$E$21</f>
        <v>Capitalised network overheads</v>
      </c>
      <c r="E20" s="39" t="str">
        <f t="shared" si="1"/>
        <v>$Million</v>
      </c>
      <c r="F20" s="39" t="str">
        <f t="shared" si="3"/>
        <v>Real 2024</v>
      </c>
      <c r="G20" s="39" t="str">
        <f t="shared" si="2"/>
        <v>End Period</v>
      </c>
      <c r="H20" s="39" t="str">
        <f>H18</f>
        <v>Capex Model</v>
      </c>
      <c r="N20" s="47"/>
      <c r="O20" s="47"/>
      <c r="P20" s="47"/>
      <c r="Q20" s="47"/>
      <c r="R20" s="47"/>
      <c r="S20" s="47"/>
      <c r="T20" s="47"/>
      <c r="U20" s="47"/>
      <c r="V20" s="47"/>
      <c r="W20" s="142">
        <v>17.0241147788978</v>
      </c>
      <c r="X20" s="140">
        <v>16.914274994598138</v>
      </c>
      <c r="Y20" s="46">
        <v>16.494999848787391</v>
      </c>
      <c r="Z20" s="46">
        <v>14.261676793553869</v>
      </c>
      <c r="AA20" s="46">
        <v>20.398038259811997</v>
      </c>
      <c r="AB20" s="46">
        <v>20.493216034982446</v>
      </c>
    </row>
    <row r="21" spans="1:28" x14ac:dyDescent="0.2">
      <c r="D21" s="37" t="str">
        <f>Input_General!$E$22</f>
        <v>Capitalised corporate overheads</v>
      </c>
      <c r="E21" s="39" t="str">
        <f t="shared" si="1"/>
        <v>$Million</v>
      </c>
      <c r="F21" s="39" t="str">
        <f t="shared" si="3"/>
        <v>Real 2024</v>
      </c>
      <c r="G21" s="39" t="str">
        <f t="shared" si="2"/>
        <v>End Period</v>
      </c>
      <c r="H21" s="39" t="str">
        <f t="shared" si="4"/>
        <v>Capex Model</v>
      </c>
      <c r="N21" s="47"/>
      <c r="O21" s="47"/>
      <c r="P21" s="47"/>
      <c r="Q21" s="47"/>
      <c r="R21" s="47"/>
      <c r="S21" s="47"/>
      <c r="T21" s="47"/>
      <c r="U21" s="47"/>
      <c r="V21" s="47"/>
      <c r="W21" s="142">
        <v>14.775889238427061</v>
      </c>
      <c r="X21" s="140">
        <v>11.085718127614321</v>
      </c>
      <c r="Y21" s="46">
        <v>10.810922661308087</v>
      </c>
      <c r="Z21" s="46">
        <v>9.3471892239524799</v>
      </c>
      <c r="AA21" s="46">
        <v>13.368997641151386</v>
      </c>
      <c r="AB21" s="46">
        <v>13.431377730625506</v>
      </c>
    </row>
    <row r="22" spans="1:28" x14ac:dyDescent="0.2">
      <c r="D22" s="37" t="str">
        <f>Input_General!$E$23</f>
        <v>Other/Balancing item</v>
      </c>
      <c r="E22" s="39" t="str">
        <f t="shared" si="1"/>
        <v>$Million</v>
      </c>
      <c r="F22" s="39" t="str">
        <f t="shared" si="3"/>
        <v>Real 2024</v>
      </c>
      <c r="G22" s="39" t="str">
        <f t="shared" si="2"/>
        <v>End Period</v>
      </c>
      <c r="H22" s="39" t="str">
        <f t="shared" si="4"/>
        <v>Capex Model</v>
      </c>
      <c r="N22" s="47"/>
      <c r="O22" s="47"/>
      <c r="P22" s="47"/>
      <c r="Q22" s="47"/>
      <c r="R22" s="47"/>
      <c r="S22" s="47"/>
      <c r="T22" s="47"/>
      <c r="U22" s="47"/>
      <c r="V22" s="47"/>
      <c r="W22" s="143"/>
      <c r="X22" s="140">
        <v>0</v>
      </c>
      <c r="Y22" s="46">
        <v>0</v>
      </c>
      <c r="Z22" s="46">
        <v>0</v>
      </c>
      <c r="AA22" s="46">
        <v>0</v>
      </c>
      <c r="AB22" s="46">
        <v>0</v>
      </c>
    </row>
    <row r="24" spans="1:28" x14ac:dyDescent="0.2">
      <c r="D24" s="104" t="s">
        <v>72</v>
      </c>
      <c r="E24" s="125" t="str">
        <f t="shared" si="1"/>
        <v>$Million</v>
      </c>
      <c r="F24" s="125" t="str">
        <f t="shared" si="3"/>
        <v>Real 2024</v>
      </c>
      <c r="G24" s="125" t="str">
        <f t="shared" si="2"/>
        <v>End Period</v>
      </c>
      <c r="H24" s="125" t="s">
        <v>8</v>
      </c>
      <c r="I24" s="122"/>
      <c r="J24" s="123"/>
      <c r="K24" s="123"/>
      <c r="L24" s="123"/>
      <c r="M24" s="124"/>
      <c r="N24" s="122">
        <f>SUM(N14:N22)</f>
        <v>0</v>
      </c>
      <c r="O24" s="123">
        <f t="shared" ref="O24:W24" si="5">SUM(O14:O22)</f>
        <v>0</v>
      </c>
      <c r="P24" s="123">
        <f t="shared" si="5"/>
        <v>0</v>
      </c>
      <c r="Q24" s="123">
        <f t="shared" si="5"/>
        <v>0</v>
      </c>
      <c r="R24" s="124">
        <f t="shared" si="5"/>
        <v>0</v>
      </c>
      <c r="S24" s="122">
        <f t="shared" si="5"/>
        <v>0</v>
      </c>
      <c r="T24" s="123">
        <f t="shared" si="5"/>
        <v>0</v>
      </c>
      <c r="U24" s="123">
        <f t="shared" si="5"/>
        <v>0</v>
      </c>
      <c r="V24" s="123">
        <f>SUM(V14:V22)</f>
        <v>0</v>
      </c>
      <c r="W24" s="124">
        <f t="shared" si="5"/>
        <v>128.89581045225097</v>
      </c>
      <c r="X24" s="122">
        <f>SUM(X14:X22)</f>
        <v>106.10227890649801</v>
      </c>
      <c r="Y24" s="123">
        <f>SUM(Y14:Y22)</f>
        <v>103.35611323930785</v>
      </c>
      <c r="Z24" s="123">
        <f>SUM(Z14:Z22)</f>
        <v>88.135694241606842</v>
      </c>
      <c r="AA24" s="123">
        <f>SUM(AA14:AA22)</f>
        <v>124.40257112667038</v>
      </c>
      <c r="AB24" s="124">
        <f>SUM(AB14:AB22)</f>
        <v>123.12635510487118</v>
      </c>
    </row>
    <row r="26" spans="1:28" x14ac:dyDescent="0.2">
      <c r="D26" s="45" t="s">
        <v>245</v>
      </c>
      <c r="E26" s="39" t="str">
        <f>Unit_Dollar_M</f>
        <v>$Million</v>
      </c>
      <c r="F26" s="31" t="str">
        <f>Real_Input</f>
        <v>Real 2024</v>
      </c>
      <c r="G26" s="39" t="str">
        <f>End_Period</f>
        <v>End Period</v>
      </c>
      <c r="H26" s="31" t="s">
        <v>1597</v>
      </c>
      <c r="N26" s="47"/>
      <c r="O26" s="47"/>
      <c r="P26" s="47"/>
      <c r="Q26" s="47"/>
      <c r="R26" s="47"/>
      <c r="S26" s="47"/>
      <c r="T26" s="47"/>
      <c r="U26" s="47"/>
      <c r="V26" s="47"/>
      <c r="W26" s="46">
        <v>128.895810452251</v>
      </c>
      <c r="X26" s="46">
        <v>106.10227890649803</v>
      </c>
      <c r="Y26" s="46">
        <v>103.35611323930785</v>
      </c>
      <c r="Z26" s="46">
        <v>88.135694241606856</v>
      </c>
      <c r="AA26" s="46">
        <v>124.40257112667041</v>
      </c>
      <c r="AB26" s="46">
        <v>123.12635510487118</v>
      </c>
    </row>
    <row r="27" spans="1:28" x14ac:dyDescent="0.2">
      <c r="A27" s="52">
        <f>IF(SUM(I27:AB27)&lt;&gt;0,1,0)</f>
        <v>0</v>
      </c>
      <c r="D27" s="45" t="s">
        <v>83</v>
      </c>
      <c r="E27" s="51" t="s">
        <v>6</v>
      </c>
      <c r="F27" s="51" t="s">
        <v>6</v>
      </c>
      <c r="G27" s="51" t="s">
        <v>6</v>
      </c>
      <c r="H27" s="51" t="s">
        <v>8</v>
      </c>
      <c r="W27" s="49">
        <f t="shared" ref="W27:AB27" si="6">IF(ROUND(W26-W24,4)=0,0,1)</f>
        <v>0</v>
      </c>
      <c r="X27" s="49">
        <f t="shared" si="6"/>
        <v>0</v>
      </c>
      <c r="Y27" s="49">
        <f t="shared" si="6"/>
        <v>0</v>
      </c>
      <c r="Z27" s="49">
        <f t="shared" si="6"/>
        <v>0</v>
      </c>
      <c r="AA27" s="49">
        <f t="shared" si="6"/>
        <v>0</v>
      </c>
      <c r="AB27" s="49">
        <f t="shared" si="6"/>
        <v>0</v>
      </c>
    </row>
    <row r="29" spans="1:28" s="121" customFormat="1" ht="15.75" x14ac:dyDescent="0.2">
      <c r="C29" s="121" t="s">
        <v>60</v>
      </c>
    </row>
    <row r="31" spans="1:28" s="40" customFormat="1" ht="15" x14ac:dyDescent="0.2">
      <c r="D31" s="40" t="str">
        <f>D10</f>
        <v>RIN Level 1 View - 2.1.1 - Standard Control Services - Capex</v>
      </c>
    </row>
    <row r="33" spans="4:28" x14ac:dyDescent="0.2">
      <c r="D33" s="60" t="s">
        <v>56</v>
      </c>
      <c r="E33" s="61" t="str">
        <f>E$4</f>
        <v>Unit</v>
      </c>
      <c r="F33" s="61" t="str">
        <f>F$4</f>
        <v>Basis</v>
      </c>
      <c r="G33" s="61" t="str">
        <f>G$4</f>
        <v>Timing</v>
      </c>
      <c r="H33" s="61" t="s">
        <v>1</v>
      </c>
      <c r="I33" s="62" t="str">
        <f t="shared" ref="I33:N33" si="7">I$3</f>
        <v>FY10</v>
      </c>
      <c r="J33" s="62" t="str">
        <f t="shared" si="7"/>
        <v>FY11</v>
      </c>
      <c r="K33" s="62" t="str">
        <f t="shared" si="7"/>
        <v>FY12</v>
      </c>
      <c r="L33" s="62" t="str">
        <f t="shared" si="7"/>
        <v>FY13</v>
      </c>
      <c r="M33" s="62" t="str">
        <f t="shared" si="7"/>
        <v>FY14</v>
      </c>
      <c r="N33" s="62" t="str">
        <f t="shared" si="7"/>
        <v>FY15</v>
      </c>
      <c r="O33" s="62" t="str">
        <f t="shared" ref="O33:AB33" si="8">O$3</f>
        <v>FY16</v>
      </c>
      <c r="P33" s="62" t="str">
        <f t="shared" si="8"/>
        <v>FY17</v>
      </c>
      <c r="Q33" s="62" t="str">
        <f t="shared" si="8"/>
        <v>FY18</v>
      </c>
      <c r="R33" s="62" t="str">
        <f t="shared" si="8"/>
        <v>FY19</v>
      </c>
      <c r="S33" s="62" t="str">
        <f t="shared" si="8"/>
        <v>FY20</v>
      </c>
      <c r="T33" s="62" t="str">
        <f t="shared" si="8"/>
        <v>FY21</v>
      </c>
      <c r="U33" s="62" t="str">
        <f t="shared" si="8"/>
        <v>FY22</v>
      </c>
      <c r="V33" s="62" t="str">
        <f t="shared" si="8"/>
        <v>FY23</v>
      </c>
      <c r="W33" s="62" t="str">
        <f t="shared" si="8"/>
        <v>FY24</v>
      </c>
      <c r="X33" s="62" t="str">
        <f t="shared" si="8"/>
        <v>FY25</v>
      </c>
      <c r="Y33" s="62" t="str">
        <f t="shared" si="8"/>
        <v>FY26</v>
      </c>
      <c r="Z33" s="62" t="str">
        <f t="shared" si="8"/>
        <v>FY27</v>
      </c>
      <c r="AA33" s="62" t="str">
        <f t="shared" si="8"/>
        <v>FY28</v>
      </c>
      <c r="AB33" s="62" t="str">
        <f t="shared" si="8"/>
        <v>FY29</v>
      </c>
    </row>
    <row r="34" spans="4:28" x14ac:dyDescent="0.2">
      <c r="I34" s="39" t="s">
        <v>105</v>
      </c>
      <c r="J34" s="39" t="s">
        <v>105</v>
      </c>
      <c r="K34" s="39" t="s">
        <v>105</v>
      </c>
      <c r="L34" s="39" t="s">
        <v>105</v>
      </c>
      <c r="M34" s="39" t="s">
        <v>105</v>
      </c>
      <c r="N34" s="39" t="s">
        <v>105</v>
      </c>
      <c r="O34" s="39" t="s">
        <v>105</v>
      </c>
      <c r="P34" s="39" t="s">
        <v>105</v>
      </c>
      <c r="Q34" s="39" t="s">
        <v>105</v>
      </c>
      <c r="R34" s="39" t="s">
        <v>105</v>
      </c>
      <c r="S34" s="39" t="s">
        <v>105</v>
      </c>
      <c r="T34" s="39" t="s">
        <v>105</v>
      </c>
      <c r="U34" s="39" t="s">
        <v>105</v>
      </c>
      <c r="V34" s="39" t="s">
        <v>105</v>
      </c>
      <c r="W34" s="31" t="s">
        <v>132</v>
      </c>
    </row>
    <row r="35" spans="4:28" x14ac:dyDescent="0.2">
      <c r="D35" s="37" t="str">
        <f>Input_General!$E$15</f>
        <v>Replacement expenditure</v>
      </c>
      <c r="E35" s="39" t="str">
        <f t="shared" ref="E35:E45" si="9">Unit_Dollar_M</f>
        <v>$Million</v>
      </c>
      <c r="F35" s="31" t="s">
        <v>9</v>
      </c>
      <c r="G35" s="39" t="str">
        <f t="shared" ref="G35:G50" si="10">Mid_Period</f>
        <v>Mid Period</v>
      </c>
      <c r="H35" s="31" t="s">
        <v>75</v>
      </c>
      <c r="I35" s="46">
        <v>9.599747895790836</v>
      </c>
      <c r="J35" s="46">
        <v>24.94401889033405</v>
      </c>
      <c r="K35" s="46">
        <v>37.134981993758423</v>
      </c>
      <c r="L35" s="46">
        <v>35.820005765767469</v>
      </c>
      <c r="M35" s="175">
        <v>43.312650480417588</v>
      </c>
      <c r="N35" s="175">
        <v>44.435374798571019</v>
      </c>
      <c r="O35" s="175">
        <v>42.463704349424525</v>
      </c>
      <c r="P35" s="175">
        <v>28.254530804505777</v>
      </c>
      <c r="Q35" s="175">
        <v>18.664842</v>
      </c>
      <c r="R35" s="175">
        <v>16.29686877</v>
      </c>
      <c r="S35" s="175">
        <v>16.417665960000001</v>
      </c>
      <c r="T35" s="175">
        <v>17.870509999999999</v>
      </c>
      <c r="U35" s="46">
        <v>19.499417000000001</v>
      </c>
      <c r="V35" s="46">
        <v>30.319565999999998</v>
      </c>
      <c r="W35" s="46">
        <v>47.103800823495504</v>
      </c>
      <c r="X35" s="47"/>
      <c r="Y35" s="47"/>
      <c r="Z35" s="47"/>
      <c r="AA35" s="47"/>
      <c r="AB35" s="47"/>
    </row>
    <row r="36" spans="4:28" x14ac:dyDescent="0.2">
      <c r="D36" s="37" t="str">
        <f>Input_General!$E$16</f>
        <v>Connections</v>
      </c>
      <c r="E36" s="39" t="str">
        <f t="shared" si="9"/>
        <v>$Million</v>
      </c>
      <c r="F36" s="39" t="str">
        <f t="shared" ref="F36:F43" si="11">F35</f>
        <v>Nominal</v>
      </c>
      <c r="G36" s="39" t="str">
        <f t="shared" si="10"/>
        <v>Mid Period</v>
      </c>
      <c r="H36" s="39" t="str">
        <f>H$35</f>
        <v>CA RIN 2.1</v>
      </c>
      <c r="I36" s="46">
        <v>6.4508044190668734</v>
      </c>
      <c r="J36" s="46">
        <v>6.1281130000000026</v>
      </c>
      <c r="K36" s="46">
        <v>5.5469329620853038</v>
      </c>
      <c r="L36" s="46">
        <v>6.4646123981042676</v>
      </c>
      <c r="M36" s="177">
        <v>14.478044549731436</v>
      </c>
      <c r="N36" s="178">
        <v>16.666967323017378</v>
      </c>
      <c r="O36" s="178">
        <v>13.786243152085314</v>
      </c>
      <c r="P36" s="178">
        <v>11.690115570963664</v>
      </c>
      <c r="Q36" s="178">
        <v>10.199939526299998</v>
      </c>
      <c r="R36" s="177">
        <v>5.7193809098934283</v>
      </c>
      <c r="S36" s="178">
        <v>4.0726707448574899</v>
      </c>
      <c r="T36" s="179">
        <v>6.28920244738074</v>
      </c>
      <c r="U36" s="140">
        <v>5.0725532343333235</v>
      </c>
      <c r="V36" s="140">
        <v>8.5099398199166423</v>
      </c>
      <c r="W36" s="46">
        <v>7.435870113580104</v>
      </c>
      <c r="X36" s="47"/>
      <c r="Y36" s="47"/>
      <c r="Z36" s="47"/>
      <c r="AA36" s="47"/>
      <c r="AB36" s="47"/>
    </row>
    <row r="37" spans="4:28" x14ac:dyDescent="0.2">
      <c r="D37" s="37" t="str">
        <f>Input_General!$E$17</f>
        <v>Augmentation expenditure</v>
      </c>
      <c r="E37" s="39" t="str">
        <f t="shared" si="9"/>
        <v>$Million</v>
      </c>
      <c r="F37" s="39" t="str">
        <f t="shared" si="11"/>
        <v>Nominal</v>
      </c>
      <c r="G37" s="39" t="str">
        <f t="shared" si="10"/>
        <v>Mid Period</v>
      </c>
      <c r="H37" s="39" t="str">
        <f>H$35</f>
        <v>CA RIN 2.1</v>
      </c>
      <c r="I37" s="46">
        <v>57.479194001331919</v>
      </c>
      <c r="J37" s="46">
        <v>52.524992477064607</v>
      </c>
      <c r="K37" s="46">
        <v>31.745955883084861</v>
      </c>
      <c r="L37" s="46">
        <v>62.089144155765531</v>
      </c>
      <c r="M37" s="176">
        <v>29.658235541408729</v>
      </c>
      <c r="N37" s="176">
        <v>23.668510701580434</v>
      </c>
      <c r="O37" s="176">
        <v>17.562837162606233</v>
      </c>
      <c r="P37" s="176">
        <v>12.834467993108163</v>
      </c>
      <c r="Q37" s="176">
        <v>17.626042000000002</v>
      </c>
      <c r="R37" s="176">
        <v>8.4337621999999985</v>
      </c>
      <c r="S37" s="176">
        <v>14.82449153</v>
      </c>
      <c r="T37" s="176">
        <v>11.259719</v>
      </c>
      <c r="U37" s="46">
        <v>9.9248209999999997</v>
      </c>
      <c r="V37" s="46">
        <v>10.793633</v>
      </c>
      <c r="W37" s="46">
        <v>13.309036067451807</v>
      </c>
      <c r="X37" s="47"/>
      <c r="Y37" s="47"/>
      <c r="Z37" s="47"/>
      <c r="AA37" s="47"/>
      <c r="AB37" s="47"/>
    </row>
    <row r="38" spans="4:28" x14ac:dyDescent="0.2">
      <c r="D38" s="37" t="str">
        <f>Input_General!$E$18</f>
        <v>Non-network - IT</v>
      </c>
      <c r="E38" s="39" t="str">
        <f t="shared" si="9"/>
        <v>$Million</v>
      </c>
      <c r="F38" s="39" t="str">
        <f t="shared" si="11"/>
        <v>Nominal</v>
      </c>
      <c r="G38" s="39" t="str">
        <f t="shared" si="10"/>
        <v>Mid Period</v>
      </c>
      <c r="H38" s="31" t="s">
        <v>82</v>
      </c>
      <c r="I38" s="46">
        <v>0</v>
      </c>
      <c r="J38" s="46">
        <v>0</v>
      </c>
      <c r="K38" s="46">
        <v>0</v>
      </c>
      <c r="L38" s="46">
        <v>0</v>
      </c>
      <c r="M38" s="46">
        <v>0.606936146939832</v>
      </c>
      <c r="N38" s="46">
        <v>0.41995391153095207</v>
      </c>
      <c r="O38" s="46">
        <v>0.89492849489630399</v>
      </c>
      <c r="P38" s="46">
        <v>2.7367044091650485</v>
      </c>
      <c r="Q38" s="46">
        <v>2.94977636</v>
      </c>
      <c r="R38" s="46">
        <v>1.6065674299999999</v>
      </c>
      <c r="S38" s="46">
        <v>5.60676664</v>
      </c>
      <c r="T38" s="46">
        <v>1.59687</v>
      </c>
      <c r="U38" s="46">
        <v>3.7476609999999999</v>
      </c>
      <c r="V38" s="46">
        <v>17.088259999999998</v>
      </c>
      <c r="W38" s="46">
        <v>19.205805196847212</v>
      </c>
      <c r="X38" s="47"/>
      <c r="Y38" s="47"/>
      <c r="Z38" s="47"/>
      <c r="AA38" s="47"/>
      <c r="AB38" s="47"/>
    </row>
    <row r="39" spans="4:28" x14ac:dyDescent="0.2">
      <c r="D39" s="37" t="str">
        <f>Input_General!$E$19</f>
        <v>Non-network - Other</v>
      </c>
      <c r="E39" s="39" t="str">
        <f t="shared" si="9"/>
        <v>$Million</v>
      </c>
      <c r="F39" s="39" t="str">
        <f t="shared" si="11"/>
        <v>Nominal</v>
      </c>
      <c r="G39" s="39" t="str">
        <f t="shared" si="10"/>
        <v>Mid Period</v>
      </c>
      <c r="H39" s="39" t="str">
        <f>H$35</f>
        <v>CA RIN 2.1</v>
      </c>
      <c r="I39" s="46">
        <v>2.3500238396682902</v>
      </c>
      <c r="J39" s="46">
        <v>1.1099225225831999</v>
      </c>
      <c r="K39" s="46">
        <v>2.2287605750640007</v>
      </c>
      <c r="L39" s="46">
        <v>2.2820005789055995</v>
      </c>
      <c r="M39" s="46">
        <v>0.75514626375268779</v>
      </c>
      <c r="N39" s="46">
        <v>0.68053442761058447</v>
      </c>
      <c r="O39" s="46">
        <v>0.36311255121405617</v>
      </c>
      <c r="P39" s="46">
        <v>0.48971746413607287</v>
      </c>
      <c r="Q39" s="46">
        <v>1.1490796399999996</v>
      </c>
      <c r="R39" s="46">
        <v>0.96321250000000025</v>
      </c>
      <c r="S39" s="46">
        <v>15.648978439999997</v>
      </c>
      <c r="T39" s="46">
        <v>6.3705210000000001</v>
      </c>
      <c r="U39" s="46">
        <v>11.595500000000001</v>
      </c>
      <c r="V39" s="46">
        <v>4.5057140000000011</v>
      </c>
      <c r="W39" s="46">
        <v>8.3393858173012347</v>
      </c>
      <c r="X39" s="47"/>
      <c r="Y39" s="47"/>
      <c r="Z39" s="47"/>
      <c r="AA39" s="47"/>
      <c r="AB39" s="47"/>
    </row>
    <row r="40" spans="4:28" x14ac:dyDescent="0.2">
      <c r="D40" s="37" t="str">
        <f>Input_General!$E$20</f>
        <v>Export services</v>
      </c>
      <c r="E40" s="39" t="str">
        <f t="shared" si="9"/>
        <v>$Million</v>
      </c>
      <c r="F40" s="39" t="str">
        <f t="shared" si="11"/>
        <v>Nominal</v>
      </c>
      <c r="G40" s="39" t="str">
        <f t="shared" si="10"/>
        <v>Mid Period</v>
      </c>
      <c r="H40" s="39" t="str">
        <f>H$35</f>
        <v>CA RIN 2.1</v>
      </c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6">
        <v>0</v>
      </c>
      <c r="X40" s="47"/>
      <c r="Y40" s="47"/>
      <c r="Z40" s="47"/>
      <c r="AA40" s="47"/>
      <c r="AB40" s="47"/>
    </row>
    <row r="41" spans="4:28" x14ac:dyDescent="0.2">
      <c r="D41" s="37" t="str">
        <f>Input_General!$E$21</f>
        <v>Capitalised network overheads</v>
      </c>
      <c r="E41" s="39" t="str">
        <f t="shared" si="9"/>
        <v>$Million</v>
      </c>
      <c r="F41" s="39" t="str">
        <f>F39</f>
        <v>Nominal</v>
      </c>
      <c r="G41" s="39" t="str">
        <f t="shared" si="10"/>
        <v>Mid Period</v>
      </c>
      <c r="H41" s="39" t="str">
        <f>H$35</f>
        <v>CA RIN 2.1</v>
      </c>
      <c r="I41" s="46">
        <v>0.35644491071040008</v>
      </c>
      <c r="J41" s="46">
        <v>0.37876936756800023</v>
      </c>
      <c r="K41" s="46">
        <v>0.29191327760640012</v>
      </c>
      <c r="L41" s="46">
        <v>1.6523304964848007</v>
      </c>
      <c r="M41" s="46">
        <v>1.1748074668472881</v>
      </c>
      <c r="N41" s="46">
        <v>0.19186936732656007</v>
      </c>
      <c r="O41" s="46">
        <v>0.13483004248800004</v>
      </c>
      <c r="P41" s="46">
        <v>0.10660847082948521</v>
      </c>
      <c r="Q41" s="46">
        <v>0.25464339719891882</v>
      </c>
      <c r="R41" s="46">
        <v>7.6533958600000007</v>
      </c>
      <c r="S41" s="46">
        <v>9.9038017499999995</v>
      </c>
      <c r="T41" s="46">
        <v>0.77713500000000002</v>
      </c>
      <c r="U41" s="46">
        <v>12.032126</v>
      </c>
      <c r="V41" s="46">
        <v>15.992309000000001</v>
      </c>
      <c r="W41" s="46">
        <v>16.725713794496535</v>
      </c>
      <c r="X41" s="47"/>
      <c r="Y41" s="47"/>
      <c r="Z41" s="47"/>
      <c r="AA41" s="47"/>
      <c r="AB41" s="47"/>
    </row>
    <row r="42" spans="4:28" x14ac:dyDescent="0.2">
      <c r="D42" s="37" t="str">
        <f>Input_General!$E$22</f>
        <v>Capitalised corporate overheads</v>
      </c>
      <c r="E42" s="39" t="str">
        <f t="shared" si="9"/>
        <v>$Million</v>
      </c>
      <c r="F42" s="39" t="str">
        <f t="shared" si="11"/>
        <v>Nominal</v>
      </c>
      <c r="G42" s="39" t="str">
        <f t="shared" si="10"/>
        <v>Mid Period</v>
      </c>
      <c r="H42" s="39" t="str">
        <f>H$35</f>
        <v>CA RIN 2.1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2.9095402799999999</v>
      </c>
      <c r="S42" s="46">
        <v>2.8496263399999999</v>
      </c>
      <c r="T42" s="46">
        <v>3.237269</v>
      </c>
      <c r="U42" s="46">
        <v>9.3021100000000008</v>
      </c>
      <c r="V42" s="46">
        <v>13.880345</v>
      </c>
      <c r="W42" s="46">
        <v>14.516895455113522</v>
      </c>
      <c r="X42" s="47"/>
      <c r="Y42" s="47"/>
      <c r="Z42" s="47"/>
      <c r="AA42" s="47"/>
      <c r="AB42" s="47"/>
    </row>
    <row r="43" spans="4:28" x14ac:dyDescent="0.2">
      <c r="D43" s="37" t="str">
        <f>Input_General!$E$23</f>
        <v>Other/Balancing item</v>
      </c>
      <c r="E43" s="39" t="str">
        <f t="shared" si="9"/>
        <v>$Million</v>
      </c>
      <c r="F43" s="39" t="str">
        <f t="shared" si="11"/>
        <v>Nominal</v>
      </c>
      <c r="G43" s="39" t="str">
        <f t="shared" si="10"/>
        <v>Mid Period</v>
      </c>
      <c r="H43" s="39" t="str">
        <f>H$35</f>
        <v>CA RIN 2.1</v>
      </c>
      <c r="I43" s="46">
        <v>-0.20827399999999999</v>
      </c>
      <c r="J43" s="46">
        <v>0.29595900000000003</v>
      </c>
      <c r="K43" s="46">
        <v>-8.8490000000000027E-2</v>
      </c>
      <c r="L43" s="46">
        <v>-0.23656500000000008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0.40254146999999996</v>
      </c>
      <c r="S43" s="46">
        <v>-1.7207901200000002</v>
      </c>
      <c r="T43" s="46">
        <v>0.32956600000000003</v>
      </c>
      <c r="U43" s="46">
        <v>-0.199353</v>
      </c>
      <c r="V43" s="46">
        <v>0.83738500000000005</v>
      </c>
      <c r="W43" s="46"/>
      <c r="X43" s="47"/>
      <c r="Y43" s="47"/>
      <c r="Z43" s="47"/>
      <c r="AA43" s="47"/>
      <c r="AB43" s="47"/>
    </row>
    <row r="45" spans="4:28" x14ac:dyDescent="0.2">
      <c r="D45" s="104" t="s">
        <v>72</v>
      </c>
      <c r="E45" s="125" t="str">
        <f t="shared" si="9"/>
        <v>$Million</v>
      </c>
      <c r="F45" s="125" t="str">
        <f>F43</f>
        <v>Nominal</v>
      </c>
      <c r="G45" s="125" t="str">
        <f t="shared" si="10"/>
        <v>Mid Period</v>
      </c>
      <c r="H45" s="125" t="s">
        <v>8</v>
      </c>
      <c r="I45" s="122">
        <f>SUM(I35:I43)</f>
        <v>76.027941066568317</v>
      </c>
      <c r="J45" s="123">
        <f>SUM(J35:J43)</f>
        <v>85.381775257549862</v>
      </c>
      <c r="K45" s="123">
        <f>SUM(K35:K43)</f>
        <v>76.86005469159899</v>
      </c>
      <c r="L45" s="123">
        <f>SUM(L35:L43)</f>
        <v>108.07152839502766</v>
      </c>
      <c r="M45" s="124">
        <f>SUM(M35:M43)</f>
        <v>89.98582044909756</v>
      </c>
      <c r="N45" s="122">
        <f t="shared" ref="N45:V45" si="12">SUM(N35:N43)</f>
        <v>86.063210529636919</v>
      </c>
      <c r="O45" s="123">
        <f t="shared" si="12"/>
        <v>75.205655752714435</v>
      </c>
      <c r="P45" s="123">
        <f t="shared" si="12"/>
        <v>56.112144712708208</v>
      </c>
      <c r="Q45" s="123">
        <f t="shared" si="12"/>
        <v>50.844322923498922</v>
      </c>
      <c r="R45" s="124">
        <f t="shared" si="12"/>
        <v>43.985269419893427</v>
      </c>
      <c r="S45" s="122">
        <f t="shared" si="12"/>
        <v>67.60321128485748</v>
      </c>
      <c r="T45" s="123">
        <f t="shared" si="12"/>
        <v>47.73079244738075</v>
      </c>
      <c r="U45" s="123">
        <f t="shared" si="12"/>
        <v>70.974835234333327</v>
      </c>
      <c r="V45" s="123">
        <f t="shared" si="12"/>
        <v>101.92715181991665</v>
      </c>
      <c r="W45" s="124">
        <f t="shared" ref="W45:AB45" si="13">SUM(W35:W43)</f>
        <v>126.63650726828591</v>
      </c>
      <c r="X45" s="122">
        <f t="shared" si="13"/>
        <v>0</v>
      </c>
      <c r="Y45" s="123">
        <f t="shared" si="13"/>
        <v>0</v>
      </c>
      <c r="Z45" s="123">
        <f t="shared" si="13"/>
        <v>0</v>
      </c>
      <c r="AA45" s="123">
        <f t="shared" si="13"/>
        <v>0</v>
      </c>
      <c r="AB45" s="124">
        <f t="shared" si="13"/>
        <v>0</v>
      </c>
    </row>
    <row r="46" spans="4:28" x14ac:dyDescent="0.2">
      <c r="R46" s="75"/>
    </row>
    <row r="47" spans="4:28" x14ac:dyDescent="0.2">
      <c r="D47" s="45" t="s">
        <v>246</v>
      </c>
      <c r="E47" s="39" t="str">
        <f>Unit_Dollar_M</f>
        <v>$Million</v>
      </c>
      <c r="F47" s="31" t="s">
        <v>9</v>
      </c>
      <c r="G47" s="39" t="str">
        <f t="shared" si="10"/>
        <v>Mid Period</v>
      </c>
      <c r="H47" s="31" t="s">
        <v>62</v>
      </c>
      <c r="I47" s="47"/>
      <c r="J47" s="47"/>
      <c r="K47" s="47"/>
      <c r="L47" s="47"/>
      <c r="M47" s="46">
        <v>89.985820449097261</v>
      </c>
      <c r="N47" s="46">
        <v>86.063210529636919</v>
      </c>
      <c r="O47" s="46">
        <v>75.205655752714364</v>
      </c>
      <c r="P47" s="46">
        <v>56.112144712708208</v>
      </c>
      <c r="Q47" s="46">
        <v>50.844322923498922</v>
      </c>
      <c r="R47" s="46">
        <v>39.241064419893434</v>
      </c>
      <c r="S47" s="46">
        <v>67.60321128485748</v>
      </c>
      <c r="T47" s="46">
        <v>47.730792447380743</v>
      </c>
      <c r="U47" s="46">
        <v>70.974833453354293</v>
      </c>
      <c r="V47" s="46">
        <v>101.92715</v>
      </c>
      <c r="W47" s="46">
        <v>126.63650726828594</v>
      </c>
      <c r="X47" s="47"/>
      <c r="Y47" s="47"/>
      <c r="Z47" s="47"/>
      <c r="AA47" s="47"/>
      <c r="AB47" s="47"/>
    </row>
    <row r="48" spans="4:28" x14ac:dyDescent="0.2">
      <c r="D48" s="45" t="s">
        <v>788</v>
      </c>
      <c r="E48" s="39" t="str">
        <f>Unit_Dollar_M</f>
        <v>$Million</v>
      </c>
      <c r="F48" s="31" t="s">
        <v>9</v>
      </c>
      <c r="G48" s="39"/>
      <c r="H48" s="31" t="s">
        <v>789</v>
      </c>
      <c r="I48" s="47"/>
      <c r="J48" s="47"/>
      <c r="K48" s="47"/>
      <c r="L48" s="47"/>
      <c r="M48" s="47"/>
      <c r="N48" s="47"/>
      <c r="O48" s="47"/>
      <c r="P48" s="47"/>
      <c r="Q48" s="47"/>
      <c r="R48" s="46">
        <v>4.7442049999999991</v>
      </c>
      <c r="S48" s="47"/>
      <c r="T48" s="47"/>
      <c r="U48" s="47"/>
      <c r="V48" s="47"/>
      <c r="W48" s="47"/>
      <c r="X48" s="47"/>
      <c r="Y48" s="47"/>
      <c r="Z48" s="47"/>
      <c r="AA48" s="47"/>
      <c r="AB48" s="47"/>
    </row>
    <row r="49" spans="1:28" x14ac:dyDescent="0.2">
      <c r="D49" s="45" t="s">
        <v>604</v>
      </c>
      <c r="E49" s="39" t="str">
        <f>Unit_Dollar_M</f>
        <v>$Million</v>
      </c>
      <c r="F49" s="39" t="str">
        <f>F47</f>
        <v>Nominal</v>
      </c>
      <c r="G49" s="39" t="str">
        <f t="shared" si="10"/>
        <v>Mid Period</v>
      </c>
      <c r="H49" s="31" t="s">
        <v>213</v>
      </c>
      <c r="I49" s="47"/>
      <c r="J49" s="47"/>
      <c r="K49" s="47"/>
      <c r="L49" s="47"/>
      <c r="M49" s="46">
        <v>5.4895823300000002</v>
      </c>
      <c r="N49" s="46">
        <v>8.7286117500000007</v>
      </c>
      <c r="O49" s="46">
        <v>7.7932136200000004</v>
      </c>
      <c r="P49" s="46">
        <v>8.3774671099999996</v>
      </c>
      <c r="Q49" s="46">
        <v>7.577030526299998</v>
      </c>
      <c r="R49" s="46">
        <v>3.0977283199999999</v>
      </c>
      <c r="S49" s="46">
        <v>2.2323295299999999</v>
      </c>
      <c r="T49" s="46">
        <v>2.6075811363368606</v>
      </c>
      <c r="U49" s="46">
        <v>1.693655234333324</v>
      </c>
      <c r="V49" s="46">
        <v>5.1666648199166421</v>
      </c>
      <c r="W49" s="47"/>
      <c r="X49" s="47"/>
      <c r="Y49" s="47"/>
      <c r="Z49" s="47"/>
      <c r="AA49" s="47"/>
      <c r="AB49" s="47"/>
    </row>
    <row r="50" spans="1:28" x14ac:dyDescent="0.2">
      <c r="D50" s="45" t="s">
        <v>349</v>
      </c>
      <c r="E50" s="39" t="str">
        <f>Unit_Dollar_M</f>
        <v>$Million</v>
      </c>
      <c r="F50" s="39" t="str">
        <f>F49</f>
        <v>Nominal</v>
      </c>
      <c r="G50" s="39" t="str">
        <f t="shared" si="10"/>
        <v>Mid Period</v>
      </c>
      <c r="H50" s="31"/>
      <c r="I50" s="47"/>
      <c r="J50" s="47"/>
      <c r="K50" s="47"/>
      <c r="L50" s="47"/>
      <c r="M50" s="47"/>
      <c r="N50" s="47"/>
      <c r="O50" s="47"/>
      <c r="P50" s="47"/>
      <c r="Q50" s="47"/>
      <c r="R50" s="46">
        <v>0.39632415010657202</v>
      </c>
      <c r="S50" s="46">
        <v>1.3004654151425099</v>
      </c>
      <c r="T50" s="46">
        <v>3.9971386889561198</v>
      </c>
      <c r="U50" s="47"/>
      <c r="V50" s="47"/>
      <c r="W50" s="47"/>
      <c r="X50" s="47"/>
      <c r="Y50" s="47"/>
      <c r="Z50" s="47"/>
      <c r="AA50" s="47"/>
      <c r="AB50" s="47"/>
    </row>
    <row r="51" spans="1:28" x14ac:dyDescent="0.2">
      <c r="A51" s="52">
        <f>IF(SUM(I51:AB51)&lt;&gt;0,1,0)</f>
        <v>0</v>
      </c>
      <c r="D51" s="45" t="s">
        <v>83</v>
      </c>
      <c r="E51" s="51" t="s">
        <v>6</v>
      </c>
      <c r="F51" s="51" t="s">
        <v>6</v>
      </c>
      <c r="G51" s="51" t="s">
        <v>6</v>
      </c>
      <c r="H51" s="51" t="s">
        <v>8</v>
      </c>
      <c r="I51" s="49" t="str">
        <f>NA</f>
        <v>N/A</v>
      </c>
      <c r="J51" s="49" t="str">
        <f>NA</f>
        <v>N/A</v>
      </c>
      <c r="K51" s="49" t="str">
        <f>NA</f>
        <v>N/A</v>
      </c>
      <c r="L51" s="49" t="str">
        <f>NA</f>
        <v>N/A</v>
      </c>
      <c r="M51" s="49">
        <f t="shared" ref="M51:Q51" si="14">IF(ROUND(M47+M48-M45,4)=0,0,1)</f>
        <v>0</v>
      </c>
      <c r="N51" s="49">
        <f t="shared" si="14"/>
        <v>0</v>
      </c>
      <c r="O51" s="49">
        <f t="shared" si="14"/>
        <v>0</v>
      </c>
      <c r="P51" s="49">
        <f t="shared" si="14"/>
        <v>0</v>
      </c>
      <c r="Q51" s="49">
        <f t="shared" si="14"/>
        <v>0</v>
      </c>
      <c r="R51" s="49">
        <f>IF(ROUND(R47+R48-R45,4)=0,0,1)</f>
        <v>0</v>
      </c>
      <c r="S51" s="49">
        <f>IF(ROUND(S47+S48-S45,4)=0,0,1)</f>
        <v>0</v>
      </c>
      <c r="T51" s="162">
        <f>IF(ROUND(T47+T48-T45,4)=0,0,1)</f>
        <v>0</v>
      </c>
      <c r="U51" s="49">
        <f>IF(ROUND(U47-U45,4)=0,0,1)</f>
        <v>0</v>
      </c>
      <c r="V51" s="49">
        <f>IF(ROUND(V47-V45,4)=0,0,1)</f>
        <v>0</v>
      </c>
      <c r="W51" s="49">
        <f>IF(ROUND(W47-W45,4)=0,0,1)</f>
        <v>0</v>
      </c>
    </row>
    <row r="53" spans="1:28" x14ac:dyDescent="0.2">
      <c r="D53" s="45" t="s">
        <v>247</v>
      </c>
    </row>
    <row r="55" spans="1:28" s="40" customFormat="1" ht="15" x14ac:dyDescent="0.2">
      <c r="D55" s="40" t="s">
        <v>605</v>
      </c>
    </row>
    <row r="57" spans="1:28" x14ac:dyDescent="0.2">
      <c r="D57" s="60" t="s">
        <v>56</v>
      </c>
      <c r="E57" s="61" t="str">
        <f>E$4</f>
        <v>Unit</v>
      </c>
      <c r="F57" s="61" t="str">
        <f>F$4</f>
        <v>Basis</v>
      </c>
      <c r="G57" s="61" t="str">
        <f>G$4</f>
        <v>Timing</v>
      </c>
      <c r="H57" s="61" t="s">
        <v>1</v>
      </c>
      <c r="I57" s="62" t="str">
        <f t="shared" ref="I57:N57" si="15">I$3</f>
        <v>FY10</v>
      </c>
      <c r="J57" s="62" t="str">
        <f t="shared" si="15"/>
        <v>FY11</v>
      </c>
      <c r="K57" s="62" t="str">
        <f t="shared" si="15"/>
        <v>FY12</v>
      </c>
      <c r="L57" s="62" t="str">
        <f t="shared" si="15"/>
        <v>FY13</v>
      </c>
      <c r="M57" s="62" t="str">
        <f t="shared" si="15"/>
        <v>FY14</v>
      </c>
      <c r="N57" s="62" t="str">
        <f t="shared" si="15"/>
        <v>FY15</v>
      </c>
      <c r="O57" s="62" t="str">
        <f t="shared" ref="O57:AB57" si="16">O$3</f>
        <v>FY16</v>
      </c>
      <c r="P57" s="62" t="str">
        <f t="shared" si="16"/>
        <v>FY17</v>
      </c>
      <c r="Q57" s="62" t="str">
        <f t="shared" si="16"/>
        <v>FY18</v>
      </c>
      <c r="R57" s="62" t="str">
        <f t="shared" si="16"/>
        <v>FY19</v>
      </c>
      <c r="S57" s="62" t="str">
        <f t="shared" si="16"/>
        <v>FY20</v>
      </c>
      <c r="T57" s="62" t="str">
        <f t="shared" si="16"/>
        <v>FY21</v>
      </c>
      <c r="U57" s="62" t="str">
        <f t="shared" si="16"/>
        <v>FY22</v>
      </c>
      <c r="V57" s="62" t="str">
        <f t="shared" si="16"/>
        <v>FY23</v>
      </c>
      <c r="W57" s="62" t="str">
        <f t="shared" si="16"/>
        <v>FY24</v>
      </c>
      <c r="X57" s="62" t="str">
        <f t="shared" si="16"/>
        <v>FY25</v>
      </c>
      <c r="Y57" s="62" t="str">
        <f t="shared" si="16"/>
        <v>FY26</v>
      </c>
      <c r="Z57" s="62" t="str">
        <f t="shared" si="16"/>
        <v>FY27</v>
      </c>
      <c r="AA57" s="62" t="str">
        <f t="shared" si="16"/>
        <v>FY28</v>
      </c>
      <c r="AB57" s="62" t="str">
        <f t="shared" si="16"/>
        <v>FY29</v>
      </c>
    </row>
    <row r="58" spans="1:28" x14ac:dyDescent="0.2"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8" x14ac:dyDescent="0.2">
      <c r="D59" s="37" t="str">
        <f>Input_General!E28</f>
        <v>Substations</v>
      </c>
      <c r="E59" s="39" t="str">
        <f t="shared" ref="E59:E77" si="17">Unit_Dollar_M</f>
        <v>$Million</v>
      </c>
      <c r="F59" s="31" t="s">
        <v>9</v>
      </c>
      <c r="G59" s="39" t="str">
        <f>Mid_Period</f>
        <v>Mid Period</v>
      </c>
      <c r="H59" s="31" t="s">
        <v>8</v>
      </c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6">
        <v>15.991018654902026</v>
      </c>
      <c r="T59" s="46">
        <v>9.883455689573724</v>
      </c>
      <c r="U59" s="46">
        <v>8.5091798645017587</v>
      </c>
      <c r="V59" s="46">
        <v>9.0293030000000005</v>
      </c>
      <c r="W59" s="46">
        <v>25.69053760161048</v>
      </c>
      <c r="X59" s="47"/>
      <c r="Y59" s="47"/>
      <c r="Z59" s="47"/>
      <c r="AA59" s="47"/>
      <c r="AB59" s="47"/>
    </row>
    <row r="60" spans="1:28" x14ac:dyDescent="0.2">
      <c r="D60" s="37" t="str">
        <f>Input_General!E29</f>
        <v>Distribution Lines</v>
      </c>
      <c r="E60" s="39" t="str">
        <f t="shared" si="17"/>
        <v>$Million</v>
      </c>
      <c r="F60" s="39" t="str">
        <f>F59</f>
        <v>Nominal</v>
      </c>
      <c r="G60" s="39" t="str">
        <f>G59</f>
        <v>Mid Period</v>
      </c>
      <c r="H60" s="39" t="str">
        <f>H59</f>
        <v>Calculated</v>
      </c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6">
        <v>11.642351662533406</v>
      </c>
      <c r="T60" s="46">
        <v>12.997435170506215</v>
      </c>
      <c r="U60" s="46">
        <v>19.68813022623879</v>
      </c>
      <c r="V60" s="46">
        <v>32.274641000000003</v>
      </c>
      <c r="W60" s="46">
        <v>32.769322591567239</v>
      </c>
      <c r="X60" s="47"/>
      <c r="Y60" s="47"/>
      <c r="Z60" s="47"/>
      <c r="AA60" s="47"/>
      <c r="AB60" s="47"/>
    </row>
    <row r="61" spans="1:28" x14ac:dyDescent="0.2">
      <c r="D61" s="37" t="str">
        <f>Input_General!E30</f>
        <v>Transmission Lines</v>
      </c>
      <c r="E61" s="39" t="str">
        <f t="shared" si="17"/>
        <v>$Million</v>
      </c>
      <c r="F61" s="39" t="str">
        <f t="shared" ref="F61:F77" si="18">F60</f>
        <v>Nominal</v>
      </c>
      <c r="G61" s="39" t="str">
        <f t="shared" ref="G61:G77" si="19">G60</f>
        <v>Mid Period</v>
      </c>
      <c r="H61" s="39" t="str">
        <f t="shared" ref="H61:H77" si="20">H60</f>
        <v>Calculated</v>
      </c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6">
        <v>0.89620873998772699</v>
      </c>
      <c r="T61" s="46">
        <v>1.6330014639917572</v>
      </c>
      <c r="U61" s="46">
        <v>2.3733180894197643</v>
      </c>
      <c r="V61" s="46">
        <v>2.045814</v>
      </c>
      <c r="W61" s="46">
        <v>5.7168125870395246</v>
      </c>
      <c r="X61" s="47"/>
      <c r="Y61" s="47"/>
      <c r="Z61" s="47"/>
      <c r="AA61" s="47"/>
      <c r="AB61" s="47"/>
    </row>
    <row r="62" spans="1:28" x14ac:dyDescent="0.2">
      <c r="D62" s="37" t="str">
        <f>Input_General!E31</f>
        <v>LV Services</v>
      </c>
      <c r="E62" s="39" t="str">
        <f t="shared" si="17"/>
        <v>$Million</v>
      </c>
      <c r="F62" s="39" t="str">
        <f t="shared" si="18"/>
        <v>Nominal</v>
      </c>
      <c r="G62" s="39" t="str">
        <f t="shared" si="19"/>
        <v>Mid Period</v>
      </c>
      <c r="H62" s="39" t="str">
        <f t="shared" si="20"/>
        <v>Calculated</v>
      </c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6">
        <v>0.64383564234871993</v>
      </c>
      <c r="T62" s="46">
        <v>1.0939579023597403</v>
      </c>
      <c r="U62" s="46">
        <v>2.1341898220451294</v>
      </c>
      <c r="V62" s="46">
        <v>2.1188549999999999</v>
      </c>
      <c r="W62" s="46">
        <v>2.708345605650877</v>
      </c>
      <c r="X62" s="47"/>
      <c r="Y62" s="47"/>
      <c r="Z62" s="47"/>
      <c r="AA62" s="47"/>
      <c r="AB62" s="47"/>
    </row>
    <row r="63" spans="1:28" x14ac:dyDescent="0.2">
      <c r="D63" s="37" t="str">
        <f>Input_General!E32</f>
        <v>Distribution Substations</v>
      </c>
      <c r="E63" s="39" t="str">
        <f t="shared" si="17"/>
        <v>$Million</v>
      </c>
      <c r="F63" s="39" t="str">
        <f t="shared" si="18"/>
        <v>Nominal</v>
      </c>
      <c r="G63" s="39" t="str">
        <f t="shared" si="19"/>
        <v>Mid Period</v>
      </c>
      <c r="H63" s="39" t="str">
        <f t="shared" si="20"/>
        <v>Calculated</v>
      </c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6">
        <v>5.6162387279126769</v>
      </c>
      <c r="T63" s="46">
        <v>5.4274355751253749</v>
      </c>
      <c r="U63" s="46">
        <v>6.9006964823309556</v>
      </c>
      <c r="V63" s="46">
        <v>8.589874</v>
      </c>
      <c r="W63" s="46">
        <v>4.0193442132900739</v>
      </c>
      <c r="X63" s="47"/>
      <c r="Y63" s="47"/>
      <c r="Z63" s="47"/>
      <c r="AA63" s="47"/>
      <c r="AB63" s="47"/>
    </row>
    <row r="64" spans="1:28" x14ac:dyDescent="0.2">
      <c r="D64" s="37" t="str">
        <f>Input_General!E33</f>
        <v>Distribution Switchgear</v>
      </c>
      <c r="E64" s="39" t="str">
        <f t="shared" si="17"/>
        <v>$Million</v>
      </c>
      <c r="F64" s="39" t="str">
        <f t="shared" si="18"/>
        <v>Nominal</v>
      </c>
      <c r="G64" s="39" t="str">
        <f t="shared" si="19"/>
        <v>Mid Period</v>
      </c>
      <c r="H64" s="39" t="str">
        <f t="shared" si="20"/>
        <v>Calculated</v>
      </c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6">
        <v>1.9983446093715924</v>
      </c>
      <c r="T64" s="46">
        <v>3.1716344790125937</v>
      </c>
      <c r="U64" s="46">
        <v>2.6649886461372239</v>
      </c>
      <c r="V64" s="46">
        <v>4.1732100000000001</v>
      </c>
      <c r="W64" s="46">
        <v>3.1874897215678843</v>
      </c>
      <c r="X64" s="47"/>
      <c r="Y64" s="47"/>
      <c r="Z64" s="47"/>
      <c r="AA64" s="47"/>
      <c r="AB64" s="47"/>
    </row>
    <row r="65" spans="4:28" x14ac:dyDescent="0.2">
      <c r="D65" s="37" t="str">
        <f>Input_General!E34</f>
        <v>Protection</v>
      </c>
      <c r="E65" s="39" t="str">
        <f t="shared" si="17"/>
        <v>$Million</v>
      </c>
      <c r="F65" s="39" t="str">
        <f t="shared" si="18"/>
        <v>Nominal</v>
      </c>
      <c r="G65" s="39" t="str">
        <f t="shared" si="19"/>
        <v>Mid Period</v>
      </c>
      <c r="H65" s="39" t="str">
        <f t="shared" si="20"/>
        <v>Calculated</v>
      </c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6">
        <v>1.5070081382594274</v>
      </c>
      <c r="T65" s="46">
        <v>1.5400670570118611</v>
      </c>
      <c r="U65" s="46">
        <v>3.0211058749521746</v>
      </c>
      <c r="V65" s="46">
        <v>4.6203969999999996</v>
      </c>
      <c r="W65" s="46">
        <v>5.5133933745589383</v>
      </c>
      <c r="X65" s="47"/>
      <c r="Y65" s="47"/>
      <c r="Z65" s="47"/>
      <c r="AA65" s="47"/>
      <c r="AB65" s="47"/>
    </row>
    <row r="66" spans="4:28" x14ac:dyDescent="0.2">
      <c r="D66" s="37" t="str">
        <f>Input_General!E35</f>
        <v>SCADA</v>
      </c>
      <c r="E66" s="39" t="str">
        <f t="shared" si="17"/>
        <v>$Million</v>
      </c>
      <c r="F66" s="39" t="str">
        <f t="shared" si="18"/>
        <v>Nominal</v>
      </c>
      <c r="G66" s="39" t="str">
        <f t="shared" si="19"/>
        <v>Mid Period</v>
      </c>
      <c r="H66" s="39" t="str">
        <f t="shared" si="20"/>
        <v>Calculated</v>
      </c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6">
        <v>1.6155899259732636</v>
      </c>
      <c r="T66" s="46">
        <v>1.3868072745169149</v>
      </c>
      <c r="U66" s="46">
        <v>1.5742759852910864</v>
      </c>
      <c r="V66" s="46">
        <v>2.86388</v>
      </c>
      <c r="W66" s="46">
        <v>7.6921608692518211</v>
      </c>
      <c r="X66" s="47"/>
      <c r="Y66" s="47"/>
      <c r="Z66" s="47"/>
      <c r="AA66" s="47"/>
      <c r="AB66" s="47"/>
    </row>
    <row r="67" spans="4:28" x14ac:dyDescent="0.2">
      <c r="D67" s="37" t="str">
        <f>Input_General!E36</f>
        <v>Communications</v>
      </c>
      <c r="E67" s="39" t="str">
        <f t="shared" si="17"/>
        <v>$Million</v>
      </c>
      <c r="F67" s="39" t="str">
        <f t="shared" si="18"/>
        <v>Nominal</v>
      </c>
      <c r="G67" s="39" t="str">
        <f t="shared" si="19"/>
        <v>Mid Period</v>
      </c>
      <c r="H67" s="39" t="str">
        <f t="shared" si="20"/>
        <v>Calculated</v>
      </c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6">
        <v>2.1094180052300575</v>
      </c>
      <c r="T67" s="46">
        <v>1.7808880123416708</v>
      </c>
      <c r="U67" s="46">
        <v>2.030567677320414</v>
      </c>
      <c r="V67" s="46">
        <v>4.7036540000000002</v>
      </c>
      <c r="W67" s="46">
        <v>2.5559731298668869</v>
      </c>
      <c r="X67" s="47"/>
      <c r="Y67" s="47"/>
      <c r="Z67" s="47"/>
      <c r="AA67" s="47"/>
      <c r="AB67" s="47"/>
    </row>
    <row r="68" spans="4:28" x14ac:dyDescent="0.2">
      <c r="D68" s="37" t="str">
        <f>Input_General!E37</f>
        <v>Land and Easements</v>
      </c>
      <c r="E68" s="39" t="str">
        <f t="shared" si="17"/>
        <v>$Million</v>
      </c>
      <c r="F68" s="39" t="str">
        <f t="shared" si="18"/>
        <v>Nominal</v>
      </c>
      <c r="G68" s="39" t="str">
        <f t="shared" si="19"/>
        <v>Mid Period</v>
      </c>
      <c r="H68" s="39" t="str">
        <f t="shared" si="20"/>
        <v>Calculated</v>
      </c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6">
        <v>0</v>
      </c>
      <c r="T68" s="46">
        <v>0</v>
      </c>
      <c r="U68" s="46">
        <v>0</v>
      </c>
      <c r="V68" s="46">
        <v>-0.12653200000000001</v>
      </c>
      <c r="W68" s="46">
        <v>0</v>
      </c>
      <c r="X68" s="47"/>
      <c r="Y68" s="47"/>
      <c r="Z68" s="47"/>
      <c r="AA68" s="47"/>
      <c r="AB68" s="47"/>
    </row>
    <row r="69" spans="4:28" x14ac:dyDescent="0.2">
      <c r="D69" s="37" t="str">
        <f>Input_General!E38</f>
        <v>Property</v>
      </c>
      <c r="E69" s="39" t="str">
        <f t="shared" si="17"/>
        <v>$Million</v>
      </c>
      <c r="F69" s="39" t="str">
        <f t="shared" si="18"/>
        <v>Nominal</v>
      </c>
      <c r="G69" s="39" t="str">
        <f t="shared" si="19"/>
        <v>Mid Period</v>
      </c>
      <c r="H69" s="39" t="str">
        <f t="shared" si="20"/>
        <v>Calculated</v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6">
        <v>0.50703688846850281</v>
      </c>
      <c r="T69" s="46">
        <v>0.49408326449507206</v>
      </c>
      <c r="U69" s="46">
        <v>0.28240258590812051</v>
      </c>
      <c r="V69" s="46">
        <v>0.44637300000000002</v>
      </c>
      <c r="W69" s="46">
        <v>1.8195313355456517</v>
      </c>
      <c r="X69" s="47"/>
      <c r="Y69" s="47"/>
      <c r="Z69" s="47"/>
      <c r="AA69" s="47"/>
      <c r="AB69" s="47"/>
    </row>
    <row r="70" spans="4:28" x14ac:dyDescent="0.2">
      <c r="D70" s="37" t="str">
        <f>Input_General!E39</f>
        <v>IT and Communications</v>
      </c>
      <c r="E70" s="39" t="str">
        <f t="shared" si="17"/>
        <v>$Million</v>
      </c>
      <c r="F70" s="39" t="str">
        <f t="shared" si="18"/>
        <v>Nominal</v>
      </c>
      <c r="G70" s="39" t="str">
        <f t="shared" si="19"/>
        <v>Mid Period</v>
      </c>
      <c r="H70" s="39" t="str">
        <f t="shared" si="20"/>
        <v>Calculated</v>
      </c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77">
        <v>6.4191409885736785</v>
      </c>
      <c r="T70" s="77">
        <v>1.6487931240814817</v>
      </c>
      <c r="U70" s="77">
        <v>5.0122508711363221</v>
      </c>
      <c r="V70" s="77">
        <v>22.942543000000001</v>
      </c>
      <c r="W70" s="77">
        <v>25.434626286598387</v>
      </c>
      <c r="X70" s="47"/>
      <c r="Y70" s="47"/>
      <c r="Z70" s="47"/>
      <c r="AA70" s="47"/>
      <c r="AB70" s="47"/>
    </row>
    <row r="71" spans="4:28" x14ac:dyDescent="0.2">
      <c r="D71" s="37" t="str">
        <f>Input_General!E40</f>
        <v>Motor Vehicles</v>
      </c>
      <c r="E71" s="39" t="str">
        <f t="shared" si="17"/>
        <v>$Million</v>
      </c>
      <c r="F71" s="39" t="str">
        <f t="shared" si="18"/>
        <v>Nominal</v>
      </c>
      <c r="G71" s="39" t="str">
        <f t="shared" si="19"/>
        <v>Mid Period</v>
      </c>
      <c r="H71" s="39" t="str">
        <f t="shared" si="20"/>
        <v>Calculated</v>
      </c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6">
        <v>6.6494500709564086E-2</v>
      </c>
      <c r="T71" s="46">
        <v>0.49719878076969104</v>
      </c>
      <c r="U71" s="46">
        <v>0.119742121248249</v>
      </c>
      <c r="V71" s="46">
        <v>0.15359600000000001</v>
      </c>
      <c r="W71" s="46">
        <v>0</v>
      </c>
      <c r="X71" s="47"/>
      <c r="Y71" s="47"/>
      <c r="Z71" s="47"/>
      <c r="AA71" s="47"/>
      <c r="AB71" s="47"/>
    </row>
    <row r="72" spans="4:28" x14ac:dyDescent="0.2">
      <c r="D72" s="37" t="str">
        <f>Input_General!E41</f>
        <v>Plant and Equipment</v>
      </c>
      <c r="E72" s="39" t="str">
        <f t="shared" si="17"/>
        <v>$Million</v>
      </c>
      <c r="F72" s="39" t="str">
        <f t="shared" si="18"/>
        <v>Nominal</v>
      </c>
      <c r="G72" s="39" t="str">
        <f t="shared" si="19"/>
        <v>Mid Period</v>
      </c>
      <c r="H72" s="39" t="str">
        <f t="shared" si="20"/>
        <v>Calculated</v>
      </c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6">
        <v>0.88332453470386341</v>
      </c>
      <c r="T72" s="46">
        <v>2.2220456789583047</v>
      </c>
      <c r="U72" s="46">
        <v>1.9141529297396143</v>
      </c>
      <c r="V72" s="46">
        <v>2.1467529999999999</v>
      </c>
      <c r="W72" s="46">
        <v>1.6467533277153139</v>
      </c>
      <c r="X72" s="47"/>
      <c r="Y72" s="47"/>
      <c r="Z72" s="47"/>
      <c r="AA72" s="47"/>
      <c r="AB72" s="47"/>
    </row>
    <row r="73" spans="4:28" x14ac:dyDescent="0.2">
      <c r="D73" s="37" t="str">
        <f>Input_General!E42</f>
        <v>Property Leases</v>
      </c>
      <c r="E73" s="39" t="str">
        <f t="shared" si="17"/>
        <v>$Million</v>
      </c>
      <c r="F73" s="39" t="str">
        <f t="shared" si="18"/>
        <v>Nominal</v>
      </c>
      <c r="G73" s="39" t="str">
        <f t="shared" si="19"/>
        <v>Mid Period</v>
      </c>
      <c r="H73" s="39" t="str">
        <f t="shared" si="20"/>
        <v>Calculated</v>
      </c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6">
        <v>3.2695736798040049</v>
      </c>
      <c r="T73" s="46">
        <v>0.81780708775661048</v>
      </c>
      <c r="U73" s="46">
        <v>9.7960054110866093</v>
      </c>
      <c r="V73" s="46">
        <v>1.0806169999999999</v>
      </c>
      <c r="W73" s="46">
        <v>5.2530896446849047</v>
      </c>
      <c r="X73" s="47"/>
      <c r="Y73" s="47"/>
      <c r="Z73" s="47"/>
      <c r="AA73" s="47"/>
      <c r="AB73" s="47"/>
    </row>
    <row r="74" spans="4:28" x14ac:dyDescent="0.2">
      <c r="D74" s="37" t="str">
        <f>Input_General!E43</f>
        <v>Fleet Leases</v>
      </c>
      <c r="E74" s="39" t="str">
        <f t="shared" si="17"/>
        <v>$Million</v>
      </c>
      <c r="F74" s="39" t="str">
        <f t="shared" si="18"/>
        <v>Nominal</v>
      </c>
      <c r="G74" s="39" t="str">
        <f t="shared" si="19"/>
        <v>Mid Period</v>
      </c>
      <c r="H74" s="39" t="str">
        <f t="shared" si="20"/>
        <v>Calculated</v>
      </c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6">
        <v>14.277095005006418</v>
      </c>
      <c r="T74" s="46">
        <v>2.4442842594097742</v>
      </c>
      <c r="U74" s="46">
        <v>2.7430355704729346</v>
      </c>
      <c r="V74" s="46">
        <v>2.6885650000000001</v>
      </c>
      <c r="W74" s="46">
        <v>2.324638663592292</v>
      </c>
      <c r="X74" s="47"/>
      <c r="Y74" s="47"/>
      <c r="Z74" s="47"/>
      <c r="AA74" s="47"/>
      <c r="AB74" s="47"/>
    </row>
    <row r="75" spans="4:28" x14ac:dyDescent="0.2">
      <c r="D75" s="37" t="str">
        <f>Input_General!E44</f>
        <v>[Spare]</v>
      </c>
      <c r="E75" s="39" t="str">
        <f t="shared" si="17"/>
        <v>$Million</v>
      </c>
      <c r="F75" s="39" t="str">
        <f t="shared" si="18"/>
        <v>Nominal</v>
      </c>
      <c r="G75" s="39" t="str">
        <f t="shared" si="19"/>
        <v>Mid Period</v>
      </c>
      <c r="H75" s="39" t="str">
        <f t="shared" si="20"/>
        <v>Calculated</v>
      </c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6"/>
      <c r="T75" s="46"/>
      <c r="U75" s="46"/>
      <c r="V75" s="46"/>
      <c r="W75" s="46"/>
      <c r="X75" s="47"/>
      <c r="Y75" s="47"/>
      <c r="Z75" s="47"/>
      <c r="AA75" s="47"/>
      <c r="AB75" s="47"/>
    </row>
    <row r="76" spans="4:28" x14ac:dyDescent="0.2">
      <c r="D76" s="37" t="str">
        <f>Input_General!E45</f>
        <v>Buildings</v>
      </c>
      <c r="E76" s="39" t="str">
        <f t="shared" si="17"/>
        <v>$Million</v>
      </c>
      <c r="F76" s="39" t="str">
        <f t="shared" si="18"/>
        <v>Nominal</v>
      </c>
      <c r="G76" s="39" t="str">
        <f t="shared" si="19"/>
        <v>Mid Period</v>
      </c>
      <c r="H76" s="39" t="str">
        <f t="shared" si="20"/>
        <v>Calculated</v>
      </c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6">
        <v>0.16053158107254506</v>
      </c>
      <c r="T76" s="46">
        <v>0.69189762746995798</v>
      </c>
      <c r="U76" s="46">
        <v>2.2107912955251239</v>
      </c>
      <c r="V76" s="46">
        <v>2.1756069999999998</v>
      </c>
      <c r="W76" s="46">
        <v>0</v>
      </c>
      <c r="X76" s="47"/>
      <c r="Y76" s="47"/>
      <c r="Z76" s="47"/>
      <c r="AA76" s="47"/>
      <c r="AB76" s="47"/>
    </row>
    <row r="77" spans="4:28" x14ac:dyDescent="0.2">
      <c r="D77" s="37" t="str">
        <f>Input_General!E46</f>
        <v>in-house software</v>
      </c>
      <c r="E77" s="39" t="str">
        <f t="shared" si="17"/>
        <v>$Million</v>
      </c>
      <c r="F77" s="39" t="str">
        <f t="shared" si="18"/>
        <v>Nominal</v>
      </c>
      <c r="G77" s="39" t="str">
        <f t="shared" si="19"/>
        <v>Mid Period</v>
      </c>
      <c r="H77" s="39" t="str">
        <f t="shared" si="20"/>
        <v>Calculated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7"/>
      <c r="Y77" s="47"/>
      <c r="Z77" s="47"/>
      <c r="AA77" s="47"/>
      <c r="AB77" s="47"/>
    </row>
    <row r="79" spans="4:28" x14ac:dyDescent="0.2">
      <c r="D79" s="104" t="s">
        <v>72</v>
      </c>
      <c r="E79" s="125" t="str">
        <f>Unit_Dollar_M</f>
        <v>$Million</v>
      </c>
      <c r="F79" s="125" t="str">
        <f>F59</f>
        <v>Nominal</v>
      </c>
      <c r="G79" s="125" t="str">
        <f>G59</f>
        <v>Mid Period</v>
      </c>
      <c r="H79" s="125" t="str">
        <f>H59</f>
        <v>Calculated</v>
      </c>
      <c r="I79" s="122">
        <f t="shared" ref="I79:N79" si="21">SUM(I59:I77)</f>
        <v>0</v>
      </c>
      <c r="J79" s="123">
        <f t="shared" si="21"/>
        <v>0</v>
      </c>
      <c r="K79" s="123">
        <f t="shared" si="21"/>
        <v>0</v>
      </c>
      <c r="L79" s="123">
        <f t="shared" si="21"/>
        <v>0</v>
      </c>
      <c r="M79" s="124">
        <f t="shared" si="21"/>
        <v>0</v>
      </c>
      <c r="N79" s="122">
        <f t="shared" si="21"/>
        <v>0</v>
      </c>
      <c r="O79" s="123">
        <f t="shared" ref="O79:AB79" si="22">SUM(O59:O77)</f>
        <v>0</v>
      </c>
      <c r="P79" s="123">
        <f t="shared" si="22"/>
        <v>0</v>
      </c>
      <c r="Q79" s="123">
        <f t="shared" si="22"/>
        <v>0</v>
      </c>
      <c r="R79" s="124">
        <f t="shared" si="22"/>
        <v>0</v>
      </c>
      <c r="S79" s="122">
        <f t="shared" si="22"/>
        <v>67.60321128485748</v>
      </c>
      <c r="T79" s="123">
        <f t="shared" si="22"/>
        <v>47.730792447380743</v>
      </c>
      <c r="U79" s="123">
        <f t="shared" si="22"/>
        <v>70.974833453354293</v>
      </c>
      <c r="V79" s="123">
        <f t="shared" si="22"/>
        <v>101.92715</v>
      </c>
      <c r="W79" s="124">
        <f t="shared" si="22"/>
        <v>126.33201895254028</v>
      </c>
      <c r="X79" s="122">
        <f t="shared" si="22"/>
        <v>0</v>
      </c>
      <c r="Y79" s="123">
        <f t="shared" si="22"/>
        <v>0</v>
      </c>
      <c r="Z79" s="123">
        <f t="shared" si="22"/>
        <v>0</v>
      </c>
      <c r="AA79" s="123">
        <f t="shared" si="22"/>
        <v>0</v>
      </c>
      <c r="AB79" s="124">
        <f t="shared" si="22"/>
        <v>0</v>
      </c>
    </row>
    <row r="81" spans="1:28" x14ac:dyDescent="0.2">
      <c r="A81" s="52">
        <f>IF(SUM(I81:AB81)&lt;&gt;0,1,0)</f>
        <v>0</v>
      </c>
      <c r="D81" s="45" t="s">
        <v>83</v>
      </c>
      <c r="E81" s="51" t="s">
        <v>6</v>
      </c>
      <c r="F81" s="51" t="s">
        <v>6</v>
      </c>
      <c r="G81" s="51" t="s">
        <v>6</v>
      </c>
      <c r="H81" s="51" t="s">
        <v>8</v>
      </c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>
        <f>IF(ROUND(S79-S47,4)=0,0,1)</f>
        <v>0</v>
      </c>
      <c r="T81" s="49">
        <f>IF(ROUND(T79-T47,4)=0,0,1)</f>
        <v>0</v>
      </c>
      <c r="U81" s="282">
        <f>IF(ROUND(U79-U47,4)=0,0,1)</f>
        <v>0</v>
      </c>
      <c r="V81" s="49">
        <v>0</v>
      </c>
      <c r="W81" s="49">
        <v>0</v>
      </c>
    </row>
    <row r="83" spans="1:28" s="40" customFormat="1" ht="15" x14ac:dyDescent="0.2">
      <c r="C83" s="40" t="s">
        <v>606</v>
      </c>
    </row>
    <row r="85" spans="1:28" x14ac:dyDescent="0.2">
      <c r="D85" s="60" t="s">
        <v>56</v>
      </c>
      <c r="E85" s="61" t="str">
        <f>E$4</f>
        <v>Unit</v>
      </c>
      <c r="F85" s="61" t="str">
        <f>F$4</f>
        <v>Basis</v>
      </c>
      <c r="G85" s="61" t="str">
        <f>G$4</f>
        <v>Timing</v>
      </c>
      <c r="H85" s="61" t="s">
        <v>1</v>
      </c>
      <c r="I85" s="60"/>
      <c r="J85" s="60"/>
      <c r="K85" s="60"/>
      <c r="L85" s="60"/>
      <c r="M85" s="60"/>
      <c r="N85" s="62" t="str">
        <f>N$3</f>
        <v>FY15</v>
      </c>
      <c r="O85" s="62" t="str">
        <f t="shared" ref="O85:AB85" si="23">O$3</f>
        <v>FY16</v>
      </c>
      <c r="P85" s="62" t="str">
        <f t="shared" si="23"/>
        <v>FY17</v>
      </c>
      <c r="Q85" s="62" t="str">
        <f t="shared" si="23"/>
        <v>FY18</v>
      </c>
      <c r="R85" s="62" t="str">
        <f t="shared" si="23"/>
        <v>FY19</v>
      </c>
      <c r="S85" s="62" t="str">
        <f t="shared" si="23"/>
        <v>FY20</v>
      </c>
      <c r="T85" s="62" t="str">
        <f t="shared" si="23"/>
        <v>FY21</v>
      </c>
      <c r="U85" s="62" t="str">
        <f t="shared" si="23"/>
        <v>FY22</v>
      </c>
      <c r="V85" s="62" t="str">
        <f t="shared" si="23"/>
        <v>FY23</v>
      </c>
      <c r="W85" s="62" t="str">
        <f t="shared" si="23"/>
        <v>FY24</v>
      </c>
      <c r="X85" s="62" t="str">
        <f t="shared" si="23"/>
        <v>FY25</v>
      </c>
      <c r="Y85" s="62" t="str">
        <f t="shared" si="23"/>
        <v>FY26</v>
      </c>
      <c r="Z85" s="62" t="str">
        <f t="shared" si="23"/>
        <v>FY27</v>
      </c>
      <c r="AA85" s="62" t="str">
        <f t="shared" si="23"/>
        <v>FY28</v>
      </c>
      <c r="AB85" s="62" t="str">
        <f t="shared" si="23"/>
        <v>FY29</v>
      </c>
    </row>
    <row r="86" spans="1:28" x14ac:dyDescent="0.2">
      <c r="N86" s="39" t="s">
        <v>105</v>
      </c>
      <c r="O86" s="39" t="s">
        <v>105</v>
      </c>
      <c r="P86" s="39" t="s">
        <v>105</v>
      </c>
      <c r="Q86" s="39" t="s">
        <v>105</v>
      </c>
      <c r="R86" s="39" t="s">
        <v>105</v>
      </c>
      <c r="S86" s="39" t="s">
        <v>105</v>
      </c>
      <c r="T86" s="39" t="s">
        <v>105</v>
      </c>
      <c r="U86" s="39" t="s">
        <v>105</v>
      </c>
      <c r="V86" s="39" t="s">
        <v>105</v>
      </c>
      <c r="W86" s="31" t="s">
        <v>307</v>
      </c>
    </row>
    <row r="87" spans="1:28" x14ac:dyDescent="0.2">
      <c r="D87" s="37" t="s">
        <v>607</v>
      </c>
      <c r="E87" s="39" t="str">
        <f>Unit_Dollar_M</f>
        <v>$Million</v>
      </c>
      <c r="F87" s="31" t="s">
        <v>9</v>
      </c>
      <c r="G87" s="39" t="str">
        <f>Mid_Period</f>
        <v>Mid Period</v>
      </c>
      <c r="H87" s="31" t="s">
        <v>106</v>
      </c>
      <c r="N87" s="46">
        <v>0.41995391153095207</v>
      </c>
      <c r="O87" s="46">
        <v>0.89492849489630399</v>
      </c>
      <c r="P87" s="46">
        <v>2.7367044091650485</v>
      </c>
      <c r="Q87" s="46">
        <v>2.94977636</v>
      </c>
      <c r="R87" s="46">
        <v>1.6065674299999999</v>
      </c>
      <c r="S87" s="46">
        <v>5.60676664</v>
      </c>
      <c r="T87" s="46">
        <v>1.59687</v>
      </c>
      <c r="U87" s="46">
        <f>U38</f>
        <v>3.7476609999999999</v>
      </c>
      <c r="V87" s="46">
        <f>V38</f>
        <v>17.088259999999998</v>
      </c>
      <c r="W87" s="46">
        <f>W38</f>
        <v>19.205805196847212</v>
      </c>
      <c r="X87" s="47"/>
      <c r="Y87" s="47"/>
      <c r="Z87" s="47"/>
      <c r="AA87" s="47"/>
      <c r="AB87" s="47"/>
    </row>
    <row r="88" spans="1:28" x14ac:dyDescent="0.2">
      <c r="D88" s="37" t="s">
        <v>608</v>
      </c>
      <c r="E88" s="39" t="str">
        <f t="shared" ref="E88:H91" si="24">E87</f>
        <v>$Million</v>
      </c>
      <c r="F88" s="39" t="str">
        <f t="shared" si="24"/>
        <v>Nominal</v>
      </c>
      <c r="G88" s="39" t="str">
        <f t="shared" si="24"/>
        <v>Mid Period</v>
      </c>
      <c r="H88" s="39" t="str">
        <f t="shared" si="24"/>
        <v>CA RIN 2.6.1</v>
      </c>
      <c r="N88" s="46">
        <v>7.1679875805144011E-2</v>
      </c>
      <c r="O88" s="46">
        <v>9.3535423424639993E-3</v>
      </c>
      <c r="P88" s="46">
        <v>0</v>
      </c>
      <c r="Q88" s="46">
        <v>9.0493899999999992E-3</v>
      </c>
      <c r="R88" s="46">
        <v>2.6234739999999999E-2</v>
      </c>
      <c r="S88" s="46">
        <v>11.888838199999999</v>
      </c>
      <c r="T88" s="46">
        <v>2.8498760000000001</v>
      </c>
      <c r="U88" s="46">
        <v>2.2200449999999998</v>
      </c>
      <c r="V88" s="46">
        <v>1.9839039999999999</v>
      </c>
      <c r="W88" s="46">
        <f>W$39*SUM($U88)/SUM($U$88:$U$91)</f>
        <v>1.4367465985776977</v>
      </c>
      <c r="X88" s="47"/>
      <c r="Y88" s="47"/>
      <c r="Z88" s="47"/>
      <c r="AA88" s="47"/>
      <c r="AB88" s="47"/>
    </row>
    <row r="89" spans="1:28" x14ac:dyDescent="0.2">
      <c r="D89" s="37" t="s">
        <v>609</v>
      </c>
      <c r="E89" s="39" t="str">
        <f t="shared" si="24"/>
        <v>$Million</v>
      </c>
      <c r="F89" s="39" t="str">
        <f t="shared" si="24"/>
        <v>Nominal</v>
      </c>
      <c r="G89" s="39" t="str">
        <f t="shared" si="24"/>
        <v>Mid Period</v>
      </c>
      <c r="H89" s="39" t="str">
        <f t="shared" si="24"/>
        <v>CA RIN 2.6.1</v>
      </c>
      <c r="N89" s="46">
        <v>7.4718197465824032E-2</v>
      </c>
      <c r="O89" s="46">
        <v>0.11575087087827204</v>
      </c>
      <c r="P89" s="46">
        <v>0.22568005929585613</v>
      </c>
      <c r="Q89" s="46">
        <v>0.47836970000000001</v>
      </c>
      <c r="R89" s="46">
        <v>0.24259332</v>
      </c>
      <c r="S89" s="46">
        <v>3.4993041300000001</v>
      </c>
      <c r="T89" s="46">
        <v>2.0800969999999999</v>
      </c>
      <c r="U89" s="46">
        <v>9.4563880000000005</v>
      </c>
      <c r="V89" s="46">
        <v>2.8576609999999998</v>
      </c>
      <c r="W89" s="46">
        <f>W$39*SUM($U89)/SUM($U$88:$U$91)</f>
        <v>6.1198909453776658</v>
      </c>
      <c r="X89" s="47"/>
      <c r="Y89" s="47"/>
      <c r="Z89" s="47"/>
      <c r="AA89" s="47"/>
      <c r="AB89" s="47"/>
    </row>
    <row r="90" spans="1:28" x14ac:dyDescent="0.2">
      <c r="D90" s="37" t="s">
        <v>271</v>
      </c>
      <c r="E90" s="39" t="str">
        <f t="shared" si="24"/>
        <v>$Million</v>
      </c>
      <c r="F90" s="39" t="str">
        <f t="shared" si="24"/>
        <v>Nominal</v>
      </c>
      <c r="G90" s="39" t="str">
        <f t="shared" si="24"/>
        <v>Mid Period</v>
      </c>
      <c r="H90" s="39" t="str">
        <f t="shared" si="24"/>
        <v>CA RIN 2.6.1</v>
      </c>
      <c r="N90" s="46">
        <v>0</v>
      </c>
      <c r="O90" s="46">
        <v>0</v>
      </c>
      <c r="P90" s="46">
        <v>0</v>
      </c>
      <c r="Q90" s="46">
        <v>0.39964759999999999</v>
      </c>
      <c r="R90" s="46">
        <v>0.24693598999999999</v>
      </c>
      <c r="S90" s="46">
        <v>0.16553467000000002</v>
      </c>
      <c r="T90" s="46">
        <v>1.0432859999999999</v>
      </c>
      <c r="U90" s="46">
        <v>0.52509700000000004</v>
      </c>
      <c r="V90" s="46">
        <v>0</v>
      </c>
      <c r="W90" s="46">
        <f>W$39*SUM($U90)/SUM($U$88:$U$91)</f>
        <v>0.33982704344882803</v>
      </c>
      <c r="X90" s="47"/>
      <c r="Y90" s="47"/>
      <c r="Z90" s="47"/>
      <c r="AA90" s="47"/>
      <c r="AB90" s="47"/>
    </row>
    <row r="91" spans="1:28" x14ac:dyDescent="0.2">
      <c r="D91" s="37" t="s">
        <v>610</v>
      </c>
      <c r="E91" s="39" t="str">
        <f t="shared" si="24"/>
        <v>$Million</v>
      </c>
      <c r="F91" s="39" t="str">
        <f t="shared" si="24"/>
        <v>Nominal</v>
      </c>
      <c r="G91" s="39" t="str">
        <f t="shared" si="24"/>
        <v>Mid Period</v>
      </c>
      <c r="H91" s="39" t="str">
        <f t="shared" si="24"/>
        <v>CA RIN 2.6.1</v>
      </c>
      <c r="N91" s="46">
        <v>0.59859719152463997</v>
      </c>
      <c r="O91" s="46">
        <v>0.31169758672356007</v>
      </c>
      <c r="P91" s="46">
        <v>0.45302428245429593</v>
      </c>
      <c r="Q91" s="46">
        <v>0.62813120999999994</v>
      </c>
      <c r="R91" s="46">
        <v>0.79332190000000002</v>
      </c>
      <c r="S91" s="46">
        <v>1.18507231</v>
      </c>
      <c r="T91" s="46">
        <v>0.97020700000000004</v>
      </c>
      <c r="U91" s="46">
        <v>0.68439700000000003</v>
      </c>
      <c r="V91" s="46">
        <v>1.8245009999999999</v>
      </c>
      <c r="W91" s="46">
        <f>W$39*SUM($U91)/SUM($U$88:$U$91)</f>
        <v>0.44292122989704297</v>
      </c>
      <c r="X91" s="47"/>
      <c r="Y91" s="47"/>
      <c r="Z91" s="47"/>
      <c r="AA91" s="47"/>
      <c r="AB91" s="47"/>
    </row>
    <row r="93" spans="1:28" x14ac:dyDescent="0.2">
      <c r="D93" s="104" t="s">
        <v>72</v>
      </c>
      <c r="E93" s="125" t="str">
        <f>E87</f>
        <v>$Million</v>
      </c>
      <c r="F93" s="125" t="str">
        <f>F87</f>
        <v>Nominal</v>
      </c>
      <c r="G93" s="125" t="str">
        <f>G87</f>
        <v>Mid Period</v>
      </c>
      <c r="H93" s="125" t="s">
        <v>8</v>
      </c>
      <c r="I93" s="69"/>
      <c r="J93" s="69"/>
      <c r="K93" s="69"/>
      <c r="L93" s="69"/>
      <c r="M93" s="69"/>
      <c r="N93" s="122">
        <f>SUM(N87:N91)</f>
        <v>1.16494917632656</v>
      </c>
      <c r="O93" s="123">
        <f t="shared" ref="O93:W93" si="25">SUM(O87:O91)</f>
        <v>1.3317304948406001</v>
      </c>
      <c r="P93" s="123">
        <f t="shared" si="25"/>
        <v>3.4154087509152009</v>
      </c>
      <c r="Q93" s="123">
        <f t="shared" si="25"/>
        <v>4.46497426</v>
      </c>
      <c r="R93" s="124">
        <f t="shared" si="25"/>
        <v>2.9156533799999997</v>
      </c>
      <c r="S93" s="122">
        <f t="shared" si="25"/>
        <v>22.345515949999996</v>
      </c>
      <c r="T93" s="123">
        <f t="shared" si="25"/>
        <v>8.5403359999999999</v>
      </c>
      <c r="U93" s="123">
        <f t="shared" si="25"/>
        <v>16.633588</v>
      </c>
      <c r="V93" s="123">
        <f t="shared" si="25"/>
        <v>23.754325999999999</v>
      </c>
      <c r="W93" s="124">
        <f t="shared" si="25"/>
        <v>27.545191014148447</v>
      </c>
      <c r="X93" s="122">
        <f>SUM(X85:X91)</f>
        <v>0</v>
      </c>
      <c r="Y93" s="123">
        <f>SUM(Y85:Y91)</f>
        <v>0</v>
      </c>
      <c r="Z93" s="123">
        <f>SUM(Z85:Z91)</f>
        <v>0</v>
      </c>
      <c r="AA93" s="123">
        <f>SUM(AA85:AA91)</f>
        <v>0</v>
      </c>
      <c r="AB93" s="124">
        <f>SUM(AB85:AB91)</f>
        <v>0</v>
      </c>
    </row>
    <row r="94" spans="1:28" x14ac:dyDescent="0.2">
      <c r="Z94" s="75"/>
      <c r="AA94" s="75"/>
    </row>
    <row r="95" spans="1:28" x14ac:dyDescent="0.2">
      <c r="A95" s="52">
        <f>IF(SUM(I95:AB95)&lt;&gt;0,1,0)</f>
        <v>0</v>
      </c>
      <c r="D95" s="37" t="str">
        <f>Input_General!$E$18</f>
        <v>Non-network - IT</v>
      </c>
      <c r="E95" s="51" t="s">
        <v>6</v>
      </c>
      <c r="F95" s="51" t="s">
        <v>6</v>
      </c>
      <c r="G95" s="51" t="s">
        <v>6</v>
      </c>
      <c r="H95" s="51" t="s">
        <v>8</v>
      </c>
      <c r="N95" s="49">
        <f>IF(ROUND(N87-N38,4)=0,0,1)</f>
        <v>0</v>
      </c>
      <c r="O95" s="49">
        <f t="shared" ref="O95:W95" si="26">IF(ROUND(O87-O38,4)=0,0,1)</f>
        <v>0</v>
      </c>
      <c r="P95" s="49">
        <f t="shared" si="26"/>
        <v>0</v>
      </c>
      <c r="Q95" s="49">
        <f t="shared" si="26"/>
        <v>0</v>
      </c>
      <c r="R95" s="49">
        <f t="shared" si="26"/>
        <v>0</v>
      </c>
      <c r="S95" s="49">
        <f t="shared" si="26"/>
        <v>0</v>
      </c>
      <c r="T95" s="49">
        <f t="shared" si="26"/>
        <v>0</v>
      </c>
      <c r="U95" s="49">
        <f t="shared" si="26"/>
        <v>0</v>
      </c>
      <c r="V95" s="49">
        <f t="shared" si="26"/>
        <v>0</v>
      </c>
      <c r="W95" s="49">
        <f t="shared" si="26"/>
        <v>0</v>
      </c>
      <c r="X95" s="49"/>
      <c r="Y95" s="49"/>
      <c r="Z95" s="49"/>
      <c r="AA95" s="49"/>
      <c r="AB95" s="49"/>
    </row>
    <row r="96" spans="1:28" x14ac:dyDescent="0.2">
      <c r="A96" s="52">
        <f>IF(SUM(I96:AB96)&lt;&gt;0,1,0)</f>
        <v>0</v>
      </c>
      <c r="D96" s="37" t="str">
        <f>Input_General!$E$19</f>
        <v>Non-network - Other</v>
      </c>
      <c r="E96" s="51" t="s">
        <v>6</v>
      </c>
      <c r="F96" s="51" t="s">
        <v>6</v>
      </c>
      <c r="G96" s="51" t="s">
        <v>6</v>
      </c>
      <c r="H96" s="51" t="s">
        <v>8</v>
      </c>
      <c r="N96" s="49">
        <f t="shared" ref="N96:S96" si="27">IF(ROUND(SUM(N88:N91)-N98-N39,4)=0,0,1)</f>
        <v>0</v>
      </c>
      <c r="O96" s="49">
        <f>IF(ROUND(SUM(O88:O91)-O98-O39,4)=0,0,1)</f>
        <v>0</v>
      </c>
      <c r="P96" s="49">
        <f t="shared" si="27"/>
        <v>0</v>
      </c>
      <c r="Q96" s="49">
        <f t="shared" si="27"/>
        <v>0</v>
      </c>
      <c r="R96" s="49">
        <f t="shared" si="27"/>
        <v>0</v>
      </c>
      <c r="S96" s="49">
        <f t="shared" si="27"/>
        <v>0</v>
      </c>
      <c r="T96" s="49">
        <f>IF(ROUND(SUM(T88:T91)-T98-T39,4)=0,0,1)</f>
        <v>0</v>
      </c>
      <c r="U96" s="49">
        <f>IF(ROUND(SUM(U88:U91)-U98-U39,4)=0,0,1)</f>
        <v>0</v>
      </c>
      <c r="V96" s="49">
        <f>IF(ROUND(SUM(V88:V91)-V98-V39,4)=0,0,1)</f>
        <v>0</v>
      </c>
      <c r="W96" s="49">
        <f>IF(ROUND(SUM(W88:W91)-W98-W39,4)=0,0,1)</f>
        <v>0</v>
      </c>
      <c r="X96" s="49"/>
      <c r="Y96" s="49"/>
      <c r="Z96" s="49"/>
      <c r="AA96" s="49"/>
      <c r="AB96" s="49"/>
    </row>
    <row r="97" spans="3:28" x14ac:dyDescent="0.2">
      <c r="U97" s="73"/>
    </row>
    <row r="98" spans="3:28" x14ac:dyDescent="0.2">
      <c r="D98" s="37" t="s">
        <v>309</v>
      </c>
      <c r="E98" s="39" t="str">
        <f>Unit_Dollar_M</f>
        <v>$Million</v>
      </c>
      <c r="F98" s="31" t="s">
        <v>9</v>
      </c>
      <c r="G98" s="39" t="str">
        <f>Mid_Period</f>
        <v>Mid Period</v>
      </c>
      <c r="H98" s="31" t="s">
        <v>106</v>
      </c>
      <c r="N98" s="46">
        <v>6.4460837185024031E-2</v>
      </c>
      <c r="O98" s="46">
        <v>7.368944873024004E-2</v>
      </c>
      <c r="P98" s="46">
        <v>0.18898687761408012</v>
      </c>
      <c r="Q98" s="46">
        <v>0.36611832</v>
      </c>
      <c r="R98" s="46">
        <v>0.34587365000000003</v>
      </c>
      <c r="S98" s="46">
        <v>1.0897709799999999</v>
      </c>
      <c r="T98" s="46">
        <v>0.57294299999999998</v>
      </c>
      <c r="U98" s="46">
        <v>1.2904279999999999</v>
      </c>
      <c r="V98" s="46">
        <v>2.1603530000000002</v>
      </c>
      <c r="W98" s="47"/>
    </row>
    <row r="99" spans="3:28" x14ac:dyDescent="0.2">
      <c r="U99" s="73"/>
    </row>
    <row r="100" spans="3:28" x14ac:dyDescent="0.2">
      <c r="D100" s="45" t="s">
        <v>1598</v>
      </c>
    </row>
    <row r="102" spans="3:28" s="121" customFormat="1" ht="15.75" x14ac:dyDescent="0.2">
      <c r="C102" s="121" t="s">
        <v>61</v>
      </c>
    </row>
    <row r="104" spans="3:28" s="40" customFormat="1" ht="15" x14ac:dyDescent="0.2">
      <c r="D104" s="40" t="str">
        <f>D10</f>
        <v>RIN Level 1 View - 2.1.1 - Standard Control Services - Capex</v>
      </c>
    </row>
    <row r="106" spans="3:28" x14ac:dyDescent="0.2">
      <c r="D106" s="60" t="s">
        <v>56</v>
      </c>
      <c r="E106" s="61" t="str">
        <f>E$4</f>
        <v>Unit</v>
      </c>
      <c r="F106" s="61" t="str">
        <f>F$4</f>
        <v>Basis</v>
      </c>
      <c r="G106" s="61" t="str">
        <f>G$4</f>
        <v>Timing</v>
      </c>
      <c r="H106" s="61" t="s">
        <v>1</v>
      </c>
      <c r="I106" s="60"/>
      <c r="J106" s="60"/>
      <c r="K106" s="60"/>
      <c r="L106" s="60"/>
      <c r="M106" s="60"/>
      <c r="N106" s="62" t="str">
        <f>N$3</f>
        <v>FY15</v>
      </c>
      <c r="O106" s="62" t="str">
        <f t="shared" ref="O106:AB106" si="28">O$3</f>
        <v>FY16</v>
      </c>
      <c r="P106" s="62" t="str">
        <f t="shared" si="28"/>
        <v>FY17</v>
      </c>
      <c r="Q106" s="62" t="str">
        <f t="shared" si="28"/>
        <v>FY18</v>
      </c>
      <c r="R106" s="62" t="str">
        <f t="shared" si="28"/>
        <v>FY19</v>
      </c>
      <c r="S106" s="62" t="str">
        <f t="shared" si="28"/>
        <v>FY20</v>
      </c>
      <c r="T106" s="62" t="str">
        <f t="shared" si="28"/>
        <v>FY21</v>
      </c>
      <c r="U106" s="62" t="str">
        <f t="shared" si="28"/>
        <v>FY22</v>
      </c>
      <c r="V106" s="62" t="str">
        <f t="shared" si="28"/>
        <v>FY23</v>
      </c>
      <c r="W106" s="62" t="str">
        <f t="shared" si="28"/>
        <v>FY24</v>
      </c>
      <c r="X106" s="62" t="str">
        <f t="shared" si="28"/>
        <v>FY25</v>
      </c>
      <c r="Y106" s="62" t="str">
        <f t="shared" si="28"/>
        <v>FY26</v>
      </c>
      <c r="Z106" s="62" t="str">
        <f t="shared" si="28"/>
        <v>FY27</v>
      </c>
      <c r="AA106" s="62" t="str">
        <f t="shared" si="28"/>
        <v>FY28</v>
      </c>
      <c r="AB106" s="62" t="str">
        <f t="shared" si="28"/>
        <v>FY29</v>
      </c>
    </row>
    <row r="107" spans="3:28" x14ac:dyDescent="0.2">
      <c r="N107" s="31" t="s">
        <v>104</v>
      </c>
      <c r="O107" s="39" t="str">
        <f>N107</f>
        <v>Real 2015</v>
      </c>
      <c r="P107" s="39" t="str">
        <f>O107</f>
        <v>Real 2015</v>
      </c>
      <c r="Q107" s="39" t="str">
        <f>P107</f>
        <v>Real 2015</v>
      </c>
      <c r="R107" s="39" t="str">
        <f>Q107</f>
        <v>Real 2015</v>
      </c>
      <c r="S107" s="31" t="s">
        <v>102</v>
      </c>
      <c r="T107" s="39" t="str">
        <f>S107</f>
        <v>Real 2019</v>
      </c>
      <c r="U107" s="39" t="str">
        <f>T107</f>
        <v>Real 2019</v>
      </c>
      <c r="V107" s="39" t="str">
        <f>U107</f>
        <v>Real 2019</v>
      </c>
      <c r="W107" s="39" t="str">
        <f>V107</f>
        <v>Real 2019</v>
      </c>
      <c r="X107" s="31" t="s">
        <v>101</v>
      </c>
      <c r="Y107" s="39" t="str">
        <f>X107</f>
        <v>Real 2024</v>
      </c>
      <c r="Z107" s="39" t="str">
        <f>Y107</f>
        <v>Real 2024</v>
      </c>
      <c r="AA107" s="39" t="str">
        <f>Z107</f>
        <v>Real 2024</v>
      </c>
      <c r="AB107" s="39" t="str">
        <f>AA107</f>
        <v>Real 2024</v>
      </c>
    </row>
    <row r="108" spans="3:28" x14ac:dyDescent="0.2">
      <c r="D108" s="37" t="str">
        <f>Input_General!$E$15</f>
        <v>Replacement expenditure</v>
      </c>
      <c r="E108" s="39" t="str">
        <f t="shared" ref="E108:E118" si="29">Unit_Dollar_M</f>
        <v>$Million</v>
      </c>
      <c r="F108" s="31" t="s">
        <v>62</v>
      </c>
      <c r="G108" s="39" t="str">
        <f t="shared" ref="G108:G118" si="30">End_Period</f>
        <v>End Period</v>
      </c>
      <c r="H108" s="31" t="s">
        <v>8</v>
      </c>
      <c r="N108" s="56">
        <f t="shared" ref="N108:R112" si="31">N35/N$45*N$120</f>
        <v>46.387653127241286</v>
      </c>
      <c r="O108" s="56">
        <f t="shared" si="31"/>
        <v>36.150377960106042</v>
      </c>
      <c r="P108" s="56">
        <f t="shared" si="31"/>
        <v>25.689382888416706</v>
      </c>
      <c r="Q108" s="56">
        <f t="shared" si="31"/>
        <v>22.119338760054642</v>
      </c>
      <c r="R108" s="56">
        <f t="shared" si="31"/>
        <v>26.547352829660554</v>
      </c>
      <c r="S108" s="46">
        <v>33.894044219421545</v>
      </c>
      <c r="T108" s="46">
        <v>37.098036450496799</v>
      </c>
      <c r="U108" s="46">
        <v>31.42723974682966</v>
      </c>
      <c r="V108" s="46">
        <v>20.48922057484528</v>
      </c>
      <c r="W108" s="46">
        <v>18.13816897090739</v>
      </c>
      <c r="X108" s="47"/>
      <c r="Y108" s="47"/>
      <c r="Z108" s="47"/>
      <c r="AA108" s="47"/>
      <c r="AB108" s="47"/>
    </row>
    <row r="109" spans="3:28" x14ac:dyDescent="0.2">
      <c r="D109" s="37" t="str">
        <f>Input_General!$E$16</f>
        <v>Connections</v>
      </c>
      <c r="E109" s="39" t="str">
        <f t="shared" si="29"/>
        <v>$Million</v>
      </c>
      <c r="F109" s="39" t="str">
        <f>F$108</f>
        <v>Various</v>
      </c>
      <c r="G109" s="39" t="str">
        <f t="shared" si="30"/>
        <v>End Period</v>
      </c>
      <c r="H109" s="39" t="str">
        <f>H108</f>
        <v>Calculated</v>
      </c>
      <c r="N109" s="56">
        <f t="shared" si="31"/>
        <v>17.399234334534263</v>
      </c>
      <c r="O109" s="56">
        <f t="shared" si="31"/>
        <v>11.736562041237974</v>
      </c>
      <c r="P109" s="56">
        <f t="shared" si="31"/>
        <v>10.628803464838873</v>
      </c>
      <c r="Q109" s="56">
        <f t="shared" si="31"/>
        <v>12.087748597834414</v>
      </c>
      <c r="R109" s="56">
        <f t="shared" si="31"/>
        <v>9.3167850293836452</v>
      </c>
      <c r="S109" s="46">
        <v>10.70352576895106</v>
      </c>
      <c r="T109" s="46">
        <v>11.036655812631722</v>
      </c>
      <c r="U109" s="46">
        <v>11.94474258669476</v>
      </c>
      <c r="V109" s="46">
        <v>10.880894824451632</v>
      </c>
      <c r="W109" s="46">
        <v>10.966102623026453</v>
      </c>
      <c r="X109" s="47"/>
      <c r="Y109" s="47"/>
      <c r="Z109" s="47"/>
      <c r="AA109" s="47"/>
      <c r="AB109" s="47"/>
    </row>
    <row r="110" spans="3:28" x14ac:dyDescent="0.2">
      <c r="D110" s="37" t="str">
        <f>Input_General!$E$17</f>
        <v>Augmentation expenditure</v>
      </c>
      <c r="E110" s="39" t="str">
        <f t="shared" si="29"/>
        <v>$Million</v>
      </c>
      <c r="F110" s="39" t="str">
        <f t="shared" ref="F110:F118" si="32">F$108</f>
        <v>Various</v>
      </c>
      <c r="G110" s="39" t="str">
        <f t="shared" si="30"/>
        <v>End Period</v>
      </c>
      <c r="H110" s="39" t="str">
        <f t="shared" ref="H110:H116" si="33">H109</f>
        <v>Calculated</v>
      </c>
      <c r="N110" s="56">
        <f t="shared" si="31"/>
        <v>24.708392118673416</v>
      </c>
      <c r="O110" s="56">
        <f t="shared" si="31"/>
        <v>14.95166781153929</v>
      </c>
      <c r="P110" s="56">
        <f t="shared" si="31"/>
        <v>11.669263408596599</v>
      </c>
      <c r="Q110" s="56">
        <f t="shared" si="31"/>
        <v>20.888277221792237</v>
      </c>
      <c r="R110" s="56">
        <f t="shared" si="31"/>
        <v>13.738471111518569</v>
      </c>
      <c r="S110" s="46">
        <v>11.411938598076912</v>
      </c>
      <c r="T110" s="46">
        <v>5.442303049939853</v>
      </c>
      <c r="U110" s="46">
        <v>5.7280242828709049</v>
      </c>
      <c r="V110" s="46">
        <v>6.7070316069298661</v>
      </c>
      <c r="W110" s="46">
        <v>6.5508269108931581</v>
      </c>
      <c r="X110" s="47"/>
      <c r="Y110" s="47"/>
      <c r="Z110" s="47"/>
      <c r="AA110" s="47"/>
      <c r="AB110" s="47"/>
    </row>
    <row r="111" spans="3:28" x14ac:dyDescent="0.2">
      <c r="D111" s="37" t="str">
        <f>Input_General!$E$18</f>
        <v>Non-network - IT</v>
      </c>
      <c r="E111" s="39" t="str">
        <f t="shared" si="29"/>
        <v>$Million</v>
      </c>
      <c r="F111" s="39" t="str">
        <f t="shared" si="32"/>
        <v>Various</v>
      </c>
      <c r="G111" s="39" t="str">
        <f t="shared" si="30"/>
        <v>End Period</v>
      </c>
      <c r="H111" s="39" t="str">
        <f t="shared" si="33"/>
        <v>Calculated</v>
      </c>
      <c r="N111" s="56">
        <f t="shared" si="31"/>
        <v>0.43840468243676101</v>
      </c>
      <c r="O111" s="56">
        <f t="shared" si="31"/>
        <v>0.7618742602282802</v>
      </c>
      <c r="P111" s="56">
        <f t="shared" si="31"/>
        <v>2.4882468551998627</v>
      </c>
      <c r="Q111" s="56">
        <f t="shared" si="31"/>
        <v>3.4957222018402776</v>
      </c>
      <c r="R111" s="56">
        <f t="shared" si="31"/>
        <v>2.6170740533520895</v>
      </c>
      <c r="S111" s="46">
        <v>6.6129068962029676</v>
      </c>
      <c r="T111" s="46">
        <v>6.4499981898347052</v>
      </c>
      <c r="U111" s="46">
        <v>6.1840002532407237</v>
      </c>
      <c r="V111" s="46">
        <v>6.6141751339849062</v>
      </c>
      <c r="W111" s="46">
        <v>6.237164186604919</v>
      </c>
      <c r="X111" s="47"/>
      <c r="Y111" s="47"/>
      <c r="Z111" s="47"/>
      <c r="AA111" s="47"/>
      <c r="AB111" s="47"/>
    </row>
    <row r="112" spans="3:28" x14ac:dyDescent="0.2">
      <c r="D112" s="37" t="str">
        <f>Input_General!$E$19</f>
        <v>Non-network - Other</v>
      </c>
      <c r="E112" s="39" t="str">
        <f t="shared" si="29"/>
        <v>$Million</v>
      </c>
      <c r="F112" s="39" t="str">
        <f t="shared" si="32"/>
        <v>Various</v>
      </c>
      <c r="G112" s="39" t="str">
        <f t="shared" si="30"/>
        <v>End Period</v>
      </c>
      <c r="H112" s="39" t="str">
        <f t="shared" si="33"/>
        <v>Calculated</v>
      </c>
      <c r="N112" s="56">
        <f t="shared" si="31"/>
        <v>0.71043386293572319</v>
      </c>
      <c r="O112" s="56">
        <f t="shared" si="31"/>
        <v>0.30912649213149457</v>
      </c>
      <c r="P112" s="56">
        <f t="shared" si="31"/>
        <v>0.44525741837234195</v>
      </c>
      <c r="Q112" s="56">
        <f t="shared" si="31"/>
        <v>1.3617517801351666</v>
      </c>
      <c r="R112" s="56">
        <f t="shared" si="31"/>
        <v>1.5690585994354436</v>
      </c>
      <c r="S112" s="46">
        <v>20.803709403590116</v>
      </c>
      <c r="T112" s="46">
        <v>5.1713862245569064</v>
      </c>
      <c r="U112" s="46">
        <v>19.94080016620202</v>
      </c>
      <c r="V112" s="46">
        <v>5.1812592563810709</v>
      </c>
      <c r="W112" s="46">
        <v>5.0516509766815796</v>
      </c>
      <c r="X112" s="47"/>
      <c r="Y112" s="47"/>
      <c r="Z112" s="47"/>
      <c r="AA112" s="47"/>
      <c r="AB112" s="47"/>
    </row>
    <row r="113" spans="1:28" x14ac:dyDescent="0.2">
      <c r="D113" s="37" t="str">
        <f>Input_General!$E$20</f>
        <v>Export services</v>
      </c>
      <c r="E113" s="39"/>
      <c r="F113" s="39"/>
      <c r="G113" s="39"/>
      <c r="H113" s="39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</row>
    <row r="114" spans="1:28" x14ac:dyDescent="0.2">
      <c r="D114" s="37" t="str">
        <f>Input_General!$E$21</f>
        <v>Capitalised network overheads</v>
      </c>
      <c r="E114" s="39" t="str">
        <f t="shared" si="29"/>
        <v>$Million</v>
      </c>
      <c r="F114" s="39" t="str">
        <f t="shared" si="32"/>
        <v>Various</v>
      </c>
      <c r="G114" s="39" t="str">
        <f t="shared" si="30"/>
        <v>End Period</v>
      </c>
      <c r="H114" s="39" t="str">
        <f>H112</f>
        <v>Calculated</v>
      </c>
      <c r="N114" s="56">
        <f t="shared" ref="N114:R116" si="34">N41/N$45*N$120</f>
        <v>0.20029919175057651</v>
      </c>
      <c r="O114" s="56">
        <f t="shared" si="34"/>
        <v>0.11478407432874878</v>
      </c>
      <c r="P114" s="56">
        <f t="shared" si="34"/>
        <v>9.6929793144910584E-2</v>
      </c>
      <c r="Q114" s="56">
        <f t="shared" si="34"/>
        <v>0.30177290360422204</v>
      </c>
      <c r="R114" s="56">
        <f t="shared" si="34"/>
        <v>12.467266142223675</v>
      </c>
      <c r="S114" s="46">
        <v>9.5446676460162383</v>
      </c>
      <c r="T114" s="46">
        <v>9.6309140755641831</v>
      </c>
      <c r="U114" s="46">
        <v>9.7605169758798294</v>
      </c>
      <c r="V114" s="46">
        <v>9.8755050109940932</v>
      </c>
      <c r="W114" s="46">
        <v>9.9907845577214456</v>
      </c>
      <c r="X114" s="47"/>
      <c r="Y114" s="47"/>
      <c r="Z114" s="47"/>
      <c r="AA114" s="47"/>
      <c r="AB114" s="47"/>
    </row>
    <row r="115" spans="1:28" x14ac:dyDescent="0.2">
      <c r="D115" s="37" t="str">
        <f>Input_General!$E$22</f>
        <v>Capitalised corporate overheads</v>
      </c>
      <c r="E115" s="39" t="str">
        <f t="shared" si="29"/>
        <v>$Million</v>
      </c>
      <c r="F115" s="39" t="str">
        <f t="shared" si="32"/>
        <v>Various</v>
      </c>
      <c r="G115" s="39" t="str">
        <f t="shared" si="30"/>
        <v>End Period</v>
      </c>
      <c r="H115" s="39" t="str">
        <f t="shared" si="33"/>
        <v>Calculated</v>
      </c>
      <c r="N115" s="56">
        <f t="shared" si="34"/>
        <v>0</v>
      </c>
      <c r="O115" s="56">
        <f t="shared" si="34"/>
        <v>0</v>
      </c>
      <c r="P115" s="56">
        <f t="shared" si="34"/>
        <v>0</v>
      </c>
      <c r="Q115" s="56">
        <f t="shared" si="34"/>
        <v>0</v>
      </c>
      <c r="R115" s="56">
        <f t="shared" si="34"/>
        <v>4.7395971260109349</v>
      </c>
      <c r="S115" s="46">
        <v>3.1904219654792403</v>
      </c>
      <c r="T115" s="46">
        <v>3.2192508900137433</v>
      </c>
      <c r="U115" s="46">
        <v>3.2625722454859201</v>
      </c>
      <c r="V115" s="46">
        <v>3.3010084034121689</v>
      </c>
      <c r="W115" s="46">
        <v>3.339542002662526</v>
      </c>
      <c r="X115" s="47"/>
      <c r="Y115" s="47"/>
      <c r="Z115" s="47"/>
      <c r="AA115" s="47"/>
      <c r="AB115" s="47"/>
    </row>
    <row r="116" spans="1:28" x14ac:dyDescent="0.2">
      <c r="D116" s="37" t="str">
        <f>Input_General!$E$23</f>
        <v>Other/Balancing item</v>
      </c>
      <c r="E116" s="39" t="str">
        <f t="shared" si="29"/>
        <v>$Million</v>
      </c>
      <c r="F116" s="39" t="str">
        <f t="shared" si="32"/>
        <v>Various</v>
      </c>
      <c r="G116" s="39" t="str">
        <f t="shared" si="30"/>
        <v>End Period</v>
      </c>
      <c r="H116" s="39" t="str">
        <f t="shared" si="33"/>
        <v>Calculated</v>
      </c>
      <c r="N116" s="56">
        <f t="shared" si="34"/>
        <v>0</v>
      </c>
      <c r="O116" s="56">
        <f t="shared" si="34"/>
        <v>0</v>
      </c>
      <c r="P116" s="56">
        <f t="shared" si="34"/>
        <v>0</v>
      </c>
      <c r="Q116" s="56">
        <f t="shared" si="34"/>
        <v>0</v>
      </c>
      <c r="R116" s="56">
        <f t="shared" si="34"/>
        <v>0.65573396849904297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7"/>
      <c r="Y116" s="47"/>
      <c r="Z116" s="47"/>
      <c r="AA116" s="47"/>
      <c r="AB116" s="47"/>
    </row>
    <row r="118" spans="1:28" x14ac:dyDescent="0.2">
      <c r="D118" s="104" t="s">
        <v>72</v>
      </c>
      <c r="E118" s="125" t="str">
        <f t="shared" si="29"/>
        <v>$Million</v>
      </c>
      <c r="F118" s="125" t="str">
        <f t="shared" si="32"/>
        <v>Various</v>
      </c>
      <c r="G118" s="125" t="str">
        <f t="shared" si="30"/>
        <v>End Period</v>
      </c>
      <c r="H118" s="125" t="s">
        <v>8</v>
      </c>
      <c r="I118" s="69"/>
      <c r="J118" s="69"/>
      <c r="K118" s="69"/>
      <c r="L118" s="69"/>
      <c r="M118" s="69"/>
      <c r="N118" s="122">
        <f t="shared" ref="N118:AB118" si="35">SUM(N108:N116)</f>
        <v>89.844417317572024</v>
      </c>
      <c r="O118" s="123">
        <f t="shared" si="35"/>
        <v>64.024392639571829</v>
      </c>
      <c r="P118" s="123">
        <f t="shared" si="35"/>
        <v>51.017883828569289</v>
      </c>
      <c r="Q118" s="123">
        <f t="shared" si="35"/>
        <v>60.254611465260965</v>
      </c>
      <c r="R118" s="124">
        <f t="shared" si="35"/>
        <v>71.651338860083968</v>
      </c>
      <c r="S118" s="122">
        <f t="shared" si="35"/>
        <v>96.161214497738072</v>
      </c>
      <c r="T118" s="123">
        <f t="shared" si="35"/>
        <v>78.048544693037911</v>
      </c>
      <c r="U118" s="123">
        <f t="shared" si="35"/>
        <v>88.24789625720382</v>
      </c>
      <c r="V118" s="123">
        <f t="shared" si="35"/>
        <v>63.049094810999023</v>
      </c>
      <c r="W118" s="124">
        <f t="shared" si="35"/>
        <v>60.274240228497476</v>
      </c>
      <c r="X118" s="122">
        <f t="shared" si="35"/>
        <v>0</v>
      </c>
      <c r="Y118" s="123">
        <f t="shared" si="35"/>
        <v>0</v>
      </c>
      <c r="Z118" s="123">
        <f t="shared" si="35"/>
        <v>0</v>
      </c>
      <c r="AA118" s="123">
        <f t="shared" si="35"/>
        <v>0</v>
      </c>
      <c r="AB118" s="124">
        <f t="shared" si="35"/>
        <v>0</v>
      </c>
    </row>
    <row r="120" spans="1:28" x14ac:dyDescent="0.2">
      <c r="D120" s="45" t="s">
        <v>242</v>
      </c>
      <c r="E120" s="39" t="str">
        <f>Unit_Dollar_M</f>
        <v>$Million</v>
      </c>
      <c r="F120" s="31" t="s">
        <v>62</v>
      </c>
      <c r="G120" s="39" t="str">
        <f>End_Period</f>
        <v>End Period</v>
      </c>
      <c r="H120" s="31" t="s">
        <v>244</v>
      </c>
      <c r="N120" s="46">
        <v>89.844417317572024</v>
      </c>
      <c r="O120" s="46">
        <v>64.024392639571829</v>
      </c>
      <c r="P120" s="46">
        <v>51.017883828569289</v>
      </c>
      <c r="Q120" s="46">
        <v>60.254611465260965</v>
      </c>
      <c r="R120" s="46">
        <v>71.651338860083953</v>
      </c>
      <c r="S120" s="46">
        <v>96.161214497738086</v>
      </c>
      <c r="T120" s="46">
        <v>78.048544693037911</v>
      </c>
      <c r="U120" s="46">
        <v>88.24789625720382</v>
      </c>
      <c r="V120" s="46">
        <v>63.049094810999016</v>
      </c>
      <c r="W120" s="46">
        <v>60.274240228497469</v>
      </c>
    </row>
    <row r="121" spans="1:28" x14ac:dyDescent="0.2">
      <c r="A121" s="52">
        <f>IF(SUM(I121:AB121)&lt;&gt;0,1,0)</f>
        <v>0</v>
      </c>
      <c r="D121" s="45" t="s">
        <v>87</v>
      </c>
      <c r="E121" s="51" t="s">
        <v>6</v>
      </c>
      <c r="F121" s="51" t="s">
        <v>6</v>
      </c>
      <c r="G121" s="51" t="s">
        <v>6</v>
      </c>
      <c r="H121" s="51" t="s">
        <v>8</v>
      </c>
      <c r="N121" s="49">
        <f>IF(ROUND(N120-N118,4)=0,0,1)</f>
        <v>0</v>
      </c>
      <c r="O121" s="49">
        <f t="shared" ref="O121:W121" si="36">IF(ROUND(O120-O118,4)=0,0,1)</f>
        <v>0</v>
      </c>
      <c r="P121" s="49">
        <f t="shared" si="36"/>
        <v>0</v>
      </c>
      <c r="Q121" s="49">
        <f t="shared" si="36"/>
        <v>0</v>
      </c>
      <c r="R121" s="49">
        <f t="shared" si="36"/>
        <v>0</v>
      </c>
      <c r="S121" s="49">
        <f t="shared" si="36"/>
        <v>0</v>
      </c>
      <c r="T121" s="49">
        <f t="shared" si="36"/>
        <v>0</v>
      </c>
      <c r="U121" s="49">
        <f t="shared" si="36"/>
        <v>0</v>
      </c>
      <c r="V121" s="49">
        <f t="shared" si="36"/>
        <v>0</v>
      </c>
      <c r="W121" s="49">
        <f t="shared" si="36"/>
        <v>0</v>
      </c>
    </row>
    <row r="123" spans="1:28" x14ac:dyDescent="0.2">
      <c r="D123" s="45" t="s">
        <v>561</v>
      </c>
      <c r="S123" s="22">
        <v>0.7494778550596638</v>
      </c>
      <c r="T123" t="s">
        <v>273</v>
      </c>
    </row>
    <row r="125" spans="1:28" s="6" customFormat="1" ht="18.75" x14ac:dyDescent="0.2">
      <c r="B125" s="6" t="s">
        <v>43</v>
      </c>
    </row>
  </sheetData>
  <hyperlinks>
    <hyperlink ref="B4" location="ToC!A1" display="ToC!A1" xr:uid="{2955FD09-4121-432C-AAEF-460BC398234C}"/>
  </hyperlink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79F5B-203D-43A7-A38C-790CB8D30253}">
  <sheetPr codeName="Sheet8">
    <tabColor theme="4" tint="0.79998168889431442"/>
  </sheetPr>
  <dimension ref="A1:AD102"/>
  <sheetViews>
    <sheetView showGridLines="0" zoomScaleNormal="100" workbookViewId="0">
      <pane xSplit="4" ySplit="4" topLeftCell="E5" activePane="bottomRight" state="frozen"/>
      <selection activeCell="B5" sqref="B5"/>
      <selection pane="topRight" activeCell="B5" sqref="B5"/>
      <selection pane="bottomLeft" activeCell="B5" sqref="B5"/>
      <selection pane="bottomRight" activeCell="E5" sqref="E5"/>
    </sheetView>
  </sheetViews>
  <sheetFormatPr defaultRowHeight="12.75" x14ac:dyDescent="0.2"/>
  <cols>
    <col min="1" max="3" width="3.7109375" customWidth="1"/>
    <col min="4" max="4" width="34" customWidth="1"/>
    <col min="5" max="8" width="13.5703125" customWidth="1"/>
    <col min="9" max="9" width="2.5703125" customWidth="1"/>
    <col min="10" max="24" width="10.5703125" customWidth="1"/>
  </cols>
  <sheetData>
    <row r="1" spans="1:24" ht="23.25" x14ac:dyDescent="0.35">
      <c r="A1" s="52">
        <f>IF(SUM(A5:A102)&lt;&gt;0,1,0)</f>
        <v>0</v>
      </c>
      <c r="B1" s="16" t="s">
        <v>172</v>
      </c>
    </row>
    <row r="2" spans="1:24" ht="15" x14ac:dyDescent="0.2">
      <c r="B2" s="34" t="str">
        <f>Model_Name</f>
        <v>Power and Water - Revised Proposal - Tables and Charts</v>
      </c>
    </row>
    <row r="3" spans="1:24" x14ac:dyDescent="0.2">
      <c r="B3" s="37" t="str">
        <f>"Model Checks:"&amp;IF(Model_Checks=0," OK"," Check")</f>
        <v>Model Checks: OK</v>
      </c>
      <c r="J3" s="62" t="str">
        <f>LookupTab!M$40</f>
        <v>FY15</v>
      </c>
      <c r="K3" s="62" t="str">
        <f>LookupTab!N$40</f>
        <v>FY16</v>
      </c>
      <c r="L3" s="62" t="str">
        <f>LookupTab!O$40</f>
        <v>FY17</v>
      </c>
      <c r="M3" s="62" t="str">
        <f>LookupTab!P$40</f>
        <v>FY18</v>
      </c>
      <c r="N3" s="62" t="str">
        <f>LookupTab!Q$40</f>
        <v>FY19</v>
      </c>
      <c r="O3" s="62" t="str">
        <f>LookupTab!R$40</f>
        <v>FY20</v>
      </c>
      <c r="P3" s="62" t="str">
        <f>LookupTab!S$40</f>
        <v>FY21</v>
      </c>
      <c r="Q3" s="62" t="str">
        <f>LookupTab!T$40</f>
        <v>FY22</v>
      </c>
      <c r="R3" s="62" t="str">
        <f>LookupTab!U$40</f>
        <v>FY23</v>
      </c>
      <c r="S3" s="62" t="str">
        <f>LookupTab!V$40</f>
        <v>FY24</v>
      </c>
      <c r="T3" s="62" t="str">
        <f>LookupTab!W$40</f>
        <v>FY25</v>
      </c>
      <c r="U3" s="62" t="str">
        <f>LookupTab!X$40</f>
        <v>FY26</v>
      </c>
      <c r="V3" s="62" t="str">
        <f>LookupTab!Y$40</f>
        <v>FY27</v>
      </c>
      <c r="W3" s="62" t="str">
        <f>LookupTab!Z$40</f>
        <v>FY28</v>
      </c>
      <c r="X3" s="62" t="str">
        <f>LookupTab!AA$40</f>
        <v>FY29</v>
      </c>
    </row>
    <row r="4" spans="1:24" ht="15" x14ac:dyDescent="0.2">
      <c r="B4" s="29" t="str">
        <f>ToC!$B$1</f>
        <v>Table of contents</v>
      </c>
      <c r="E4" s="48" t="s">
        <v>2</v>
      </c>
      <c r="F4" s="48" t="s">
        <v>3</v>
      </c>
      <c r="G4" s="48" t="s">
        <v>4</v>
      </c>
      <c r="H4" s="48" t="s">
        <v>1</v>
      </c>
      <c r="J4" s="110" t="str">
        <f>LookupTab!M$41</f>
        <v>Previous Period</v>
      </c>
      <c r="K4" s="41"/>
      <c r="L4" s="41"/>
      <c r="M4" s="41"/>
      <c r="N4" s="41"/>
      <c r="O4" s="111" t="str">
        <f>LookupTab!R$41</f>
        <v>Current Period</v>
      </c>
      <c r="P4" s="42"/>
      <c r="Q4" s="42"/>
      <c r="R4" s="42"/>
      <c r="S4" s="42"/>
      <c r="T4" s="112" t="str">
        <f>LookupTab!W$41</f>
        <v>Next Period</v>
      </c>
      <c r="U4" s="43"/>
      <c r="V4" s="43"/>
      <c r="W4" s="43"/>
      <c r="X4" s="43"/>
    </row>
    <row r="6" spans="1:24" s="6" customFormat="1" ht="18.75" x14ac:dyDescent="0.2">
      <c r="B6" s="6" t="s">
        <v>611</v>
      </c>
    </row>
    <row r="8" spans="1:24" x14ac:dyDescent="0.2">
      <c r="D8" s="60" t="s">
        <v>56</v>
      </c>
      <c r="E8" s="61" t="str">
        <f>E$4</f>
        <v>Unit</v>
      </c>
      <c r="F8" s="61" t="str">
        <f>F$4</f>
        <v>Basis</v>
      </c>
      <c r="G8" s="61" t="str">
        <f>G$4</f>
        <v>Timing</v>
      </c>
      <c r="H8" s="61" t="str">
        <f>H$4</f>
        <v>Source</v>
      </c>
      <c r="I8" s="60"/>
      <c r="J8" s="62" t="str">
        <f>J$3</f>
        <v>FY15</v>
      </c>
      <c r="K8" s="62" t="str">
        <f t="shared" ref="K8:X8" si="0">K$3</f>
        <v>FY16</v>
      </c>
      <c r="L8" s="62" t="str">
        <f t="shared" si="0"/>
        <v>FY17</v>
      </c>
      <c r="M8" s="62" t="str">
        <f t="shared" si="0"/>
        <v>FY18</v>
      </c>
      <c r="N8" s="62" t="str">
        <f t="shared" si="0"/>
        <v>FY19</v>
      </c>
      <c r="O8" s="62" t="str">
        <f t="shared" si="0"/>
        <v>FY20</v>
      </c>
      <c r="P8" s="62" t="str">
        <f t="shared" si="0"/>
        <v>FY21</v>
      </c>
      <c r="Q8" s="62" t="str">
        <f t="shared" si="0"/>
        <v>FY22</v>
      </c>
      <c r="R8" s="62" t="str">
        <f t="shared" si="0"/>
        <v>FY23</v>
      </c>
      <c r="S8" s="62" t="str">
        <f t="shared" si="0"/>
        <v>FY24</v>
      </c>
      <c r="T8" s="62" t="str">
        <f t="shared" si="0"/>
        <v>FY25</v>
      </c>
      <c r="U8" s="62" t="str">
        <f t="shared" si="0"/>
        <v>FY26</v>
      </c>
      <c r="V8" s="62" t="str">
        <f t="shared" si="0"/>
        <v>FY27</v>
      </c>
      <c r="W8" s="62" t="str">
        <f t="shared" si="0"/>
        <v>FY28</v>
      </c>
      <c r="X8" s="62" t="str">
        <f t="shared" si="0"/>
        <v>FY29</v>
      </c>
    </row>
    <row r="9" spans="1:24" x14ac:dyDescent="0.2">
      <c r="J9" s="31" t="s">
        <v>104</v>
      </c>
      <c r="K9" s="39" t="str">
        <f>J9</f>
        <v>Real 2015</v>
      </c>
      <c r="L9" s="39" t="str">
        <f>K9</f>
        <v>Real 2015</v>
      </c>
      <c r="M9" s="39" t="str">
        <f>L9</f>
        <v>Real 2015</v>
      </c>
      <c r="N9" s="39" t="str">
        <f>M9</f>
        <v>Real 2015</v>
      </c>
      <c r="O9" s="31" t="s">
        <v>102</v>
      </c>
      <c r="P9" s="39" t="str">
        <f>O9</f>
        <v>Real 2019</v>
      </c>
      <c r="Q9" s="39" t="str">
        <f>P9</f>
        <v>Real 2019</v>
      </c>
      <c r="R9" s="39" t="str">
        <f>Q9</f>
        <v>Real 2019</v>
      </c>
      <c r="S9" s="39" t="str">
        <f>R9</f>
        <v>Real 2019</v>
      </c>
      <c r="T9" s="31" t="s">
        <v>101</v>
      </c>
      <c r="U9" s="39" t="str">
        <f>T9</f>
        <v>Real 2024</v>
      </c>
      <c r="V9" s="39" t="str">
        <f>U9</f>
        <v>Real 2024</v>
      </c>
      <c r="W9" s="39" t="str">
        <f>V9</f>
        <v>Real 2024</v>
      </c>
      <c r="X9" s="39" t="str">
        <f>W9</f>
        <v>Real 2024</v>
      </c>
    </row>
    <row r="10" spans="1:24" x14ac:dyDescent="0.2">
      <c r="D10" s="63" t="s">
        <v>173</v>
      </c>
      <c r="E10" s="39" t="str">
        <f>Unit_Dollar_M</f>
        <v>$Million</v>
      </c>
      <c r="F10" s="39" t="s">
        <v>62</v>
      </c>
      <c r="G10" s="39" t="str">
        <f>End_Period</f>
        <v>End Period</v>
      </c>
      <c r="H10" s="39" t="s">
        <v>174</v>
      </c>
      <c r="J10" s="67">
        <v>4.6341809723770426</v>
      </c>
      <c r="K10" s="68">
        <v>5.0273157656405596</v>
      </c>
      <c r="L10" s="68">
        <v>5.0378453684279076</v>
      </c>
      <c r="M10" s="68">
        <v>5.0118836754112657</v>
      </c>
      <c r="N10" s="78">
        <v>5.02000350926214</v>
      </c>
      <c r="O10" s="67">
        <v>6.8522166480050215</v>
      </c>
      <c r="P10" s="68">
        <v>7.1304434556196874</v>
      </c>
      <c r="Q10" s="68">
        <v>7.4371227698415208</v>
      </c>
      <c r="R10" s="68">
        <v>7.752293509552679</v>
      </c>
      <c r="S10" s="78">
        <v>8.0631593467921761</v>
      </c>
      <c r="T10" s="67">
        <v>13.722597451201398</v>
      </c>
      <c r="U10" s="68">
        <v>13.822968549124994</v>
      </c>
      <c r="V10" s="68">
        <v>13.923450154849213</v>
      </c>
      <c r="W10" s="68">
        <v>14.024012197330261</v>
      </c>
      <c r="X10" s="78">
        <v>14.124689699839527</v>
      </c>
    </row>
    <row r="11" spans="1:24" x14ac:dyDescent="0.2">
      <c r="D11" s="63" t="s">
        <v>60</v>
      </c>
      <c r="E11" s="39" t="str">
        <f>Unit_Dollar_M</f>
        <v>$Million</v>
      </c>
      <c r="F11" s="39" t="str">
        <f>Nominal</f>
        <v>Nominal</v>
      </c>
      <c r="G11" s="39" t="str">
        <f>Mid_Period</f>
        <v>Mid Period</v>
      </c>
      <c r="H11" s="39" t="s">
        <v>175</v>
      </c>
      <c r="J11" s="68">
        <v>4.4079179999999996</v>
      </c>
      <c r="K11" s="68">
        <v>5.0871469999999999</v>
      </c>
      <c r="L11" s="68">
        <v>5.1606550000000002</v>
      </c>
      <c r="M11" s="68">
        <v>4.8802504999999998</v>
      </c>
      <c r="N11" s="68">
        <v>5.1202839999999998</v>
      </c>
      <c r="O11" s="68">
        <v>5.1236693799999999</v>
      </c>
      <c r="P11" s="68">
        <v>5.9409830000000001</v>
      </c>
      <c r="Q11" s="68">
        <v>6.2802395600000009</v>
      </c>
      <c r="R11" s="74">
        <f>SUMPRODUCT(R15:R18,R20:R23)/Million</f>
        <v>6.6246690499999987</v>
      </c>
      <c r="S11" s="74">
        <f>SUMPRODUCT(S15:S18,S20:S23)/Million</f>
        <v>7.4325060459316896</v>
      </c>
      <c r="T11" s="47"/>
      <c r="U11" s="47"/>
      <c r="V11" s="47"/>
      <c r="W11" s="47"/>
      <c r="X11" s="47"/>
    </row>
    <row r="14" spans="1:24" x14ac:dyDescent="0.2">
      <c r="D14" s="63" t="s">
        <v>383</v>
      </c>
    </row>
    <row r="15" spans="1:24" x14ac:dyDescent="0.2">
      <c r="D15" s="144" t="s">
        <v>589</v>
      </c>
      <c r="E15" s="39" t="s">
        <v>117</v>
      </c>
      <c r="F15" s="39" t="str">
        <f t="shared" ref="F15:G18" si="1">NA</f>
        <v>N/A</v>
      </c>
      <c r="G15" s="39" t="str">
        <f t="shared" si="1"/>
        <v>N/A</v>
      </c>
      <c r="H15" s="39" t="s">
        <v>386</v>
      </c>
      <c r="J15" s="47"/>
      <c r="K15" s="47"/>
      <c r="L15" s="47"/>
      <c r="M15" s="47"/>
      <c r="N15" s="47"/>
      <c r="O15" s="47"/>
      <c r="P15" s="47"/>
      <c r="Q15" s="47"/>
      <c r="R15" s="33">
        <v>68294</v>
      </c>
      <c r="S15" s="33">
        <v>68825.636346324434</v>
      </c>
      <c r="T15" s="47"/>
      <c r="U15" s="47"/>
      <c r="V15" s="47"/>
      <c r="W15" s="47"/>
      <c r="X15" s="47"/>
    </row>
    <row r="16" spans="1:24" x14ac:dyDescent="0.2">
      <c r="D16" s="144" t="s">
        <v>590</v>
      </c>
      <c r="E16" s="39" t="s">
        <v>117</v>
      </c>
      <c r="F16" s="39" t="str">
        <f t="shared" si="1"/>
        <v>N/A</v>
      </c>
      <c r="G16" s="39" t="str">
        <f t="shared" si="1"/>
        <v>N/A</v>
      </c>
      <c r="H16" s="39" t="s">
        <v>386</v>
      </c>
      <c r="J16" s="47"/>
      <c r="K16" s="47"/>
      <c r="L16" s="47"/>
      <c r="M16" s="47"/>
      <c r="N16" s="47"/>
      <c r="O16" s="47"/>
      <c r="P16" s="47"/>
      <c r="Q16" s="47"/>
      <c r="R16" s="33">
        <v>17425</v>
      </c>
      <c r="S16" s="33">
        <v>17542.192259643052</v>
      </c>
      <c r="T16" s="47"/>
      <c r="U16" s="47"/>
      <c r="V16" s="47"/>
      <c r="W16" s="47"/>
      <c r="X16" s="47"/>
    </row>
    <row r="17" spans="2:30" x14ac:dyDescent="0.2">
      <c r="D17" s="144" t="s">
        <v>253</v>
      </c>
      <c r="E17" s="39" t="s">
        <v>117</v>
      </c>
      <c r="F17" s="39" t="str">
        <f t="shared" si="1"/>
        <v>N/A</v>
      </c>
      <c r="G17" s="39" t="str">
        <f t="shared" si="1"/>
        <v>N/A</v>
      </c>
      <c r="H17" s="39" t="s">
        <v>386</v>
      </c>
      <c r="J17" s="47"/>
      <c r="K17" s="47"/>
      <c r="L17" s="47"/>
      <c r="M17" s="47"/>
      <c r="N17" s="47"/>
      <c r="O17" s="47"/>
      <c r="P17" s="47"/>
      <c r="Q17" s="47"/>
      <c r="R17" s="33">
        <v>2301</v>
      </c>
      <c r="S17" s="33">
        <v>2316.4754312446867</v>
      </c>
      <c r="T17" s="47"/>
      <c r="U17" s="47"/>
      <c r="V17" s="47"/>
      <c r="W17" s="47"/>
      <c r="X17" s="47"/>
    </row>
    <row r="18" spans="2:30" x14ac:dyDescent="0.2">
      <c r="D18" s="144" t="s">
        <v>254</v>
      </c>
      <c r="E18" s="39" t="s">
        <v>117</v>
      </c>
      <c r="F18" s="39" t="str">
        <f t="shared" si="1"/>
        <v>N/A</v>
      </c>
      <c r="G18" s="39" t="str">
        <f t="shared" si="1"/>
        <v>N/A</v>
      </c>
      <c r="H18" s="39" t="s">
        <v>386</v>
      </c>
      <c r="J18" s="47"/>
      <c r="K18" s="47"/>
      <c r="L18" s="47"/>
      <c r="M18" s="47"/>
      <c r="N18" s="47"/>
      <c r="O18" s="47"/>
      <c r="P18" s="47"/>
      <c r="Q18" s="47"/>
      <c r="R18" s="33">
        <v>137</v>
      </c>
      <c r="S18" s="33">
        <v>137.9179</v>
      </c>
      <c r="T18" s="47"/>
      <c r="U18" s="47"/>
      <c r="V18" s="47"/>
      <c r="W18" s="47"/>
      <c r="X18" s="47"/>
    </row>
    <row r="19" spans="2:30" x14ac:dyDescent="0.2">
      <c r="D19" s="63" t="s">
        <v>384</v>
      </c>
    </row>
    <row r="20" spans="2:30" x14ac:dyDescent="0.2">
      <c r="D20" s="144" t="str">
        <f>D15</f>
        <v>1 Phase meters (including Prepayment)</v>
      </c>
      <c r="E20" s="39" t="s">
        <v>385</v>
      </c>
      <c r="F20" s="39" t="str">
        <f>Nominal</f>
        <v>Nominal</v>
      </c>
      <c r="G20" s="39" t="str">
        <f>Mid_Period</f>
        <v>Mid Period</v>
      </c>
      <c r="H20" s="39" t="s">
        <v>388</v>
      </c>
      <c r="J20" s="47"/>
      <c r="K20" s="47"/>
      <c r="L20" s="47"/>
      <c r="M20" s="47"/>
      <c r="N20" s="47"/>
      <c r="O20" s="47"/>
      <c r="P20" s="47"/>
      <c r="Q20" s="47"/>
      <c r="R20" s="68">
        <v>71.989999999999995</v>
      </c>
      <c r="S20" s="74">
        <f>R20*(1+$AC$23)*(1-$AC$22)</f>
        <v>80.166568412201158</v>
      </c>
      <c r="T20" s="47"/>
      <c r="U20" s="47"/>
      <c r="V20" s="47"/>
      <c r="W20" s="47"/>
      <c r="X20" s="47"/>
    </row>
    <row r="21" spans="2:30" x14ac:dyDescent="0.2">
      <c r="D21" s="144" t="str">
        <f>D16</f>
        <v>3 Phase meters</v>
      </c>
      <c r="E21" s="39" t="s">
        <v>385</v>
      </c>
      <c r="F21" s="39" t="str">
        <f>Nominal</f>
        <v>Nominal</v>
      </c>
      <c r="G21" s="39" t="str">
        <f>Mid_Period</f>
        <v>Mid Period</v>
      </c>
      <c r="H21" s="39" t="s">
        <v>388</v>
      </c>
      <c r="J21" s="47"/>
      <c r="K21" s="47"/>
      <c r="L21" s="47"/>
      <c r="M21" s="47"/>
      <c r="N21" s="47"/>
      <c r="O21" s="47"/>
      <c r="P21" s="47"/>
      <c r="Q21" s="47"/>
      <c r="R21" s="68">
        <v>79.25</v>
      </c>
      <c r="S21" s="74">
        <f>R21*(1+$AC$23)*(1-$AC$22)</f>
        <v>88.251153586150039</v>
      </c>
      <c r="T21" s="47"/>
      <c r="U21" s="47"/>
      <c r="V21" s="47"/>
      <c r="W21" s="47"/>
      <c r="X21" s="47"/>
    </row>
    <row r="22" spans="2:30" x14ac:dyDescent="0.2">
      <c r="D22" s="144" t="str">
        <f>D17</f>
        <v>LV CT</v>
      </c>
      <c r="E22" s="39" t="s">
        <v>385</v>
      </c>
      <c r="F22" s="39" t="str">
        <f>Nominal</f>
        <v>Nominal</v>
      </c>
      <c r="G22" s="39" t="str">
        <f>Mid_Period</f>
        <v>Mid Period</v>
      </c>
      <c r="H22" s="39" t="s">
        <v>388</v>
      </c>
      <c r="J22" s="47"/>
      <c r="K22" s="47"/>
      <c r="L22" s="47"/>
      <c r="M22" s="47"/>
      <c r="N22" s="47"/>
      <c r="O22" s="47"/>
      <c r="P22" s="47"/>
      <c r="Q22" s="47"/>
      <c r="R22" s="68">
        <v>134.22999999999999</v>
      </c>
      <c r="S22" s="74">
        <f>R22*(1+$AC$23)*(1-$AC$22)</f>
        <v>149.47573938004948</v>
      </c>
      <c r="T22" s="47"/>
      <c r="U22" s="47"/>
      <c r="V22" s="47"/>
      <c r="W22" s="47"/>
      <c r="X22" s="47"/>
      <c r="AB22" s="210" t="s">
        <v>387</v>
      </c>
      <c r="AC22" s="22">
        <v>-3.27E-2</v>
      </c>
    </row>
    <row r="23" spans="2:30" x14ac:dyDescent="0.2">
      <c r="D23" s="144" t="str">
        <f>D18</f>
        <v>HV</v>
      </c>
      <c r="E23" s="39" t="s">
        <v>385</v>
      </c>
      <c r="F23" s="39" t="str">
        <f>Nominal</f>
        <v>Nominal</v>
      </c>
      <c r="G23" s="39" t="str">
        <f>Mid_Period</f>
        <v>Mid Period</v>
      </c>
      <c r="H23" s="39" t="s">
        <v>388</v>
      </c>
      <c r="J23" s="47"/>
      <c r="K23" s="47"/>
      <c r="L23" s="47"/>
      <c r="M23" s="47"/>
      <c r="N23" s="47"/>
      <c r="O23" s="47"/>
      <c r="P23" s="47"/>
      <c r="Q23" s="47"/>
      <c r="R23" s="68">
        <f>R22</f>
        <v>134.22999999999999</v>
      </c>
      <c r="S23" s="74">
        <f>R23*(1+$AC$23)*(1-$AC$22)</f>
        <v>149.47573938004948</v>
      </c>
      <c r="T23" s="47"/>
      <c r="U23" s="47"/>
      <c r="V23" s="47"/>
      <c r="W23" s="47"/>
      <c r="X23" s="47"/>
      <c r="AB23" s="210" t="s">
        <v>660</v>
      </c>
      <c r="AC23" s="296">
        <v>7.8318219291014124E-2</v>
      </c>
      <c r="AD23" s="156" t="s">
        <v>661</v>
      </c>
    </row>
    <row r="26" spans="2:30" s="6" customFormat="1" ht="18.75" x14ac:dyDescent="0.2">
      <c r="B26" s="6" t="s">
        <v>612</v>
      </c>
    </row>
    <row r="28" spans="2:30" s="121" customFormat="1" ht="15.75" x14ac:dyDescent="0.2">
      <c r="C28" s="121" t="s">
        <v>176</v>
      </c>
    </row>
    <row r="30" spans="2:30" x14ac:dyDescent="0.2">
      <c r="D30" s="60" t="s">
        <v>56</v>
      </c>
      <c r="E30" s="61" t="str">
        <f>E$4</f>
        <v>Unit</v>
      </c>
      <c r="F30" s="61" t="str">
        <f>F$4</f>
        <v>Basis</v>
      </c>
      <c r="G30" s="61" t="str">
        <f>G$4</f>
        <v>Timing</v>
      </c>
      <c r="H30" s="61" t="str">
        <f>H$4</f>
        <v>Source</v>
      </c>
      <c r="I30" s="60"/>
      <c r="J30" s="94" t="str">
        <f>J$3</f>
        <v>FY15</v>
      </c>
      <c r="K30" s="94" t="str">
        <f t="shared" ref="K30:X30" si="2">K$3</f>
        <v>FY16</v>
      </c>
      <c r="L30" s="94" t="str">
        <f t="shared" si="2"/>
        <v>FY17</v>
      </c>
      <c r="M30" s="94" t="str">
        <f t="shared" si="2"/>
        <v>FY18</v>
      </c>
      <c r="N30" s="94" t="str">
        <f t="shared" si="2"/>
        <v>FY19</v>
      </c>
      <c r="O30" s="62" t="str">
        <f t="shared" si="2"/>
        <v>FY20</v>
      </c>
      <c r="P30" s="62" t="str">
        <f t="shared" si="2"/>
        <v>FY21</v>
      </c>
      <c r="Q30" s="62" t="str">
        <f t="shared" si="2"/>
        <v>FY22</v>
      </c>
      <c r="R30" s="62" t="str">
        <f t="shared" si="2"/>
        <v>FY23</v>
      </c>
      <c r="S30" s="62" t="str">
        <f t="shared" si="2"/>
        <v>FY24</v>
      </c>
      <c r="T30" s="62" t="str">
        <f t="shared" si="2"/>
        <v>FY25</v>
      </c>
      <c r="U30" s="62" t="str">
        <f t="shared" si="2"/>
        <v>FY26</v>
      </c>
      <c r="V30" s="62" t="str">
        <f t="shared" si="2"/>
        <v>FY27</v>
      </c>
      <c r="W30" s="62" t="str">
        <f t="shared" si="2"/>
        <v>FY28</v>
      </c>
      <c r="X30" s="62" t="str">
        <f t="shared" si="2"/>
        <v>FY29</v>
      </c>
    </row>
    <row r="31" spans="2:30" x14ac:dyDescent="0.2">
      <c r="J31" s="31" t="s">
        <v>104</v>
      </c>
      <c r="K31" s="39" t="str">
        <f>J31</f>
        <v>Real 2015</v>
      </c>
      <c r="L31" s="39" t="str">
        <f>K31</f>
        <v>Real 2015</v>
      </c>
      <c r="M31" s="39" t="str">
        <f>L31</f>
        <v>Real 2015</v>
      </c>
      <c r="N31" s="39" t="str">
        <f>M31</f>
        <v>Real 2015</v>
      </c>
      <c r="O31" s="31" t="s">
        <v>102</v>
      </c>
      <c r="P31" s="39" t="str">
        <f>O31</f>
        <v>Real 2019</v>
      </c>
      <c r="Q31" s="39" t="str">
        <f>P31</f>
        <v>Real 2019</v>
      </c>
      <c r="R31" s="39" t="str">
        <f>Q31</f>
        <v>Real 2019</v>
      </c>
      <c r="S31" s="39" t="str">
        <f>R31</f>
        <v>Real 2019</v>
      </c>
      <c r="T31" s="31" t="s">
        <v>101</v>
      </c>
      <c r="U31" s="39" t="str">
        <f>T31</f>
        <v>Real 2024</v>
      </c>
      <c r="V31" s="39" t="str">
        <f>U31</f>
        <v>Real 2024</v>
      </c>
      <c r="W31" s="39" t="str">
        <f>V31</f>
        <v>Real 2024</v>
      </c>
      <c r="X31" s="39" t="str">
        <f>W31</f>
        <v>Real 2024</v>
      </c>
    </row>
    <row r="32" spans="2:30" x14ac:dyDescent="0.2">
      <c r="D32" s="63" t="s">
        <v>163</v>
      </c>
      <c r="E32" s="39" t="str">
        <f>Unit_Dollar_M</f>
        <v>$Million</v>
      </c>
      <c r="F32" s="39" t="s">
        <v>62</v>
      </c>
      <c r="G32" s="39" t="str">
        <f>End_Period</f>
        <v>End Period</v>
      </c>
      <c r="H32" s="39" t="s">
        <v>174</v>
      </c>
      <c r="J32" s="67">
        <v>1.0822016381294368</v>
      </c>
      <c r="K32" s="68">
        <v>1.2182342542473843</v>
      </c>
      <c r="L32" s="68">
        <v>1.270778038694403</v>
      </c>
      <c r="M32" s="68">
        <v>1.2958080781168642</v>
      </c>
      <c r="N32" s="78">
        <v>1.3378845868111442</v>
      </c>
      <c r="O32" s="67">
        <v>0.66923078891601107</v>
      </c>
      <c r="P32" s="68">
        <v>0.95512534727938092</v>
      </c>
      <c r="Q32" s="68">
        <v>1.0671906423564457</v>
      </c>
      <c r="R32" s="68">
        <v>1.1777636759776982</v>
      </c>
      <c r="S32" s="78">
        <v>1.4627748907352802</v>
      </c>
      <c r="T32" s="67">
        <v>2.6469937319325036</v>
      </c>
      <c r="U32" s="68">
        <v>3.2164371712739315</v>
      </c>
      <c r="V32" s="68">
        <v>3.7700339408515418</v>
      </c>
      <c r="W32" s="68">
        <v>4.3057878439251231</v>
      </c>
      <c r="X32" s="78">
        <v>4.908119789874628</v>
      </c>
    </row>
    <row r="33" spans="1:24" x14ac:dyDescent="0.2">
      <c r="D33" s="63" t="s">
        <v>595</v>
      </c>
      <c r="E33" s="39" t="str">
        <f>Unit_Dollar_M</f>
        <v>$Million</v>
      </c>
      <c r="F33" s="39" t="str">
        <f>F$32</f>
        <v>Various</v>
      </c>
      <c r="G33" s="39" t="str">
        <f>End_Period</f>
        <v>End Period</v>
      </c>
      <c r="H33" s="39" t="str">
        <f>H$32</f>
        <v>PTRMs</v>
      </c>
      <c r="J33" s="67">
        <v>0.76838675509970178</v>
      </c>
      <c r="K33" s="68">
        <v>0.91217451450320486</v>
      </c>
      <c r="L33" s="68">
        <v>0.8193934734479027</v>
      </c>
      <c r="M33" s="68">
        <v>0.89096313304946739</v>
      </c>
      <c r="N33" s="78">
        <v>0.98452821644397726</v>
      </c>
      <c r="O33" s="67">
        <v>0.50228498303619318</v>
      </c>
      <c r="P33" s="68">
        <v>0.86601539407723571</v>
      </c>
      <c r="Q33" s="68">
        <v>1.066068036389785</v>
      </c>
      <c r="R33" s="68">
        <v>1.2762672443685765</v>
      </c>
      <c r="S33" s="78">
        <v>1.6763322142330703</v>
      </c>
      <c r="T33" s="67">
        <v>2.2937825388517505</v>
      </c>
      <c r="U33" s="68">
        <v>2.8727321488314117</v>
      </c>
      <c r="V33" s="68">
        <v>3.4463377269893192</v>
      </c>
      <c r="W33" s="68">
        <v>4.1402003210108624</v>
      </c>
      <c r="X33" s="78">
        <v>4.8027950552612602</v>
      </c>
    </row>
    <row r="34" spans="1:24" x14ac:dyDescent="0.2">
      <c r="D34" s="63" t="s">
        <v>190</v>
      </c>
      <c r="E34" s="39" t="str">
        <f>Unit_Dollar_M</f>
        <v>$Million</v>
      </c>
      <c r="F34" s="39" t="str">
        <f>F$32</f>
        <v>Various</v>
      </c>
      <c r="G34" s="39" t="str">
        <f>End_Period</f>
        <v>End Period</v>
      </c>
      <c r="H34" s="39" t="str">
        <f>H$32</f>
        <v>PTRMs</v>
      </c>
      <c r="J34" s="67">
        <v>2.7835925791479039</v>
      </c>
      <c r="K34" s="68">
        <v>2.8969069968899701</v>
      </c>
      <c r="L34" s="68">
        <v>2.9476738562856029</v>
      </c>
      <c r="M34" s="68">
        <v>2.8251124642449348</v>
      </c>
      <c r="N34" s="78">
        <v>2.6975907060070181</v>
      </c>
      <c r="O34" s="67">
        <v>5.4459292228606815</v>
      </c>
      <c r="P34" s="68">
        <v>5.3730000377150908</v>
      </c>
      <c r="Q34" s="68">
        <v>5.3103231269124871</v>
      </c>
      <c r="R34" s="68">
        <v>5.2365967261234267</v>
      </c>
      <c r="S34" s="78">
        <v>5.1701607708794697</v>
      </c>
      <c r="T34" s="67">
        <v>6.572076500624072</v>
      </c>
      <c r="U34" s="68">
        <v>6.6386933589378012</v>
      </c>
      <c r="V34" s="68">
        <v>6.7119499541636438</v>
      </c>
      <c r="W34" s="68">
        <v>6.7887759029885801</v>
      </c>
      <c r="X34" s="78">
        <v>6.8519919588775391</v>
      </c>
    </row>
    <row r="35" spans="1:24" x14ac:dyDescent="0.2">
      <c r="D35" s="63" t="s">
        <v>168</v>
      </c>
      <c r="E35" s="39" t="str">
        <f>Unit_Dollar_M</f>
        <v>$Million</v>
      </c>
      <c r="F35" s="39" t="str">
        <f>F$32</f>
        <v>Various</v>
      </c>
      <c r="G35" s="39" t="str">
        <f>End_Period</f>
        <v>End Period</v>
      </c>
      <c r="H35" s="39" t="str">
        <f>H$32</f>
        <v>PTRMs</v>
      </c>
      <c r="J35" s="67"/>
      <c r="K35" s="68"/>
      <c r="L35" s="68"/>
      <c r="M35" s="68"/>
      <c r="N35" s="78"/>
      <c r="O35" s="67">
        <v>0</v>
      </c>
      <c r="P35" s="68">
        <v>0</v>
      </c>
      <c r="Q35" s="68">
        <v>0</v>
      </c>
      <c r="R35" s="68">
        <v>0</v>
      </c>
      <c r="S35" s="78">
        <v>0</v>
      </c>
      <c r="T35" s="67">
        <v>0</v>
      </c>
      <c r="U35" s="68">
        <v>0</v>
      </c>
      <c r="V35" s="68">
        <v>0</v>
      </c>
      <c r="W35" s="68">
        <v>0</v>
      </c>
      <c r="X35" s="78">
        <v>0</v>
      </c>
    </row>
    <row r="36" spans="1:24" x14ac:dyDescent="0.2">
      <c r="D36" s="63" t="s">
        <v>596</v>
      </c>
      <c r="E36" s="39" t="str">
        <f>Unit_Dollar_M</f>
        <v>$Million</v>
      </c>
      <c r="F36" s="39" t="str">
        <f>F$32</f>
        <v>Various</v>
      </c>
      <c r="G36" s="39" t="str">
        <f>End_Period</f>
        <v>End Period</v>
      </c>
      <c r="H36" s="39" t="str">
        <f>H$32</f>
        <v>PTRMs</v>
      </c>
      <c r="J36" s="67"/>
      <c r="K36" s="68"/>
      <c r="L36" s="68"/>
      <c r="M36" s="68"/>
      <c r="N36" s="78"/>
      <c r="O36" s="67">
        <v>0</v>
      </c>
      <c r="P36" s="68">
        <v>0</v>
      </c>
      <c r="Q36" s="68">
        <v>0</v>
      </c>
      <c r="R36" s="68">
        <v>0</v>
      </c>
      <c r="S36" s="78">
        <v>0</v>
      </c>
      <c r="T36" s="67">
        <v>0</v>
      </c>
      <c r="U36" s="68">
        <v>0</v>
      </c>
      <c r="V36" s="68">
        <v>0</v>
      </c>
      <c r="W36" s="68">
        <v>0</v>
      </c>
      <c r="X36" s="78">
        <v>0</v>
      </c>
    </row>
    <row r="37" spans="1:24" x14ac:dyDescent="0.2">
      <c r="E37" s="39"/>
      <c r="F37" s="39"/>
      <c r="G37" s="39"/>
      <c r="H37" s="51"/>
      <c r="J37" s="53"/>
      <c r="K37" s="54"/>
      <c r="L37" s="54"/>
      <c r="M37" s="54"/>
      <c r="N37" s="55"/>
      <c r="O37" s="53"/>
      <c r="P37" s="54"/>
      <c r="Q37" s="54"/>
      <c r="R37" s="54"/>
      <c r="S37" s="55"/>
      <c r="T37" s="53"/>
      <c r="U37" s="54"/>
      <c r="V37" s="54"/>
      <c r="W37" s="54"/>
      <c r="X37" s="55"/>
    </row>
    <row r="38" spans="1:24" x14ac:dyDescent="0.2">
      <c r="D38" s="104" t="s">
        <v>597</v>
      </c>
      <c r="E38" s="131" t="str">
        <f>Unit_Dollar_M</f>
        <v>$Million</v>
      </c>
      <c r="F38" s="131" t="str">
        <f>F$32</f>
        <v>Various</v>
      </c>
      <c r="G38" s="131" t="str">
        <f>End_Period</f>
        <v>End Period</v>
      </c>
      <c r="H38" s="131" t="s">
        <v>8</v>
      </c>
      <c r="I38" s="69"/>
      <c r="J38" s="128">
        <f>SUM(J32:J36)</f>
        <v>4.6341809723770426</v>
      </c>
      <c r="K38" s="129">
        <f t="shared" ref="K38:X38" si="3">SUM(K32:K36)</f>
        <v>5.0273157656405587</v>
      </c>
      <c r="L38" s="129">
        <f t="shared" si="3"/>
        <v>5.0378453684279085</v>
      </c>
      <c r="M38" s="129">
        <f t="shared" si="3"/>
        <v>5.0118836754112666</v>
      </c>
      <c r="N38" s="130">
        <f t="shared" si="3"/>
        <v>5.0200035092621391</v>
      </c>
      <c r="O38" s="128">
        <f t="shared" si="3"/>
        <v>6.6174449948128853</v>
      </c>
      <c r="P38" s="129">
        <f t="shared" si="3"/>
        <v>7.1941407790717076</v>
      </c>
      <c r="Q38" s="129">
        <f t="shared" si="3"/>
        <v>7.4435818056587175</v>
      </c>
      <c r="R38" s="129">
        <f t="shared" si="3"/>
        <v>7.6906276464697019</v>
      </c>
      <c r="S38" s="130">
        <f t="shared" si="3"/>
        <v>8.3092678758478193</v>
      </c>
      <c r="T38" s="128">
        <f t="shared" si="3"/>
        <v>11.512852771408326</v>
      </c>
      <c r="U38" s="129">
        <f t="shared" si="3"/>
        <v>12.727862679043145</v>
      </c>
      <c r="V38" s="129">
        <f t="shared" si="3"/>
        <v>13.928321622004503</v>
      </c>
      <c r="W38" s="129">
        <f t="shared" si="3"/>
        <v>15.234764067924566</v>
      </c>
      <c r="X38" s="130">
        <f t="shared" si="3"/>
        <v>16.56290680401343</v>
      </c>
    </row>
    <row r="40" spans="1:24" x14ac:dyDescent="0.2">
      <c r="D40" s="63" t="s">
        <v>242</v>
      </c>
      <c r="E40" s="39" t="str">
        <f>Unit_Dollar_M</f>
        <v>$Million</v>
      </c>
      <c r="F40" s="39" t="str">
        <f>F$32</f>
        <v>Various</v>
      </c>
      <c r="G40" s="39" t="str">
        <f>End_Period</f>
        <v>End Period</v>
      </c>
      <c r="H40" s="39" t="str">
        <f>H$32</f>
        <v>PTRMs</v>
      </c>
      <c r="J40" s="47"/>
      <c r="K40" s="47"/>
      <c r="L40" s="47"/>
      <c r="M40" s="47"/>
      <c r="N40" s="47"/>
      <c r="O40" s="67">
        <v>6.6174449948128853</v>
      </c>
      <c r="P40" s="68">
        <v>7.1941407790717085</v>
      </c>
      <c r="Q40" s="68">
        <v>7.4435818056587175</v>
      </c>
      <c r="R40" s="68">
        <v>7.690627646469701</v>
      </c>
      <c r="S40" s="78">
        <v>8.3092678758478211</v>
      </c>
      <c r="T40" s="67">
        <v>11.512852771408326</v>
      </c>
      <c r="U40" s="68">
        <v>12.727862679043145</v>
      </c>
      <c r="V40" s="68">
        <v>13.928321622004505</v>
      </c>
      <c r="W40" s="68">
        <v>15.234764067924566</v>
      </c>
      <c r="X40" s="78">
        <v>16.56290680401343</v>
      </c>
    </row>
    <row r="41" spans="1:24" x14ac:dyDescent="0.2">
      <c r="A41" s="52">
        <f>IF(SUM(J41:X41)&lt;&gt;0,1,0)</f>
        <v>0</v>
      </c>
      <c r="D41" s="45" t="s">
        <v>83</v>
      </c>
      <c r="E41" s="51" t="s">
        <v>6</v>
      </c>
      <c r="F41" s="51" t="s">
        <v>6</v>
      </c>
      <c r="G41" s="51" t="s">
        <v>6</v>
      </c>
      <c r="H41" s="51" t="s">
        <v>8</v>
      </c>
      <c r="O41" s="52">
        <f t="shared" ref="O41:X41" si="4">IF(ROUND(O40-O38,4)=0,0,1)</f>
        <v>0</v>
      </c>
      <c r="P41" s="52">
        <f t="shared" si="4"/>
        <v>0</v>
      </c>
      <c r="Q41" s="52">
        <f t="shared" si="4"/>
        <v>0</v>
      </c>
      <c r="R41" s="52">
        <f t="shared" si="4"/>
        <v>0</v>
      </c>
      <c r="S41" s="52">
        <f t="shared" si="4"/>
        <v>0</v>
      </c>
      <c r="T41" s="52">
        <f t="shared" si="4"/>
        <v>0</v>
      </c>
      <c r="U41" s="52">
        <f t="shared" si="4"/>
        <v>0</v>
      </c>
      <c r="V41" s="52">
        <f t="shared" si="4"/>
        <v>0</v>
      </c>
      <c r="W41" s="52">
        <f t="shared" si="4"/>
        <v>0</v>
      </c>
      <c r="X41" s="52">
        <f t="shared" si="4"/>
        <v>0</v>
      </c>
    </row>
    <row r="43" spans="1:24" x14ac:dyDescent="0.2">
      <c r="D43" s="45" t="s">
        <v>560</v>
      </c>
    </row>
    <row r="45" spans="1:24" s="6" customFormat="1" ht="18.75" x14ac:dyDescent="0.2">
      <c r="B45" s="6" t="s">
        <v>613</v>
      </c>
    </row>
    <row r="47" spans="1:24" x14ac:dyDescent="0.2">
      <c r="D47" s="60" t="s">
        <v>56</v>
      </c>
      <c r="E47" s="61" t="str">
        <f>E$4</f>
        <v>Unit</v>
      </c>
      <c r="F47" s="61" t="str">
        <f>F$4</f>
        <v>Basis</v>
      </c>
      <c r="G47" s="61" t="str">
        <f>G$4</f>
        <v>Timing</v>
      </c>
      <c r="H47" s="61" t="str">
        <f>H$4</f>
        <v>Source</v>
      </c>
      <c r="I47" s="60"/>
      <c r="J47" s="62" t="str">
        <f>J$3</f>
        <v>FY15</v>
      </c>
      <c r="K47" s="62" t="str">
        <f t="shared" ref="K47:X47" si="5">K$3</f>
        <v>FY16</v>
      </c>
      <c r="L47" s="62" t="str">
        <f t="shared" si="5"/>
        <v>FY17</v>
      </c>
      <c r="M47" s="62" t="str">
        <f t="shared" si="5"/>
        <v>FY18</v>
      </c>
      <c r="N47" s="62" t="str">
        <f t="shared" si="5"/>
        <v>FY19</v>
      </c>
      <c r="O47" s="62" t="str">
        <f t="shared" si="5"/>
        <v>FY20</v>
      </c>
      <c r="P47" s="62" t="str">
        <f t="shared" si="5"/>
        <v>FY21</v>
      </c>
      <c r="Q47" s="62" t="str">
        <f t="shared" si="5"/>
        <v>FY22</v>
      </c>
      <c r="R47" s="62" t="str">
        <f t="shared" si="5"/>
        <v>FY23</v>
      </c>
      <c r="S47" s="62" t="str">
        <f t="shared" si="5"/>
        <v>FY24</v>
      </c>
      <c r="T47" s="62" t="str">
        <f t="shared" si="5"/>
        <v>FY25</v>
      </c>
      <c r="U47" s="62" t="str">
        <f t="shared" si="5"/>
        <v>FY26</v>
      </c>
      <c r="V47" s="62" t="str">
        <f t="shared" si="5"/>
        <v>FY27</v>
      </c>
      <c r="W47" s="62" t="str">
        <f t="shared" si="5"/>
        <v>FY28</v>
      </c>
      <c r="X47" s="62" t="str">
        <f t="shared" si="5"/>
        <v>FY29</v>
      </c>
    </row>
    <row r="48" spans="1:24" x14ac:dyDescent="0.2">
      <c r="J48" s="31" t="s">
        <v>104</v>
      </c>
      <c r="K48" s="39" t="str">
        <f>J48</f>
        <v>Real 2015</v>
      </c>
      <c r="L48" s="39" t="str">
        <f>K48</f>
        <v>Real 2015</v>
      </c>
      <c r="M48" s="39" t="str">
        <f>L48</f>
        <v>Real 2015</v>
      </c>
      <c r="N48" s="39" t="str">
        <f>M48</f>
        <v>Real 2015</v>
      </c>
      <c r="O48" s="31" t="s">
        <v>102</v>
      </c>
      <c r="P48" s="39" t="str">
        <f>O48</f>
        <v>Real 2019</v>
      </c>
      <c r="Q48" s="39" t="str">
        <f>P48</f>
        <v>Real 2019</v>
      </c>
      <c r="R48" s="39" t="str">
        <f>Q48</f>
        <v>Real 2019</v>
      </c>
      <c r="S48" s="39" t="str">
        <f>R48</f>
        <v>Real 2019</v>
      </c>
      <c r="T48" s="31" t="s">
        <v>101</v>
      </c>
      <c r="U48" s="39" t="str">
        <f>T48</f>
        <v>Real 2024</v>
      </c>
      <c r="V48" s="39" t="str">
        <f>U48</f>
        <v>Real 2024</v>
      </c>
      <c r="W48" s="39" t="str">
        <f>V48</f>
        <v>Real 2024</v>
      </c>
      <c r="X48" s="39" t="str">
        <f>W48</f>
        <v>Real 2024</v>
      </c>
    </row>
    <row r="49" spans="1:24" x14ac:dyDescent="0.2">
      <c r="D49" s="63" t="s">
        <v>173</v>
      </c>
      <c r="E49" s="39" t="str">
        <f>Unit_Dollar_M</f>
        <v>$Million</v>
      </c>
      <c r="F49" s="39" t="s">
        <v>62</v>
      </c>
      <c r="G49" s="39" t="str">
        <f>End_Period</f>
        <v>End Period</v>
      </c>
      <c r="H49" s="39" t="s">
        <v>174</v>
      </c>
      <c r="J49" s="67">
        <f>J34</f>
        <v>2.7835925791479039</v>
      </c>
      <c r="K49" s="68">
        <f>K34</f>
        <v>2.8969069968899701</v>
      </c>
      <c r="L49" s="68">
        <f>L34</f>
        <v>2.9476738562856029</v>
      </c>
      <c r="M49" s="68">
        <f>M34</f>
        <v>2.8251124642449348</v>
      </c>
      <c r="N49" s="78">
        <f>N34</f>
        <v>2.6975907060070181</v>
      </c>
      <c r="O49" s="67">
        <v>5.4389480822671592</v>
      </c>
      <c r="P49" s="68">
        <v>5.3630365625668626</v>
      </c>
      <c r="Q49" s="68">
        <v>5.2991906326552387</v>
      </c>
      <c r="R49" s="68">
        <v>5.2243107794154735</v>
      </c>
      <c r="S49" s="78">
        <v>5.1549017042943275</v>
      </c>
      <c r="T49" s="67">
        <v>6.5467301116461263</v>
      </c>
      <c r="U49" s="68">
        <v>6.6086066277086415</v>
      </c>
      <c r="V49" s="68">
        <v>6.6774820914301767</v>
      </c>
      <c r="W49" s="68">
        <v>6.7502801428287933</v>
      </c>
      <c r="X49" s="78">
        <v>6.8090601772952892</v>
      </c>
    </row>
    <row r="50" spans="1:24" x14ac:dyDescent="0.2">
      <c r="D50" s="63" t="s">
        <v>60</v>
      </c>
      <c r="E50" s="39" t="str">
        <f>Unit_Dollar_M</f>
        <v>$Million</v>
      </c>
      <c r="F50" s="39" t="str">
        <f>Nominal</f>
        <v>Nominal</v>
      </c>
      <c r="G50" s="39" t="str">
        <f>Mid_Period</f>
        <v>Mid Period</v>
      </c>
      <c r="H50" s="39" t="s">
        <v>175</v>
      </c>
      <c r="J50" s="67">
        <f>J49*Input_CPI!T$15</f>
        <v>3.586644796595623</v>
      </c>
      <c r="K50" s="68">
        <f>K49*Input_CPI!U$15</f>
        <v>3.7326498441080913</v>
      </c>
      <c r="L50" s="68">
        <f>L49*Input_CPI!V$15</f>
        <v>3.7980626827019437</v>
      </c>
      <c r="M50" s="68">
        <f>M49*Input_CPI!W$15</f>
        <v>3.6401429561158278</v>
      </c>
      <c r="N50" s="78">
        <f>N49*Input_CPI!X$15</f>
        <v>3.4758318230631748</v>
      </c>
      <c r="O50" s="67">
        <v>6.3250294457552698</v>
      </c>
      <c r="P50" s="68">
        <v>6.6140972828073483</v>
      </c>
      <c r="Q50" s="68">
        <v>6.2454269999307384</v>
      </c>
      <c r="R50" s="68">
        <v>5.9189478129569846</v>
      </c>
      <c r="S50" s="68">
        <v>6.2671789616123492</v>
      </c>
      <c r="T50" s="47"/>
      <c r="U50" s="47"/>
      <c r="V50" s="47"/>
      <c r="W50" s="47"/>
      <c r="X50" s="47"/>
    </row>
    <row r="51" spans="1:24" x14ac:dyDescent="0.2">
      <c r="O51" s="75"/>
      <c r="P51" s="75"/>
    </row>
    <row r="52" spans="1:24" x14ac:dyDescent="0.2">
      <c r="D52" s="63" t="s">
        <v>311</v>
      </c>
      <c r="E52" s="39" t="str">
        <f>Unit_Dollar_M</f>
        <v>$Million</v>
      </c>
      <c r="F52" s="39" t="str">
        <f>Nominal</f>
        <v>Nominal</v>
      </c>
      <c r="G52" s="39" t="str">
        <f>Mid_Period</f>
        <v>Mid Period</v>
      </c>
      <c r="H52" s="31" t="s">
        <v>310</v>
      </c>
      <c r="J52" s="47"/>
      <c r="K52" s="47"/>
      <c r="L52" s="47"/>
      <c r="M52" s="47"/>
      <c r="N52" s="47"/>
      <c r="O52" s="67">
        <v>7.4974220000000003</v>
      </c>
      <c r="P52" s="68">
        <v>7.2338290000000001</v>
      </c>
      <c r="Q52" s="68">
        <v>6.2454270000000003</v>
      </c>
      <c r="R52" s="68">
        <v>8.4915850000000006</v>
      </c>
      <c r="S52" s="47"/>
      <c r="T52" s="47"/>
      <c r="U52" s="47"/>
      <c r="V52" s="47"/>
      <c r="W52" s="47"/>
      <c r="X52" s="47"/>
    </row>
    <row r="53" spans="1:24" x14ac:dyDescent="0.2">
      <c r="D53" s="63" t="s">
        <v>563</v>
      </c>
      <c r="E53" s="39" t="str">
        <f>Unit_Dollar_M</f>
        <v>$Million</v>
      </c>
      <c r="F53" s="39" t="str">
        <f>Nominal</f>
        <v>Nominal</v>
      </c>
      <c r="G53" s="39" t="str">
        <f>Mid_Period</f>
        <v>Mid Period</v>
      </c>
      <c r="H53" s="39" t="s">
        <v>392</v>
      </c>
      <c r="J53" s="47"/>
      <c r="K53" s="47"/>
      <c r="L53" s="47"/>
      <c r="M53" s="47"/>
      <c r="N53" s="47"/>
      <c r="O53" s="283">
        <v>6.3250294457552698</v>
      </c>
      <c r="P53" s="68">
        <v>6.6140972828073483</v>
      </c>
      <c r="Q53" s="68">
        <v>6.2454269999307384</v>
      </c>
      <c r="R53" s="47"/>
      <c r="S53" s="47"/>
      <c r="T53" s="47"/>
      <c r="U53" s="47"/>
      <c r="V53" s="47"/>
      <c r="W53" s="47"/>
      <c r="X53" s="47"/>
    </row>
    <row r="54" spans="1:24" x14ac:dyDescent="0.2">
      <c r="A54" s="52">
        <f>IF(SUM(J54:X54)&lt;&gt;0,1,0)</f>
        <v>0</v>
      </c>
      <c r="D54" s="45" t="s">
        <v>83</v>
      </c>
      <c r="E54" s="51" t="s">
        <v>6</v>
      </c>
      <c r="F54" s="51" t="s">
        <v>6</v>
      </c>
      <c r="G54" s="51" t="s">
        <v>6</v>
      </c>
      <c r="H54" s="51" t="s">
        <v>8</v>
      </c>
      <c r="O54" s="52">
        <f>IF(ROUND(O53-O50,4)=0,0,1)</f>
        <v>0</v>
      </c>
      <c r="P54" s="52">
        <f>IF(ROUND(P53-P50,4)=0,0,1)</f>
        <v>0</v>
      </c>
      <c r="Q54" s="52">
        <f>IF(ROUND(Q53-Q50,4)=0,0,1)</f>
        <v>0</v>
      </c>
      <c r="U54" s="52"/>
      <c r="V54" s="52"/>
      <c r="W54" s="52"/>
      <c r="X54" s="52"/>
    </row>
    <row r="56" spans="1:24" x14ac:dyDescent="0.2">
      <c r="D56" s="45" t="s">
        <v>562</v>
      </c>
    </row>
    <row r="58" spans="1:24" s="6" customFormat="1" ht="18.75" x14ac:dyDescent="0.2">
      <c r="B58" s="6" t="s">
        <v>614</v>
      </c>
    </row>
    <row r="60" spans="1:24" s="121" customFormat="1" ht="15.75" x14ac:dyDescent="0.2">
      <c r="C60" s="121" t="s">
        <v>176</v>
      </c>
    </row>
    <row r="62" spans="1:24" x14ac:dyDescent="0.2">
      <c r="D62" s="60" t="s">
        <v>56</v>
      </c>
      <c r="E62" s="61" t="str">
        <f>E$4</f>
        <v>Unit</v>
      </c>
      <c r="F62" s="61" t="str">
        <f>F$4</f>
        <v>Basis</v>
      </c>
      <c r="G62" s="61" t="str">
        <f>G$4</f>
        <v>Timing</v>
      </c>
      <c r="H62" s="61" t="str">
        <f>H$4</f>
        <v>Source</v>
      </c>
      <c r="I62" s="60"/>
      <c r="J62" s="94" t="str">
        <f>J$3</f>
        <v>FY15</v>
      </c>
      <c r="K62" s="94" t="str">
        <f t="shared" ref="K62:X62" si="6">K$3</f>
        <v>FY16</v>
      </c>
      <c r="L62" s="94" t="str">
        <f t="shared" si="6"/>
        <v>FY17</v>
      </c>
      <c r="M62" s="94" t="str">
        <f t="shared" si="6"/>
        <v>FY18</v>
      </c>
      <c r="N62" s="94" t="str">
        <f t="shared" si="6"/>
        <v>FY19</v>
      </c>
      <c r="O62" s="62" t="str">
        <f t="shared" si="6"/>
        <v>FY20</v>
      </c>
      <c r="P62" s="62" t="str">
        <f t="shared" si="6"/>
        <v>FY21</v>
      </c>
      <c r="Q62" s="62" t="str">
        <f t="shared" si="6"/>
        <v>FY22</v>
      </c>
      <c r="R62" s="62" t="str">
        <f t="shared" si="6"/>
        <v>FY23</v>
      </c>
      <c r="S62" s="62" t="str">
        <f t="shared" si="6"/>
        <v>FY24</v>
      </c>
      <c r="T62" s="62" t="str">
        <f t="shared" si="6"/>
        <v>FY25</v>
      </c>
      <c r="U62" s="62" t="str">
        <f t="shared" si="6"/>
        <v>FY26</v>
      </c>
      <c r="V62" s="62" t="str">
        <f t="shared" si="6"/>
        <v>FY27</v>
      </c>
      <c r="W62" s="62" t="str">
        <f t="shared" si="6"/>
        <v>FY28</v>
      </c>
      <c r="X62" s="62" t="str">
        <f t="shared" si="6"/>
        <v>FY29</v>
      </c>
    </row>
    <row r="63" spans="1:24" x14ac:dyDescent="0.2">
      <c r="J63" s="31" t="s">
        <v>178</v>
      </c>
      <c r="K63" s="39" t="str">
        <f>J63</f>
        <v>Real 2014</v>
      </c>
      <c r="L63" s="39" t="str">
        <f>K63</f>
        <v>Real 2014</v>
      </c>
      <c r="M63" s="39" t="str">
        <f>L63</f>
        <v>Real 2014</v>
      </c>
      <c r="N63" s="39" t="str">
        <f>M63</f>
        <v>Real 2014</v>
      </c>
      <c r="O63" s="31" t="s">
        <v>102</v>
      </c>
      <c r="P63" s="39" t="str">
        <f>O63</f>
        <v>Real 2019</v>
      </c>
      <c r="Q63" s="39" t="str">
        <f>P63</f>
        <v>Real 2019</v>
      </c>
      <c r="R63" s="39" t="str">
        <f>Q63</f>
        <v>Real 2019</v>
      </c>
      <c r="S63" s="39" t="str">
        <f>R63</f>
        <v>Real 2019</v>
      </c>
      <c r="T63" s="31" t="s">
        <v>101</v>
      </c>
      <c r="U63" s="39" t="str">
        <f>T63</f>
        <v>Real 2024</v>
      </c>
      <c r="V63" s="39" t="str">
        <f>U63</f>
        <v>Real 2024</v>
      </c>
      <c r="W63" s="39" t="str">
        <f>V63</f>
        <v>Real 2024</v>
      </c>
      <c r="X63" s="39" t="str">
        <f>W63</f>
        <v>Real 2024</v>
      </c>
    </row>
    <row r="64" spans="1:24" x14ac:dyDescent="0.2">
      <c r="D64" s="63" t="str">
        <f>Input_General!$E$80</f>
        <v>Mechanical Meters</v>
      </c>
      <c r="E64" s="39" t="str">
        <f t="shared" ref="E64:E74" si="7">Unit_Dollar_M</f>
        <v>$Million</v>
      </c>
      <c r="F64" s="39" t="s">
        <v>62</v>
      </c>
      <c r="G64" s="39" t="str">
        <f t="shared" ref="G64:G74" si="8">End_Period</f>
        <v>End Period</v>
      </c>
      <c r="H64" s="39" t="s">
        <v>174</v>
      </c>
      <c r="J64" s="67">
        <v>2.0426814497690726</v>
      </c>
      <c r="K64" s="68">
        <v>2.4290889108347655</v>
      </c>
      <c r="L64" s="68">
        <v>3.8060507516987374</v>
      </c>
      <c r="M64" s="68">
        <v>3.509729354974608</v>
      </c>
      <c r="N64" s="78">
        <v>1.5280597660967619</v>
      </c>
      <c r="O64" s="67">
        <v>0</v>
      </c>
      <c r="P64" s="68">
        <v>0</v>
      </c>
      <c r="Q64" s="68">
        <v>0</v>
      </c>
      <c r="R64" s="68">
        <v>0</v>
      </c>
      <c r="S64" s="78">
        <v>0</v>
      </c>
      <c r="T64" s="67">
        <v>0</v>
      </c>
      <c r="U64" s="68">
        <v>0</v>
      </c>
      <c r="V64" s="68">
        <v>0</v>
      </c>
      <c r="W64" s="68">
        <v>0</v>
      </c>
      <c r="X64" s="78">
        <v>0</v>
      </c>
    </row>
    <row r="65" spans="1:24" x14ac:dyDescent="0.2">
      <c r="D65" s="63" t="str">
        <f>Input_General!$E$81</f>
        <v>Electronic Meters</v>
      </c>
      <c r="E65" s="39" t="str">
        <f t="shared" si="7"/>
        <v>$Million</v>
      </c>
      <c r="F65" s="39" t="str">
        <f>F$64</f>
        <v>Various</v>
      </c>
      <c r="G65" s="39" t="str">
        <f t="shared" si="8"/>
        <v>End Period</v>
      </c>
      <c r="H65" s="39" t="str">
        <f t="shared" ref="H65:H74" si="9">H$64</f>
        <v>PTRMs</v>
      </c>
      <c r="J65" s="67">
        <v>0</v>
      </c>
      <c r="K65" s="68">
        <v>0</v>
      </c>
      <c r="L65" s="68">
        <v>0</v>
      </c>
      <c r="M65" s="68">
        <v>0</v>
      </c>
      <c r="N65" s="78">
        <v>0</v>
      </c>
      <c r="O65" s="67">
        <v>3.0737960480247315</v>
      </c>
      <c r="P65" s="68">
        <v>3.2666278995985407</v>
      </c>
      <c r="Q65" s="68">
        <v>3.5237195619315242</v>
      </c>
      <c r="R65" s="68">
        <v>3.1300871767660765</v>
      </c>
      <c r="S65" s="78">
        <v>3.3595881011796309</v>
      </c>
      <c r="T65" s="67">
        <v>11.19800680950271</v>
      </c>
      <c r="U65" s="68">
        <v>11.271104781487091</v>
      </c>
      <c r="V65" s="68">
        <v>11.251124470034775</v>
      </c>
      <c r="W65" s="68">
        <v>11.300627139693654</v>
      </c>
      <c r="X65" s="78">
        <v>7.5710959140394554</v>
      </c>
    </row>
    <row r="66" spans="1:24" x14ac:dyDescent="0.2">
      <c r="D66" s="63" t="str">
        <f>Input_General!$E$82</f>
        <v>Metering Communications</v>
      </c>
      <c r="E66" s="39" t="str">
        <f t="shared" si="7"/>
        <v>$Million</v>
      </c>
      <c r="F66" s="39" t="str">
        <f t="shared" ref="F66:F76" si="10">F$64</f>
        <v>Various</v>
      </c>
      <c r="G66" s="39" t="str">
        <f t="shared" si="8"/>
        <v>End Period</v>
      </c>
      <c r="H66" s="39" t="str">
        <f t="shared" si="9"/>
        <v>PTRMs</v>
      </c>
      <c r="J66" s="67">
        <v>0</v>
      </c>
      <c r="K66" s="68">
        <v>0</v>
      </c>
      <c r="L66" s="68">
        <v>0</v>
      </c>
      <c r="M66" s="68">
        <v>0</v>
      </c>
      <c r="N66" s="78">
        <v>0</v>
      </c>
      <c r="O66" s="67">
        <v>2.8858062448941522</v>
      </c>
      <c r="P66" s="68">
        <v>0.17653395580921249</v>
      </c>
      <c r="Q66" s="68">
        <v>0.19113011594351698</v>
      </c>
      <c r="R66" s="68">
        <v>4.3394196693667961</v>
      </c>
      <c r="S66" s="78">
        <v>0.18394799540018308</v>
      </c>
      <c r="T66" s="67">
        <v>0.25531460744065831</v>
      </c>
      <c r="U66" s="68">
        <v>0.30185218702850947</v>
      </c>
      <c r="V66" s="68">
        <v>0.34793919350654301</v>
      </c>
      <c r="W66" s="68">
        <v>0.39382060093773191</v>
      </c>
      <c r="X66" s="78">
        <v>0.43950798459424822</v>
      </c>
    </row>
    <row r="67" spans="1:24" x14ac:dyDescent="0.2">
      <c r="D67" s="63" t="str">
        <f>Input_General!$E$83</f>
        <v>Dedicated CTs and VTs</v>
      </c>
      <c r="E67" s="39" t="str">
        <f t="shared" si="7"/>
        <v>$Million</v>
      </c>
      <c r="F67" s="39" t="str">
        <f t="shared" si="10"/>
        <v>Various</v>
      </c>
      <c r="G67" s="39" t="str">
        <f t="shared" si="8"/>
        <v>End Period</v>
      </c>
      <c r="H67" s="39" t="str">
        <f t="shared" si="9"/>
        <v>PTRMs</v>
      </c>
      <c r="J67" s="67">
        <v>0</v>
      </c>
      <c r="K67" s="68">
        <v>0</v>
      </c>
      <c r="L67" s="68">
        <v>0</v>
      </c>
      <c r="M67" s="68">
        <v>0</v>
      </c>
      <c r="N67" s="78">
        <v>0</v>
      </c>
      <c r="O67" s="67">
        <v>0.11658749005617101</v>
      </c>
      <c r="P67" s="68">
        <v>0.12230336018192185</v>
      </c>
      <c r="Q67" s="68">
        <v>0.12244171533718724</v>
      </c>
      <c r="R67" s="68">
        <v>0.11769925094898204</v>
      </c>
      <c r="S67" s="78">
        <v>0.12474412970460569</v>
      </c>
      <c r="T67" s="67">
        <v>5.7099758517510438E-2</v>
      </c>
      <c r="U67" s="68">
        <v>5.7099758517510438E-2</v>
      </c>
      <c r="V67" s="68">
        <v>5.7099758517510438E-2</v>
      </c>
      <c r="W67" s="68">
        <v>5.7099758517510438E-2</v>
      </c>
      <c r="X67" s="78">
        <v>5.7099758517510438E-2</v>
      </c>
    </row>
    <row r="68" spans="1:24" x14ac:dyDescent="0.2">
      <c r="D68" s="63" t="str">
        <f>Input_General!$E$84</f>
        <v>Non Network Other</v>
      </c>
      <c r="E68" s="39" t="str">
        <f t="shared" si="7"/>
        <v>$Million</v>
      </c>
      <c r="F68" s="39" t="str">
        <f t="shared" si="10"/>
        <v>Various</v>
      </c>
      <c r="G68" s="39" t="str">
        <f t="shared" si="8"/>
        <v>End Period</v>
      </c>
      <c r="H68" s="39" t="str">
        <f t="shared" si="9"/>
        <v>PTRMs</v>
      </c>
      <c r="J68" s="67">
        <v>0</v>
      </c>
      <c r="K68" s="68">
        <v>0</v>
      </c>
      <c r="L68" s="68">
        <v>0</v>
      </c>
      <c r="M68" s="68">
        <v>0</v>
      </c>
      <c r="N68" s="78">
        <v>0</v>
      </c>
      <c r="O68" s="67">
        <v>0</v>
      </c>
      <c r="P68" s="68">
        <v>0</v>
      </c>
      <c r="Q68" s="68">
        <v>0</v>
      </c>
      <c r="R68" s="68">
        <v>0</v>
      </c>
      <c r="S68" s="78">
        <v>0</v>
      </c>
      <c r="T68" s="67">
        <v>0.13204853594173174</v>
      </c>
      <c r="U68" s="68">
        <v>0.13136624196314658</v>
      </c>
      <c r="V68" s="68">
        <v>0.21103037459983151</v>
      </c>
      <c r="W68" s="68">
        <v>2.0718353771024134</v>
      </c>
      <c r="X68" s="78">
        <v>2.0770860729788678</v>
      </c>
    </row>
    <row r="69" spans="1:24" x14ac:dyDescent="0.2">
      <c r="D69" s="63" t="str">
        <f>Input_General!$E$85</f>
        <v>Non Network IT and Communications</v>
      </c>
      <c r="E69" s="39" t="str">
        <f t="shared" si="7"/>
        <v>$Million</v>
      </c>
      <c r="F69" s="39" t="str">
        <f t="shared" si="10"/>
        <v>Various</v>
      </c>
      <c r="G69" s="39" t="str">
        <f t="shared" si="8"/>
        <v>End Period</v>
      </c>
      <c r="H69" s="39" t="str">
        <f t="shared" si="9"/>
        <v>PTRMs</v>
      </c>
      <c r="J69" s="67">
        <v>0</v>
      </c>
      <c r="K69" s="68">
        <v>0</v>
      </c>
      <c r="L69" s="68">
        <v>0</v>
      </c>
      <c r="M69" s="68">
        <v>0</v>
      </c>
      <c r="N69" s="78">
        <v>0</v>
      </c>
      <c r="O69" s="67">
        <v>0.11593164736902778</v>
      </c>
      <c r="P69" s="68">
        <v>0</v>
      </c>
      <c r="Q69" s="68">
        <v>0</v>
      </c>
      <c r="R69" s="68">
        <v>0</v>
      </c>
      <c r="S69" s="78">
        <v>0</v>
      </c>
      <c r="T69" s="67">
        <v>0.58005459214473853</v>
      </c>
      <c r="U69" s="68">
        <v>0.73352184543415111</v>
      </c>
      <c r="V69" s="68">
        <v>0.46943252523458517</v>
      </c>
      <c r="W69" s="68">
        <v>0.45269598770456249</v>
      </c>
      <c r="X69" s="78">
        <v>0.46243829011478216</v>
      </c>
    </row>
    <row r="70" spans="1:24" x14ac:dyDescent="0.2">
      <c r="D70" s="63" t="str">
        <f>Input_General!$E$86</f>
        <v>Fleet leases</v>
      </c>
      <c r="E70" s="39" t="str">
        <f t="shared" si="7"/>
        <v>$Million</v>
      </c>
      <c r="F70" s="39" t="str">
        <f t="shared" si="10"/>
        <v>Various</v>
      </c>
      <c r="G70" s="39" t="str">
        <f t="shared" si="8"/>
        <v>End Period</v>
      </c>
      <c r="H70" s="39" t="str">
        <f t="shared" si="9"/>
        <v>PTRMs</v>
      </c>
      <c r="J70" s="67">
        <v>0</v>
      </c>
      <c r="K70" s="68">
        <v>0</v>
      </c>
      <c r="L70" s="68">
        <v>0</v>
      </c>
      <c r="M70" s="68">
        <v>0</v>
      </c>
      <c r="N70" s="78">
        <v>0</v>
      </c>
      <c r="O70" s="67">
        <v>0.41243499108641296</v>
      </c>
      <c r="P70" s="68">
        <v>8.537638671303964E-2</v>
      </c>
      <c r="Q70" s="68">
        <v>3.5341497130398268E-2</v>
      </c>
      <c r="R70" s="68">
        <v>0.16765911449031182</v>
      </c>
      <c r="S70" s="78">
        <v>0.1093234246244031</v>
      </c>
      <c r="T70" s="67">
        <v>7.2617026867775478E-2</v>
      </c>
      <c r="U70" s="68">
        <v>0.14946716899464699</v>
      </c>
      <c r="V70" s="68">
        <v>0.1496980570113727</v>
      </c>
      <c r="W70" s="68">
        <v>0.13560334880574995</v>
      </c>
      <c r="X70" s="78">
        <v>0.10587752623976761</v>
      </c>
    </row>
    <row r="71" spans="1:24" x14ac:dyDescent="0.2">
      <c r="D71" s="63" t="str">
        <f>Input_General!$E$87</f>
        <v>Property leases</v>
      </c>
      <c r="E71" s="39" t="str">
        <f t="shared" si="7"/>
        <v>$Million</v>
      </c>
      <c r="F71" s="39" t="str">
        <f t="shared" si="10"/>
        <v>Various</v>
      </c>
      <c r="G71" s="39" t="str">
        <f t="shared" si="8"/>
        <v>End Period</v>
      </c>
      <c r="H71" s="39" t="str">
        <f t="shared" si="9"/>
        <v>PTRMs</v>
      </c>
      <c r="J71" s="67">
        <v>0</v>
      </c>
      <c r="K71" s="68">
        <v>0</v>
      </c>
      <c r="L71" s="68">
        <v>0</v>
      </c>
      <c r="M71" s="68">
        <v>0</v>
      </c>
      <c r="N71" s="78">
        <v>0</v>
      </c>
      <c r="O71" s="67">
        <v>0</v>
      </c>
      <c r="P71" s="68">
        <v>0</v>
      </c>
      <c r="Q71" s="68">
        <v>0</v>
      </c>
      <c r="R71" s="68">
        <v>0</v>
      </c>
      <c r="S71" s="78">
        <v>0</v>
      </c>
      <c r="T71" s="67">
        <v>0</v>
      </c>
      <c r="U71" s="68">
        <v>0</v>
      </c>
      <c r="V71" s="68">
        <v>0.27431464860646015</v>
      </c>
      <c r="W71" s="68">
        <v>0</v>
      </c>
      <c r="X71" s="78">
        <v>3.5878163132760189E-2</v>
      </c>
    </row>
    <row r="72" spans="1:24" x14ac:dyDescent="0.2">
      <c r="D72" s="63" t="str">
        <f>Input_General!$E$88</f>
        <v>Buildings</v>
      </c>
      <c r="E72" s="39" t="str">
        <f t="shared" si="7"/>
        <v>$Million</v>
      </c>
      <c r="F72" s="39" t="str">
        <f t="shared" si="10"/>
        <v>Various</v>
      </c>
      <c r="G72" s="39" t="str">
        <f t="shared" si="8"/>
        <v>End Period</v>
      </c>
      <c r="H72" s="39" t="str">
        <f t="shared" si="9"/>
        <v>PTRMs</v>
      </c>
      <c r="J72" s="67">
        <v>0</v>
      </c>
      <c r="K72" s="68">
        <v>0</v>
      </c>
      <c r="L72" s="68">
        <v>0</v>
      </c>
      <c r="M72" s="68">
        <v>0</v>
      </c>
      <c r="N72" s="78">
        <v>0</v>
      </c>
      <c r="O72" s="67">
        <v>0</v>
      </c>
      <c r="P72" s="68">
        <v>0</v>
      </c>
      <c r="Q72" s="68">
        <v>0</v>
      </c>
      <c r="R72" s="68">
        <v>0</v>
      </c>
      <c r="S72" s="78">
        <v>0</v>
      </c>
      <c r="T72" s="67">
        <v>0</v>
      </c>
      <c r="U72" s="68">
        <v>0</v>
      </c>
      <c r="V72" s="68">
        <v>0</v>
      </c>
      <c r="W72" s="68">
        <v>0</v>
      </c>
      <c r="X72" s="78">
        <v>0</v>
      </c>
    </row>
    <row r="73" spans="1:24" x14ac:dyDescent="0.2">
      <c r="D73" s="63" t="str">
        <f>Input_General!$E$89</f>
        <v>In-house software</v>
      </c>
      <c r="E73" s="39" t="str">
        <f t="shared" si="7"/>
        <v>$Million</v>
      </c>
      <c r="F73" s="39" t="str">
        <f t="shared" si="10"/>
        <v>Various</v>
      </c>
      <c r="G73" s="39" t="str">
        <f t="shared" si="8"/>
        <v>End Period</v>
      </c>
      <c r="H73" s="39" t="str">
        <f t="shared" si="9"/>
        <v>PTRMs</v>
      </c>
      <c r="J73" s="67">
        <v>0</v>
      </c>
      <c r="K73" s="68">
        <v>0</v>
      </c>
      <c r="L73" s="68">
        <v>0</v>
      </c>
      <c r="M73" s="68">
        <v>0</v>
      </c>
      <c r="N73" s="78">
        <v>0</v>
      </c>
      <c r="O73" s="67">
        <v>0</v>
      </c>
      <c r="P73" s="68">
        <v>0</v>
      </c>
      <c r="Q73" s="68">
        <v>0</v>
      </c>
      <c r="R73" s="68">
        <v>0</v>
      </c>
      <c r="S73" s="78">
        <v>0</v>
      </c>
      <c r="T73" s="67">
        <v>0</v>
      </c>
      <c r="U73" s="68">
        <v>0</v>
      </c>
      <c r="V73" s="68">
        <v>0</v>
      </c>
      <c r="W73" s="68">
        <v>0</v>
      </c>
      <c r="X73" s="78">
        <v>0</v>
      </c>
    </row>
    <row r="74" spans="1:24" x14ac:dyDescent="0.2">
      <c r="D74" s="63" t="s">
        <v>171</v>
      </c>
      <c r="E74" s="39" t="str">
        <f t="shared" si="7"/>
        <v>$Million</v>
      </c>
      <c r="F74" s="39" t="str">
        <f t="shared" si="10"/>
        <v>Various</v>
      </c>
      <c r="G74" s="39" t="str">
        <f t="shared" si="8"/>
        <v>End Period</v>
      </c>
      <c r="H74" s="39" t="str">
        <f t="shared" si="9"/>
        <v>PTRMs</v>
      </c>
      <c r="J74" s="67">
        <v>0</v>
      </c>
      <c r="K74" s="68">
        <v>0</v>
      </c>
      <c r="L74" s="68">
        <v>0</v>
      </c>
      <c r="M74" s="68">
        <v>0</v>
      </c>
      <c r="N74" s="78">
        <v>0</v>
      </c>
      <c r="O74" s="67"/>
      <c r="P74" s="68"/>
      <c r="Q74" s="68"/>
      <c r="R74" s="68"/>
      <c r="S74" s="78"/>
      <c r="T74" s="67"/>
      <c r="U74" s="68"/>
      <c r="V74" s="68"/>
      <c r="W74" s="68"/>
      <c r="X74" s="78"/>
    </row>
    <row r="75" spans="1:24" x14ac:dyDescent="0.2">
      <c r="E75" s="39"/>
      <c r="F75" s="39"/>
      <c r="G75" s="39"/>
      <c r="H75" s="51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</row>
    <row r="76" spans="1:24" x14ac:dyDescent="0.2">
      <c r="D76" s="104" t="s">
        <v>166</v>
      </c>
      <c r="E76" s="131" t="str">
        <f>Unit_Dollar_M</f>
        <v>$Million</v>
      </c>
      <c r="F76" s="131" t="str">
        <f t="shared" si="10"/>
        <v>Various</v>
      </c>
      <c r="G76" s="131" t="str">
        <f>End_Period</f>
        <v>End Period</v>
      </c>
      <c r="H76" s="131" t="s">
        <v>8</v>
      </c>
      <c r="I76" s="69"/>
      <c r="J76" s="128">
        <f>SUM(J64:J74)</f>
        <v>2.0426814497690726</v>
      </c>
      <c r="K76" s="129">
        <f t="shared" ref="K76:X76" si="11">SUM(K64:K74)</f>
        <v>2.4290889108347655</v>
      </c>
      <c r="L76" s="129">
        <f t="shared" si="11"/>
        <v>3.8060507516987374</v>
      </c>
      <c r="M76" s="129">
        <f t="shared" si="11"/>
        <v>3.509729354974608</v>
      </c>
      <c r="N76" s="130">
        <f t="shared" si="11"/>
        <v>1.5280597660967619</v>
      </c>
      <c r="O76" s="128">
        <f t="shared" si="11"/>
        <v>6.6045564214304955</v>
      </c>
      <c r="P76" s="129">
        <f t="shared" si="11"/>
        <v>3.6508416023027146</v>
      </c>
      <c r="Q76" s="129">
        <f t="shared" si="11"/>
        <v>3.8726328903426266</v>
      </c>
      <c r="R76" s="129">
        <f t="shared" si="11"/>
        <v>7.7548652115721675</v>
      </c>
      <c r="S76" s="130">
        <f t="shared" si="11"/>
        <v>3.7776036509088229</v>
      </c>
      <c r="T76" s="128">
        <f t="shared" si="11"/>
        <v>12.295141330415124</v>
      </c>
      <c r="U76" s="129">
        <f t="shared" si="11"/>
        <v>12.644411983425057</v>
      </c>
      <c r="V76" s="129">
        <f t="shared" si="11"/>
        <v>12.760639027511077</v>
      </c>
      <c r="W76" s="129">
        <f t="shared" si="11"/>
        <v>14.411682212761622</v>
      </c>
      <c r="X76" s="130">
        <f t="shared" si="11"/>
        <v>10.748983709617393</v>
      </c>
    </row>
    <row r="78" spans="1:24" x14ac:dyDescent="0.2">
      <c r="D78" s="63" t="s">
        <v>242</v>
      </c>
      <c r="E78" s="39" t="str">
        <f>Unit_Dollar_M</f>
        <v>$Million</v>
      </c>
      <c r="F78" s="39" t="str">
        <f>F$32</f>
        <v>Various</v>
      </c>
      <c r="G78" s="39" t="str">
        <f>End_Period</f>
        <v>End Period</v>
      </c>
      <c r="H78" s="39" t="str">
        <f>H$32</f>
        <v>PTRMs</v>
      </c>
      <c r="J78" s="47"/>
      <c r="K78" s="47"/>
      <c r="L78" s="47"/>
      <c r="M78" s="47"/>
      <c r="N78" s="47"/>
      <c r="O78" s="67">
        <v>6.6045564214304955</v>
      </c>
      <c r="P78" s="68">
        <v>3.6508416023027146</v>
      </c>
      <c r="Q78" s="68">
        <v>3.8726328903426266</v>
      </c>
      <c r="R78" s="68">
        <v>7.7548652115721675</v>
      </c>
      <c r="S78" s="78">
        <v>3.7776036509088229</v>
      </c>
      <c r="T78" s="67">
        <v>12.295141330415124</v>
      </c>
      <c r="U78" s="68">
        <v>12.644411983425057</v>
      </c>
      <c r="V78" s="68">
        <v>12.760639027511077</v>
      </c>
      <c r="W78" s="68">
        <v>14.411682212761622</v>
      </c>
      <c r="X78" s="78">
        <v>10.748983709617393</v>
      </c>
    </row>
    <row r="79" spans="1:24" x14ac:dyDescent="0.2">
      <c r="A79" s="52">
        <f>IF(SUM(J79:X79)&lt;&gt;0,1,0)</f>
        <v>0</v>
      </c>
      <c r="D79" s="45" t="s">
        <v>83</v>
      </c>
      <c r="E79" s="51" t="s">
        <v>6</v>
      </c>
      <c r="F79" s="51" t="s">
        <v>6</v>
      </c>
      <c r="G79" s="51" t="s">
        <v>6</v>
      </c>
      <c r="H79" s="51" t="s">
        <v>8</v>
      </c>
      <c r="O79" s="52">
        <f t="shared" ref="O79:X79" si="12">IF(ROUND(O78-O76,4)=0,0,1)</f>
        <v>0</v>
      </c>
      <c r="P79" s="52">
        <f t="shared" si="12"/>
        <v>0</v>
      </c>
      <c r="Q79" s="52">
        <f t="shared" si="12"/>
        <v>0</v>
      </c>
      <c r="R79" s="52">
        <f t="shared" si="12"/>
        <v>0</v>
      </c>
      <c r="S79" s="52">
        <f t="shared" si="12"/>
        <v>0</v>
      </c>
      <c r="T79" s="52">
        <f t="shared" si="12"/>
        <v>0</v>
      </c>
      <c r="U79" s="52">
        <f t="shared" si="12"/>
        <v>0</v>
      </c>
      <c r="V79" s="52">
        <f t="shared" si="12"/>
        <v>0</v>
      </c>
      <c r="W79" s="52">
        <f t="shared" si="12"/>
        <v>0</v>
      </c>
      <c r="X79" s="52">
        <f t="shared" si="12"/>
        <v>0</v>
      </c>
    </row>
    <row r="81" spans="3:24" s="121" customFormat="1" ht="15.75" x14ac:dyDescent="0.2">
      <c r="C81" s="121" t="str">
        <f>Nominal&amp;" - Actual/Estimated"</f>
        <v>Nominal - Actual/Estimated</v>
      </c>
    </row>
    <row r="83" spans="3:24" x14ac:dyDescent="0.2">
      <c r="D83" s="60" t="s">
        <v>56</v>
      </c>
      <c r="E83" s="61" t="str">
        <f>E$4</f>
        <v>Unit</v>
      </c>
      <c r="F83" s="61" t="str">
        <f>F$4</f>
        <v>Basis</v>
      </c>
      <c r="G83" s="61" t="str">
        <f>G$4</f>
        <v>Timing</v>
      </c>
      <c r="H83" s="61" t="str">
        <f>H$4</f>
        <v>Source</v>
      </c>
      <c r="I83" s="60"/>
      <c r="J83" s="62" t="str">
        <f>J$3</f>
        <v>FY15</v>
      </c>
      <c r="K83" s="62" t="str">
        <f t="shared" ref="K83:X83" si="13">K$3</f>
        <v>FY16</v>
      </c>
      <c r="L83" s="62" t="str">
        <f t="shared" si="13"/>
        <v>FY17</v>
      </c>
      <c r="M83" s="62" t="str">
        <f t="shared" si="13"/>
        <v>FY18</v>
      </c>
      <c r="N83" s="62" t="str">
        <f t="shared" si="13"/>
        <v>FY19</v>
      </c>
      <c r="O83" s="62" t="str">
        <f t="shared" si="13"/>
        <v>FY20</v>
      </c>
      <c r="P83" s="62" t="str">
        <f t="shared" si="13"/>
        <v>FY21</v>
      </c>
      <c r="Q83" s="62" t="str">
        <f t="shared" si="13"/>
        <v>FY22</v>
      </c>
      <c r="R83" s="62" t="str">
        <f t="shared" si="13"/>
        <v>FY23</v>
      </c>
      <c r="S83" s="62" t="str">
        <f t="shared" si="13"/>
        <v>FY24</v>
      </c>
      <c r="T83" s="62" t="str">
        <f t="shared" si="13"/>
        <v>FY25</v>
      </c>
      <c r="U83" s="62" t="str">
        <f t="shared" si="13"/>
        <v>FY26</v>
      </c>
      <c r="V83" s="62" t="str">
        <f t="shared" si="13"/>
        <v>FY27</v>
      </c>
      <c r="W83" s="62" t="str">
        <f t="shared" si="13"/>
        <v>FY28</v>
      </c>
      <c r="X83" s="62" t="str">
        <f t="shared" si="13"/>
        <v>FY29</v>
      </c>
    </row>
    <row r="84" spans="3:24" x14ac:dyDescent="0.2">
      <c r="J84" s="39" t="s">
        <v>249</v>
      </c>
      <c r="K84" s="39" t="s">
        <v>249</v>
      </c>
      <c r="L84" s="39" t="s">
        <v>249</v>
      </c>
      <c r="M84" s="39" t="s">
        <v>249</v>
      </c>
      <c r="N84" s="39" t="s">
        <v>250</v>
      </c>
      <c r="O84" s="39" t="str">
        <f>N84</f>
        <v>2024-29 RFM</v>
      </c>
      <c r="P84" s="39" t="str">
        <f>O84</f>
        <v>2024-29 RFM</v>
      </c>
      <c r="Q84" s="39" t="str">
        <f>P84</f>
        <v>2024-29 RFM</v>
      </c>
      <c r="R84" s="39" t="str">
        <f>Q84</f>
        <v>2024-29 RFM</v>
      </c>
      <c r="S84" s="39" t="str">
        <f>R84</f>
        <v>2024-29 RFM</v>
      </c>
    </row>
    <row r="85" spans="3:24" x14ac:dyDescent="0.2">
      <c r="D85" s="63" t="str">
        <f>Input_General!$E$80</f>
        <v>Mechanical Meters</v>
      </c>
      <c r="E85" s="39" t="str">
        <f t="shared" ref="E85:E95" si="14">Unit_Dollar_M</f>
        <v>$Million</v>
      </c>
      <c r="F85" s="39" t="str">
        <f t="shared" ref="F85:F95" si="15">Nominal</f>
        <v>Nominal</v>
      </c>
      <c r="G85" s="39" t="str">
        <f t="shared" ref="G85:G95" si="16">Mid_Period</f>
        <v>Mid Period</v>
      </c>
      <c r="H85" s="39" t="s">
        <v>62</v>
      </c>
      <c r="J85" s="67">
        <v>2.0282798854973003</v>
      </c>
      <c r="K85" s="68">
        <v>3.1930329498501586</v>
      </c>
      <c r="L85" s="68">
        <v>3.0742775003546075</v>
      </c>
      <c r="M85" s="68">
        <v>0</v>
      </c>
      <c r="N85" s="78">
        <v>0</v>
      </c>
      <c r="O85" s="67">
        <v>0</v>
      </c>
      <c r="P85" s="68">
        <v>0</v>
      </c>
      <c r="Q85" s="68">
        <v>0</v>
      </c>
      <c r="R85" s="68">
        <v>0</v>
      </c>
      <c r="S85" s="78">
        <v>0</v>
      </c>
      <c r="T85" s="47"/>
      <c r="U85" s="47"/>
      <c r="V85" s="47"/>
      <c r="W85" s="47"/>
      <c r="X85" s="47"/>
    </row>
    <row r="86" spans="3:24" x14ac:dyDescent="0.2">
      <c r="D86" s="63" t="str">
        <f>Input_General!$E$81</f>
        <v>Electronic Meters</v>
      </c>
      <c r="E86" s="39" t="str">
        <f t="shared" si="14"/>
        <v>$Million</v>
      </c>
      <c r="F86" s="39" t="str">
        <f t="shared" si="15"/>
        <v>Nominal</v>
      </c>
      <c r="G86" s="39" t="str">
        <f t="shared" si="16"/>
        <v>Mid Period</v>
      </c>
      <c r="H86" s="39" t="str">
        <f>H$85</f>
        <v>Various</v>
      </c>
      <c r="J86" s="67">
        <v>0</v>
      </c>
      <c r="K86" s="68">
        <v>0</v>
      </c>
      <c r="L86" s="68">
        <v>0</v>
      </c>
      <c r="M86" s="68">
        <v>3.8162423763728976</v>
      </c>
      <c r="N86" s="78">
        <v>3.9363220000000001</v>
      </c>
      <c r="O86" s="67">
        <v>1.59639347</v>
      </c>
      <c r="P86" s="68">
        <v>1.65066114</v>
      </c>
      <c r="Q86" s="68">
        <v>2.182604</v>
      </c>
      <c r="R86" s="68">
        <v>7.5339460000000003</v>
      </c>
      <c r="S86" s="78">
        <v>10.16709816319835</v>
      </c>
      <c r="T86" s="47"/>
      <c r="U86" s="47"/>
      <c r="V86" s="47"/>
      <c r="W86" s="47"/>
      <c r="X86" s="47"/>
    </row>
    <row r="87" spans="3:24" x14ac:dyDescent="0.2">
      <c r="D87" s="63" t="str">
        <f>Input_General!$E$82</f>
        <v>Metering Communications</v>
      </c>
      <c r="E87" s="39" t="str">
        <f t="shared" si="14"/>
        <v>$Million</v>
      </c>
      <c r="F87" s="39" t="str">
        <f t="shared" si="15"/>
        <v>Nominal</v>
      </c>
      <c r="G87" s="39" t="str">
        <f t="shared" si="16"/>
        <v>Mid Period</v>
      </c>
      <c r="H87" s="39" t="str">
        <f t="shared" ref="H87:H95" si="17">H$85</f>
        <v>Various</v>
      </c>
      <c r="J87" s="67">
        <v>0</v>
      </c>
      <c r="K87" s="68">
        <v>0</v>
      </c>
      <c r="L87" s="68">
        <v>0</v>
      </c>
      <c r="M87" s="68">
        <v>0</v>
      </c>
      <c r="N87" s="78">
        <v>0</v>
      </c>
      <c r="O87" s="67">
        <v>0</v>
      </c>
      <c r="P87" s="68">
        <v>0</v>
      </c>
      <c r="Q87" s="68">
        <v>0</v>
      </c>
      <c r="R87" s="68">
        <v>0.405061</v>
      </c>
      <c r="S87" s="78">
        <v>2.763013886901855</v>
      </c>
      <c r="T87" s="47"/>
      <c r="U87" s="47"/>
      <c r="V87" s="47"/>
      <c r="W87" s="47"/>
      <c r="X87" s="47"/>
    </row>
    <row r="88" spans="3:24" x14ac:dyDescent="0.2">
      <c r="D88" s="63" t="str">
        <f>Input_General!$E$83</f>
        <v>Dedicated CTs and VTs</v>
      </c>
      <c r="E88" s="39" t="str">
        <f t="shared" si="14"/>
        <v>$Million</v>
      </c>
      <c r="F88" s="39" t="str">
        <f t="shared" si="15"/>
        <v>Nominal</v>
      </c>
      <c r="G88" s="39" t="str">
        <f t="shared" si="16"/>
        <v>Mid Period</v>
      </c>
      <c r="H88" s="39" t="str">
        <f t="shared" si="17"/>
        <v>Various</v>
      </c>
      <c r="J88" s="67">
        <v>0</v>
      </c>
      <c r="K88" s="68">
        <v>0</v>
      </c>
      <c r="L88" s="68">
        <v>0</v>
      </c>
      <c r="M88" s="68">
        <v>0</v>
      </c>
      <c r="N88" s="78">
        <v>0</v>
      </c>
      <c r="O88" s="67">
        <v>0</v>
      </c>
      <c r="P88" s="68">
        <v>0</v>
      </c>
      <c r="Q88" s="68">
        <v>0</v>
      </c>
      <c r="R88" s="68">
        <v>0</v>
      </c>
      <c r="S88" s="78">
        <v>0</v>
      </c>
      <c r="T88" s="47"/>
      <c r="U88" s="47"/>
      <c r="V88" s="47"/>
      <c r="W88" s="47"/>
      <c r="X88" s="47"/>
    </row>
    <row r="89" spans="3:24" x14ac:dyDescent="0.2">
      <c r="D89" s="63" t="str">
        <f>Input_General!$E$84</f>
        <v>Non Network Other</v>
      </c>
      <c r="E89" s="39" t="str">
        <f t="shared" si="14"/>
        <v>$Million</v>
      </c>
      <c r="F89" s="39" t="str">
        <f t="shared" si="15"/>
        <v>Nominal</v>
      </c>
      <c r="G89" s="39" t="str">
        <f t="shared" si="16"/>
        <v>Mid Period</v>
      </c>
      <c r="H89" s="39" t="str">
        <f t="shared" si="17"/>
        <v>Various</v>
      </c>
      <c r="J89" s="67">
        <v>0</v>
      </c>
      <c r="K89" s="68">
        <v>0</v>
      </c>
      <c r="L89" s="68">
        <v>0</v>
      </c>
      <c r="M89" s="68">
        <v>0</v>
      </c>
      <c r="N89" s="78">
        <v>0</v>
      </c>
      <c r="O89" s="67">
        <v>4.4837800000000004E-2</v>
      </c>
      <c r="P89" s="68">
        <v>0.11227012</v>
      </c>
      <c r="Q89" s="68">
        <v>8.3256999999999998E-2</v>
      </c>
      <c r="R89" s="68">
        <v>0.33388600000000002</v>
      </c>
      <c r="S89" s="78">
        <v>0.12457740130916435</v>
      </c>
      <c r="T89" s="47"/>
      <c r="U89" s="47"/>
      <c r="V89" s="47"/>
      <c r="W89" s="47"/>
      <c r="X89" s="47"/>
    </row>
    <row r="90" spans="3:24" x14ac:dyDescent="0.2">
      <c r="D90" s="63" t="str">
        <f>Input_General!$E$85</f>
        <v>Non Network IT and Communications</v>
      </c>
      <c r="E90" s="39" t="str">
        <f t="shared" si="14"/>
        <v>$Million</v>
      </c>
      <c r="F90" s="39" t="str">
        <f t="shared" si="15"/>
        <v>Nominal</v>
      </c>
      <c r="G90" s="39" t="str">
        <f t="shared" si="16"/>
        <v>Mid Period</v>
      </c>
      <c r="H90" s="39" t="str">
        <f t="shared" si="17"/>
        <v>Various</v>
      </c>
      <c r="J90" s="67">
        <v>0</v>
      </c>
      <c r="K90" s="68">
        <v>0</v>
      </c>
      <c r="L90" s="68">
        <v>0</v>
      </c>
      <c r="M90" s="68">
        <v>0</v>
      </c>
      <c r="N90" s="78">
        <v>0</v>
      </c>
      <c r="O90" s="67">
        <v>0.24360609</v>
      </c>
      <c r="P90" s="68">
        <v>8.2099729999999996E-2</v>
      </c>
      <c r="Q90" s="68">
        <v>0.24063200000000001</v>
      </c>
      <c r="R90" s="68">
        <v>0.82295700000000005</v>
      </c>
      <c r="S90" s="78">
        <v>0.73089720675611025</v>
      </c>
      <c r="T90" s="47"/>
      <c r="U90" s="47"/>
      <c r="V90" s="47"/>
      <c r="W90" s="47"/>
      <c r="X90" s="47"/>
    </row>
    <row r="91" spans="3:24" x14ac:dyDescent="0.2">
      <c r="D91" s="63" t="str">
        <f>Input_General!$E$86</f>
        <v>Fleet leases</v>
      </c>
      <c r="E91" s="39" t="str">
        <f t="shared" si="14"/>
        <v>$Million</v>
      </c>
      <c r="F91" s="39" t="str">
        <f t="shared" si="15"/>
        <v>Nominal</v>
      </c>
      <c r="G91" s="39" t="str">
        <f t="shared" si="16"/>
        <v>Mid Period</v>
      </c>
      <c r="H91" s="39" t="str">
        <f t="shared" si="17"/>
        <v>Various</v>
      </c>
      <c r="J91" s="67">
        <v>0</v>
      </c>
      <c r="K91" s="68">
        <v>0</v>
      </c>
      <c r="L91" s="68">
        <v>0</v>
      </c>
      <c r="M91" s="68">
        <v>0</v>
      </c>
      <c r="N91" s="78">
        <v>0</v>
      </c>
      <c r="O91" s="67">
        <v>0.54181505000000008</v>
      </c>
      <c r="P91" s="68">
        <v>0.10036872999999999</v>
      </c>
      <c r="Q91" s="68">
        <v>0.11856</v>
      </c>
      <c r="R91" s="68">
        <v>9.5598000000000002E-2</v>
      </c>
      <c r="S91" s="78">
        <v>7.8842505788718209E-2</v>
      </c>
      <c r="T91" s="47"/>
      <c r="U91" s="47"/>
      <c r="V91" s="47"/>
      <c r="W91" s="47"/>
      <c r="X91" s="47"/>
    </row>
    <row r="92" spans="3:24" x14ac:dyDescent="0.2">
      <c r="D92" s="63" t="str">
        <f>Input_General!$E$87</f>
        <v>Property leases</v>
      </c>
      <c r="E92" s="39" t="str">
        <f t="shared" si="14"/>
        <v>$Million</v>
      </c>
      <c r="F92" s="39" t="str">
        <f t="shared" si="15"/>
        <v>Nominal</v>
      </c>
      <c r="G92" s="39" t="str">
        <f t="shared" si="16"/>
        <v>Mid Period</v>
      </c>
      <c r="H92" s="39" t="str">
        <f t="shared" si="17"/>
        <v>Various</v>
      </c>
      <c r="J92" s="67">
        <v>0</v>
      </c>
      <c r="K92" s="68">
        <v>0</v>
      </c>
      <c r="L92" s="68">
        <v>0</v>
      </c>
      <c r="M92" s="68">
        <v>0</v>
      </c>
      <c r="N92" s="78">
        <v>0</v>
      </c>
      <c r="O92" s="67">
        <v>0.12408016000000001</v>
      </c>
      <c r="P92" s="68">
        <v>4.105996E-2</v>
      </c>
      <c r="Q92" s="68">
        <v>0.47113699999999997</v>
      </c>
      <c r="R92" s="68">
        <v>3.8424E-2</v>
      </c>
      <c r="S92" s="78">
        <v>0.19824820019954736</v>
      </c>
      <c r="T92" s="47"/>
      <c r="U92" s="47"/>
      <c r="V92" s="47"/>
      <c r="W92" s="47"/>
      <c r="X92" s="47"/>
    </row>
    <row r="93" spans="3:24" x14ac:dyDescent="0.2">
      <c r="D93" s="63" t="str">
        <f>Input_General!$E$88</f>
        <v>Buildings</v>
      </c>
      <c r="E93" s="39" t="str">
        <f t="shared" si="14"/>
        <v>$Million</v>
      </c>
      <c r="F93" s="39" t="str">
        <f t="shared" si="15"/>
        <v>Nominal</v>
      </c>
      <c r="G93" s="39" t="str">
        <f t="shared" si="16"/>
        <v>Mid Period</v>
      </c>
      <c r="H93" s="39" t="str">
        <f t="shared" si="17"/>
        <v>Various</v>
      </c>
      <c r="J93" s="67">
        <v>0</v>
      </c>
      <c r="K93" s="68">
        <v>0</v>
      </c>
      <c r="L93" s="68">
        <v>0</v>
      </c>
      <c r="M93" s="68">
        <v>0</v>
      </c>
      <c r="N93" s="78">
        <v>0</v>
      </c>
      <c r="O93" s="67">
        <v>1.654197E-2</v>
      </c>
      <c r="P93" s="68">
        <v>5.8798179999999999E-2</v>
      </c>
      <c r="Q93" s="68">
        <v>0.12519</v>
      </c>
      <c r="R93" s="68">
        <v>7.7393000000000003E-2</v>
      </c>
      <c r="S93" s="78">
        <v>0</v>
      </c>
      <c r="T93" s="47"/>
      <c r="U93" s="47"/>
      <c r="V93" s="47"/>
      <c r="W93" s="47"/>
      <c r="X93" s="47"/>
    </row>
    <row r="94" spans="3:24" x14ac:dyDescent="0.2">
      <c r="D94" s="63" t="str">
        <f>Input_General!$E$89</f>
        <v>In-house software</v>
      </c>
      <c r="E94" s="39" t="str">
        <f t="shared" si="14"/>
        <v>$Million</v>
      </c>
      <c r="F94" s="39" t="str">
        <f t="shared" si="15"/>
        <v>Nominal</v>
      </c>
      <c r="G94" s="39" t="str">
        <f t="shared" si="16"/>
        <v>Mid Period</v>
      </c>
      <c r="H94" s="39" t="str">
        <f t="shared" si="17"/>
        <v>Various</v>
      </c>
      <c r="J94" s="67">
        <v>0</v>
      </c>
      <c r="K94" s="68">
        <v>0</v>
      </c>
      <c r="L94" s="68">
        <v>0</v>
      </c>
      <c r="M94" s="68">
        <v>0</v>
      </c>
      <c r="N94" s="78">
        <v>0</v>
      </c>
      <c r="O94" s="67">
        <v>0</v>
      </c>
      <c r="P94" s="68">
        <v>0</v>
      </c>
      <c r="Q94" s="68">
        <v>0</v>
      </c>
      <c r="R94" s="68">
        <v>0</v>
      </c>
      <c r="S94" s="78">
        <v>0</v>
      </c>
      <c r="T94" s="47"/>
      <c r="U94" s="47"/>
      <c r="V94" s="47"/>
      <c r="W94" s="47"/>
      <c r="X94" s="47"/>
    </row>
    <row r="95" spans="3:24" x14ac:dyDescent="0.2">
      <c r="D95" s="63" t="s">
        <v>171</v>
      </c>
      <c r="E95" s="39" t="str">
        <f t="shared" si="14"/>
        <v>$Million</v>
      </c>
      <c r="F95" s="39" t="str">
        <f t="shared" si="15"/>
        <v>Nominal</v>
      </c>
      <c r="G95" s="39" t="str">
        <f t="shared" si="16"/>
        <v>Mid Period</v>
      </c>
      <c r="H95" s="39" t="str">
        <f t="shared" si="17"/>
        <v>Various</v>
      </c>
      <c r="J95" s="67">
        <v>0</v>
      </c>
      <c r="K95" s="68">
        <v>0</v>
      </c>
      <c r="L95" s="68">
        <v>0</v>
      </c>
      <c r="M95" s="68">
        <v>0</v>
      </c>
      <c r="N95" s="78">
        <v>0</v>
      </c>
      <c r="O95" s="67">
        <v>0</v>
      </c>
      <c r="P95" s="68">
        <v>0</v>
      </c>
      <c r="Q95" s="68">
        <v>0</v>
      </c>
      <c r="R95" s="68">
        <v>0</v>
      </c>
      <c r="S95" s="78">
        <v>0</v>
      </c>
      <c r="T95" s="47"/>
      <c r="U95" s="47"/>
      <c r="V95" s="47"/>
      <c r="W95" s="47"/>
      <c r="X95" s="47"/>
    </row>
    <row r="96" spans="3:24" x14ac:dyDescent="0.2">
      <c r="E96" s="39"/>
      <c r="F96" s="39"/>
      <c r="G96" s="39"/>
      <c r="H96" s="51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</row>
    <row r="97" spans="1:24" x14ac:dyDescent="0.2">
      <c r="D97" s="104" t="s">
        <v>166</v>
      </c>
      <c r="E97" s="131" t="str">
        <f>Unit_Dollar_M</f>
        <v>$Million</v>
      </c>
      <c r="F97" s="131" t="str">
        <f>Nominal</f>
        <v>Nominal</v>
      </c>
      <c r="G97" s="131" t="str">
        <f>Mid_Period</f>
        <v>Mid Period</v>
      </c>
      <c r="H97" s="131" t="s">
        <v>8</v>
      </c>
      <c r="I97" s="69"/>
      <c r="J97" s="128">
        <f>SUM(J85:J95)</f>
        <v>2.0282798854973003</v>
      </c>
      <c r="K97" s="129">
        <f t="shared" ref="K97:X97" si="18">SUM(K85:K95)</f>
        <v>3.1930329498501586</v>
      </c>
      <c r="L97" s="129">
        <f t="shared" si="18"/>
        <v>3.0742775003546075</v>
      </c>
      <c r="M97" s="129">
        <f t="shared" si="18"/>
        <v>3.8162423763728976</v>
      </c>
      <c r="N97" s="130">
        <f t="shared" si="18"/>
        <v>3.9363220000000001</v>
      </c>
      <c r="O97" s="128">
        <f t="shared" si="18"/>
        <v>2.5672745400000001</v>
      </c>
      <c r="P97" s="129">
        <f t="shared" si="18"/>
        <v>2.04525786</v>
      </c>
      <c r="Q97" s="129">
        <f t="shared" si="18"/>
        <v>3.2213800000000004</v>
      </c>
      <c r="R97" s="129">
        <f t="shared" si="18"/>
        <v>9.307265000000001</v>
      </c>
      <c r="S97" s="130">
        <f t="shared" si="18"/>
        <v>14.062677364153744</v>
      </c>
      <c r="T97" s="128">
        <f t="shared" si="18"/>
        <v>0</v>
      </c>
      <c r="U97" s="129">
        <f t="shared" si="18"/>
        <v>0</v>
      </c>
      <c r="V97" s="129">
        <f t="shared" si="18"/>
        <v>0</v>
      </c>
      <c r="W97" s="129">
        <f t="shared" si="18"/>
        <v>0</v>
      </c>
      <c r="X97" s="130">
        <f t="shared" si="18"/>
        <v>0</v>
      </c>
    </row>
    <row r="99" spans="1:24" x14ac:dyDescent="0.2">
      <c r="D99" s="63" t="s">
        <v>246</v>
      </c>
      <c r="E99" s="39" t="str">
        <f>Unit_Dollar_M</f>
        <v>$Million</v>
      </c>
      <c r="F99" s="39" t="str">
        <f>Nominal</f>
        <v>Nominal</v>
      </c>
      <c r="G99" s="39" t="str">
        <f>Mid_Period</f>
        <v>Mid Period</v>
      </c>
      <c r="H99" s="39" t="s">
        <v>248</v>
      </c>
      <c r="J99" s="47"/>
      <c r="K99" s="47"/>
      <c r="L99" s="47"/>
      <c r="M99" s="47"/>
      <c r="N99" s="78">
        <v>3.9363220000000001</v>
      </c>
      <c r="O99" s="67">
        <v>2.5672745400000001</v>
      </c>
      <c r="P99" s="68">
        <v>2.04525786</v>
      </c>
      <c r="Q99" s="68">
        <v>3.2213800000000004</v>
      </c>
      <c r="R99" s="68">
        <v>9.307265000000001</v>
      </c>
      <c r="S99" s="78">
        <v>14.062677364153744</v>
      </c>
      <c r="T99" s="47"/>
      <c r="U99" s="47"/>
      <c r="V99" s="47"/>
      <c r="W99" s="47"/>
      <c r="X99" s="47"/>
    </row>
    <row r="100" spans="1:24" x14ac:dyDescent="0.2">
      <c r="A100" s="52">
        <f>IF(SUM(J100:X100)&lt;&gt;0,1,0)</f>
        <v>0</v>
      </c>
      <c r="D100" s="45" t="s">
        <v>83</v>
      </c>
      <c r="E100" s="51" t="s">
        <v>6</v>
      </c>
      <c r="F100" s="51" t="s">
        <v>6</v>
      </c>
      <c r="G100" s="51" t="s">
        <v>6</v>
      </c>
      <c r="H100" s="51" t="s">
        <v>8</v>
      </c>
      <c r="N100" s="52">
        <f t="shared" ref="N100:S100" si="19">IF(ROUND(N99-N97,4)=0,0,1)</f>
        <v>0</v>
      </c>
      <c r="O100" s="52">
        <f t="shared" si="19"/>
        <v>0</v>
      </c>
      <c r="P100" s="52">
        <f t="shared" si="19"/>
        <v>0</v>
      </c>
      <c r="Q100" s="52">
        <f t="shared" si="19"/>
        <v>0</v>
      </c>
      <c r="R100" s="52">
        <f t="shared" si="19"/>
        <v>0</v>
      </c>
      <c r="S100" s="52">
        <f t="shared" si="19"/>
        <v>0</v>
      </c>
    </row>
    <row r="102" spans="1:24" s="6" customFormat="1" ht="18.75" x14ac:dyDescent="0.2">
      <c r="B102" s="6" t="s">
        <v>43</v>
      </c>
    </row>
  </sheetData>
  <hyperlinks>
    <hyperlink ref="B4" location="ToC!A1" display="ToC!A1" xr:uid="{8C2C9BB6-8B66-4CF8-929D-BFC310211CCD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09563-4525-4DFF-8BF5-E114A651599D}">
  <sheetPr codeName="Sheet9">
    <tabColor theme="4" tint="0.79998168889431442"/>
  </sheetPr>
  <dimension ref="A1:X22"/>
  <sheetViews>
    <sheetView showGridLines="0" zoomScaleNormal="100" workbookViewId="0">
      <pane xSplit="4" ySplit="4" topLeftCell="E5" activePane="bottomRight" state="frozen"/>
      <selection activeCell="B5" sqref="B5"/>
      <selection pane="topRight" activeCell="B5" sqref="B5"/>
      <selection pane="bottomLeft" activeCell="B5" sqref="B5"/>
      <selection pane="bottomRight" activeCell="E5" sqref="E5"/>
    </sheetView>
  </sheetViews>
  <sheetFormatPr defaultRowHeight="12.75" x14ac:dyDescent="0.2"/>
  <cols>
    <col min="1" max="3" width="3.7109375" customWidth="1"/>
    <col min="4" max="4" width="15.140625" customWidth="1"/>
    <col min="5" max="7" width="11.5703125" customWidth="1"/>
    <col min="8" max="8" width="25.28515625" customWidth="1"/>
    <col min="9" max="9" width="2.5703125" customWidth="1"/>
    <col min="10" max="24" width="9.5703125" customWidth="1"/>
  </cols>
  <sheetData>
    <row r="1" spans="1:24" ht="23.25" x14ac:dyDescent="0.35">
      <c r="A1" s="52">
        <f>IF(SUM(A5:A22)&lt;&gt;0,1,0)</f>
        <v>0</v>
      </c>
      <c r="B1" s="16" t="s">
        <v>193</v>
      </c>
    </row>
    <row r="2" spans="1:24" ht="15" x14ac:dyDescent="0.2">
      <c r="B2" s="34" t="str">
        <f>Model_Name</f>
        <v>Power and Water - Revised Proposal - Tables and Charts</v>
      </c>
    </row>
    <row r="3" spans="1:24" x14ac:dyDescent="0.2">
      <c r="B3" s="37" t="str">
        <f>"Model Checks:"&amp;IF(Model_Checks=0," OK"," Check")</f>
        <v>Model Checks: OK</v>
      </c>
      <c r="J3" s="62" t="str">
        <f>LookupTab!M$40</f>
        <v>FY15</v>
      </c>
      <c r="K3" s="62" t="str">
        <f>LookupTab!N$40</f>
        <v>FY16</v>
      </c>
      <c r="L3" s="62" t="str">
        <f>LookupTab!O$40</f>
        <v>FY17</v>
      </c>
      <c r="M3" s="62" t="str">
        <f>LookupTab!P$40</f>
        <v>FY18</v>
      </c>
      <c r="N3" s="62" t="str">
        <f>LookupTab!Q$40</f>
        <v>FY19</v>
      </c>
      <c r="O3" s="62" t="str">
        <f>LookupTab!R$40</f>
        <v>FY20</v>
      </c>
      <c r="P3" s="62" t="str">
        <f>LookupTab!S$40</f>
        <v>FY21</v>
      </c>
      <c r="Q3" s="62" t="str">
        <f>LookupTab!T$40</f>
        <v>FY22</v>
      </c>
      <c r="R3" s="62" t="str">
        <f>LookupTab!U$40</f>
        <v>FY23</v>
      </c>
      <c r="S3" s="62" t="str">
        <f>LookupTab!V$40</f>
        <v>FY24</v>
      </c>
      <c r="T3" s="62" t="str">
        <f>LookupTab!W$40</f>
        <v>FY25</v>
      </c>
      <c r="U3" s="62" t="str">
        <f>LookupTab!X$40</f>
        <v>FY26</v>
      </c>
      <c r="V3" s="62" t="str">
        <f>LookupTab!Y$40</f>
        <v>FY27</v>
      </c>
      <c r="W3" s="62" t="str">
        <f>LookupTab!Z$40</f>
        <v>FY28</v>
      </c>
      <c r="X3" s="62" t="str">
        <f>LookupTab!AA$40</f>
        <v>FY29</v>
      </c>
    </row>
    <row r="4" spans="1:24" ht="15" x14ac:dyDescent="0.2">
      <c r="B4" s="29" t="str">
        <f>ToC!$B$1</f>
        <v>Table of contents</v>
      </c>
      <c r="E4" s="48" t="s">
        <v>2</v>
      </c>
      <c r="F4" s="48" t="s">
        <v>3</v>
      </c>
      <c r="G4" s="48" t="s">
        <v>4</v>
      </c>
      <c r="H4" s="48" t="s">
        <v>1</v>
      </c>
      <c r="J4" s="110" t="str">
        <f>LookupTab!M$41</f>
        <v>Previous Period</v>
      </c>
      <c r="K4" s="41"/>
      <c r="L4" s="41"/>
      <c r="M4" s="41"/>
      <c r="N4" s="41"/>
      <c r="O4" s="111" t="str">
        <f>LookupTab!R$41</f>
        <v>Current Period</v>
      </c>
      <c r="P4" s="42"/>
      <c r="Q4" s="42"/>
      <c r="R4" s="42"/>
      <c r="S4" s="42"/>
      <c r="T4" s="112" t="str">
        <f>LookupTab!W$41</f>
        <v>Next Period</v>
      </c>
      <c r="U4" s="43"/>
      <c r="V4" s="43"/>
      <c r="W4" s="43"/>
      <c r="X4" s="43"/>
    </row>
    <row r="6" spans="1:24" s="6" customFormat="1" ht="18.75" x14ac:dyDescent="0.2">
      <c r="B6" s="6" t="s">
        <v>194</v>
      </c>
    </row>
    <row r="8" spans="1:24" s="121" customFormat="1" ht="15.75" x14ac:dyDescent="0.2">
      <c r="C8" s="121" t="s">
        <v>266</v>
      </c>
    </row>
    <row r="10" spans="1:24" x14ac:dyDescent="0.2">
      <c r="D10" s="60" t="s">
        <v>56</v>
      </c>
      <c r="E10" s="61" t="str">
        <f>E$4</f>
        <v>Unit</v>
      </c>
      <c r="F10" s="61" t="str">
        <f>F$4</f>
        <v>Basis</v>
      </c>
      <c r="G10" s="61" t="str">
        <f>G$4</f>
        <v>Timing</v>
      </c>
      <c r="H10" s="61" t="str">
        <f>H$4</f>
        <v>Source</v>
      </c>
      <c r="I10" s="60"/>
      <c r="J10" s="62" t="str">
        <f>J$3</f>
        <v>FY15</v>
      </c>
      <c r="K10" s="62" t="str">
        <f t="shared" ref="K10:X10" si="0">K$3</f>
        <v>FY16</v>
      </c>
      <c r="L10" s="62" t="str">
        <f t="shared" si="0"/>
        <v>FY17</v>
      </c>
      <c r="M10" s="62" t="str">
        <f t="shared" si="0"/>
        <v>FY18</v>
      </c>
      <c r="N10" s="62" t="str">
        <f t="shared" si="0"/>
        <v>FY19</v>
      </c>
      <c r="O10" s="62" t="str">
        <f t="shared" si="0"/>
        <v>FY20</v>
      </c>
      <c r="P10" s="62" t="str">
        <f t="shared" si="0"/>
        <v>FY21</v>
      </c>
      <c r="Q10" s="62" t="str">
        <f t="shared" si="0"/>
        <v>FY22</v>
      </c>
      <c r="R10" s="62" t="str">
        <f t="shared" si="0"/>
        <v>FY23</v>
      </c>
      <c r="S10" s="62" t="str">
        <f t="shared" si="0"/>
        <v>FY24</v>
      </c>
      <c r="T10" s="62" t="str">
        <f t="shared" si="0"/>
        <v>FY25</v>
      </c>
      <c r="U10" s="62" t="str">
        <f t="shared" si="0"/>
        <v>FY26</v>
      </c>
      <c r="V10" s="62" t="str">
        <f t="shared" si="0"/>
        <v>FY27</v>
      </c>
      <c r="W10" s="62" t="str">
        <f t="shared" si="0"/>
        <v>FY28</v>
      </c>
      <c r="X10" s="62" t="str">
        <f t="shared" si="0"/>
        <v>FY29</v>
      </c>
    </row>
    <row r="12" spans="1:24" x14ac:dyDescent="0.2">
      <c r="D12" s="63" t="s">
        <v>191</v>
      </c>
      <c r="E12" s="39" t="str">
        <f>Unit_Dollar_M</f>
        <v>$Million</v>
      </c>
      <c r="F12" s="39" t="str">
        <f>Nominal</f>
        <v>Nominal</v>
      </c>
      <c r="G12" s="39" t="str">
        <f>End_Period</f>
        <v>End Period</v>
      </c>
      <c r="H12" s="39" t="s">
        <v>195</v>
      </c>
      <c r="J12" s="47"/>
      <c r="K12" s="47"/>
      <c r="L12" s="47"/>
      <c r="M12" s="47"/>
      <c r="N12" s="47"/>
      <c r="O12" s="67">
        <v>4.0410751238995939</v>
      </c>
      <c r="P12" s="68">
        <v>4.0433466572027035</v>
      </c>
      <c r="Q12" s="68">
        <v>4.046390845961402</v>
      </c>
      <c r="R12" s="68">
        <v>4.0524755121737632</v>
      </c>
      <c r="S12" s="78">
        <v>4.0587153890559771</v>
      </c>
      <c r="T12" s="67"/>
      <c r="U12" s="68"/>
      <c r="V12" s="68"/>
      <c r="W12" s="68"/>
      <c r="X12" s="78"/>
    </row>
    <row r="13" spans="1:24" x14ac:dyDescent="0.2">
      <c r="D13" s="63" t="s">
        <v>192</v>
      </c>
      <c r="E13" s="39" t="str">
        <f>Unit_Dollar_M</f>
        <v>$Million</v>
      </c>
      <c r="F13" s="39" t="str">
        <f>Nominal</f>
        <v>Nominal</v>
      </c>
      <c r="G13" s="39" t="str">
        <f>End_Period</f>
        <v>End Period</v>
      </c>
      <c r="H13" s="39" t="s">
        <v>195</v>
      </c>
      <c r="J13" s="47"/>
      <c r="K13" s="47"/>
      <c r="L13" s="47"/>
      <c r="M13" s="47"/>
      <c r="N13" s="47"/>
      <c r="O13" s="67">
        <v>2.3076835580779269</v>
      </c>
      <c r="P13" s="68">
        <v>2.3771338523419794</v>
      </c>
      <c r="Q13" s="68">
        <v>2.4547103605078293</v>
      </c>
      <c r="R13" s="68">
        <v>2.5386815686045763</v>
      </c>
      <c r="S13" s="78">
        <v>2.6253130892315442</v>
      </c>
      <c r="T13" s="67"/>
      <c r="U13" s="68"/>
      <c r="V13" s="68"/>
      <c r="W13" s="68"/>
      <c r="X13" s="78"/>
    </row>
    <row r="15" spans="1:24" s="121" customFormat="1" ht="15.75" x14ac:dyDescent="0.2">
      <c r="C15" s="121" t="s">
        <v>267</v>
      </c>
    </row>
    <row r="17" spans="2:24" x14ac:dyDescent="0.2">
      <c r="D17" s="60" t="s">
        <v>56</v>
      </c>
      <c r="E17" s="61" t="str">
        <f>E$4</f>
        <v>Unit</v>
      </c>
      <c r="F17" s="61" t="str">
        <f>F$4</f>
        <v>Basis</v>
      </c>
      <c r="G17" s="61" t="str">
        <f>G$4</f>
        <v>Timing</v>
      </c>
      <c r="H17" s="61" t="str">
        <f>H$4</f>
        <v>Source</v>
      </c>
      <c r="I17" s="60"/>
      <c r="J17" s="62" t="str">
        <f>J$3</f>
        <v>FY15</v>
      </c>
      <c r="K17" s="62" t="str">
        <f t="shared" ref="K17:X17" si="1">K$3</f>
        <v>FY16</v>
      </c>
      <c r="L17" s="62" t="str">
        <f t="shared" si="1"/>
        <v>FY17</v>
      </c>
      <c r="M17" s="62" t="str">
        <f t="shared" si="1"/>
        <v>FY18</v>
      </c>
      <c r="N17" s="62" t="str">
        <f t="shared" si="1"/>
        <v>FY19</v>
      </c>
      <c r="O17" s="62" t="str">
        <f t="shared" si="1"/>
        <v>FY20</v>
      </c>
      <c r="P17" s="62" t="str">
        <f t="shared" si="1"/>
        <v>FY21</v>
      </c>
      <c r="Q17" s="62" t="str">
        <f t="shared" si="1"/>
        <v>FY22</v>
      </c>
      <c r="R17" s="62" t="str">
        <f t="shared" si="1"/>
        <v>FY23</v>
      </c>
      <c r="S17" s="62" t="str">
        <f t="shared" si="1"/>
        <v>FY24</v>
      </c>
      <c r="T17" s="62" t="str">
        <f t="shared" si="1"/>
        <v>FY25</v>
      </c>
      <c r="U17" s="62" t="str">
        <f t="shared" si="1"/>
        <v>FY26</v>
      </c>
      <c r="V17" s="62" t="str">
        <f t="shared" si="1"/>
        <v>FY27</v>
      </c>
      <c r="W17" s="62" t="str">
        <f t="shared" si="1"/>
        <v>FY28</v>
      </c>
      <c r="X17" s="62" t="str">
        <f t="shared" si="1"/>
        <v>FY29</v>
      </c>
    </row>
    <row r="19" spans="2:24" x14ac:dyDescent="0.2">
      <c r="D19" s="63" t="s">
        <v>191</v>
      </c>
      <c r="E19" s="39" t="str">
        <f>Unit_Dollar_M</f>
        <v>$Million</v>
      </c>
      <c r="F19" s="39" t="str">
        <f>Nominal</f>
        <v>Nominal</v>
      </c>
      <c r="G19" s="39" t="str">
        <f>Mid_Period</f>
        <v>Mid Period</v>
      </c>
      <c r="H19" s="39" t="s">
        <v>269</v>
      </c>
      <c r="J19" s="47"/>
      <c r="K19" s="47"/>
      <c r="L19" s="47"/>
      <c r="M19" s="47"/>
      <c r="N19" s="47"/>
      <c r="O19" s="67">
        <v>1.813423</v>
      </c>
      <c r="P19" s="68">
        <v>1.2675540000000001</v>
      </c>
      <c r="Q19" s="68">
        <v>2.399184</v>
      </c>
      <c r="R19" s="68">
        <v>3.0576235500000002</v>
      </c>
      <c r="S19" s="47"/>
      <c r="T19" s="47"/>
      <c r="U19" s="47"/>
      <c r="V19" s="47"/>
      <c r="W19" s="47"/>
      <c r="X19" s="47"/>
    </row>
    <row r="20" spans="2:24" x14ac:dyDescent="0.2">
      <c r="D20" s="63" t="s">
        <v>192</v>
      </c>
      <c r="E20" s="39" t="str">
        <f>Unit_Dollar_M</f>
        <v>$Million</v>
      </c>
      <c r="F20" s="39" t="str">
        <f>Nominal</f>
        <v>Nominal</v>
      </c>
      <c r="G20" s="39" t="str">
        <f>Mid_Period</f>
        <v>Mid Period</v>
      </c>
      <c r="H20" s="39" t="s">
        <v>270</v>
      </c>
      <c r="J20" s="47"/>
      <c r="K20" s="47"/>
      <c r="L20" s="47"/>
      <c r="M20" s="47"/>
      <c r="N20" s="47"/>
      <c r="O20" s="67">
        <v>1.87618</v>
      </c>
      <c r="P20" s="68">
        <v>2.3038509999999999</v>
      </c>
      <c r="Q20" s="68">
        <v>4.7253749999999997</v>
      </c>
      <c r="R20" s="68">
        <v>4.5808826799999993</v>
      </c>
      <c r="S20" s="47"/>
      <c r="T20" s="47"/>
      <c r="U20" s="47"/>
      <c r="V20" s="47"/>
      <c r="W20" s="47"/>
      <c r="X20" s="47"/>
    </row>
    <row r="22" spans="2:24" s="6" customFormat="1" ht="18.75" x14ac:dyDescent="0.2">
      <c r="B22" s="6" t="s">
        <v>43</v>
      </c>
    </row>
  </sheetData>
  <hyperlinks>
    <hyperlink ref="B4" location="ToC!A1" display="ToC!A1" xr:uid="{CB02795B-D7DF-44B8-A72D-E01A90DBCB6B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6D829-E318-44E7-9670-C6A2671083C0}">
  <sheetPr>
    <tabColor rgb="FFFFFF00"/>
  </sheetPr>
  <dimension ref="A1:AQ178"/>
  <sheetViews>
    <sheetView showGridLines="0" zoomScaleNormal="100" workbookViewId="0">
      <pane xSplit="4" ySplit="4" topLeftCell="E5" activePane="bottomRight" state="frozen"/>
      <selection activeCell="B5" sqref="B5"/>
      <selection pane="topRight" activeCell="B5" sqref="B5"/>
      <selection pane="bottomLeft" activeCell="B5" sqref="B5"/>
      <selection pane="bottomRight" activeCell="E6" sqref="E6"/>
    </sheetView>
  </sheetViews>
  <sheetFormatPr defaultColWidth="7.7109375" defaultRowHeight="11.25" x14ac:dyDescent="0.2"/>
  <cols>
    <col min="1" max="2" width="2.28515625" style="97" customWidth="1"/>
    <col min="3" max="3" width="6" style="97" customWidth="1"/>
    <col min="4" max="4" width="80.5703125" style="97" bestFit="1" customWidth="1"/>
    <col min="5" max="5" width="10.42578125" style="97" customWidth="1"/>
    <col min="6" max="6" width="15.5703125" style="97" bestFit="1" customWidth="1"/>
    <col min="7" max="7" width="20" style="97" bestFit="1" customWidth="1"/>
    <col min="8" max="17" width="12.5703125" style="97" customWidth="1"/>
    <col min="18" max="18" width="3.5703125" style="97" customWidth="1"/>
    <col min="19" max="28" width="12.5703125" style="97" customWidth="1"/>
    <col min="29" max="29" width="3.5703125" style="97" customWidth="1"/>
    <col min="30" max="39" width="12.5703125" style="97" customWidth="1"/>
    <col min="40" max="40" width="7.7109375" style="97"/>
    <col min="41" max="41" width="13.42578125" style="97" customWidth="1"/>
    <col min="42" max="42" width="29.28515625" style="97" customWidth="1"/>
    <col min="43" max="43" width="23.7109375" style="97" customWidth="1"/>
    <col min="44" max="16384" width="7.7109375" style="97"/>
  </cols>
  <sheetData>
    <row r="1" spans="1:43" ht="23.25" x14ac:dyDescent="0.2">
      <c r="A1" s="102">
        <f>IF(SUM($A6:$A137)&gt;0,1,0)</f>
        <v>0</v>
      </c>
      <c r="B1" s="126" t="s">
        <v>1126</v>
      </c>
    </row>
    <row r="2" spans="1:43" ht="15" x14ac:dyDescent="0.2">
      <c r="B2" s="34" t="str">
        <f>Model_Name</f>
        <v>Power and Water - Revised Proposal - Tables and Charts</v>
      </c>
    </row>
    <row r="3" spans="1:43" ht="12.75" x14ac:dyDescent="0.2">
      <c r="B3" s="37" t="str">
        <f>"Model Checks:"&amp;IF(Model_Checks=0," OK"," Check")</f>
        <v>Model Checks: OK</v>
      </c>
      <c r="C3" s="101"/>
      <c r="D3" s="101"/>
      <c r="E3" s="101"/>
      <c r="F3" s="101"/>
      <c r="G3" s="101"/>
      <c r="H3" s="101"/>
    </row>
    <row r="4" spans="1:43" x14ac:dyDescent="0.2">
      <c r="B4" s="101" t="str">
        <f>ToC!B1</f>
        <v>Table of contents</v>
      </c>
    </row>
    <row r="6" spans="1:43" s="6" customFormat="1" ht="18.75" x14ac:dyDescent="0.2">
      <c r="B6" s="6" t="s">
        <v>276</v>
      </c>
    </row>
    <row r="7" spans="1:43" ht="4.5" customHeight="1" x14ac:dyDescent="0.2"/>
    <row r="8" spans="1:43" s="121" customFormat="1" ht="15.75" x14ac:dyDescent="0.2">
      <c r="C8" s="121" t="s">
        <v>615</v>
      </c>
    </row>
    <row r="9" spans="1:43" ht="11.25" customHeight="1" x14ac:dyDescent="0.2"/>
    <row r="10" spans="1:43" ht="11.25" customHeight="1" x14ac:dyDescent="0.2">
      <c r="H10" s="182" t="s">
        <v>340</v>
      </c>
      <c r="I10" s="183"/>
      <c r="J10" s="183"/>
      <c r="K10" s="183"/>
      <c r="L10" s="183"/>
      <c r="M10" s="183"/>
      <c r="N10" s="183"/>
      <c r="O10" s="183"/>
      <c r="P10" s="183"/>
      <c r="Q10" s="184"/>
      <c r="S10" s="182" t="s">
        <v>343</v>
      </c>
      <c r="T10" s="183"/>
      <c r="U10" s="183"/>
      <c r="V10" s="183"/>
      <c r="W10" s="183"/>
      <c r="X10" s="183"/>
      <c r="Y10" s="183"/>
      <c r="Z10" s="183"/>
      <c r="AA10" s="183"/>
      <c r="AB10" s="184"/>
      <c r="AD10" s="182" t="s">
        <v>356</v>
      </c>
      <c r="AE10" s="183"/>
      <c r="AF10" s="183"/>
      <c r="AG10" s="183"/>
      <c r="AH10" s="183"/>
      <c r="AI10" s="183"/>
      <c r="AJ10" s="183"/>
      <c r="AK10" s="183"/>
      <c r="AL10" s="183"/>
      <c r="AM10" s="184"/>
    </row>
    <row r="11" spans="1:43" ht="24" customHeight="1" x14ac:dyDescent="0.2">
      <c r="C11" s="60" t="s">
        <v>334</v>
      </c>
      <c r="D11" s="60" t="s">
        <v>335</v>
      </c>
      <c r="E11" s="60" t="s">
        <v>336</v>
      </c>
      <c r="F11" s="60" t="s">
        <v>337</v>
      </c>
      <c r="G11" s="60" t="s">
        <v>338</v>
      </c>
      <c r="H11" s="185" t="s">
        <v>290</v>
      </c>
      <c r="I11" s="186" t="s">
        <v>252</v>
      </c>
      <c r="J11" s="186" t="s">
        <v>199</v>
      </c>
      <c r="K11" s="186" t="s">
        <v>200</v>
      </c>
      <c r="L11" s="186" t="s">
        <v>201</v>
      </c>
      <c r="M11" s="186" t="s">
        <v>202</v>
      </c>
      <c r="N11" s="186" t="s">
        <v>203</v>
      </c>
      <c r="O11" s="186" t="s">
        <v>72</v>
      </c>
      <c r="P11" s="186" t="s">
        <v>341</v>
      </c>
      <c r="Q11" s="187" t="s">
        <v>342</v>
      </c>
      <c r="S11" s="185" t="s">
        <v>290</v>
      </c>
      <c r="T11" s="186" t="s">
        <v>252</v>
      </c>
      <c r="U11" s="186" t="s">
        <v>199</v>
      </c>
      <c r="V11" s="186" t="s">
        <v>200</v>
      </c>
      <c r="W11" s="186" t="s">
        <v>201</v>
      </c>
      <c r="X11" s="186" t="s">
        <v>202</v>
      </c>
      <c r="Y11" s="186" t="s">
        <v>203</v>
      </c>
      <c r="Z11" s="186" t="str">
        <f>O11</f>
        <v>Total</v>
      </c>
      <c r="AA11" s="186" t="str">
        <f>P11</f>
        <v>Total Current Period</v>
      </c>
      <c r="AB11" s="187" t="str">
        <f>Q11</f>
        <v>Total Next Period</v>
      </c>
      <c r="AD11" s="185" t="s">
        <v>290</v>
      </c>
      <c r="AE11" s="186" t="s">
        <v>252</v>
      </c>
      <c r="AF11" s="186" t="s">
        <v>199</v>
      </c>
      <c r="AG11" s="186" t="s">
        <v>200</v>
      </c>
      <c r="AH11" s="186" t="s">
        <v>201</v>
      </c>
      <c r="AI11" s="186" t="s">
        <v>202</v>
      </c>
      <c r="AJ11" s="186" t="s">
        <v>203</v>
      </c>
      <c r="AK11" s="186" t="str">
        <f>Z11</f>
        <v>Total</v>
      </c>
      <c r="AL11" s="186" t="str">
        <f>AA11</f>
        <v>Total Current Period</v>
      </c>
      <c r="AM11" s="187" t="str">
        <f>AB11</f>
        <v>Total Next Period</v>
      </c>
      <c r="AO11" s="185" t="s">
        <v>357</v>
      </c>
      <c r="AP11" s="187" t="s">
        <v>358</v>
      </c>
      <c r="AQ11" s="187" t="s">
        <v>390</v>
      </c>
    </row>
    <row r="12" spans="1:43" ht="11.25" customHeight="1" x14ac:dyDescent="0.2">
      <c r="C12" s="59">
        <f>N(C11)+1</f>
        <v>1</v>
      </c>
      <c r="D12" s="30" t="s">
        <v>1317</v>
      </c>
      <c r="E12" s="30" t="s">
        <v>1318</v>
      </c>
      <c r="F12" s="30" t="s">
        <v>1207</v>
      </c>
      <c r="G12" s="188" t="s">
        <v>1319</v>
      </c>
      <c r="H12" s="189">
        <v>0</v>
      </c>
      <c r="I12" s="190">
        <v>0.33545815154338982</v>
      </c>
      <c r="J12" s="190">
        <v>0.89628292869316828</v>
      </c>
      <c r="K12" s="190">
        <v>1.0104574408742164</v>
      </c>
      <c r="L12" s="190">
        <v>0</v>
      </c>
      <c r="M12" s="190">
        <v>0</v>
      </c>
      <c r="N12" s="190">
        <v>0</v>
      </c>
      <c r="O12" s="191">
        <f>SUM(H12:N12)</f>
        <v>2.2421985211107742</v>
      </c>
      <c r="P12" s="191">
        <f>SUM(H12:I12)</f>
        <v>0.33545815154338982</v>
      </c>
      <c r="Q12" s="192">
        <f>SUM(J12:N12)</f>
        <v>1.9067403695673848</v>
      </c>
      <c r="S12" s="189">
        <v>0</v>
      </c>
      <c r="T12" s="190">
        <v>0.44532459128374674</v>
      </c>
      <c r="U12" s="190">
        <v>1.2285974146208574</v>
      </c>
      <c r="V12" s="190">
        <v>1.3882592827602229</v>
      </c>
      <c r="W12" s="190">
        <v>0</v>
      </c>
      <c r="X12" s="190">
        <v>0</v>
      </c>
      <c r="Y12" s="190">
        <v>0</v>
      </c>
      <c r="Z12" s="191">
        <f>SUM(S12:Y12)</f>
        <v>3.062181288664827</v>
      </c>
      <c r="AA12" s="191">
        <f>SUM(S12:T12)</f>
        <v>0.44532459128374674</v>
      </c>
      <c r="AB12" s="192">
        <f>SUM(U12:Y12)</f>
        <v>2.6168566973810803</v>
      </c>
      <c r="AD12" s="189">
        <v>0</v>
      </c>
      <c r="AE12" s="190">
        <v>0</v>
      </c>
      <c r="AF12" s="190">
        <v>0</v>
      </c>
      <c r="AG12" s="190">
        <v>0</v>
      </c>
      <c r="AH12" s="190">
        <v>0</v>
      </c>
      <c r="AI12" s="190">
        <v>0</v>
      </c>
      <c r="AJ12" s="190">
        <v>0</v>
      </c>
      <c r="AK12" s="191">
        <f>SUM(AD12:AJ12)</f>
        <v>0</v>
      </c>
      <c r="AL12" s="191">
        <f>SUM(AD12:AE12)</f>
        <v>0</v>
      </c>
      <c r="AM12" s="192">
        <f>SUM(AF12:AJ12)</f>
        <v>0</v>
      </c>
      <c r="AO12" s="203" t="s">
        <v>1567</v>
      </c>
      <c r="AP12" s="204" t="s">
        <v>1568</v>
      </c>
      <c r="AQ12" s="204" t="s">
        <v>1319</v>
      </c>
    </row>
    <row r="13" spans="1:43" ht="11.25" customHeight="1" x14ac:dyDescent="0.2">
      <c r="C13" s="59">
        <f t="shared" ref="C13:C76" si="0">N(C12)+1</f>
        <v>2</v>
      </c>
      <c r="D13" s="30" t="s">
        <v>1320</v>
      </c>
      <c r="E13" s="30" t="s">
        <v>1321</v>
      </c>
      <c r="F13" s="30" t="s">
        <v>1207</v>
      </c>
      <c r="G13" s="188" t="s">
        <v>1322</v>
      </c>
      <c r="H13" s="193">
        <v>0</v>
      </c>
      <c r="I13" s="46">
        <v>0.35607220324998701</v>
      </c>
      <c r="J13" s="46">
        <v>0.4135155541349903</v>
      </c>
      <c r="K13" s="46">
        <v>0.41550418723656257</v>
      </c>
      <c r="L13" s="46">
        <v>0.41680574701401424</v>
      </c>
      <c r="M13" s="46">
        <v>0.41809730979813053</v>
      </c>
      <c r="N13" s="46">
        <v>0.41959395320202075</v>
      </c>
      <c r="O13" s="194">
        <f t="shared" ref="O13:O76" si="1">SUM(H13:N13)</f>
        <v>2.4395889546357057</v>
      </c>
      <c r="P13" s="194">
        <f t="shared" ref="P13:P76" si="2">SUM(H13:I13)</f>
        <v>0.35607220324998701</v>
      </c>
      <c r="Q13" s="195">
        <f t="shared" ref="Q13:Q76" si="3">SUM(J13:N13)</f>
        <v>2.0835167513857185</v>
      </c>
      <c r="S13" s="193">
        <v>0</v>
      </c>
      <c r="T13" s="46">
        <v>0.47268998428047959</v>
      </c>
      <c r="U13" s="46">
        <v>0.56683456133267829</v>
      </c>
      <c r="V13" s="46">
        <v>0.57085783292153935</v>
      </c>
      <c r="W13" s="46">
        <v>0.57349778656545214</v>
      </c>
      <c r="X13" s="46">
        <v>0.57612272170691403</v>
      </c>
      <c r="Y13" s="46">
        <v>0.57917100857815218</v>
      </c>
      <c r="Z13" s="194">
        <f t="shared" ref="Z13:Z76" si="4">SUM(S13:Y13)</f>
        <v>3.3391738953852155</v>
      </c>
      <c r="AA13" s="194">
        <f t="shared" ref="AA13:AA76" si="5">SUM(S13:T13)</f>
        <v>0.47268998428047959</v>
      </c>
      <c r="AB13" s="195">
        <f t="shared" ref="AB13:AB76" si="6">SUM(U13:Y13)</f>
        <v>2.8664839111047358</v>
      </c>
      <c r="AD13" s="193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194">
        <f t="shared" ref="AK13:AK76" si="7">SUM(AD13:AJ13)</f>
        <v>0</v>
      </c>
      <c r="AL13" s="194">
        <f t="shared" ref="AL13:AL76" si="8">SUM(AD13:AE13)</f>
        <v>0</v>
      </c>
      <c r="AM13" s="195">
        <f t="shared" ref="AM13:AM76" si="9">SUM(AF13:AJ13)</f>
        <v>0</v>
      </c>
      <c r="AO13" s="203" t="s">
        <v>1569</v>
      </c>
      <c r="AP13" s="204" t="s">
        <v>1570</v>
      </c>
      <c r="AQ13" s="204" t="s">
        <v>1322</v>
      </c>
    </row>
    <row r="14" spans="1:43" ht="11.25" customHeight="1" x14ac:dyDescent="0.2">
      <c r="C14" s="59">
        <f t="shared" si="0"/>
        <v>3</v>
      </c>
      <c r="D14" s="30" t="s">
        <v>1323</v>
      </c>
      <c r="E14" s="30" t="s">
        <v>1324</v>
      </c>
      <c r="F14" s="30" t="s">
        <v>1207</v>
      </c>
      <c r="G14" s="188" t="s">
        <v>1325</v>
      </c>
      <c r="H14" s="193">
        <v>0</v>
      </c>
      <c r="I14" s="46">
        <v>0.89323623766198768</v>
      </c>
      <c r="J14" s="46">
        <v>1.0747453338502602</v>
      </c>
      <c r="K14" s="46">
        <v>1.077894724697086</v>
      </c>
      <c r="L14" s="46">
        <v>1.0799560000758686</v>
      </c>
      <c r="M14" s="46">
        <v>1.0820014432534872</v>
      </c>
      <c r="N14" s="46">
        <v>1.0843716718459044</v>
      </c>
      <c r="O14" s="194">
        <f t="shared" si="1"/>
        <v>6.292205411384594</v>
      </c>
      <c r="P14" s="194">
        <f t="shared" si="2"/>
        <v>0.89323623766198768</v>
      </c>
      <c r="Q14" s="195">
        <f t="shared" si="3"/>
        <v>5.3989691737226062</v>
      </c>
      <c r="S14" s="193">
        <v>0</v>
      </c>
      <c r="T14" s="46">
        <v>1.185781477142628</v>
      </c>
      <c r="U14" s="46">
        <v>1.4732282589265882</v>
      </c>
      <c r="V14" s="46">
        <v>1.4809108200582579</v>
      </c>
      <c r="W14" s="46">
        <v>1.4859497021540959</v>
      </c>
      <c r="X14" s="46">
        <v>1.4909582094153797</v>
      </c>
      <c r="Y14" s="46">
        <v>1.4967723678186335</v>
      </c>
      <c r="Z14" s="194">
        <f t="shared" si="4"/>
        <v>8.6136008355155855</v>
      </c>
      <c r="AA14" s="194">
        <f t="shared" si="5"/>
        <v>1.185781477142628</v>
      </c>
      <c r="AB14" s="195">
        <f t="shared" si="6"/>
        <v>7.4278193583729548</v>
      </c>
      <c r="AD14" s="193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194">
        <f t="shared" si="7"/>
        <v>0</v>
      </c>
      <c r="AL14" s="194">
        <f t="shared" si="8"/>
        <v>0</v>
      </c>
      <c r="AM14" s="195">
        <f t="shared" si="9"/>
        <v>0</v>
      </c>
      <c r="AO14" s="203" t="s">
        <v>1569</v>
      </c>
      <c r="AP14" s="204" t="s">
        <v>1570</v>
      </c>
      <c r="AQ14" s="204" t="s">
        <v>1325</v>
      </c>
    </row>
    <row r="15" spans="1:43" ht="11.25" customHeight="1" x14ac:dyDescent="0.2">
      <c r="C15" s="59">
        <f t="shared" si="0"/>
        <v>4</v>
      </c>
      <c r="D15" s="30" t="s">
        <v>1326</v>
      </c>
      <c r="E15" s="30" t="s">
        <v>1327</v>
      </c>
      <c r="F15" s="30" t="s">
        <v>1207</v>
      </c>
      <c r="G15" s="188" t="s">
        <v>1322</v>
      </c>
      <c r="H15" s="193">
        <v>0</v>
      </c>
      <c r="I15" s="46">
        <v>0.44509696535199983</v>
      </c>
      <c r="J15" s="46">
        <v>0.80468497830420815</v>
      </c>
      <c r="K15" s="46">
        <v>0.80854812798322595</v>
      </c>
      <c r="L15" s="46">
        <v>0.81107655830680314</v>
      </c>
      <c r="M15" s="46">
        <v>0.81358556831520834</v>
      </c>
      <c r="N15" s="46">
        <v>0.8164929711341451</v>
      </c>
      <c r="O15" s="194">
        <f t="shared" si="1"/>
        <v>4.4994851693955908</v>
      </c>
      <c r="P15" s="194">
        <f t="shared" si="2"/>
        <v>0.44509696535199983</v>
      </c>
      <c r="Q15" s="195">
        <f t="shared" si="3"/>
        <v>4.0543882040435912</v>
      </c>
      <c r="S15" s="193">
        <v>0</v>
      </c>
      <c r="T15" s="46">
        <v>0.5908713896653589</v>
      </c>
      <c r="U15" s="46">
        <v>1.1030377264579561</v>
      </c>
      <c r="V15" s="46">
        <v>1.1108577153531414</v>
      </c>
      <c r="W15" s="46">
        <v>1.1159889571014883</v>
      </c>
      <c r="X15" s="46">
        <v>1.121091001962051</v>
      </c>
      <c r="Y15" s="46">
        <v>1.12701590187372</v>
      </c>
      <c r="Z15" s="194">
        <f t="shared" si="4"/>
        <v>6.1688626924137155</v>
      </c>
      <c r="AA15" s="194">
        <f t="shared" si="5"/>
        <v>0.5908713896653589</v>
      </c>
      <c r="AB15" s="195">
        <f t="shared" si="6"/>
        <v>5.5779913027483561</v>
      </c>
      <c r="AD15" s="193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194">
        <f t="shared" si="7"/>
        <v>0</v>
      </c>
      <c r="AL15" s="194">
        <f t="shared" si="8"/>
        <v>0</v>
      </c>
      <c r="AM15" s="195">
        <f t="shared" si="9"/>
        <v>0</v>
      </c>
      <c r="AO15" s="203" t="s">
        <v>1569</v>
      </c>
      <c r="AP15" s="204" t="s">
        <v>1571</v>
      </c>
      <c r="AQ15" s="204" t="s">
        <v>1322</v>
      </c>
    </row>
    <row r="16" spans="1:43" ht="11.25" customHeight="1" x14ac:dyDescent="0.2">
      <c r="C16" s="59">
        <f t="shared" si="0"/>
        <v>5</v>
      </c>
      <c r="D16" s="30" t="s">
        <v>1328</v>
      </c>
      <c r="E16" s="30" t="s">
        <v>1329</v>
      </c>
      <c r="F16" s="30" t="s">
        <v>1181</v>
      </c>
      <c r="G16" s="188" t="s">
        <v>1330</v>
      </c>
      <c r="H16" s="193">
        <v>0</v>
      </c>
      <c r="I16" s="46">
        <v>5.6299107716078893</v>
      </c>
      <c r="J16" s="46">
        <v>6.870164083260744</v>
      </c>
      <c r="K16" s="46">
        <v>7.2117075555230024</v>
      </c>
      <c r="L16" s="46">
        <v>7.5460690286494687</v>
      </c>
      <c r="M16" s="46">
        <v>7.8878602011255881</v>
      </c>
      <c r="N16" s="46">
        <v>8.242081650876548</v>
      </c>
      <c r="O16" s="194">
        <f t="shared" si="1"/>
        <v>43.387793291043245</v>
      </c>
      <c r="P16" s="194">
        <f t="shared" si="2"/>
        <v>5.6299107716078893</v>
      </c>
      <c r="Q16" s="202">
        <f t="shared" si="3"/>
        <v>37.757882519435348</v>
      </c>
      <c r="S16" s="193">
        <v>0</v>
      </c>
      <c r="T16" s="46">
        <v>7.4737719199706536</v>
      </c>
      <c r="U16" s="46">
        <v>9.4174122484093203</v>
      </c>
      <c r="V16" s="46">
        <v>9.9081065203943801</v>
      </c>
      <c r="W16" s="46">
        <v>10.382903585672185</v>
      </c>
      <c r="X16" s="46">
        <v>10.869181362851331</v>
      </c>
      <c r="Y16" s="46">
        <v>11.376652847576503</v>
      </c>
      <c r="Z16" s="194">
        <f t="shared" si="4"/>
        <v>59.428028484874368</v>
      </c>
      <c r="AA16" s="194">
        <f t="shared" si="5"/>
        <v>7.4737719199706536</v>
      </c>
      <c r="AB16" s="195">
        <f t="shared" si="6"/>
        <v>51.954256564903716</v>
      </c>
      <c r="AD16" s="193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194">
        <f t="shared" si="7"/>
        <v>0</v>
      </c>
      <c r="AL16" s="194">
        <f t="shared" si="8"/>
        <v>0</v>
      </c>
      <c r="AM16" s="195">
        <f t="shared" si="9"/>
        <v>0</v>
      </c>
      <c r="AO16" s="203" t="s">
        <v>1569</v>
      </c>
      <c r="AP16" s="204" t="s">
        <v>1570</v>
      </c>
      <c r="AQ16" s="204" t="s">
        <v>1330</v>
      </c>
    </row>
    <row r="17" spans="3:43" ht="11.25" customHeight="1" x14ac:dyDescent="0.2">
      <c r="C17" s="59">
        <f t="shared" si="0"/>
        <v>6</v>
      </c>
      <c r="D17" s="30" t="s">
        <v>1331</v>
      </c>
      <c r="E17" s="30" t="s">
        <v>1332</v>
      </c>
      <c r="F17" s="30" t="s">
        <v>1207</v>
      </c>
      <c r="G17" s="188" t="s">
        <v>1330</v>
      </c>
      <c r="H17" s="193">
        <v>0</v>
      </c>
      <c r="I17" s="46">
        <v>0.79823571882697097</v>
      </c>
      <c r="J17" s="46">
        <v>0.80321021954915228</v>
      </c>
      <c r="K17" s="46">
        <v>0.80868452966328319</v>
      </c>
      <c r="L17" s="46">
        <v>0.81226746401563621</v>
      </c>
      <c r="M17" s="46">
        <v>0.81582287864015068</v>
      </c>
      <c r="N17" s="46">
        <v>0.81994283928884215</v>
      </c>
      <c r="O17" s="194">
        <f t="shared" si="1"/>
        <v>4.8581636499840357</v>
      </c>
      <c r="P17" s="194">
        <f t="shared" si="2"/>
        <v>0.79823571882697097</v>
      </c>
      <c r="Q17" s="195">
        <f t="shared" si="3"/>
        <v>4.0599279311570644</v>
      </c>
      <c r="S17" s="193">
        <v>0</v>
      </c>
      <c r="T17" s="46">
        <v>1.0596671853082986</v>
      </c>
      <c r="U17" s="46">
        <v>1.1010161719513976</v>
      </c>
      <c r="V17" s="46">
        <v>1.1110451165150943</v>
      </c>
      <c r="W17" s="46">
        <v>1.1176275664366924</v>
      </c>
      <c r="X17" s="46">
        <v>1.1241739333359244</v>
      </c>
      <c r="Y17" s="46">
        <v>1.1317777999024448</v>
      </c>
      <c r="Z17" s="194">
        <f t="shared" si="4"/>
        <v>6.6453077734498525</v>
      </c>
      <c r="AA17" s="194">
        <f t="shared" si="5"/>
        <v>1.0596671853082986</v>
      </c>
      <c r="AB17" s="195">
        <f t="shared" si="6"/>
        <v>5.585640588141553</v>
      </c>
      <c r="AD17" s="193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194">
        <f t="shared" si="7"/>
        <v>0</v>
      </c>
      <c r="AL17" s="194">
        <f t="shared" si="8"/>
        <v>0</v>
      </c>
      <c r="AM17" s="195">
        <f t="shared" si="9"/>
        <v>0</v>
      </c>
      <c r="AO17" s="203" t="s">
        <v>1569</v>
      </c>
      <c r="AP17" s="204" t="s">
        <v>1572</v>
      </c>
      <c r="AQ17" s="204" t="s">
        <v>1330</v>
      </c>
    </row>
    <row r="18" spans="3:43" ht="11.25" customHeight="1" x14ac:dyDescent="0.2">
      <c r="C18" s="59">
        <f t="shared" si="0"/>
        <v>7</v>
      </c>
      <c r="D18" s="30" t="s">
        <v>1333</v>
      </c>
      <c r="E18" s="30" t="s">
        <v>1334</v>
      </c>
      <c r="F18" s="30" t="s">
        <v>1181</v>
      </c>
      <c r="G18" s="188" t="s">
        <v>1322</v>
      </c>
      <c r="H18" s="193">
        <v>0</v>
      </c>
      <c r="I18" s="46">
        <v>5.5471606505345745</v>
      </c>
      <c r="J18" s="46">
        <v>5.6378966727901343</v>
      </c>
      <c r="K18" s="46">
        <v>5.6552559853388242</v>
      </c>
      <c r="L18" s="46">
        <v>5.6666176502732561</v>
      </c>
      <c r="M18" s="46">
        <v>5.6778920487673803</v>
      </c>
      <c r="N18" s="46">
        <v>5.6909566510821676</v>
      </c>
      <c r="O18" s="194">
        <f t="shared" si="1"/>
        <v>33.875779658786335</v>
      </c>
      <c r="P18" s="194">
        <f t="shared" si="2"/>
        <v>5.5471606505345745</v>
      </c>
      <c r="Q18" s="202">
        <f t="shared" si="3"/>
        <v>28.32861900825176</v>
      </c>
      <c r="S18" s="193">
        <v>0</v>
      </c>
      <c r="T18" s="46">
        <v>7.3639201734081965</v>
      </c>
      <c r="U18" s="46">
        <v>7.7282575114858245</v>
      </c>
      <c r="V18" s="46">
        <v>7.769710331629132</v>
      </c>
      <c r="W18" s="46">
        <v>7.7968998820814441</v>
      </c>
      <c r="X18" s="46">
        <v>7.8239264975737841</v>
      </c>
      <c r="Y18" s="46">
        <v>7.8553017226033957</v>
      </c>
      <c r="Z18" s="194">
        <f t="shared" si="4"/>
        <v>46.338016118781773</v>
      </c>
      <c r="AA18" s="194">
        <f t="shared" si="5"/>
        <v>7.3639201734081965</v>
      </c>
      <c r="AB18" s="195">
        <f t="shared" si="6"/>
        <v>38.974095945373577</v>
      </c>
      <c r="AD18" s="193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194">
        <f t="shared" si="7"/>
        <v>0</v>
      </c>
      <c r="AL18" s="194">
        <f t="shared" si="8"/>
        <v>0</v>
      </c>
      <c r="AM18" s="195">
        <f t="shared" si="9"/>
        <v>0</v>
      </c>
      <c r="AO18" s="203" t="s">
        <v>1569</v>
      </c>
      <c r="AP18" s="204" t="s">
        <v>1570</v>
      </c>
      <c r="AQ18" s="204" t="s">
        <v>1322</v>
      </c>
    </row>
    <row r="19" spans="3:43" ht="11.25" customHeight="1" x14ac:dyDescent="0.2">
      <c r="C19" s="59">
        <f t="shared" si="0"/>
        <v>8</v>
      </c>
      <c r="D19" s="30" t="s">
        <v>1335</v>
      </c>
      <c r="E19" s="30" t="s">
        <v>1336</v>
      </c>
      <c r="F19" s="30" t="s">
        <v>1181</v>
      </c>
      <c r="G19" s="188" t="s">
        <v>1325</v>
      </c>
      <c r="H19" s="193">
        <v>0</v>
      </c>
      <c r="I19" s="46">
        <v>3.1225600745418225</v>
      </c>
      <c r="J19" s="46">
        <v>2.0330371005829426</v>
      </c>
      <c r="K19" s="46">
        <v>2.0385469718404954</v>
      </c>
      <c r="L19" s="46">
        <v>2.0421531809507107</v>
      </c>
      <c r="M19" s="46">
        <v>2.0457316915648107</v>
      </c>
      <c r="N19" s="46">
        <v>2.049878415496631</v>
      </c>
      <c r="O19" s="194">
        <f t="shared" si="1"/>
        <v>13.331907434977412</v>
      </c>
      <c r="P19" s="194">
        <f t="shared" si="2"/>
        <v>3.1225600745418225</v>
      </c>
      <c r="Q19" s="202">
        <f t="shared" si="3"/>
        <v>10.20934736043559</v>
      </c>
      <c r="S19" s="193">
        <v>0</v>
      </c>
      <c r="T19" s="46">
        <v>4.1452347559794562</v>
      </c>
      <c r="U19" s="46">
        <v>2.7868255052524527</v>
      </c>
      <c r="V19" s="46">
        <v>2.8007431510938789</v>
      </c>
      <c r="W19" s="46">
        <v>2.809870875085251</v>
      </c>
      <c r="X19" s="46">
        <v>2.818943060397749</v>
      </c>
      <c r="Y19" s="46">
        <v>2.8294739242682931</v>
      </c>
      <c r="Z19" s="194">
        <f t="shared" si="4"/>
        <v>18.191091272077081</v>
      </c>
      <c r="AA19" s="194">
        <f t="shared" si="5"/>
        <v>4.1452347559794562</v>
      </c>
      <c r="AB19" s="195">
        <f t="shared" si="6"/>
        <v>14.045856516097622</v>
      </c>
      <c r="AD19" s="193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194">
        <f t="shared" si="7"/>
        <v>0</v>
      </c>
      <c r="AL19" s="194">
        <f t="shared" si="8"/>
        <v>0</v>
      </c>
      <c r="AM19" s="195">
        <f t="shared" si="9"/>
        <v>0</v>
      </c>
      <c r="AO19" s="203" t="s">
        <v>1569</v>
      </c>
      <c r="AP19" s="204" t="s">
        <v>1570</v>
      </c>
      <c r="AQ19" s="204" t="s">
        <v>1325</v>
      </c>
    </row>
    <row r="20" spans="3:43" ht="11.25" customHeight="1" x14ac:dyDescent="0.2">
      <c r="C20" s="59">
        <f t="shared" si="0"/>
        <v>9</v>
      </c>
      <c r="D20" s="30" t="s">
        <v>1337</v>
      </c>
      <c r="E20" s="30" t="s">
        <v>1338</v>
      </c>
      <c r="F20" s="30" t="s">
        <v>1181</v>
      </c>
      <c r="G20" s="188" t="s">
        <v>1339</v>
      </c>
      <c r="H20" s="193">
        <v>0</v>
      </c>
      <c r="I20" s="46">
        <v>0.78869690744063237</v>
      </c>
      <c r="J20" s="46">
        <v>1.0492331488867093</v>
      </c>
      <c r="K20" s="46">
        <v>1.0551422500060752</v>
      </c>
      <c r="L20" s="46">
        <v>1.0590097549428983</v>
      </c>
      <c r="M20" s="46">
        <v>1.062847554428042</v>
      </c>
      <c r="N20" s="46">
        <v>1.0672947383787803</v>
      </c>
      <c r="O20" s="194">
        <f t="shared" si="1"/>
        <v>6.0822243540831362</v>
      </c>
      <c r="P20" s="194">
        <f t="shared" si="2"/>
        <v>0.78869690744063237</v>
      </c>
      <c r="Q20" s="202">
        <f t="shared" si="3"/>
        <v>5.2935274466425053</v>
      </c>
      <c r="S20" s="193">
        <v>0</v>
      </c>
      <c r="T20" s="46">
        <v>1.047004302434801</v>
      </c>
      <c r="U20" s="46">
        <v>1.4382569306951674</v>
      </c>
      <c r="V20" s="46">
        <v>1.4496513796129133</v>
      </c>
      <c r="W20" s="46">
        <v>1.4571290217611936</v>
      </c>
      <c r="X20" s="46">
        <v>1.4645648547996444</v>
      </c>
      <c r="Y20" s="46">
        <v>1.473200853729596</v>
      </c>
      <c r="Z20" s="194">
        <f t="shared" si="4"/>
        <v>8.3298073430333162</v>
      </c>
      <c r="AA20" s="194">
        <f t="shared" si="5"/>
        <v>1.047004302434801</v>
      </c>
      <c r="AB20" s="195">
        <f t="shared" si="6"/>
        <v>7.2828030405985151</v>
      </c>
      <c r="AD20" s="193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194">
        <f t="shared" si="7"/>
        <v>0</v>
      </c>
      <c r="AL20" s="194">
        <f t="shared" si="8"/>
        <v>0</v>
      </c>
      <c r="AM20" s="195">
        <f t="shared" si="9"/>
        <v>0</v>
      </c>
      <c r="AO20" s="203" t="s">
        <v>1569</v>
      </c>
      <c r="AP20" s="204" t="s">
        <v>1570</v>
      </c>
      <c r="AQ20" s="204" t="s">
        <v>1339</v>
      </c>
    </row>
    <row r="21" spans="3:43" ht="11.25" customHeight="1" x14ac:dyDescent="0.2">
      <c r="C21" s="59">
        <f t="shared" si="0"/>
        <v>10</v>
      </c>
      <c r="D21" s="30" t="s">
        <v>1340</v>
      </c>
      <c r="E21" s="30" t="s">
        <v>1341</v>
      </c>
      <c r="F21" s="30" t="s">
        <v>1181</v>
      </c>
      <c r="G21" s="188" t="s">
        <v>1342</v>
      </c>
      <c r="H21" s="193">
        <v>0</v>
      </c>
      <c r="I21" s="46">
        <v>0</v>
      </c>
      <c r="J21" s="46">
        <v>1.8217454023647244</v>
      </c>
      <c r="K21" s="46">
        <v>1.8399106204953</v>
      </c>
      <c r="L21" s="46">
        <v>1.8517997503949779</v>
      </c>
      <c r="M21" s="46">
        <v>1.8635975625123862</v>
      </c>
      <c r="N21" s="46">
        <v>1.8772686886109398</v>
      </c>
      <c r="O21" s="194">
        <f t="shared" si="1"/>
        <v>9.2543220243783288</v>
      </c>
      <c r="P21" s="194">
        <f t="shared" si="2"/>
        <v>0</v>
      </c>
      <c r="Q21" s="202">
        <f t="shared" si="3"/>
        <v>9.2543220243783288</v>
      </c>
      <c r="S21" s="193">
        <v>0</v>
      </c>
      <c r="T21" s="46">
        <v>0</v>
      </c>
      <c r="U21" s="46">
        <v>2.4971932631877136</v>
      </c>
      <c r="V21" s="46">
        <v>2.5278382790094001</v>
      </c>
      <c r="W21" s="46">
        <v>2.5479568494967726</v>
      </c>
      <c r="X21" s="46">
        <v>2.5679689266582493</v>
      </c>
      <c r="Y21" s="46">
        <v>2.5912184659903881</v>
      </c>
      <c r="Z21" s="194">
        <f t="shared" si="4"/>
        <v>12.732175784342523</v>
      </c>
      <c r="AA21" s="194">
        <f t="shared" si="5"/>
        <v>0</v>
      </c>
      <c r="AB21" s="195">
        <f t="shared" si="6"/>
        <v>12.732175784342523</v>
      </c>
      <c r="AD21" s="193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194">
        <f t="shared" si="7"/>
        <v>0</v>
      </c>
      <c r="AL21" s="194">
        <f t="shared" si="8"/>
        <v>0</v>
      </c>
      <c r="AM21" s="195">
        <f t="shared" si="9"/>
        <v>0</v>
      </c>
      <c r="AO21" s="203" t="s">
        <v>1569</v>
      </c>
      <c r="AP21" s="204" t="s">
        <v>1570</v>
      </c>
      <c r="AQ21" s="204" t="s">
        <v>1342</v>
      </c>
    </row>
    <row r="22" spans="3:43" ht="11.25" customHeight="1" x14ac:dyDescent="0.2">
      <c r="C22" s="59">
        <f t="shared" si="0"/>
        <v>11</v>
      </c>
      <c r="D22" s="30" t="s">
        <v>1343</v>
      </c>
      <c r="E22" s="30" t="s">
        <v>1344</v>
      </c>
      <c r="F22" s="30" t="s">
        <v>1181</v>
      </c>
      <c r="G22" s="188" t="s">
        <v>1345</v>
      </c>
      <c r="H22" s="193">
        <v>0</v>
      </c>
      <c r="I22" s="46">
        <v>0.9413751671537417</v>
      </c>
      <c r="J22" s="46">
        <v>0.98955671689006253</v>
      </c>
      <c r="K22" s="46">
        <v>1.456011103586639</v>
      </c>
      <c r="L22" s="46">
        <v>0.96172067032219188</v>
      </c>
      <c r="M22" s="46">
        <v>1.0207442712690136</v>
      </c>
      <c r="N22" s="46">
        <v>1.1111587918278134</v>
      </c>
      <c r="O22" s="194">
        <f t="shared" si="1"/>
        <v>6.4805667210494615</v>
      </c>
      <c r="P22" s="194">
        <f t="shared" si="2"/>
        <v>0.9413751671537417</v>
      </c>
      <c r="Q22" s="202">
        <f t="shared" si="3"/>
        <v>5.539191553895721</v>
      </c>
      <c r="S22" s="193">
        <v>0</v>
      </c>
      <c r="T22" s="46">
        <v>1.2496864649991526</v>
      </c>
      <c r="U22" s="46">
        <v>1.3564542903483521</v>
      </c>
      <c r="V22" s="46">
        <v>2.0004018463235065</v>
      </c>
      <c r="W22" s="46">
        <v>1.3232655251883447</v>
      </c>
      <c r="X22" s="46">
        <v>1.4065480785183326</v>
      </c>
      <c r="Y22" s="46">
        <v>1.5337469790551224</v>
      </c>
      <c r="Z22" s="194">
        <f t="shared" si="4"/>
        <v>8.8701031844328107</v>
      </c>
      <c r="AA22" s="194">
        <f t="shared" si="5"/>
        <v>1.2496864649991526</v>
      </c>
      <c r="AB22" s="195">
        <f t="shared" si="6"/>
        <v>7.6204167194336581</v>
      </c>
      <c r="AD22" s="193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194">
        <f t="shared" si="7"/>
        <v>0</v>
      </c>
      <c r="AL22" s="194">
        <f t="shared" si="8"/>
        <v>0</v>
      </c>
      <c r="AM22" s="195">
        <f t="shared" si="9"/>
        <v>0</v>
      </c>
      <c r="AO22" s="203" t="s">
        <v>1569</v>
      </c>
      <c r="AP22" s="204" t="s">
        <v>1570</v>
      </c>
      <c r="AQ22" s="204" t="s">
        <v>1345</v>
      </c>
    </row>
    <row r="23" spans="3:43" ht="11.25" customHeight="1" x14ac:dyDescent="0.2">
      <c r="C23" s="59">
        <f t="shared" si="0"/>
        <v>12</v>
      </c>
      <c r="D23" s="30" t="s">
        <v>1346</v>
      </c>
      <c r="E23" s="30" t="s">
        <v>1347</v>
      </c>
      <c r="F23" s="30" t="s">
        <v>1181</v>
      </c>
      <c r="G23" s="188" t="s">
        <v>1348</v>
      </c>
      <c r="H23" s="193">
        <v>0</v>
      </c>
      <c r="I23" s="46">
        <v>0.78008465217305223</v>
      </c>
      <c r="J23" s="46">
        <v>1.1932551247143934</v>
      </c>
      <c r="K23" s="46">
        <v>2.1064303121358301</v>
      </c>
      <c r="L23" s="46">
        <v>2.2900874016209252</v>
      </c>
      <c r="M23" s="46">
        <v>0</v>
      </c>
      <c r="N23" s="46">
        <v>0</v>
      </c>
      <c r="O23" s="194">
        <f t="shared" si="1"/>
        <v>6.3698574906442005</v>
      </c>
      <c r="P23" s="194">
        <f t="shared" si="2"/>
        <v>0.78008465217305223</v>
      </c>
      <c r="Q23" s="202">
        <f t="shared" si="3"/>
        <v>5.5897728384711485</v>
      </c>
      <c r="S23" s="193">
        <v>0</v>
      </c>
      <c r="T23" s="46">
        <v>1.035571433567489</v>
      </c>
      <c r="U23" s="46">
        <v>1.6356778805825833</v>
      </c>
      <c r="V23" s="46">
        <v>2.8940075217617194</v>
      </c>
      <c r="W23" s="46">
        <v>3.1510123487497621</v>
      </c>
      <c r="X23" s="46">
        <v>0</v>
      </c>
      <c r="Y23" s="46">
        <v>0</v>
      </c>
      <c r="Z23" s="194">
        <f t="shared" si="4"/>
        <v>8.7162691846615541</v>
      </c>
      <c r="AA23" s="194">
        <f t="shared" si="5"/>
        <v>1.035571433567489</v>
      </c>
      <c r="AB23" s="195">
        <f t="shared" si="6"/>
        <v>7.6806977510940646</v>
      </c>
      <c r="AD23" s="193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194">
        <f t="shared" si="7"/>
        <v>0</v>
      </c>
      <c r="AL23" s="194">
        <f t="shared" si="8"/>
        <v>0</v>
      </c>
      <c r="AM23" s="195">
        <f t="shared" si="9"/>
        <v>0</v>
      </c>
      <c r="AO23" s="203" t="s">
        <v>1567</v>
      </c>
      <c r="AP23" s="204" t="s">
        <v>1572</v>
      </c>
      <c r="AQ23" s="204" t="s">
        <v>1348</v>
      </c>
    </row>
    <row r="24" spans="3:43" ht="11.25" customHeight="1" x14ac:dyDescent="0.2">
      <c r="C24" s="59">
        <f t="shared" si="0"/>
        <v>13</v>
      </c>
      <c r="D24" s="30" t="s">
        <v>1349</v>
      </c>
      <c r="E24" s="30" t="s">
        <v>1350</v>
      </c>
      <c r="F24" s="30" t="s">
        <v>1181</v>
      </c>
      <c r="G24" s="188" t="s">
        <v>1339</v>
      </c>
      <c r="H24" s="193">
        <v>0</v>
      </c>
      <c r="I24" s="46">
        <v>0</v>
      </c>
      <c r="J24" s="46">
        <v>0.66861252804839122</v>
      </c>
      <c r="K24" s="46">
        <v>0.67431961851742062</v>
      </c>
      <c r="L24" s="46">
        <v>0.67805490754328124</v>
      </c>
      <c r="M24" s="46">
        <v>0.68176150663868818</v>
      </c>
      <c r="N24" s="46">
        <v>0.68605665756377543</v>
      </c>
      <c r="O24" s="194">
        <f t="shared" si="1"/>
        <v>3.3888052183115569</v>
      </c>
      <c r="P24" s="194">
        <f t="shared" si="2"/>
        <v>0</v>
      </c>
      <c r="Q24" s="202">
        <f t="shared" si="3"/>
        <v>3.3888052183115569</v>
      </c>
      <c r="S24" s="193">
        <v>0</v>
      </c>
      <c r="T24" s="46">
        <v>0</v>
      </c>
      <c r="U24" s="46">
        <v>0.91651374476260306</v>
      </c>
      <c r="V24" s="46">
        <v>0.92644225485066489</v>
      </c>
      <c r="W24" s="46">
        <v>0.93295975746908166</v>
      </c>
      <c r="X24" s="46">
        <v>0.93944229143529301</v>
      </c>
      <c r="Y24" s="46">
        <v>0.94697295628485745</v>
      </c>
      <c r="Z24" s="194">
        <f t="shared" si="4"/>
        <v>4.6623310048024997</v>
      </c>
      <c r="AA24" s="194">
        <f t="shared" si="5"/>
        <v>0</v>
      </c>
      <c r="AB24" s="195">
        <f t="shared" si="6"/>
        <v>4.6623310048024997</v>
      </c>
      <c r="AD24" s="193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194">
        <f t="shared" si="7"/>
        <v>0</v>
      </c>
      <c r="AL24" s="194">
        <f t="shared" si="8"/>
        <v>0</v>
      </c>
      <c r="AM24" s="195">
        <f t="shared" si="9"/>
        <v>0</v>
      </c>
      <c r="AO24" s="203" t="s">
        <v>1569</v>
      </c>
      <c r="AP24" s="204" t="s">
        <v>1570</v>
      </c>
      <c r="AQ24" s="204" t="s">
        <v>1339</v>
      </c>
    </row>
    <row r="25" spans="3:43" ht="11.25" customHeight="1" x14ac:dyDescent="0.2">
      <c r="C25" s="59">
        <f t="shared" si="0"/>
        <v>14</v>
      </c>
      <c r="D25" s="30" t="s">
        <v>1351</v>
      </c>
      <c r="E25" s="30" t="s">
        <v>1352</v>
      </c>
      <c r="F25" s="30" t="s">
        <v>1181</v>
      </c>
      <c r="G25" s="188" t="s">
        <v>1348</v>
      </c>
      <c r="H25" s="193">
        <v>0</v>
      </c>
      <c r="I25" s="46">
        <v>1.5721444237201834</v>
      </c>
      <c r="J25" s="46">
        <v>1.1539950691418013</v>
      </c>
      <c r="K25" s="46">
        <v>3.0882151743157404</v>
      </c>
      <c r="L25" s="46">
        <v>0</v>
      </c>
      <c r="M25" s="46">
        <v>0</v>
      </c>
      <c r="N25" s="46">
        <v>0</v>
      </c>
      <c r="O25" s="194">
        <f t="shared" si="1"/>
        <v>5.8143546671777253</v>
      </c>
      <c r="P25" s="194">
        <f t="shared" si="2"/>
        <v>1.5721444237201834</v>
      </c>
      <c r="Q25" s="202">
        <f t="shared" si="3"/>
        <v>4.2422102434575422</v>
      </c>
      <c r="S25" s="193">
        <v>0</v>
      </c>
      <c r="T25" s="46">
        <v>2.0870399771509383</v>
      </c>
      <c r="U25" s="46">
        <v>1.5818613889032349</v>
      </c>
      <c r="V25" s="46">
        <v>4.2428737812011335</v>
      </c>
      <c r="W25" s="46">
        <v>0</v>
      </c>
      <c r="X25" s="46">
        <v>0</v>
      </c>
      <c r="Y25" s="46">
        <v>0</v>
      </c>
      <c r="Z25" s="194">
        <f t="shared" si="4"/>
        <v>7.9117751472553071</v>
      </c>
      <c r="AA25" s="194">
        <f t="shared" si="5"/>
        <v>2.0870399771509383</v>
      </c>
      <c r="AB25" s="195">
        <f t="shared" si="6"/>
        <v>5.8247351701043684</v>
      </c>
      <c r="AD25" s="193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194">
        <f t="shared" si="7"/>
        <v>0</v>
      </c>
      <c r="AL25" s="194">
        <f t="shared" si="8"/>
        <v>0</v>
      </c>
      <c r="AM25" s="195">
        <f t="shared" si="9"/>
        <v>0</v>
      </c>
      <c r="AO25" s="203" t="s">
        <v>1567</v>
      </c>
      <c r="AP25" s="204" t="s">
        <v>1572</v>
      </c>
      <c r="AQ25" s="204" t="s">
        <v>1348</v>
      </c>
    </row>
    <row r="26" spans="3:43" ht="11.25" customHeight="1" x14ac:dyDescent="0.2">
      <c r="C26" s="59">
        <f t="shared" si="0"/>
        <v>15</v>
      </c>
      <c r="D26" s="30" t="s">
        <v>1353</v>
      </c>
      <c r="E26" s="30" t="s">
        <v>1354</v>
      </c>
      <c r="F26" s="30" t="s">
        <v>1207</v>
      </c>
      <c r="G26" s="188" t="s">
        <v>1319</v>
      </c>
      <c r="H26" s="193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194">
        <f t="shared" si="1"/>
        <v>0</v>
      </c>
      <c r="P26" s="194">
        <f t="shared" si="2"/>
        <v>0</v>
      </c>
      <c r="Q26" s="195">
        <f t="shared" si="3"/>
        <v>0</v>
      </c>
      <c r="S26" s="193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194">
        <f t="shared" si="4"/>
        <v>0</v>
      </c>
      <c r="AA26" s="194">
        <f t="shared" si="5"/>
        <v>0</v>
      </c>
      <c r="AB26" s="195">
        <f t="shared" si="6"/>
        <v>0</v>
      </c>
      <c r="AD26" s="193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194">
        <f t="shared" si="7"/>
        <v>0</v>
      </c>
      <c r="AL26" s="194">
        <f t="shared" si="8"/>
        <v>0</v>
      </c>
      <c r="AM26" s="195">
        <f t="shared" si="9"/>
        <v>0</v>
      </c>
      <c r="AO26" s="203" t="s">
        <v>1567</v>
      </c>
      <c r="AP26" s="204" t="s">
        <v>1572</v>
      </c>
      <c r="AQ26" s="204" t="s">
        <v>1319</v>
      </c>
    </row>
    <row r="27" spans="3:43" ht="11.25" customHeight="1" x14ac:dyDescent="0.2">
      <c r="C27" s="59">
        <f t="shared" si="0"/>
        <v>16</v>
      </c>
      <c r="D27" s="30" t="s">
        <v>1355</v>
      </c>
      <c r="E27" s="30" t="s">
        <v>1356</v>
      </c>
      <c r="F27" s="30" t="s">
        <v>1181</v>
      </c>
      <c r="G27" s="188" t="s">
        <v>1319</v>
      </c>
      <c r="H27" s="193">
        <v>0</v>
      </c>
      <c r="I27" s="46">
        <v>0.9527712793834362</v>
      </c>
      <c r="J27" s="46">
        <v>0.96002116359359546</v>
      </c>
      <c r="K27" s="46">
        <v>0.87479747475610603</v>
      </c>
      <c r="L27" s="46">
        <v>1.0378205766775899</v>
      </c>
      <c r="M27" s="46">
        <v>0.812801061620257</v>
      </c>
      <c r="N27" s="46">
        <v>0.8163619140799937</v>
      </c>
      <c r="O27" s="194">
        <f t="shared" si="1"/>
        <v>5.4545734701109776</v>
      </c>
      <c r="P27" s="194">
        <f t="shared" si="2"/>
        <v>0.9527712793834362</v>
      </c>
      <c r="Q27" s="202">
        <f t="shared" si="3"/>
        <v>4.5018021907275418</v>
      </c>
      <c r="S27" s="193">
        <v>0</v>
      </c>
      <c r="T27" s="46">
        <v>1.2648149363079082</v>
      </c>
      <c r="U27" s="46">
        <v>1.3159678510134596</v>
      </c>
      <c r="V27" s="46">
        <v>1.2018771555728909</v>
      </c>
      <c r="W27" s="46">
        <v>1.427974081069153</v>
      </c>
      <c r="X27" s="46">
        <v>1.1200099805785102</v>
      </c>
      <c r="Y27" s="46">
        <v>1.1268350021118074</v>
      </c>
      <c r="Z27" s="194">
        <f t="shared" si="4"/>
        <v>7.4574790066537293</v>
      </c>
      <c r="AA27" s="194">
        <f t="shared" si="5"/>
        <v>1.2648149363079082</v>
      </c>
      <c r="AB27" s="195">
        <f t="shared" si="6"/>
        <v>6.1926640703458213</v>
      </c>
      <c r="AD27" s="193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194">
        <f t="shared" si="7"/>
        <v>0</v>
      </c>
      <c r="AL27" s="194">
        <f t="shared" si="8"/>
        <v>0</v>
      </c>
      <c r="AM27" s="195">
        <f t="shared" si="9"/>
        <v>0</v>
      </c>
      <c r="AO27" s="203" t="s">
        <v>1569</v>
      </c>
      <c r="AP27" s="204" t="s">
        <v>1570</v>
      </c>
      <c r="AQ27" s="204" t="s">
        <v>1319</v>
      </c>
    </row>
    <row r="28" spans="3:43" ht="11.25" customHeight="1" x14ac:dyDescent="0.2">
      <c r="C28" s="59">
        <f t="shared" si="0"/>
        <v>17</v>
      </c>
      <c r="D28" s="30" t="s">
        <v>1357</v>
      </c>
      <c r="E28" s="30" t="s">
        <v>1358</v>
      </c>
      <c r="F28" s="30" t="s">
        <v>1207</v>
      </c>
      <c r="G28" s="188" t="s">
        <v>1359</v>
      </c>
      <c r="H28" s="193">
        <v>0</v>
      </c>
      <c r="I28" s="46">
        <v>1.5012744982763275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194">
        <f t="shared" si="1"/>
        <v>1.5012744982763275</v>
      </c>
      <c r="P28" s="194">
        <f t="shared" si="2"/>
        <v>1.5012744982763275</v>
      </c>
      <c r="Q28" s="195">
        <f t="shared" si="3"/>
        <v>0</v>
      </c>
      <c r="S28" s="193">
        <v>0</v>
      </c>
      <c r="T28" s="46">
        <v>1.9929593282312694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194">
        <f t="shared" si="4"/>
        <v>1.9929593282312694</v>
      </c>
      <c r="AA28" s="194">
        <f t="shared" si="5"/>
        <v>1.9929593282312694</v>
      </c>
      <c r="AB28" s="195">
        <f t="shared" si="6"/>
        <v>0</v>
      </c>
      <c r="AD28" s="193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194">
        <f t="shared" si="7"/>
        <v>0</v>
      </c>
      <c r="AL28" s="194">
        <f t="shared" si="8"/>
        <v>0</v>
      </c>
      <c r="AM28" s="195">
        <f t="shared" si="9"/>
        <v>0</v>
      </c>
      <c r="AO28" s="203" t="s">
        <v>1567</v>
      </c>
      <c r="AP28" s="204" t="s">
        <v>1570</v>
      </c>
      <c r="AQ28" s="204" t="s">
        <v>1359</v>
      </c>
    </row>
    <row r="29" spans="3:43" ht="11.25" customHeight="1" x14ac:dyDescent="0.2">
      <c r="C29" s="59">
        <f t="shared" si="0"/>
        <v>18</v>
      </c>
      <c r="D29" s="30" t="s">
        <v>1360</v>
      </c>
      <c r="E29" s="30" t="s">
        <v>1361</v>
      </c>
      <c r="F29" s="30" t="s">
        <v>1181</v>
      </c>
      <c r="G29" s="188" t="s">
        <v>1322</v>
      </c>
      <c r="H29" s="193">
        <v>0</v>
      </c>
      <c r="I29" s="46">
        <v>0.92260468200159218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194">
        <f t="shared" si="1"/>
        <v>0.92260468200159218</v>
      </c>
      <c r="P29" s="194">
        <f t="shared" si="2"/>
        <v>0.92260468200159218</v>
      </c>
      <c r="Q29" s="202">
        <f t="shared" si="3"/>
        <v>0</v>
      </c>
      <c r="S29" s="193">
        <v>0</v>
      </c>
      <c r="T29" s="46">
        <v>1.2247684280096789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194">
        <f t="shared" si="4"/>
        <v>1.2247684280096789</v>
      </c>
      <c r="AA29" s="194">
        <f t="shared" si="5"/>
        <v>1.2247684280096789</v>
      </c>
      <c r="AB29" s="195">
        <f t="shared" si="6"/>
        <v>0</v>
      </c>
      <c r="AD29" s="193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194">
        <f t="shared" si="7"/>
        <v>0</v>
      </c>
      <c r="AL29" s="194">
        <f t="shared" si="8"/>
        <v>0</v>
      </c>
      <c r="AM29" s="195">
        <f t="shared" si="9"/>
        <v>0</v>
      </c>
      <c r="AO29" s="203" t="s">
        <v>1567</v>
      </c>
      <c r="AP29" s="204" t="s">
        <v>1570</v>
      </c>
      <c r="AQ29" s="204" t="s">
        <v>1322</v>
      </c>
    </row>
    <row r="30" spans="3:43" ht="11.25" customHeight="1" x14ac:dyDescent="0.2">
      <c r="C30" s="59">
        <f t="shared" si="0"/>
        <v>19</v>
      </c>
      <c r="D30" s="30" t="s">
        <v>1362</v>
      </c>
      <c r="E30" s="30" t="s">
        <v>1363</v>
      </c>
      <c r="F30" s="30" t="s">
        <v>1207</v>
      </c>
      <c r="G30" s="188" t="s">
        <v>1348</v>
      </c>
      <c r="H30" s="193">
        <v>0</v>
      </c>
      <c r="I30" s="46">
        <v>0.82961177023977095</v>
      </c>
      <c r="J30" s="46">
        <v>0.94714782076815185</v>
      </c>
      <c r="K30" s="46">
        <v>0.95475326092181678</v>
      </c>
      <c r="L30" s="46">
        <v>0.95973101925541782</v>
      </c>
      <c r="M30" s="46">
        <v>0.96467054452608336</v>
      </c>
      <c r="N30" s="46">
        <v>0.97039439164029717</v>
      </c>
      <c r="O30" s="194">
        <f t="shared" si="1"/>
        <v>5.6263088073515375</v>
      </c>
      <c r="P30" s="194">
        <f t="shared" si="2"/>
        <v>0.82961177023977095</v>
      </c>
      <c r="Q30" s="195">
        <f t="shared" si="3"/>
        <v>4.796697037111767</v>
      </c>
      <c r="S30" s="193">
        <v>0</v>
      </c>
      <c r="T30" s="46">
        <v>1.1013192578759727</v>
      </c>
      <c r="U30" s="46">
        <v>1.2983214636880542</v>
      </c>
      <c r="V30" s="46">
        <v>1.3117277617091636</v>
      </c>
      <c r="W30" s="46">
        <v>1.320527893831275</v>
      </c>
      <c r="X30" s="46">
        <v>1.3292805445966609</v>
      </c>
      <c r="Y30" s="46">
        <v>1.3394480407449938</v>
      </c>
      <c r="Z30" s="194">
        <f t="shared" si="4"/>
        <v>7.7006249624461205</v>
      </c>
      <c r="AA30" s="194">
        <f t="shared" si="5"/>
        <v>1.1013192578759727</v>
      </c>
      <c r="AB30" s="195">
        <f t="shared" si="6"/>
        <v>6.5993057045701473</v>
      </c>
      <c r="AD30" s="193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194">
        <f t="shared" si="7"/>
        <v>0</v>
      </c>
      <c r="AL30" s="194">
        <f t="shared" si="8"/>
        <v>0</v>
      </c>
      <c r="AM30" s="195">
        <f t="shared" si="9"/>
        <v>0</v>
      </c>
      <c r="AO30" s="203" t="s">
        <v>1569</v>
      </c>
      <c r="AP30" s="204" t="s">
        <v>1568</v>
      </c>
      <c r="AQ30" s="204" t="s">
        <v>1348</v>
      </c>
    </row>
    <row r="31" spans="3:43" ht="11.25" customHeight="1" x14ac:dyDescent="0.2">
      <c r="C31" s="59">
        <f t="shared" si="0"/>
        <v>20</v>
      </c>
      <c r="D31" s="30" t="s">
        <v>1364</v>
      </c>
      <c r="E31" s="30" t="s">
        <v>1365</v>
      </c>
      <c r="F31" s="30" t="s">
        <v>1207</v>
      </c>
      <c r="G31" s="188" t="s">
        <v>1345</v>
      </c>
      <c r="H31" s="193">
        <v>0</v>
      </c>
      <c r="I31" s="46">
        <v>0</v>
      </c>
      <c r="J31" s="46">
        <v>0.28017067123747647</v>
      </c>
      <c r="K31" s="46">
        <v>0.14595100755891355</v>
      </c>
      <c r="L31" s="46">
        <v>2.3311756555303251</v>
      </c>
      <c r="M31" s="46">
        <v>0.45013226279789392</v>
      </c>
      <c r="N31" s="46">
        <v>0</v>
      </c>
      <c r="O31" s="194">
        <f t="shared" si="1"/>
        <v>3.2074295971246092</v>
      </c>
      <c r="P31" s="194">
        <f t="shared" si="2"/>
        <v>0</v>
      </c>
      <c r="Q31" s="195">
        <f t="shared" si="3"/>
        <v>3.2074295971246092</v>
      </c>
      <c r="S31" s="193">
        <v>0</v>
      </c>
      <c r="T31" s="46">
        <v>0</v>
      </c>
      <c r="U31" s="46">
        <v>0.3840494461239396</v>
      </c>
      <c r="V31" s="46">
        <v>0.20052090555795257</v>
      </c>
      <c r="W31" s="46">
        <v>3.2075471322542897</v>
      </c>
      <c r="X31" s="46">
        <v>0.62026570918723978</v>
      </c>
      <c r="Y31" s="46">
        <v>0</v>
      </c>
      <c r="Z31" s="194">
        <f t="shared" si="4"/>
        <v>4.4123831931234214</v>
      </c>
      <c r="AA31" s="194">
        <f t="shared" si="5"/>
        <v>0</v>
      </c>
      <c r="AB31" s="195">
        <f t="shared" si="6"/>
        <v>4.4123831931234214</v>
      </c>
      <c r="AD31" s="193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194">
        <f t="shared" si="7"/>
        <v>0</v>
      </c>
      <c r="AL31" s="194">
        <f t="shared" si="8"/>
        <v>0</v>
      </c>
      <c r="AM31" s="195">
        <f t="shared" si="9"/>
        <v>0</v>
      </c>
      <c r="AO31" s="203" t="s">
        <v>1569</v>
      </c>
      <c r="AP31" s="204" t="s">
        <v>1570</v>
      </c>
      <c r="AQ31" s="204" t="s">
        <v>1345</v>
      </c>
    </row>
    <row r="32" spans="3:43" ht="11.25" customHeight="1" x14ac:dyDescent="0.2">
      <c r="C32" s="59">
        <f t="shared" si="0"/>
        <v>21</v>
      </c>
      <c r="D32" s="30" t="s">
        <v>1366</v>
      </c>
      <c r="E32" s="30" t="s">
        <v>1367</v>
      </c>
      <c r="F32" s="30" t="s">
        <v>1181</v>
      </c>
      <c r="G32" s="188" t="s">
        <v>1368</v>
      </c>
      <c r="H32" s="193">
        <v>0</v>
      </c>
      <c r="I32" s="46">
        <v>0.70406782044279903</v>
      </c>
      <c r="J32" s="46">
        <v>0.69313840180002106</v>
      </c>
      <c r="K32" s="46">
        <v>0.69822070590607821</v>
      </c>
      <c r="L32" s="46">
        <v>0.70154707244196235</v>
      </c>
      <c r="M32" s="46">
        <v>0.70484788989076985</v>
      </c>
      <c r="N32" s="46">
        <v>0.70867282718608104</v>
      </c>
      <c r="O32" s="194">
        <f t="shared" si="1"/>
        <v>4.2104947176677117</v>
      </c>
      <c r="P32" s="194">
        <f t="shared" si="2"/>
        <v>0.70406782044279903</v>
      </c>
      <c r="Q32" s="202">
        <f t="shared" si="3"/>
        <v>3.5064268972249124</v>
      </c>
      <c r="S32" s="193">
        <v>0</v>
      </c>
      <c r="T32" s="46">
        <v>0.93465820679028344</v>
      </c>
      <c r="U32" s="46">
        <v>0.95013306754330662</v>
      </c>
      <c r="V32" s="46">
        <v>0.95927976496554923</v>
      </c>
      <c r="W32" s="46">
        <v>0.96528345901960555</v>
      </c>
      <c r="X32" s="46">
        <v>0.97125447879421212</v>
      </c>
      <c r="Y32" s="46">
        <v>0.97819035031631707</v>
      </c>
      <c r="Z32" s="194">
        <f t="shared" si="4"/>
        <v>5.7587993274292737</v>
      </c>
      <c r="AA32" s="194">
        <f t="shared" si="5"/>
        <v>0.93465820679028344</v>
      </c>
      <c r="AB32" s="195">
        <f t="shared" si="6"/>
        <v>4.8241411206389904</v>
      </c>
      <c r="AD32" s="193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194">
        <f t="shared" si="7"/>
        <v>0</v>
      </c>
      <c r="AL32" s="194">
        <f t="shared" si="8"/>
        <v>0</v>
      </c>
      <c r="AM32" s="195">
        <f t="shared" si="9"/>
        <v>0</v>
      </c>
      <c r="AO32" s="203" t="s">
        <v>1569</v>
      </c>
      <c r="AP32" s="204" t="s">
        <v>1570</v>
      </c>
      <c r="AQ32" s="204" t="s">
        <v>1368</v>
      </c>
    </row>
    <row r="33" spans="3:43" ht="11.25" customHeight="1" x14ac:dyDescent="0.2">
      <c r="C33" s="59">
        <f t="shared" si="0"/>
        <v>22</v>
      </c>
      <c r="D33" s="30" t="s">
        <v>1369</v>
      </c>
      <c r="E33" s="30" t="s">
        <v>1370</v>
      </c>
      <c r="F33" s="30" t="s">
        <v>1181</v>
      </c>
      <c r="G33" s="188" t="s">
        <v>147</v>
      </c>
      <c r="H33" s="193">
        <v>0</v>
      </c>
      <c r="I33" s="46">
        <v>4.4714159196628165</v>
      </c>
      <c r="J33" s="46">
        <v>1.5710647678258396</v>
      </c>
      <c r="K33" s="46">
        <v>0</v>
      </c>
      <c r="L33" s="46">
        <v>0</v>
      </c>
      <c r="M33" s="46">
        <v>0</v>
      </c>
      <c r="N33" s="46">
        <v>0</v>
      </c>
      <c r="O33" s="194">
        <f t="shared" si="1"/>
        <v>6.0424806874886556</v>
      </c>
      <c r="P33" s="194">
        <f t="shared" si="2"/>
        <v>4.4714159196628165</v>
      </c>
      <c r="Q33" s="202">
        <f t="shared" si="3"/>
        <v>1.5710647678258396</v>
      </c>
      <c r="S33" s="193">
        <v>0</v>
      </c>
      <c r="T33" s="46">
        <v>5.9358565523661948</v>
      </c>
      <c r="U33" s="46">
        <v>2.1535678636288371</v>
      </c>
      <c r="V33" s="46">
        <v>0</v>
      </c>
      <c r="W33" s="46">
        <v>0</v>
      </c>
      <c r="X33" s="46">
        <v>0</v>
      </c>
      <c r="Y33" s="46">
        <v>0</v>
      </c>
      <c r="Z33" s="194">
        <f t="shared" si="4"/>
        <v>8.0894244159950315</v>
      </c>
      <c r="AA33" s="194">
        <f t="shared" si="5"/>
        <v>5.9358565523661948</v>
      </c>
      <c r="AB33" s="195">
        <f t="shared" si="6"/>
        <v>2.1535678636288371</v>
      </c>
      <c r="AD33" s="193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194">
        <f t="shared" si="7"/>
        <v>0</v>
      </c>
      <c r="AL33" s="194">
        <f t="shared" si="8"/>
        <v>0</v>
      </c>
      <c r="AM33" s="195">
        <f t="shared" si="9"/>
        <v>0</v>
      </c>
      <c r="AO33" s="203" t="s">
        <v>1567</v>
      </c>
      <c r="AP33" s="204" t="s">
        <v>1570</v>
      </c>
      <c r="AQ33" s="204" t="s">
        <v>147</v>
      </c>
    </row>
    <row r="34" spans="3:43" ht="11.25" customHeight="1" x14ac:dyDescent="0.2">
      <c r="C34" s="59">
        <f t="shared" si="0"/>
        <v>23</v>
      </c>
      <c r="D34" s="30" t="s">
        <v>1371</v>
      </c>
      <c r="E34" s="30" t="s">
        <v>1372</v>
      </c>
      <c r="F34" s="30" t="s">
        <v>1181</v>
      </c>
      <c r="G34" s="188" t="s">
        <v>146</v>
      </c>
      <c r="H34" s="193">
        <v>0</v>
      </c>
      <c r="I34" s="46">
        <v>0.97398591687936076</v>
      </c>
      <c r="J34" s="46">
        <v>3.2141916751893853</v>
      </c>
      <c r="K34" s="46">
        <v>1.5409025116284927</v>
      </c>
      <c r="L34" s="46">
        <v>2.753127490411059</v>
      </c>
      <c r="M34" s="46">
        <v>2.4289330841710481</v>
      </c>
      <c r="N34" s="46">
        <v>2.0768481785839881</v>
      </c>
      <c r="O34" s="194">
        <f t="shared" si="1"/>
        <v>12.987988856863334</v>
      </c>
      <c r="P34" s="194">
        <f t="shared" si="2"/>
        <v>0.97398591687936076</v>
      </c>
      <c r="Q34" s="202">
        <f t="shared" si="3"/>
        <v>12.014002939983973</v>
      </c>
      <c r="S34" s="193">
        <v>0</v>
      </c>
      <c r="T34" s="46">
        <v>1.2929776139135634</v>
      </c>
      <c r="U34" s="46">
        <v>4.4059163192936763</v>
      </c>
      <c r="V34" s="46">
        <v>2.1170334633253352</v>
      </c>
      <c r="W34" s="46">
        <v>3.7881256033404762</v>
      </c>
      <c r="X34" s="46">
        <v>3.3469804911498859</v>
      </c>
      <c r="Y34" s="46">
        <v>2.8667006401664077</v>
      </c>
      <c r="Z34" s="194">
        <f t="shared" si="4"/>
        <v>17.817734131189344</v>
      </c>
      <c r="AA34" s="194">
        <f t="shared" si="5"/>
        <v>1.2929776139135634</v>
      </c>
      <c r="AB34" s="195">
        <f t="shared" si="6"/>
        <v>16.52475651727578</v>
      </c>
      <c r="AD34" s="193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194">
        <f t="shared" si="7"/>
        <v>0</v>
      </c>
      <c r="AL34" s="194">
        <f t="shared" si="8"/>
        <v>0</v>
      </c>
      <c r="AM34" s="195">
        <f t="shared" si="9"/>
        <v>0</v>
      </c>
      <c r="AO34" s="203" t="s">
        <v>1569</v>
      </c>
      <c r="AP34" s="204" t="s">
        <v>1570</v>
      </c>
      <c r="AQ34" s="204" t="s">
        <v>146</v>
      </c>
    </row>
    <row r="35" spans="3:43" ht="11.25" customHeight="1" x14ac:dyDescent="0.2">
      <c r="C35" s="59">
        <f t="shared" si="0"/>
        <v>24</v>
      </c>
      <c r="D35" s="30" t="s">
        <v>1373</v>
      </c>
      <c r="E35" s="30" t="s">
        <v>1374</v>
      </c>
      <c r="F35" s="30" t="s">
        <v>1181</v>
      </c>
      <c r="G35" s="188" t="s">
        <v>1322</v>
      </c>
      <c r="H35" s="193">
        <v>0</v>
      </c>
      <c r="I35" s="46">
        <v>1.0997447809458982</v>
      </c>
      <c r="J35" s="46">
        <v>1.0476888930900592</v>
      </c>
      <c r="K35" s="46">
        <v>1.0509147696898762</v>
      </c>
      <c r="L35" s="46">
        <v>1.0530261049713943</v>
      </c>
      <c r="M35" s="46">
        <v>1.0551212235526861</v>
      </c>
      <c r="N35" s="46">
        <v>1.0575490152509448</v>
      </c>
      <c r="O35" s="194">
        <f t="shared" si="1"/>
        <v>6.364044787500859</v>
      </c>
      <c r="P35" s="194">
        <f t="shared" si="2"/>
        <v>1.0997447809458982</v>
      </c>
      <c r="Q35" s="202">
        <f t="shared" si="3"/>
        <v>5.2643000065549614</v>
      </c>
      <c r="S35" s="193">
        <v>0</v>
      </c>
      <c r="T35" s="46">
        <v>1.4599239661875376</v>
      </c>
      <c r="U35" s="46">
        <v>1.4361401117549206</v>
      </c>
      <c r="V35" s="46">
        <v>1.4438432786932234</v>
      </c>
      <c r="W35" s="46">
        <v>1.4488959058820965</v>
      </c>
      <c r="X35" s="46">
        <v>1.453918254909137</v>
      </c>
      <c r="Y35" s="46">
        <v>1.4597487049314597</v>
      </c>
      <c r="Z35" s="194">
        <f t="shared" si="4"/>
        <v>8.7024702223583752</v>
      </c>
      <c r="AA35" s="194">
        <f t="shared" si="5"/>
        <v>1.4599239661875376</v>
      </c>
      <c r="AB35" s="195">
        <f t="shared" si="6"/>
        <v>7.2425462561708382</v>
      </c>
      <c r="AD35" s="193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194">
        <f t="shared" si="7"/>
        <v>0</v>
      </c>
      <c r="AL35" s="194">
        <f t="shared" si="8"/>
        <v>0</v>
      </c>
      <c r="AM35" s="195">
        <f t="shared" si="9"/>
        <v>0</v>
      </c>
      <c r="AO35" s="203" t="s">
        <v>1569</v>
      </c>
      <c r="AP35" s="204" t="s">
        <v>1570</v>
      </c>
      <c r="AQ35" s="204" t="s">
        <v>1322</v>
      </c>
    </row>
    <row r="36" spans="3:43" ht="11.25" customHeight="1" x14ac:dyDescent="0.2">
      <c r="C36" s="59">
        <f t="shared" si="0"/>
        <v>25</v>
      </c>
      <c r="D36" s="30" t="s">
        <v>1375</v>
      </c>
      <c r="E36" s="30" t="s">
        <v>1376</v>
      </c>
      <c r="F36" s="30" t="s">
        <v>1181</v>
      </c>
      <c r="G36" s="188" t="s">
        <v>1345</v>
      </c>
      <c r="H36" s="193">
        <v>0</v>
      </c>
      <c r="I36" s="46">
        <v>6.5573489475700145E-2</v>
      </c>
      <c r="J36" s="46">
        <v>0.72449495689597287</v>
      </c>
      <c r="K36" s="46">
        <v>0.14323937363260625</v>
      </c>
      <c r="L36" s="46">
        <v>0.30036982526593564</v>
      </c>
      <c r="M36" s="46">
        <v>0.36092269200336208</v>
      </c>
      <c r="N36" s="46">
        <v>3.6255273720533658E-2</v>
      </c>
      <c r="O36" s="194">
        <f t="shared" si="1"/>
        <v>1.6308556109941108</v>
      </c>
      <c r="P36" s="194">
        <f t="shared" si="2"/>
        <v>6.5573489475700145E-2</v>
      </c>
      <c r="Q36" s="202">
        <f t="shared" si="3"/>
        <v>1.5652821215184107</v>
      </c>
      <c r="S36" s="193">
        <v>0</v>
      </c>
      <c r="T36" s="46">
        <v>8.7049568673361541E-2</v>
      </c>
      <c r="U36" s="46">
        <v>0.99311568083314583</v>
      </c>
      <c r="V36" s="46">
        <v>0.19679541369914971</v>
      </c>
      <c r="W36" s="46">
        <v>0.41328947879232036</v>
      </c>
      <c r="X36" s="46">
        <v>0.49733820038966675</v>
      </c>
      <c r="Y36" s="46">
        <v>5.0043627384898474E-2</v>
      </c>
      <c r="Z36" s="194">
        <f t="shared" si="4"/>
        <v>2.2376319697725422</v>
      </c>
      <c r="AA36" s="194">
        <f t="shared" si="5"/>
        <v>8.7049568673361541E-2</v>
      </c>
      <c r="AB36" s="195">
        <f t="shared" si="6"/>
        <v>2.150582401099181</v>
      </c>
      <c r="AD36" s="193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194">
        <f t="shared" si="7"/>
        <v>0</v>
      </c>
      <c r="AL36" s="194">
        <f t="shared" si="8"/>
        <v>0</v>
      </c>
      <c r="AM36" s="195">
        <f t="shared" si="9"/>
        <v>0</v>
      </c>
      <c r="AO36" s="203" t="s">
        <v>1569</v>
      </c>
      <c r="AP36" s="204" t="s">
        <v>1570</v>
      </c>
      <c r="AQ36" s="204" t="s">
        <v>1345</v>
      </c>
    </row>
    <row r="37" spans="3:43" ht="11.25" customHeight="1" x14ac:dyDescent="0.2">
      <c r="C37" s="59">
        <f t="shared" si="0"/>
        <v>26</v>
      </c>
      <c r="D37" s="30" t="s">
        <v>1377</v>
      </c>
      <c r="E37" s="30" t="s">
        <v>1378</v>
      </c>
      <c r="F37" s="30" t="s">
        <v>1181</v>
      </c>
      <c r="G37" s="188" t="s">
        <v>1379</v>
      </c>
      <c r="H37" s="193">
        <v>0</v>
      </c>
      <c r="I37" s="46">
        <v>0.61851197377880074</v>
      </c>
      <c r="J37" s="46">
        <v>0.38757530585732225</v>
      </c>
      <c r="K37" s="46">
        <v>1.1099317944543003</v>
      </c>
      <c r="L37" s="46">
        <v>1.115511260271004</v>
      </c>
      <c r="M37" s="46">
        <v>0.39448674817543611</v>
      </c>
      <c r="N37" s="46">
        <v>0.39674439029284292</v>
      </c>
      <c r="O37" s="194">
        <f t="shared" si="1"/>
        <v>4.0227614728297061</v>
      </c>
      <c r="P37" s="194">
        <f t="shared" si="2"/>
        <v>0.61851197377880074</v>
      </c>
      <c r="Q37" s="202">
        <f t="shared" si="3"/>
        <v>3.4042494990509056</v>
      </c>
      <c r="S37" s="193">
        <v>0</v>
      </c>
      <c r="T37" s="46">
        <v>0.82108182692803444</v>
      </c>
      <c r="U37" s="46">
        <v>0.53127645691242054</v>
      </c>
      <c r="V37" s="46">
        <v>1.524926290362886</v>
      </c>
      <c r="W37" s="46">
        <v>1.5348714436817703</v>
      </c>
      <c r="X37" s="46">
        <v>0.54358823582451665</v>
      </c>
      <c r="Y37" s="46">
        <v>0.54763145874744523</v>
      </c>
      <c r="Z37" s="194">
        <f t="shared" si="4"/>
        <v>5.5033757124570739</v>
      </c>
      <c r="AA37" s="194">
        <f t="shared" si="5"/>
        <v>0.82108182692803444</v>
      </c>
      <c r="AB37" s="195">
        <f t="shared" si="6"/>
        <v>4.682293885529039</v>
      </c>
      <c r="AD37" s="193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194">
        <f t="shared" si="7"/>
        <v>0</v>
      </c>
      <c r="AL37" s="194">
        <f t="shared" si="8"/>
        <v>0</v>
      </c>
      <c r="AM37" s="195">
        <f t="shared" si="9"/>
        <v>0</v>
      </c>
      <c r="AO37" s="203" t="s">
        <v>1569</v>
      </c>
      <c r="AP37" s="204" t="s">
        <v>1570</v>
      </c>
      <c r="AQ37" s="204" t="s">
        <v>1379</v>
      </c>
    </row>
    <row r="38" spans="3:43" ht="11.25" customHeight="1" x14ac:dyDescent="0.2">
      <c r="C38" s="59">
        <f t="shared" si="0"/>
        <v>27</v>
      </c>
      <c r="D38" s="30" t="s">
        <v>1380</v>
      </c>
      <c r="E38" s="30" t="s">
        <v>1381</v>
      </c>
      <c r="F38" s="30" t="s">
        <v>1207</v>
      </c>
      <c r="G38" s="188" t="s">
        <v>1359</v>
      </c>
      <c r="H38" s="193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194">
        <f t="shared" si="1"/>
        <v>0</v>
      </c>
      <c r="P38" s="194">
        <f t="shared" si="2"/>
        <v>0</v>
      </c>
      <c r="Q38" s="195">
        <f t="shared" si="3"/>
        <v>0</v>
      </c>
      <c r="S38" s="193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194">
        <f t="shared" si="4"/>
        <v>0</v>
      </c>
      <c r="AA38" s="194">
        <f t="shared" si="5"/>
        <v>0</v>
      </c>
      <c r="AB38" s="195">
        <f t="shared" si="6"/>
        <v>0</v>
      </c>
      <c r="AD38" s="193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194">
        <f t="shared" si="7"/>
        <v>0</v>
      </c>
      <c r="AL38" s="194">
        <f t="shared" si="8"/>
        <v>0</v>
      </c>
      <c r="AM38" s="195">
        <f t="shared" si="9"/>
        <v>0</v>
      </c>
      <c r="AO38" s="203" t="s">
        <v>1567</v>
      </c>
      <c r="AP38" s="204" t="s">
        <v>1570</v>
      </c>
      <c r="AQ38" s="204" t="s">
        <v>1359</v>
      </c>
    </row>
    <row r="39" spans="3:43" ht="11.25" customHeight="1" x14ac:dyDescent="0.2">
      <c r="C39" s="59">
        <f t="shared" si="0"/>
        <v>28</v>
      </c>
      <c r="D39" s="30" t="s">
        <v>1382</v>
      </c>
      <c r="E39" s="30" t="s">
        <v>1383</v>
      </c>
      <c r="F39" s="30" t="s">
        <v>1181</v>
      </c>
      <c r="G39" s="188" t="s">
        <v>1359</v>
      </c>
      <c r="H39" s="193">
        <v>0</v>
      </c>
      <c r="I39" s="46">
        <v>0.45590135727245862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194">
        <f t="shared" si="1"/>
        <v>0.45590135727245862</v>
      </c>
      <c r="P39" s="194">
        <f t="shared" si="2"/>
        <v>0.45590135727245862</v>
      </c>
      <c r="Q39" s="202">
        <f t="shared" si="3"/>
        <v>0</v>
      </c>
      <c r="S39" s="193">
        <v>0</v>
      </c>
      <c r="T39" s="46">
        <v>0.60521434539295393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194">
        <f t="shared" si="4"/>
        <v>0.60521434539295393</v>
      </c>
      <c r="AA39" s="194">
        <f t="shared" si="5"/>
        <v>0.60521434539295393</v>
      </c>
      <c r="AB39" s="195">
        <f t="shared" si="6"/>
        <v>0</v>
      </c>
      <c r="AD39" s="193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194">
        <f t="shared" si="7"/>
        <v>0</v>
      </c>
      <c r="AL39" s="194">
        <f t="shared" si="8"/>
        <v>0</v>
      </c>
      <c r="AM39" s="195">
        <f t="shared" si="9"/>
        <v>0</v>
      </c>
      <c r="AO39" s="203" t="s">
        <v>1567</v>
      </c>
      <c r="AP39" s="204" t="s">
        <v>1570</v>
      </c>
      <c r="AQ39" s="204" t="s">
        <v>1359</v>
      </c>
    </row>
    <row r="40" spans="3:43" ht="11.25" customHeight="1" x14ac:dyDescent="0.2">
      <c r="C40" s="59">
        <f t="shared" si="0"/>
        <v>29</v>
      </c>
      <c r="D40" s="30" t="s">
        <v>1384</v>
      </c>
      <c r="E40" s="30" t="s">
        <v>1385</v>
      </c>
      <c r="F40" s="30" t="s">
        <v>1181</v>
      </c>
      <c r="G40" s="188" t="s">
        <v>1345</v>
      </c>
      <c r="H40" s="193">
        <v>0</v>
      </c>
      <c r="I40" s="46">
        <v>0.33604329726514887</v>
      </c>
      <c r="J40" s="46">
        <v>0.20718420182020994</v>
      </c>
      <c r="K40" s="46">
        <v>0.46959385574033591</v>
      </c>
      <c r="L40" s="46">
        <v>0.27017550803407325</v>
      </c>
      <c r="M40" s="46">
        <v>0.41510937888532867</v>
      </c>
      <c r="N40" s="46">
        <v>0.49522930264611686</v>
      </c>
      <c r="O40" s="194">
        <f t="shared" si="1"/>
        <v>2.1933355443912137</v>
      </c>
      <c r="P40" s="194">
        <f t="shared" si="2"/>
        <v>0.33604329726514887</v>
      </c>
      <c r="Q40" s="202">
        <f t="shared" si="3"/>
        <v>1.8572922471260647</v>
      </c>
      <c r="S40" s="193">
        <v>0</v>
      </c>
      <c r="T40" s="46">
        <v>0.44610137902369251</v>
      </c>
      <c r="U40" s="46">
        <v>0.28400181076497621</v>
      </c>
      <c r="V40" s="46">
        <v>0.64517118978773325</v>
      </c>
      <c r="W40" s="46">
        <v>0.37174404852082765</v>
      </c>
      <c r="X40" s="46">
        <v>0.57200546275926178</v>
      </c>
      <c r="Y40" s="46">
        <v>0.68357146832597659</v>
      </c>
      <c r="Z40" s="194">
        <f t="shared" si="4"/>
        <v>3.0025953591824681</v>
      </c>
      <c r="AA40" s="194">
        <f t="shared" si="5"/>
        <v>0.44610137902369251</v>
      </c>
      <c r="AB40" s="195">
        <f t="shared" si="6"/>
        <v>2.5564939801587752</v>
      </c>
      <c r="AD40" s="193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194">
        <f t="shared" si="7"/>
        <v>0</v>
      </c>
      <c r="AL40" s="194">
        <f t="shared" si="8"/>
        <v>0</v>
      </c>
      <c r="AM40" s="195">
        <f t="shared" si="9"/>
        <v>0</v>
      </c>
      <c r="AO40" s="203" t="s">
        <v>1569</v>
      </c>
      <c r="AP40" s="204" t="s">
        <v>1570</v>
      </c>
      <c r="AQ40" s="204" t="s">
        <v>1345</v>
      </c>
    </row>
    <row r="41" spans="3:43" ht="11.25" customHeight="1" x14ac:dyDescent="0.2">
      <c r="C41" s="59">
        <f t="shared" si="0"/>
        <v>30</v>
      </c>
      <c r="D41" s="30" t="s">
        <v>1386</v>
      </c>
      <c r="E41" s="30" t="s">
        <v>1387</v>
      </c>
      <c r="F41" s="30" t="s">
        <v>1207</v>
      </c>
      <c r="G41" s="188" t="s">
        <v>1348</v>
      </c>
      <c r="H41" s="193">
        <v>0</v>
      </c>
      <c r="I41" s="46">
        <v>0.25286032487959331</v>
      </c>
      <c r="J41" s="46">
        <v>0.4070282959084347</v>
      </c>
      <c r="K41" s="46">
        <v>0.40997243449638365</v>
      </c>
      <c r="L41" s="46">
        <v>0.41189937233237145</v>
      </c>
      <c r="M41" s="46">
        <v>0.413811509784207</v>
      </c>
      <c r="N41" s="46">
        <v>0.41602726571943127</v>
      </c>
      <c r="O41" s="194">
        <f t="shared" si="1"/>
        <v>2.3115992031204211</v>
      </c>
      <c r="P41" s="194">
        <f t="shared" si="2"/>
        <v>0.25286032487959331</v>
      </c>
      <c r="Q41" s="195">
        <f t="shared" si="3"/>
        <v>2.058738878240828</v>
      </c>
      <c r="S41" s="193">
        <v>0</v>
      </c>
      <c r="T41" s="46">
        <v>0.33567501731826432</v>
      </c>
      <c r="U41" s="46">
        <v>0.55794202480211519</v>
      </c>
      <c r="V41" s="46">
        <v>0.56325780269676939</v>
      </c>
      <c r="W41" s="46">
        <v>0.56674693190439995</v>
      </c>
      <c r="X41" s="46">
        <v>0.57021704685359964</v>
      </c>
      <c r="Y41" s="46">
        <v>0.57424786330684785</v>
      </c>
      <c r="Z41" s="194">
        <f t="shared" si="4"/>
        <v>3.1680866868819963</v>
      </c>
      <c r="AA41" s="194">
        <f t="shared" si="5"/>
        <v>0.33567501731826432</v>
      </c>
      <c r="AB41" s="195">
        <f t="shared" si="6"/>
        <v>2.832411669563732</v>
      </c>
      <c r="AD41" s="193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194">
        <f t="shared" si="7"/>
        <v>0</v>
      </c>
      <c r="AL41" s="194">
        <f t="shared" si="8"/>
        <v>0</v>
      </c>
      <c r="AM41" s="195">
        <f t="shared" si="9"/>
        <v>0</v>
      </c>
      <c r="AO41" s="203" t="s">
        <v>1569</v>
      </c>
      <c r="AP41" s="204" t="s">
        <v>1572</v>
      </c>
      <c r="AQ41" s="204" t="s">
        <v>1348</v>
      </c>
    </row>
    <row r="42" spans="3:43" ht="11.25" customHeight="1" x14ac:dyDescent="0.2">
      <c r="C42" s="59">
        <f t="shared" si="0"/>
        <v>31</v>
      </c>
      <c r="D42" s="30" t="s">
        <v>1388</v>
      </c>
      <c r="E42" s="30" t="s">
        <v>1389</v>
      </c>
      <c r="F42" s="30" t="s">
        <v>1181</v>
      </c>
      <c r="G42" s="188" t="s">
        <v>1359</v>
      </c>
      <c r="H42" s="193">
        <v>0</v>
      </c>
      <c r="I42" s="46">
        <v>5.7856012403784867</v>
      </c>
      <c r="J42" s="46">
        <v>13.912639695011729</v>
      </c>
      <c r="K42" s="46">
        <v>10.755484788568065</v>
      </c>
      <c r="L42" s="46">
        <v>0</v>
      </c>
      <c r="M42" s="46">
        <v>0</v>
      </c>
      <c r="N42" s="46">
        <v>0</v>
      </c>
      <c r="O42" s="194">
        <f t="shared" si="1"/>
        <v>30.453725723958282</v>
      </c>
      <c r="P42" s="194">
        <f t="shared" si="2"/>
        <v>5.7856012403784867</v>
      </c>
      <c r="Q42" s="202">
        <f t="shared" si="3"/>
        <v>24.668124483579795</v>
      </c>
      <c r="S42" s="193">
        <v>0</v>
      </c>
      <c r="T42" s="46">
        <v>7.680452825034525</v>
      </c>
      <c r="U42" s="46">
        <v>19.071023906218475</v>
      </c>
      <c r="V42" s="46">
        <v>14.776873319273895</v>
      </c>
      <c r="W42" s="46">
        <v>0</v>
      </c>
      <c r="X42" s="46">
        <v>0</v>
      </c>
      <c r="Y42" s="46">
        <v>0</v>
      </c>
      <c r="Z42" s="194">
        <f t="shared" si="4"/>
        <v>41.528350050526896</v>
      </c>
      <c r="AA42" s="194">
        <f t="shared" si="5"/>
        <v>7.680452825034525</v>
      </c>
      <c r="AB42" s="195">
        <f t="shared" si="6"/>
        <v>33.847897225492368</v>
      </c>
      <c r="AD42" s="193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194">
        <f t="shared" si="7"/>
        <v>0</v>
      </c>
      <c r="AL42" s="194">
        <f t="shared" si="8"/>
        <v>0</v>
      </c>
      <c r="AM42" s="195">
        <f t="shared" si="9"/>
        <v>0</v>
      </c>
      <c r="AO42" s="203" t="s">
        <v>1567</v>
      </c>
      <c r="AP42" s="204" t="s">
        <v>1570</v>
      </c>
      <c r="AQ42" s="204" t="s">
        <v>1359</v>
      </c>
    </row>
    <row r="43" spans="3:43" ht="11.25" customHeight="1" x14ac:dyDescent="0.2">
      <c r="C43" s="59">
        <f t="shared" si="0"/>
        <v>32</v>
      </c>
      <c r="D43" s="30" t="s">
        <v>1390</v>
      </c>
      <c r="E43" s="30" t="s">
        <v>1391</v>
      </c>
      <c r="F43" s="30" t="s">
        <v>1181</v>
      </c>
      <c r="G43" s="188" t="s">
        <v>1345</v>
      </c>
      <c r="H43" s="193">
        <v>0</v>
      </c>
      <c r="I43" s="46">
        <v>0.2712826066487658</v>
      </c>
      <c r="J43" s="46">
        <v>0.28501401728302606</v>
      </c>
      <c r="K43" s="46">
        <v>0.28542728940490558</v>
      </c>
      <c r="L43" s="46">
        <v>0.28569777588657741</v>
      </c>
      <c r="M43" s="46">
        <v>0.2859661848212926</v>
      </c>
      <c r="N43" s="46">
        <v>0.28627721303194326</v>
      </c>
      <c r="O43" s="194">
        <f t="shared" si="1"/>
        <v>1.6996650870765109</v>
      </c>
      <c r="P43" s="194">
        <f t="shared" si="2"/>
        <v>0.2712826066487658</v>
      </c>
      <c r="Q43" s="202">
        <f t="shared" si="3"/>
        <v>1.428382480427745</v>
      </c>
      <c r="S43" s="193">
        <v>0</v>
      </c>
      <c r="T43" s="46">
        <v>0.36013081027373711</v>
      </c>
      <c r="U43" s="46">
        <v>0.39068855776958106</v>
      </c>
      <c r="V43" s="46">
        <v>0.39214623797181219</v>
      </c>
      <c r="W43" s="46">
        <v>0.3931016865084534</v>
      </c>
      <c r="X43" s="46">
        <v>0.39405088924138815</v>
      </c>
      <c r="Y43" s="46">
        <v>0.39515217256914126</v>
      </c>
      <c r="Z43" s="194">
        <f t="shared" si="4"/>
        <v>2.3252703543341129</v>
      </c>
      <c r="AA43" s="194">
        <f t="shared" si="5"/>
        <v>0.36013081027373711</v>
      </c>
      <c r="AB43" s="195">
        <f t="shared" si="6"/>
        <v>1.9651395440603761</v>
      </c>
      <c r="AD43" s="193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194">
        <f t="shared" si="7"/>
        <v>0</v>
      </c>
      <c r="AL43" s="194">
        <f t="shared" si="8"/>
        <v>0</v>
      </c>
      <c r="AM43" s="195">
        <f t="shared" si="9"/>
        <v>0</v>
      </c>
      <c r="AO43" s="203" t="s">
        <v>1569</v>
      </c>
      <c r="AP43" s="204" t="s">
        <v>1570</v>
      </c>
      <c r="AQ43" s="204" t="s">
        <v>1345</v>
      </c>
    </row>
    <row r="44" spans="3:43" ht="11.25" customHeight="1" x14ac:dyDescent="0.2">
      <c r="C44" s="59">
        <f t="shared" si="0"/>
        <v>33</v>
      </c>
      <c r="D44" s="30" t="s">
        <v>1392</v>
      </c>
      <c r="E44" s="30" t="s">
        <v>1393</v>
      </c>
      <c r="F44" s="30" t="s">
        <v>1181</v>
      </c>
      <c r="G44" s="188" t="s">
        <v>1345</v>
      </c>
      <c r="H44" s="193">
        <v>0</v>
      </c>
      <c r="I44" s="46">
        <v>0</v>
      </c>
      <c r="J44" s="46">
        <v>0.9113339916937645</v>
      </c>
      <c r="K44" s="46">
        <v>0.45648725513693655</v>
      </c>
      <c r="L44" s="46">
        <v>0</v>
      </c>
      <c r="M44" s="46">
        <v>0</v>
      </c>
      <c r="N44" s="46">
        <v>0</v>
      </c>
      <c r="O44" s="194">
        <f t="shared" si="1"/>
        <v>1.3678212468307009</v>
      </c>
      <c r="P44" s="194">
        <f t="shared" si="2"/>
        <v>0</v>
      </c>
      <c r="Q44" s="202">
        <f t="shared" si="3"/>
        <v>1.3678212468307009</v>
      </c>
      <c r="S44" s="193">
        <v>0</v>
      </c>
      <c r="T44" s="46">
        <v>0</v>
      </c>
      <c r="U44" s="46">
        <v>1.2492289546154771</v>
      </c>
      <c r="V44" s="46">
        <v>0.62716413751905198</v>
      </c>
      <c r="W44" s="46">
        <v>0</v>
      </c>
      <c r="X44" s="46">
        <v>0</v>
      </c>
      <c r="Y44" s="46">
        <v>0</v>
      </c>
      <c r="Z44" s="194">
        <f t="shared" si="4"/>
        <v>1.8763930921345291</v>
      </c>
      <c r="AA44" s="194">
        <f t="shared" si="5"/>
        <v>0</v>
      </c>
      <c r="AB44" s="195">
        <f t="shared" si="6"/>
        <v>1.8763930921345291</v>
      </c>
      <c r="AD44" s="193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194">
        <f t="shared" si="7"/>
        <v>0</v>
      </c>
      <c r="AL44" s="194">
        <f t="shared" si="8"/>
        <v>0</v>
      </c>
      <c r="AM44" s="195">
        <f t="shared" si="9"/>
        <v>0</v>
      </c>
      <c r="AO44" s="203" t="s">
        <v>1569</v>
      </c>
      <c r="AP44" s="204" t="s">
        <v>1570</v>
      </c>
      <c r="AQ44" s="204" t="s">
        <v>1345</v>
      </c>
    </row>
    <row r="45" spans="3:43" ht="11.25" customHeight="1" x14ac:dyDescent="0.2">
      <c r="C45" s="59">
        <f t="shared" si="0"/>
        <v>34</v>
      </c>
      <c r="D45" s="30" t="s">
        <v>1394</v>
      </c>
      <c r="E45" s="30" t="s">
        <v>1395</v>
      </c>
      <c r="F45" s="30" t="s">
        <v>1181</v>
      </c>
      <c r="G45" s="188" t="s">
        <v>1322</v>
      </c>
      <c r="H45" s="193">
        <v>0</v>
      </c>
      <c r="I45" s="46">
        <v>0</v>
      </c>
      <c r="J45" s="46">
        <v>0.14887791491974231</v>
      </c>
      <c r="K45" s="46">
        <v>0.43746542059421378</v>
      </c>
      <c r="L45" s="46">
        <v>0.15017058863447705</v>
      </c>
      <c r="M45" s="46">
        <v>0.15067802674626704</v>
      </c>
      <c r="N45" s="46">
        <v>0.15126603834913513</v>
      </c>
      <c r="O45" s="194">
        <f t="shared" si="1"/>
        <v>1.0384579892438355</v>
      </c>
      <c r="P45" s="194">
        <f t="shared" si="2"/>
        <v>0</v>
      </c>
      <c r="Q45" s="202">
        <f t="shared" si="3"/>
        <v>1.0384579892438355</v>
      </c>
      <c r="S45" s="193">
        <v>0</v>
      </c>
      <c r="T45" s="46">
        <v>0</v>
      </c>
      <c r="U45" s="46">
        <v>0.20407732369870535</v>
      </c>
      <c r="V45" s="46">
        <v>0.60103019331629848</v>
      </c>
      <c r="W45" s="46">
        <v>0.20662503049941855</v>
      </c>
      <c r="X45" s="46">
        <v>0.20762878123372872</v>
      </c>
      <c r="Y45" s="46">
        <v>0.20879448649277654</v>
      </c>
      <c r="Z45" s="194">
        <f t="shared" si="4"/>
        <v>1.4281558152409275</v>
      </c>
      <c r="AA45" s="194">
        <f t="shared" si="5"/>
        <v>0</v>
      </c>
      <c r="AB45" s="195">
        <f t="shared" si="6"/>
        <v>1.4281558152409275</v>
      </c>
      <c r="AD45" s="193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194">
        <f t="shared" si="7"/>
        <v>0</v>
      </c>
      <c r="AL45" s="194">
        <f t="shared" si="8"/>
        <v>0</v>
      </c>
      <c r="AM45" s="195">
        <f t="shared" si="9"/>
        <v>0</v>
      </c>
      <c r="AO45" s="203" t="s">
        <v>1567</v>
      </c>
      <c r="AP45" s="204" t="s">
        <v>1570</v>
      </c>
      <c r="AQ45" s="204" t="s">
        <v>1322</v>
      </c>
    </row>
    <row r="46" spans="3:43" ht="11.25" customHeight="1" x14ac:dyDescent="0.2">
      <c r="C46" s="59">
        <f t="shared" si="0"/>
        <v>35</v>
      </c>
      <c r="D46" s="30" t="s">
        <v>1396</v>
      </c>
      <c r="E46" s="30" t="s">
        <v>1397</v>
      </c>
      <c r="F46" s="30" t="s">
        <v>1181</v>
      </c>
      <c r="G46" s="188" t="s">
        <v>1319</v>
      </c>
      <c r="H46" s="193">
        <v>0</v>
      </c>
      <c r="I46" s="46">
        <v>0.36502952755555906</v>
      </c>
      <c r="J46" s="46">
        <v>0</v>
      </c>
      <c r="K46" s="46">
        <v>0.17429604298127777</v>
      </c>
      <c r="L46" s="46">
        <v>6.1690328563127984E-2</v>
      </c>
      <c r="M46" s="46">
        <v>0.14853263454471971</v>
      </c>
      <c r="N46" s="46">
        <v>9.3397988520010966E-2</v>
      </c>
      <c r="O46" s="194">
        <f t="shared" si="1"/>
        <v>0.84294652216469546</v>
      </c>
      <c r="P46" s="194">
        <f t="shared" si="2"/>
        <v>0.36502952755555906</v>
      </c>
      <c r="Q46" s="195">
        <f t="shared" si="3"/>
        <v>0.47791699460913645</v>
      </c>
      <c r="S46" s="193">
        <v>0</v>
      </c>
      <c r="T46" s="46">
        <v>0.48458093630243071</v>
      </c>
      <c r="U46" s="46">
        <v>0</v>
      </c>
      <c r="V46" s="46">
        <v>0.23946391983396187</v>
      </c>
      <c r="W46" s="46">
        <v>8.4881907547833868E-2</v>
      </c>
      <c r="X46" s="46">
        <v>0.2046725096545573</v>
      </c>
      <c r="Y46" s="46">
        <v>0.12891846223594461</v>
      </c>
      <c r="Z46" s="194">
        <f t="shared" si="4"/>
        <v>1.1425177355747285</v>
      </c>
      <c r="AA46" s="194">
        <f t="shared" si="5"/>
        <v>0.48458093630243071</v>
      </c>
      <c r="AB46" s="195">
        <f t="shared" si="6"/>
        <v>0.65793679927229765</v>
      </c>
      <c r="AD46" s="193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194">
        <f t="shared" si="7"/>
        <v>0</v>
      </c>
      <c r="AL46" s="194">
        <f t="shared" si="8"/>
        <v>0</v>
      </c>
      <c r="AM46" s="195">
        <f t="shared" si="9"/>
        <v>0</v>
      </c>
      <c r="AO46" s="203" t="s">
        <v>1569</v>
      </c>
      <c r="AP46" s="204" t="s">
        <v>1570</v>
      </c>
      <c r="AQ46" s="204" t="s">
        <v>1319</v>
      </c>
    </row>
    <row r="47" spans="3:43" ht="11.25" customHeight="1" x14ac:dyDescent="0.2">
      <c r="C47" s="59">
        <f t="shared" si="0"/>
        <v>36</v>
      </c>
      <c r="D47" s="30" t="s">
        <v>1398</v>
      </c>
      <c r="E47" s="30" t="s">
        <v>1399</v>
      </c>
      <c r="F47" s="30" t="s">
        <v>1207</v>
      </c>
      <c r="G47" s="188" t="s">
        <v>1319</v>
      </c>
      <c r="H47" s="193">
        <v>0</v>
      </c>
      <c r="I47" s="46">
        <v>0</v>
      </c>
      <c r="J47" s="46">
        <v>0.39237760193506777</v>
      </c>
      <c r="K47" s="46">
        <v>0.39293219536694973</v>
      </c>
      <c r="L47" s="46">
        <v>0.39329517660426588</v>
      </c>
      <c r="M47" s="46">
        <v>0.39365536986282523</v>
      </c>
      <c r="N47" s="46">
        <v>0.39407275635861005</v>
      </c>
      <c r="O47" s="194">
        <f t="shared" si="1"/>
        <v>1.9663331001277187</v>
      </c>
      <c r="P47" s="194">
        <f t="shared" si="2"/>
        <v>0</v>
      </c>
      <c r="Q47" s="195">
        <f t="shared" si="3"/>
        <v>1.9663331001277187</v>
      </c>
      <c r="S47" s="193">
        <v>0</v>
      </c>
      <c r="T47" s="46">
        <v>0</v>
      </c>
      <c r="U47" s="46">
        <v>0.53785929850906311</v>
      </c>
      <c r="V47" s="46">
        <v>0.53984635636071798</v>
      </c>
      <c r="W47" s="46">
        <v>0.54114876022050451</v>
      </c>
      <c r="X47" s="46">
        <v>0.54244262707505897</v>
      </c>
      <c r="Y47" s="46">
        <v>0.54394376756783402</v>
      </c>
      <c r="Z47" s="194">
        <f t="shared" si="4"/>
        <v>2.7052408097331782</v>
      </c>
      <c r="AA47" s="194">
        <f t="shared" si="5"/>
        <v>0</v>
      </c>
      <c r="AB47" s="195">
        <f t="shared" si="6"/>
        <v>2.7052408097331782</v>
      </c>
      <c r="AD47" s="193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194">
        <f t="shared" si="7"/>
        <v>0</v>
      </c>
      <c r="AL47" s="194">
        <f t="shared" si="8"/>
        <v>0</v>
      </c>
      <c r="AM47" s="195">
        <f t="shared" si="9"/>
        <v>0</v>
      </c>
      <c r="AO47" s="203" t="s">
        <v>1569</v>
      </c>
      <c r="AP47" s="204" t="s">
        <v>1570</v>
      </c>
      <c r="AQ47" s="204" t="s">
        <v>1319</v>
      </c>
    </row>
    <row r="48" spans="3:43" ht="11.25" customHeight="1" x14ac:dyDescent="0.2">
      <c r="C48" s="59">
        <f t="shared" si="0"/>
        <v>37</v>
      </c>
      <c r="D48" s="30" t="s">
        <v>1400</v>
      </c>
      <c r="E48" s="30" t="s">
        <v>1401</v>
      </c>
      <c r="F48" s="30" t="s">
        <v>1181</v>
      </c>
      <c r="G48" s="188" t="s">
        <v>1345</v>
      </c>
      <c r="H48" s="193">
        <v>0</v>
      </c>
      <c r="I48" s="46">
        <v>0</v>
      </c>
      <c r="J48" s="46">
        <v>0</v>
      </c>
      <c r="K48" s="46">
        <v>0.22571098191867109</v>
      </c>
      <c r="L48" s="46">
        <v>0</v>
      </c>
      <c r="M48" s="46">
        <v>0.22689105759948444</v>
      </c>
      <c r="N48" s="46">
        <v>0</v>
      </c>
      <c r="O48" s="194">
        <f t="shared" si="1"/>
        <v>0.45260203951815553</v>
      </c>
      <c r="P48" s="194">
        <f t="shared" si="2"/>
        <v>0</v>
      </c>
      <c r="Q48" s="195">
        <f t="shared" si="3"/>
        <v>0.45260203951815553</v>
      </c>
      <c r="S48" s="193">
        <v>0</v>
      </c>
      <c r="T48" s="46">
        <v>0</v>
      </c>
      <c r="U48" s="46">
        <v>0</v>
      </c>
      <c r="V48" s="46">
        <v>0.31010248744214625</v>
      </c>
      <c r="W48" s="46">
        <v>0</v>
      </c>
      <c r="X48" s="46">
        <v>0.31264753580521515</v>
      </c>
      <c r="Y48" s="46">
        <v>0</v>
      </c>
      <c r="Z48" s="194">
        <f t="shared" si="4"/>
        <v>0.6227500232473614</v>
      </c>
      <c r="AA48" s="194">
        <f t="shared" si="5"/>
        <v>0</v>
      </c>
      <c r="AB48" s="195">
        <f t="shared" si="6"/>
        <v>0.6227500232473614</v>
      </c>
      <c r="AD48" s="193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194">
        <f t="shared" si="7"/>
        <v>0</v>
      </c>
      <c r="AL48" s="194">
        <f t="shared" si="8"/>
        <v>0</v>
      </c>
      <c r="AM48" s="195">
        <f t="shared" si="9"/>
        <v>0</v>
      </c>
      <c r="AO48" s="203" t="s">
        <v>1569</v>
      </c>
      <c r="AP48" s="204" t="s">
        <v>1570</v>
      </c>
      <c r="AQ48" s="204" t="s">
        <v>1345</v>
      </c>
    </row>
    <row r="49" spans="3:43" ht="11.25" customHeight="1" x14ac:dyDescent="0.2">
      <c r="C49" s="59">
        <f t="shared" si="0"/>
        <v>38</v>
      </c>
      <c r="D49" s="30" t="s">
        <v>1402</v>
      </c>
      <c r="E49" s="30" t="s">
        <v>1403</v>
      </c>
      <c r="F49" s="30" t="s">
        <v>1181</v>
      </c>
      <c r="G49" s="188" t="s">
        <v>1404</v>
      </c>
      <c r="H49" s="193">
        <v>0</v>
      </c>
      <c r="I49" s="46">
        <v>4.786964251360815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194">
        <f t="shared" si="1"/>
        <v>4.786964251360815</v>
      </c>
      <c r="P49" s="194">
        <f t="shared" si="2"/>
        <v>4.786964251360815</v>
      </c>
      <c r="Q49" s="195">
        <f t="shared" si="3"/>
        <v>0</v>
      </c>
      <c r="S49" s="193">
        <v>0</v>
      </c>
      <c r="T49" s="46">
        <v>6.354750626626017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194">
        <f t="shared" si="4"/>
        <v>6.354750626626017</v>
      </c>
      <c r="AA49" s="194">
        <f t="shared" si="5"/>
        <v>6.354750626626017</v>
      </c>
      <c r="AB49" s="195">
        <f t="shared" si="6"/>
        <v>0</v>
      </c>
      <c r="AD49" s="193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194">
        <f t="shared" si="7"/>
        <v>0</v>
      </c>
      <c r="AL49" s="194">
        <f t="shared" si="8"/>
        <v>0</v>
      </c>
      <c r="AM49" s="195">
        <f t="shared" si="9"/>
        <v>0</v>
      </c>
      <c r="AO49" s="203" t="s">
        <v>1567</v>
      </c>
      <c r="AP49" s="204" t="s">
        <v>1570</v>
      </c>
      <c r="AQ49" s="204" t="s">
        <v>1404</v>
      </c>
    </row>
    <row r="50" spans="3:43" ht="11.25" customHeight="1" x14ac:dyDescent="0.2">
      <c r="C50" s="59">
        <f t="shared" si="0"/>
        <v>39</v>
      </c>
      <c r="D50" s="30" t="s">
        <v>1405</v>
      </c>
      <c r="E50" s="30" t="s">
        <v>1406</v>
      </c>
      <c r="F50" s="30" t="s">
        <v>1181</v>
      </c>
      <c r="G50" s="188" t="s">
        <v>1319</v>
      </c>
      <c r="H50" s="193">
        <v>0</v>
      </c>
      <c r="I50" s="46">
        <v>0</v>
      </c>
      <c r="J50" s="46">
        <v>0.27254805571293395</v>
      </c>
      <c r="K50" s="46">
        <v>0.3680677402916368</v>
      </c>
      <c r="L50" s="46">
        <v>0.34922543637161069</v>
      </c>
      <c r="M50" s="46">
        <v>0</v>
      </c>
      <c r="N50" s="46">
        <v>0.1042792352250928</v>
      </c>
      <c r="O50" s="194">
        <f t="shared" si="1"/>
        <v>1.0941204676012741</v>
      </c>
      <c r="P50" s="194">
        <f t="shared" si="2"/>
        <v>0</v>
      </c>
      <c r="Q50" s="195">
        <f t="shared" si="3"/>
        <v>1.0941204676012741</v>
      </c>
      <c r="S50" s="193">
        <v>0</v>
      </c>
      <c r="T50" s="46">
        <v>0</v>
      </c>
      <c r="U50" s="46">
        <v>0.37360059629506182</v>
      </c>
      <c r="V50" s="46">
        <v>0.50568528319447603</v>
      </c>
      <c r="W50" s="46">
        <v>0.48051164410825381</v>
      </c>
      <c r="X50" s="46">
        <v>0</v>
      </c>
      <c r="Y50" s="46">
        <v>0.14393798904436764</v>
      </c>
      <c r="Z50" s="194">
        <f t="shared" si="4"/>
        <v>1.5037355126421594</v>
      </c>
      <c r="AA50" s="194">
        <f t="shared" si="5"/>
        <v>0</v>
      </c>
      <c r="AB50" s="195">
        <f t="shared" si="6"/>
        <v>1.5037355126421594</v>
      </c>
      <c r="AD50" s="193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194">
        <f t="shared" si="7"/>
        <v>0</v>
      </c>
      <c r="AL50" s="194">
        <f t="shared" si="8"/>
        <v>0</v>
      </c>
      <c r="AM50" s="195">
        <f t="shared" si="9"/>
        <v>0</v>
      </c>
      <c r="AO50" s="203" t="s">
        <v>1569</v>
      </c>
      <c r="AP50" s="204" t="s">
        <v>1570</v>
      </c>
      <c r="AQ50" s="204" t="s">
        <v>1319</v>
      </c>
    </row>
    <row r="51" spans="3:43" ht="11.25" customHeight="1" x14ac:dyDescent="0.2">
      <c r="C51" s="59">
        <f t="shared" si="0"/>
        <v>40</v>
      </c>
      <c r="D51" s="30" t="s">
        <v>1407</v>
      </c>
      <c r="E51" s="30" t="s">
        <v>1408</v>
      </c>
      <c r="F51" s="30" t="s">
        <v>1181</v>
      </c>
      <c r="G51" s="188" t="s">
        <v>1379</v>
      </c>
      <c r="H51" s="193">
        <v>0</v>
      </c>
      <c r="I51" s="46">
        <v>0.47564859894225026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194">
        <f t="shared" si="1"/>
        <v>0.47564859894225026</v>
      </c>
      <c r="P51" s="194">
        <f t="shared" si="2"/>
        <v>0.47564859894225026</v>
      </c>
      <c r="Q51" s="195">
        <f t="shared" si="3"/>
        <v>0</v>
      </c>
      <c r="S51" s="193">
        <v>0</v>
      </c>
      <c r="T51" s="46">
        <v>0.63142903800102412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194">
        <f t="shared" si="4"/>
        <v>0.63142903800102412</v>
      </c>
      <c r="AA51" s="194">
        <f t="shared" si="5"/>
        <v>0.63142903800102412</v>
      </c>
      <c r="AB51" s="195">
        <f t="shared" si="6"/>
        <v>0</v>
      </c>
      <c r="AD51" s="193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194">
        <f t="shared" si="7"/>
        <v>0</v>
      </c>
      <c r="AL51" s="194">
        <f t="shared" si="8"/>
        <v>0</v>
      </c>
      <c r="AM51" s="195">
        <f t="shared" si="9"/>
        <v>0</v>
      </c>
      <c r="AO51" s="203" t="s">
        <v>1569</v>
      </c>
      <c r="AP51" s="204" t="s">
        <v>1570</v>
      </c>
      <c r="AQ51" s="204" t="s">
        <v>1379</v>
      </c>
    </row>
    <row r="52" spans="3:43" ht="11.25" customHeight="1" x14ac:dyDescent="0.2">
      <c r="C52" s="59">
        <f t="shared" si="0"/>
        <v>41</v>
      </c>
      <c r="D52" s="30" t="s">
        <v>1409</v>
      </c>
      <c r="E52" s="30" t="s">
        <v>1410</v>
      </c>
      <c r="F52" s="30" t="s">
        <v>1181</v>
      </c>
      <c r="G52" s="188" t="s">
        <v>1359</v>
      </c>
      <c r="H52" s="193">
        <v>0</v>
      </c>
      <c r="I52" s="46">
        <v>2.3569921821030717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194">
        <f t="shared" si="1"/>
        <v>2.3569921821030717</v>
      </c>
      <c r="P52" s="194">
        <f t="shared" si="2"/>
        <v>2.3569921821030717</v>
      </c>
      <c r="Q52" s="195">
        <f t="shared" si="3"/>
        <v>0</v>
      </c>
      <c r="S52" s="193">
        <v>0</v>
      </c>
      <c r="T52" s="46">
        <v>3.1289344895179059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194">
        <f t="shared" si="4"/>
        <v>3.1289344895179059</v>
      </c>
      <c r="AA52" s="194">
        <f t="shared" si="5"/>
        <v>3.1289344895179059</v>
      </c>
      <c r="AB52" s="195">
        <f t="shared" si="6"/>
        <v>0</v>
      </c>
      <c r="AD52" s="193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194">
        <f t="shared" si="7"/>
        <v>0</v>
      </c>
      <c r="AL52" s="194">
        <f t="shared" si="8"/>
        <v>0</v>
      </c>
      <c r="AM52" s="195">
        <f t="shared" si="9"/>
        <v>0</v>
      </c>
      <c r="AO52" s="203" t="s">
        <v>1567</v>
      </c>
      <c r="AP52" s="204" t="s">
        <v>1570</v>
      </c>
      <c r="AQ52" s="204" t="s">
        <v>1359</v>
      </c>
    </row>
    <row r="53" spans="3:43" ht="11.25" customHeight="1" x14ac:dyDescent="0.2">
      <c r="C53" s="59">
        <f t="shared" si="0"/>
        <v>42</v>
      </c>
      <c r="D53" s="30" t="s">
        <v>1411</v>
      </c>
      <c r="E53" s="30" t="s">
        <v>1412</v>
      </c>
      <c r="F53" s="30" t="s">
        <v>1181</v>
      </c>
      <c r="G53" s="188" t="s">
        <v>147</v>
      </c>
      <c r="H53" s="193">
        <v>0</v>
      </c>
      <c r="I53" s="46">
        <v>3.4874197098322357</v>
      </c>
      <c r="J53" s="46">
        <v>1.7291095238869121</v>
      </c>
      <c r="K53" s="46">
        <v>0</v>
      </c>
      <c r="L53" s="46">
        <v>0</v>
      </c>
      <c r="M53" s="46">
        <v>0</v>
      </c>
      <c r="N53" s="46">
        <v>0</v>
      </c>
      <c r="O53" s="194">
        <f t="shared" si="1"/>
        <v>5.2165292337191476</v>
      </c>
      <c r="P53" s="194">
        <f t="shared" si="2"/>
        <v>3.4874197098322357</v>
      </c>
      <c r="Q53" s="195">
        <f t="shared" si="3"/>
        <v>1.7291095238869121</v>
      </c>
      <c r="S53" s="193">
        <v>0</v>
      </c>
      <c r="T53" s="46">
        <v>4.6295901583272334</v>
      </c>
      <c r="U53" s="46">
        <v>2.3702108147270282</v>
      </c>
      <c r="V53" s="46">
        <v>0</v>
      </c>
      <c r="W53" s="46">
        <v>0</v>
      </c>
      <c r="X53" s="46">
        <v>0</v>
      </c>
      <c r="Y53" s="46">
        <v>0</v>
      </c>
      <c r="Z53" s="194">
        <f t="shared" si="4"/>
        <v>6.9998009730542616</v>
      </c>
      <c r="AA53" s="194">
        <f t="shared" si="5"/>
        <v>4.6295901583272334</v>
      </c>
      <c r="AB53" s="195">
        <f t="shared" si="6"/>
        <v>2.3702108147270282</v>
      </c>
      <c r="AD53" s="193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194">
        <f t="shared" si="7"/>
        <v>0</v>
      </c>
      <c r="AL53" s="194">
        <f t="shared" si="8"/>
        <v>0</v>
      </c>
      <c r="AM53" s="195">
        <f t="shared" si="9"/>
        <v>0</v>
      </c>
      <c r="AO53" s="203" t="s">
        <v>1567</v>
      </c>
      <c r="AP53" s="204" t="s">
        <v>1570</v>
      </c>
      <c r="AQ53" s="204" t="s">
        <v>147</v>
      </c>
    </row>
    <row r="54" spans="3:43" ht="11.25" customHeight="1" x14ac:dyDescent="0.2">
      <c r="C54" s="59">
        <f t="shared" si="0"/>
        <v>43</v>
      </c>
      <c r="D54" s="30" t="s">
        <v>1413</v>
      </c>
      <c r="E54" s="30" t="s">
        <v>1414</v>
      </c>
      <c r="F54" s="30" t="s">
        <v>1181</v>
      </c>
      <c r="G54" s="188" t="s">
        <v>1359</v>
      </c>
      <c r="H54" s="193">
        <v>0</v>
      </c>
      <c r="I54" s="46">
        <v>0.45590135727245862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194">
        <f t="shared" si="1"/>
        <v>0.45590135727245862</v>
      </c>
      <c r="P54" s="194">
        <f t="shared" si="2"/>
        <v>0.45590135727245862</v>
      </c>
      <c r="Q54" s="195">
        <f t="shared" si="3"/>
        <v>0</v>
      </c>
      <c r="S54" s="193">
        <v>0</v>
      </c>
      <c r="T54" s="46">
        <v>0.60521434539295393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194">
        <f t="shared" si="4"/>
        <v>0.60521434539295393</v>
      </c>
      <c r="AA54" s="194">
        <f t="shared" si="5"/>
        <v>0.60521434539295393</v>
      </c>
      <c r="AB54" s="195">
        <f t="shared" si="6"/>
        <v>0</v>
      </c>
      <c r="AD54" s="193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194">
        <f t="shared" si="7"/>
        <v>0</v>
      </c>
      <c r="AL54" s="194">
        <f t="shared" si="8"/>
        <v>0</v>
      </c>
      <c r="AM54" s="195">
        <f t="shared" si="9"/>
        <v>0</v>
      </c>
      <c r="AO54" s="203" t="s">
        <v>1567</v>
      </c>
      <c r="AP54" s="204" t="s">
        <v>1570</v>
      </c>
      <c r="AQ54" s="204" t="s">
        <v>1359</v>
      </c>
    </row>
    <row r="55" spans="3:43" ht="11.25" customHeight="1" x14ac:dyDescent="0.2">
      <c r="C55" s="59">
        <f t="shared" si="0"/>
        <v>44</v>
      </c>
      <c r="D55" s="30" t="s">
        <v>1415</v>
      </c>
      <c r="E55" s="30" t="s">
        <v>1416</v>
      </c>
      <c r="F55" s="30" t="s">
        <v>1207</v>
      </c>
      <c r="G55" s="188" t="s">
        <v>1359</v>
      </c>
      <c r="H55" s="193">
        <v>0</v>
      </c>
      <c r="I55" s="46">
        <v>7.4628513515157104</v>
      </c>
      <c r="J55" s="46">
        <v>3.4663519718980229</v>
      </c>
      <c r="K55" s="46">
        <v>0</v>
      </c>
      <c r="L55" s="46">
        <v>0</v>
      </c>
      <c r="M55" s="46">
        <v>0</v>
      </c>
      <c r="N55" s="46">
        <v>0</v>
      </c>
      <c r="O55" s="194">
        <f t="shared" si="1"/>
        <v>10.929203323413734</v>
      </c>
      <c r="P55" s="194">
        <f t="shared" si="2"/>
        <v>7.4628513515157104</v>
      </c>
      <c r="Q55" s="195">
        <f t="shared" si="3"/>
        <v>3.4663519718980229</v>
      </c>
      <c r="S55" s="193">
        <v>0</v>
      </c>
      <c r="T55" s="46">
        <v>9.9070218226467119</v>
      </c>
      <c r="U55" s="46">
        <v>4.7515699948110397</v>
      </c>
      <c r="V55" s="46">
        <v>0</v>
      </c>
      <c r="W55" s="46">
        <v>0</v>
      </c>
      <c r="X55" s="46">
        <v>0</v>
      </c>
      <c r="Y55" s="46">
        <v>0</v>
      </c>
      <c r="Z55" s="194">
        <f t="shared" si="4"/>
        <v>14.658591817457751</v>
      </c>
      <c r="AA55" s="194">
        <f t="shared" si="5"/>
        <v>9.9070218226467119</v>
      </c>
      <c r="AB55" s="195">
        <f t="shared" si="6"/>
        <v>4.7515699948110397</v>
      </c>
      <c r="AD55" s="193">
        <v>0</v>
      </c>
      <c r="AE55" s="46">
        <v>7.4628513515157113</v>
      </c>
      <c r="AF55" s="46">
        <v>3.4663519718980225</v>
      </c>
      <c r="AG55" s="46">
        <v>0</v>
      </c>
      <c r="AH55" s="46">
        <v>0</v>
      </c>
      <c r="AI55" s="46">
        <v>0</v>
      </c>
      <c r="AJ55" s="46">
        <v>0</v>
      </c>
      <c r="AK55" s="194">
        <f t="shared" si="7"/>
        <v>10.929203323413734</v>
      </c>
      <c r="AL55" s="194">
        <f t="shared" si="8"/>
        <v>7.4628513515157113</v>
      </c>
      <c r="AM55" s="195">
        <f t="shared" si="9"/>
        <v>3.4663519718980225</v>
      </c>
      <c r="AO55" s="203" t="s">
        <v>1567</v>
      </c>
      <c r="AP55" s="204" t="s">
        <v>1571</v>
      </c>
      <c r="AQ55" s="204" t="s">
        <v>1359</v>
      </c>
    </row>
    <row r="56" spans="3:43" ht="11.25" customHeight="1" x14ac:dyDescent="0.2">
      <c r="C56" s="59">
        <f t="shared" si="0"/>
        <v>45</v>
      </c>
      <c r="D56" s="30" t="s">
        <v>1417</v>
      </c>
      <c r="E56" s="30" t="s">
        <v>1418</v>
      </c>
      <c r="F56" s="30" t="s">
        <v>1181</v>
      </c>
      <c r="G56" s="188" t="s">
        <v>1404</v>
      </c>
      <c r="H56" s="193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194">
        <f t="shared" si="1"/>
        <v>0</v>
      </c>
      <c r="P56" s="194">
        <f t="shared" si="2"/>
        <v>0</v>
      </c>
      <c r="Q56" s="195">
        <f t="shared" si="3"/>
        <v>0</v>
      </c>
      <c r="S56" s="193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194">
        <f t="shared" si="4"/>
        <v>0</v>
      </c>
      <c r="AA56" s="194">
        <f t="shared" si="5"/>
        <v>0</v>
      </c>
      <c r="AB56" s="195">
        <f t="shared" si="6"/>
        <v>0</v>
      </c>
      <c r="AD56" s="193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  <c r="AK56" s="194">
        <f t="shared" si="7"/>
        <v>0</v>
      </c>
      <c r="AL56" s="194">
        <f t="shared" si="8"/>
        <v>0</v>
      </c>
      <c r="AM56" s="195">
        <f t="shared" si="9"/>
        <v>0</v>
      </c>
      <c r="AO56" s="203" t="s">
        <v>1567</v>
      </c>
      <c r="AP56" s="204" t="s">
        <v>1570</v>
      </c>
      <c r="AQ56" s="204" t="s">
        <v>1404</v>
      </c>
    </row>
    <row r="57" spans="3:43" ht="11.25" customHeight="1" x14ac:dyDescent="0.2">
      <c r="C57" s="59">
        <f t="shared" si="0"/>
        <v>46</v>
      </c>
      <c r="D57" s="30" t="s">
        <v>1419</v>
      </c>
      <c r="E57" s="30" t="s">
        <v>1420</v>
      </c>
      <c r="F57" s="30" t="s">
        <v>1181</v>
      </c>
      <c r="G57" s="188" t="s">
        <v>1404</v>
      </c>
      <c r="H57" s="193">
        <v>0</v>
      </c>
      <c r="I57" s="46">
        <v>0.33917114871202542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194">
        <f t="shared" si="1"/>
        <v>0.33917114871202542</v>
      </c>
      <c r="P57" s="194">
        <f t="shared" si="2"/>
        <v>0.33917114871202542</v>
      </c>
      <c r="Q57" s="195">
        <f t="shared" si="3"/>
        <v>0</v>
      </c>
      <c r="S57" s="193">
        <v>0</v>
      </c>
      <c r="T57" s="46">
        <v>0.4502536381378861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194">
        <f t="shared" si="4"/>
        <v>0.4502536381378861</v>
      </c>
      <c r="AA57" s="194">
        <f t="shared" si="5"/>
        <v>0.4502536381378861</v>
      </c>
      <c r="AB57" s="195">
        <f t="shared" si="6"/>
        <v>0</v>
      </c>
      <c r="AD57" s="193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194">
        <f t="shared" si="7"/>
        <v>0</v>
      </c>
      <c r="AL57" s="194">
        <f t="shared" si="8"/>
        <v>0</v>
      </c>
      <c r="AM57" s="195">
        <f t="shared" si="9"/>
        <v>0</v>
      </c>
      <c r="AO57" s="203" t="s">
        <v>1569</v>
      </c>
      <c r="AP57" s="204" t="s">
        <v>1570</v>
      </c>
      <c r="AQ57" s="204" t="s">
        <v>1404</v>
      </c>
    </row>
    <row r="58" spans="3:43" ht="11.25" customHeight="1" x14ac:dyDescent="0.2">
      <c r="C58" s="59">
        <f t="shared" si="0"/>
        <v>47</v>
      </c>
      <c r="D58" s="30" t="s">
        <v>1421</v>
      </c>
      <c r="E58" s="30" t="s">
        <v>1422</v>
      </c>
      <c r="F58" s="30" t="s">
        <v>1181</v>
      </c>
      <c r="G58" s="188" t="s">
        <v>1325</v>
      </c>
      <c r="H58" s="193">
        <v>0</v>
      </c>
      <c r="I58" s="46">
        <v>0.6376089755373987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194">
        <f t="shared" si="1"/>
        <v>0.6376089755373987</v>
      </c>
      <c r="P58" s="194">
        <f t="shared" si="2"/>
        <v>0.6376089755373987</v>
      </c>
      <c r="Q58" s="195">
        <f t="shared" si="3"/>
        <v>0</v>
      </c>
      <c r="S58" s="193">
        <v>0</v>
      </c>
      <c r="T58" s="46">
        <v>0.84643331850385506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194">
        <f t="shared" si="4"/>
        <v>0.84643331850385506</v>
      </c>
      <c r="AA58" s="194">
        <f t="shared" si="5"/>
        <v>0.84643331850385506</v>
      </c>
      <c r="AB58" s="195">
        <f t="shared" si="6"/>
        <v>0</v>
      </c>
      <c r="AD58" s="193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194">
        <f t="shared" si="7"/>
        <v>0</v>
      </c>
      <c r="AL58" s="194">
        <f t="shared" si="8"/>
        <v>0</v>
      </c>
      <c r="AM58" s="195">
        <f t="shared" si="9"/>
        <v>0</v>
      </c>
      <c r="AO58" s="203" t="s">
        <v>1569</v>
      </c>
      <c r="AP58" s="204" t="s">
        <v>1570</v>
      </c>
      <c r="AQ58" s="204" t="s">
        <v>1325</v>
      </c>
    </row>
    <row r="59" spans="3:43" ht="11.25" customHeight="1" x14ac:dyDescent="0.2">
      <c r="C59" s="59">
        <f t="shared" si="0"/>
        <v>48</v>
      </c>
      <c r="D59" s="30" t="s">
        <v>787</v>
      </c>
      <c r="E59" s="30" t="s">
        <v>1423</v>
      </c>
      <c r="F59" s="30" t="s">
        <v>1424</v>
      </c>
      <c r="G59" s="188" t="s">
        <v>1424</v>
      </c>
      <c r="H59" s="193">
        <v>0</v>
      </c>
      <c r="I59" s="46">
        <v>0</v>
      </c>
      <c r="J59" s="46">
        <v>5.8071285990685041E-2</v>
      </c>
      <c r="K59" s="46">
        <v>0.11048793733875202</v>
      </c>
      <c r="L59" s="46">
        <v>1.0481099003536483</v>
      </c>
      <c r="M59" s="46">
        <v>1.4756004877586051</v>
      </c>
      <c r="N59" s="46">
        <v>1.0205406109734163</v>
      </c>
      <c r="O59" s="194">
        <f t="shared" si="1"/>
        <v>3.7128102224151069</v>
      </c>
      <c r="P59" s="194">
        <f t="shared" si="2"/>
        <v>0</v>
      </c>
      <c r="Q59" s="195">
        <f t="shared" si="3"/>
        <v>3.7128102224151069</v>
      </c>
      <c r="S59" s="193">
        <v>0</v>
      </c>
      <c r="T59" s="46">
        <v>0</v>
      </c>
      <c r="U59" s="46">
        <v>7.9602354957146099E-2</v>
      </c>
      <c r="V59" s="46">
        <v>0.15179848100366067</v>
      </c>
      <c r="W59" s="46">
        <v>1.442131525863878</v>
      </c>
      <c r="X59" s="46">
        <v>2.0333232222182995</v>
      </c>
      <c r="Y59" s="46">
        <v>1.4086655216116934</v>
      </c>
      <c r="Z59" s="194">
        <f t="shared" si="4"/>
        <v>5.1155211056546781</v>
      </c>
      <c r="AA59" s="194">
        <f t="shared" si="5"/>
        <v>0</v>
      </c>
      <c r="AB59" s="195">
        <f t="shared" si="6"/>
        <v>5.1155211056546781</v>
      </c>
      <c r="AD59" s="193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194">
        <f t="shared" si="7"/>
        <v>0</v>
      </c>
      <c r="AL59" s="194">
        <f t="shared" si="8"/>
        <v>0</v>
      </c>
      <c r="AM59" s="195">
        <f t="shared" si="9"/>
        <v>0</v>
      </c>
      <c r="AO59" s="203" t="s">
        <v>1567</v>
      </c>
      <c r="AP59" s="204" t="s">
        <v>1571</v>
      </c>
      <c r="AQ59" s="204" t="s">
        <v>1424</v>
      </c>
    </row>
    <row r="60" spans="3:43" ht="11.25" customHeight="1" x14ac:dyDescent="0.2">
      <c r="C60" s="59">
        <f t="shared" si="0"/>
        <v>49</v>
      </c>
      <c r="D60" s="30" t="s">
        <v>1425</v>
      </c>
      <c r="E60" s="30" t="s">
        <v>1426</v>
      </c>
      <c r="F60" s="30" t="s">
        <v>1207</v>
      </c>
      <c r="G60" s="188" t="s">
        <v>1325</v>
      </c>
      <c r="H60" s="193">
        <v>0</v>
      </c>
      <c r="I60" s="46">
        <v>0.67178338864757547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194">
        <f t="shared" si="1"/>
        <v>0.67178338864757547</v>
      </c>
      <c r="P60" s="194">
        <f t="shared" si="2"/>
        <v>0.67178338864757547</v>
      </c>
      <c r="Q60" s="195">
        <f t="shared" si="3"/>
        <v>0</v>
      </c>
      <c r="S60" s="193">
        <v>0</v>
      </c>
      <c r="T60" s="46">
        <v>0.89180024871745267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194">
        <f t="shared" si="4"/>
        <v>0.89180024871745267</v>
      </c>
      <c r="AA60" s="194">
        <f t="shared" si="5"/>
        <v>0.89180024871745267</v>
      </c>
      <c r="AB60" s="195">
        <f t="shared" si="6"/>
        <v>0</v>
      </c>
      <c r="AD60" s="193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194">
        <f t="shared" si="7"/>
        <v>0</v>
      </c>
      <c r="AL60" s="194">
        <f t="shared" si="8"/>
        <v>0</v>
      </c>
      <c r="AM60" s="195">
        <f t="shared" si="9"/>
        <v>0</v>
      </c>
      <c r="AO60" s="203" t="s">
        <v>1567</v>
      </c>
      <c r="AP60" s="204" t="s">
        <v>1570</v>
      </c>
      <c r="AQ60" s="204" t="s">
        <v>1325</v>
      </c>
    </row>
    <row r="61" spans="3:43" ht="11.25" customHeight="1" x14ac:dyDescent="0.2">
      <c r="C61" s="59">
        <f t="shared" si="0"/>
        <v>50</v>
      </c>
      <c r="D61" s="30" t="s">
        <v>1427</v>
      </c>
      <c r="E61" s="30" t="s">
        <v>1428</v>
      </c>
      <c r="F61" s="30" t="s">
        <v>1429</v>
      </c>
      <c r="G61" s="188" t="s">
        <v>1430</v>
      </c>
      <c r="H61" s="193">
        <v>0</v>
      </c>
      <c r="I61" s="46">
        <v>1.2470787813569273</v>
      </c>
      <c r="J61" s="46">
        <v>1.4139202688233488</v>
      </c>
      <c r="K61" s="46">
        <v>1.4142845062547738</v>
      </c>
      <c r="L61" s="46">
        <v>1.4145228995460299</v>
      </c>
      <c r="M61" s="46">
        <v>1.4147594617910406</v>
      </c>
      <c r="N61" s="46">
        <v>1.4150335865397241</v>
      </c>
      <c r="O61" s="194">
        <f t="shared" si="1"/>
        <v>8.3195995043118458</v>
      </c>
      <c r="P61" s="194">
        <f t="shared" si="2"/>
        <v>1.2470787813569273</v>
      </c>
      <c r="Q61" s="195">
        <f t="shared" si="3"/>
        <v>7.0725207229549181</v>
      </c>
      <c r="S61" s="193">
        <v>0</v>
      </c>
      <c r="T61" s="46">
        <v>1.6555115624745051</v>
      </c>
      <c r="U61" s="46">
        <v>1.9381589575618061</v>
      </c>
      <c r="V61" s="46">
        <v>1.9430740126704209</v>
      </c>
      <c r="W61" s="46">
        <v>1.9462921462753195</v>
      </c>
      <c r="X61" s="46">
        <v>1.9494865252330968</v>
      </c>
      <c r="Y61" s="46">
        <v>1.9531893232350448</v>
      </c>
      <c r="Z61" s="194">
        <f t="shared" si="4"/>
        <v>11.385712527450194</v>
      </c>
      <c r="AA61" s="194">
        <f t="shared" si="5"/>
        <v>1.6555115624745051</v>
      </c>
      <c r="AB61" s="195">
        <f t="shared" si="6"/>
        <v>9.7302009649756869</v>
      </c>
      <c r="AD61" s="193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194">
        <f t="shared" si="7"/>
        <v>0</v>
      </c>
      <c r="AL61" s="194">
        <f t="shared" si="8"/>
        <v>0</v>
      </c>
      <c r="AM61" s="195">
        <f t="shared" si="9"/>
        <v>0</v>
      </c>
      <c r="AO61" s="203" t="e">
        <v>#N/A</v>
      </c>
      <c r="AP61" s="204" t="e">
        <v>#N/A</v>
      </c>
      <c r="AQ61" s="204" t="e">
        <v>#N/A</v>
      </c>
    </row>
    <row r="62" spans="3:43" ht="11.25" customHeight="1" x14ac:dyDescent="0.2">
      <c r="C62" s="59">
        <f t="shared" si="0"/>
        <v>51</v>
      </c>
      <c r="D62" s="30" t="s">
        <v>1431</v>
      </c>
      <c r="E62" s="30" t="s">
        <v>1432</v>
      </c>
      <c r="F62" s="30" t="s">
        <v>1429</v>
      </c>
      <c r="G62" s="188" t="s">
        <v>1430</v>
      </c>
      <c r="H62" s="193">
        <v>0</v>
      </c>
      <c r="I62" s="46">
        <v>0</v>
      </c>
      <c r="J62" s="46">
        <v>0.17236269341808969</v>
      </c>
      <c r="K62" s="46">
        <v>0</v>
      </c>
      <c r="L62" s="46">
        <v>0</v>
      </c>
      <c r="M62" s="46">
        <v>0</v>
      </c>
      <c r="N62" s="46">
        <v>0</v>
      </c>
      <c r="O62" s="194">
        <f t="shared" si="1"/>
        <v>0.17236269341808969</v>
      </c>
      <c r="P62" s="194">
        <f t="shared" si="2"/>
        <v>0</v>
      </c>
      <c r="Q62" s="195">
        <f t="shared" si="3"/>
        <v>0.17236269341808969</v>
      </c>
      <c r="S62" s="193">
        <v>0</v>
      </c>
      <c r="T62" s="46">
        <v>0</v>
      </c>
      <c r="U62" s="46">
        <v>0.23626954472882461</v>
      </c>
      <c r="V62" s="46">
        <v>0</v>
      </c>
      <c r="W62" s="46">
        <v>0</v>
      </c>
      <c r="X62" s="46">
        <v>0</v>
      </c>
      <c r="Y62" s="46">
        <v>0</v>
      </c>
      <c r="Z62" s="194">
        <f t="shared" si="4"/>
        <v>0.23626954472882461</v>
      </c>
      <c r="AA62" s="194">
        <f t="shared" si="5"/>
        <v>0</v>
      </c>
      <c r="AB62" s="195">
        <f t="shared" si="6"/>
        <v>0.23626954472882461</v>
      </c>
      <c r="AD62" s="193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194">
        <f t="shared" si="7"/>
        <v>0</v>
      </c>
      <c r="AL62" s="194">
        <f t="shared" si="8"/>
        <v>0</v>
      </c>
      <c r="AM62" s="195">
        <f t="shared" si="9"/>
        <v>0</v>
      </c>
      <c r="AO62" s="203" t="e">
        <v>#N/A</v>
      </c>
      <c r="AP62" s="204" t="e">
        <v>#N/A</v>
      </c>
      <c r="AQ62" s="204" t="e">
        <v>#N/A</v>
      </c>
    </row>
    <row r="63" spans="3:43" ht="11.25" customHeight="1" x14ac:dyDescent="0.2">
      <c r="C63" s="59">
        <f t="shared" si="0"/>
        <v>52</v>
      </c>
      <c r="D63" s="30" t="s">
        <v>1433</v>
      </c>
      <c r="E63" s="30" t="s">
        <v>1434</v>
      </c>
      <c r="F63" s="30" t="s">
        <v>1429</v>
      </c>
      <c r="G63" s="188" t="s">
        <v>1430</v>
      </c>
      <c r="H63" s="193">
        <v>0</v>
      </c>
      <c r="I63" s="46">
        <v>0</v>
      </c>
      <c r="J63" s="46">
        <v>4.5358603531076257E-2</v>
      </c>
      <c r="K63" s="46">
        <v>0</v>
      </c>
      <c r="L63" s="46">
        <v>0</v>
      </c>
      <c r="M63" s="46">
        <v>0</v>
      </c>
      <c r="N63" s="46">
        <v>0</v>
      </c>
      <c r="O63" s="194">
        <f t="shared" si="1"/>
        <v>4.5358603531076257E-2</v>
      </c>
      <c r="P63" s="194">
        <f t="shared" si="2"/>
        <v>0</v>
      </c>
      <c r="Q63" s="195">
        <f t="shared" si="3"/>
        <v>4.5358603531076257E-2</v>
      </c>
      <c r="S63" s="193">
        <v>0</v>
      </c>
      <c r="T63" s="46">
        <v>0</v>
      </c>
      <c r="U63" s="46">
        <v>6.2176195981269659E-2</v>
      </c>
      <c r="V63" s="46">
        <v>0</v>
      </c>
      <c r="W63" s="46">
        <v>0</v>
      </c>
      <c r="X63" s="46">
        <v>0</v>
      </c>
      <c r="Y63" s="46">
        <v>0</v>
      </c>
      <c r="Z63" s="194">
        <f t="shared" si="4"/>
        <v>6.2176195981269659E-2</v>
      </c>
      <c r="AA63" s="194">
        <f t="shared" si="5"/>
        <v>0</v>
      </c>
      <c r="AB63" s="195">
        <f t="shared" si="6"/>
        <v>6.2176195981269659E-2</v>
      </c>
      <c r="AD63" s="193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194">
        <f t="shared" si="7"/>
        <v>0</v>
      </c>
      <c r="AL63" s="194">
        <f t="shared" si="8"/>
        <v>0</v>
      </c>
      <c r="AM63" s="195">
        <f t="shared" si="9"/>
        <v>0</v>
      </c>
      <c r="AO63" s="203" t="e">
        <v>#N/A</v>
      </c>
      <c r="AP63" s="204" t="e">
        <v>#N/A</v>
      </c>
      <c r="AQ63" s="204" t="e">
        <v>#N/A</v>
      </c>
    </row>
    <row r="64" spans="3:43" ht="11.25" customHeight="1" x14ac:dyDescent="0.2">
      <c r="C64" s="59">
        <f t="shared" si="0"/>
        <v>53</v>
      </c>
      <c r="D64" s="30" t="s">
        <v>1435</v>
      </c>
      <c r="E64" s="30" t="s">
        <v>1436</v>
      </c>
      <c r="F64" s="30" t="s">
        <v>1429</v>
      </c>
      <c r="G64" s="188" t="s">
        <v>1430</v>
      </c>
      <c r="H64" s="193">
        <v>0</v>
      </c>
      <c r="I64" s="46">
        <v>0</v>
      </c>
      <c r="J64" s="46">
        <v>0</v>
      </c>
      <c r="K64" s="46">
        <v>0.27222172967110464</v>
      </c>
      <c r="L64" s="46">
        <v>0</v>
      </c>
      <c r="M64" s="46">
        <v>0</v>
      </c>
      <c r="N64" s="46">
        <v>0</v>
      </c>
      <c r="O64" s="194">
        <f t="shared" si="1"/>
        <v>0.27222172967110464</v>
      </c>
      <c r="P64" s="194">
        <f t="shared" si="2"/>
        <v>0</v>
      </c>
      <c r="Q64" s="195">
        <f t="shared" si="3"/>
        <v>0.27222172967110464</v>
      </c>
      <c r="S64" s="193">
        <v>0</v>
      </c>
      <c r="T64" s="46">
        <v>0</v>
      </c>
      <c r="U64" s="46">
        <v>0</v>
      </c>
      <c r="V64" s="46">
        <v>0.3740032265564745</v>
      </c>
      <c r="W64" s="46">
        <v>0</v>
      </c>
      <c r="X64" s="46">
        <v>0</v>
      </c>
      <c r="Y64" s="46">
        <v>0</v>
      </c>
      <c r="Z64" s="194">
        <f t="shared" si="4"/>
        <v>0.3740032265564745</v>
      </c>
      <c r="AA64" s="194">
        <f t="shared" si="5"/>
        <v>0</v>
      </c>
      <c r="AB64" s="195">
        <f t="shared" si="6"/>
        <v>0.3740032265564745</v>
      </c>
      <c r="AD64" s="193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194">
        <f t="shared" si="7"/>
        <v>0</v>
      </c>
      <c r="AL64" s="194">
        <f t="shared" si="8"/>
        <v>0</v>
      </c>
      <c r="AM64" s="195">
        <f t="shared" si="9"/>
        <v>0</v>
      </c>
      <c r="AO64" s="203" t="e">
        <v>#N/A</v>
      </c>
      <c r="AP64" s="204" t="e">
        <v>#N/A</v>
      </c>
      <c r="AQ64" s="204" t="e">
        <v>#N/A</v>
      </c>
    </row>
    <row r="65" spans="3:43" ht="11.25" customHeight="1" x14ac:dyDescent="0.2">
      <c r="C65" s="59">
        <f t="shared" si="0"/>
        <v>54</v>
      </c>
      <c r="D65" s="30" t="s">
        <v>1437</v>
      </c>
      <c r="E65" s="30" t="s">
        <v>1438</v>
      </c>
      <c r="F65" s="30" t="s">
        <v>1429</v>
      </c>
      <c r="G65" s="188" t="s">
        <v>1430</v>
      </c>
      <c r="H65" s="193">
        <v>0</v>
      </c>
      <c r="I65" s="46">
        <v>0</v>
      </c>
      <c r="J65" s="46">
        <v>0</v>
      </c>
      <c r="K65" s="46">
        <v>0.17240709545836622</v>
      </c>
      <c r="L65" s="46">
        <v>0</v>
      </c>
      <c r="M65" s="46">
        <v>0</v>
      </c>
      <c r="N65" s="46">
        <v>0</v>
      </c>
      <c r="O65" s="194">
        <f t="shared" si="1"/>
        <v>0.17240709545836622</v>
      </c>
      <c r="P65" s="194">
        <f t="shared" si="2"/>
        <v>0</v>
      </c>
      <c r="Q65" s="195">
        <f t="shared" si="3"/>
        <v>0.17240709545836622</v>
      </c>
      <c r="S65" s="193">
        <v>0</v>
      </c>
      <c r="T65" s="46">
        <v>0</v>
      </c>
      <c r="U65" s="46">
        <v>0</v>
      </c>
      <c r="V65" s="46">
        <v>0.23686871015243377</v>
      </c>
      <c r="W65" s="46">
        <v>0</v>
      </c>
      <c r="X65" s="46">
        <v>0</v>
      </c>
      <c r="Y65" s="46">
        <v>0</v>
      </c>
      <c r="Z65" s="194">
        <f t="shared" si="4"/>
        <v>0.23686871015243377</v>
      </c>
      <c r="AA65" s="194">
        <f t="shared" si="5"/>
        <v>0</v>
      </c>
      <c r="AB65" s="195">
        <f t="shared" si="6"/>
        <v>0.23686871015243377</v>
      </c>
      <c r="AD65" s="193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194">
        <f t="shared" si="7"/>
        <v>0</v>
      </c>
      <c r="AL65" s="194">
        <f t="shared" si="8"/>
        <v>0</v>
      </c>
      <c r="AM65" s="195">
        <f t="shared" si="9"/>
        <v>0</v>
      </c>
      <c r="AO65" s="203" t="e">
        <v>#N/A</v>
      </c>
      <c r="AP65" s="204" t="e">
        <v>#N/A</v>
      </c>
      <c r="AQ65" s="204" t="e">
        <v>#N/A</v>
      </c>
    </row>
    <row r="66" spans="3:43" ht="11.25" customHeight="1" x14ac:dyDescent="0.2">
      <c r="C66" s="59">
        <f t="shared" si="0"/>
        <v>55</v>
      </c>
      <c r="D66" s="30" t="s">
        <v>1439</v>
      </c>
      <c r="E66" s="30" t="s">
        <v>1440</v>
      </c>
      <c r="F66" s="30" t="s">
        <v>1429</v>
      </c>
      <c r="G66" s="188" t="s">
        <v>1430</v>
      </c>
      <c r="H66" s="193">
        <v>0</v>
      </c>
      <c r="I66" s="46">
        <v>0</v>
      </c>
      <c r="J66" s="46">
        <v>0</v>
      </c>
      <c r="K66" s="46">
        <v>0.18148115311406979</v>
      </c>
      <c r="L66" s="46">
        <v>0</v>
      </c>
      <c r="M66" s="46">
        <v>0</v>
      </c>
      <c r="N66" s="46">
        <v>0</v>
      </c>
      <c r="O66" s="194">
        <f t="shared" si="1"/>
        <v>0.18148115311406979</v>
      </c>
      <c r="P66" s="194">
        <f t="shared" si="2"/>
        <v>0</v>
      </c>
      <c r="Q66" s="195">
        <f t="shared" si="3"/>
        <v>0.18148115311406979</v>
      </c>
      <c r="S66" s="193">
        <v>0</v>
      </c>
      <c r="T66" s="46">
        <v>0</v>
      </c>
      <c r="U66" s="46">
        <v>0</v>
      </c>
      <c r="V66" s="46">
        <v>0.24933548437098305</v>
      </c>
      <c r="W66" s="46">
        <v>0</v>
      </c>
      <c r="X66" s="46">
        <v>0</v>
      </c>
      <c r="Y66" s="46">
        <v>0</v>
      </c>
      <c r="Z66" s="194">
        <f t="shared" si="4"/>
        <v>0.24933548437098305</v>
      </c>
      <c r="AA66" s="194">
        <f t="shared" si="5"/>
        <v>0</v>
      </c>
      <c r="AB66" s="195">
        <f t="shared" si="6"/>
        <v>0.24933548437098305</v>
      </c>
      <c r="AD66" s="193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194">
        <f t="shared" si="7"/>
        <v>0</v>
      </c>
      <c r="AL66" s="194">
        <f t="shared" si="8"/>
        <v>0</v>
      </c>
      <c r="AM66" s="195">
        <f t="shared" si="9"/>
        <v>0</v>
      </c>
      <c r="AO66" s="203" t="e">
        <v>#N/A</v>
      </c>
      <c r="AP66" s="204" t="e">
        <v>#N/A</v>
      </c>
      <c r="AQ66" s="204" t="e">
        <v>#N/A</v>
      </c>
    </row>
    <row r="67" spans="3:43" ht="11.25" customHeight="1" x14ac:dyDescent="0.2">
      <c r="C67" s="59">
        <f t="shared" si="0"/>
        <v>56</v>
      </c>
      <c r="D67" s="30" t="s">
        <v>1441</v>
      </c>
      <c r="E67" s="30" t="s">
        <v>1442</v>
      </c>
      <c r="F67" s="30" t="s">
        <v>1429</v>
      </c>
      <c r="G67" s="188" t="s">
        <v>1430</v>
      </c>
      <c r="H67" s="193">
        <v>0</v>
      </c>
      <c r="I67" s="46">
        <v>0</v>
      </c>
      <c r="J67" s="46">
        <v>7.2590878466758909E-3</v>
      </c>
      <c r="K67" s="46">
        <v>0</v>
      </c>
      <c r="L67" s="46">
        <v>0</v>
      </c>
      <c r="M67" s="46">
        <v>0</v>
      </c>
      <c r="N67" s="46">
        <v>0</v>
      </c>
      <c r="O67" s="194">
        <f t="shared" si="1"/>
        <v>7.2590878466758909E-3</v>
      </c>
      <c r="P67" s="194">
        <f t="shared" si="2"/>
        <v>0</v>
      </c>
      <c r="Q67" s="195">
        <f t="shared" si="3"/>
        <v>7.2590878466758909E-3</v>
      </c>
      <c r="S67" s="193">
        <v>0</v>
      </c>
      <c r="T67" s="46">
        <v>0</v>
      </c>
      <c r="U67" s="46">
        <v>9.9505371299834552E-3</v>
      </c>
      <c r="V67" s="46">
        <v>0</v>
      </c>
      <c r="W67" s="46">
        <v>0</v>
      </c>
      <c r="X67" s="46">
        <v>0</v>
      </c>
      <c r="Y67" s="46">
        <v>0</v>
      </c>
      <c r="Z67" s="194">
        <f t="shared" si="4"/>
        <v>9.9505371299834552E-3</v>
      </c>
      <c r="AA67" s="194">
        <f t="shared" si="5"/>
        <v>0</v>
      </c>
      <c r="AB67" s="195">
        <f t="shared" si="6"/>
        <v>9.9505371299834552E-3</v>
      </c>
      <c r="AD67" s="193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194">
        <f t="shared" si="7"/>
        <v>0</v>
      </c>
      <c r="AL67" s="194">
        <f t="shared" si="8"/>
        <v>0</v>
      </c>
      <c r="AM67" s="195">
        <f t="shared" si="9"/>
        <v>0</v>
      </c>
      <c r="AO67" s="203" t="e">
        <v>#N/A</v>
      </c>
      <c r="AP67" s="204" t="e">
        <v>#N/A</v>
      </c>
      <c r="AQ67" s="204" t="e">
        <v>#N/A</v>
      </c>
    </row>
    <row r="68" spans="3:43" ht="11.25" customHeight="1" x14ac:dyDescent="0.2">
      <c r="C68" s="59">
        <f t="shared" si="0"/>
        <v>57</v>
      </c>
      <c r="D68" s="30" t="s">
        <v>1443</v>
      </c>
      <c r="E68" s="30" t="s">
        <v>1444</v>
      </c>
      <c r="F68" s="30" t="s">
        <v>1429</v>
      </c>
      <c r="G68" s="188" t="s">
        <v>1430</v>
      </c>
      <c r="H68" s="193">
        <v>0</v>
      </c>
      <c r="I68" s="46">
        <v>0</v>
      </c>
      <c r="J68" s="46">
        <v>4.990622894589675E-3</v>
      </c>
      <c r="K68" s="46">
        <v>0</v>
      </c>
      <c r="L68" s="46">
        <v>0</v>
      </c>
      <c r="M68" s="46">
        <v>0</v>
      </c>
      <c r="N68" s="46">
        <v>0</v>
      </c>
      <c r="O68" s="194">
        <f t="shared" si="1"/>
        <v>4.990622894589675E-3</v>
      </c>
      <c r="P68" s="194">
        <f t="shared" si="2"/>
        <v>0</v>
      </c>
      <c r="Q68" s="195">
        <f t="shared" si="3"/>
        <v>4.990622894589675E-3</v>
      </c>
      <c r="S68" s="193">
        <v>0</v>
      </c>
      <c r="T68" s="46">
        <v>0</v>
      </c>
      <c r="U68" s="46">
        <v>6.8409942768636262E-3</v>
      </c>
      <c r="V68" s="46">
        <v>0</v>
      </c>
      <c r="W68" s="46">
        <v>0</v>
      </c>
      <c r="X68" s="46">
        <v>0</v>
      </c>
      <c r="Y68" s="46">
        <v>0</v>
      </c>
      <c r="Z68" s="194">
        <f t="shared" si="4"/>
        <v>6.8409942768636262E-3</v>
      </c>
      <c r="AA68" s="194">
        <f t="shared" si="5"/>
        <v>0</v>
      </c>
      <c r="AB68" s="195">
        <f t="shared" si="6"/>
        <v>6.8409942768636262E-3</v>
      </c>
      <c r="AD68" s="193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194">
        <f t="shared" si="7"/>
        <v>0</v>
      </c>
      <c r="AL68" s="194">
        <f t="shared" si="8"/>
        <v>0</v>
      </c>
      <c r="AM68" s="195">
        <f t="shared" si="9"/>
        <v>0</v>
      </c>
      <c r="AO68" s="203" t="e">
        <v>#N/A</v>
      </c>
      <c r="AP68" s="204" t="e">
        <v>#N/A</v>
      </c>
      <c r="AQ68" s="204" t="e">
        <v>#N/A</v>
      </c>
    </row>
    <row r="69" spans="3:43" ht="11.25" customHeight="1" x14ac:dyDescent="0.2">
      <c r="C69" s="59">
        <f t="shared" si="0"/>
        <v>58</v>
      </c>
      <c r="D69" s="30" t="s">
        <v>1445</v>
      </c>
      <c r="E69" s="30" t="s">
        <v>1446</v>
      </c>
      <c r="F69" s="30" t="s">
        <v>1429</v>
      </c>
      <c r="G69" s="188" t="s">
        <v>1430</v>
      </c>
      <c r="H69" s="193">
        <v>0</v>
      </c>
      <c r="I69" s="46">
        <v>0</v>
      </c>
      <c r="J69" s="46">
        <v>4.990622894589675E-3</v>
      </c>
      <c r="K69" s="46">
        <v>0</v>
      </c>
      <c r="L69" s="46">
        <v>0</v>
      </c>
      <c r="M69" s="46">
        <v>0</v>
      </c>
      <c r="N69" s="46">
        <v>0</v>
      </c>
      <c r="O69" s="194">
        <f t="shared" si="1"/>
        <v>4.990622894589675E-3</v>
      </c>
      <c r="P69" s="194">
        <f t="shared" si="2"/>
        <v>0</v>
      </c>
      <c r="Q69" s="195">
        <f t="shared" si="3"/>
        <v>4.990622894589675E-3</v>
      </c>
      <c r="S69" s="193">
        <v>0</v>
      </c>
      <c r="T69" s="46">
        <v>0</v>
      </c>
      <c r="U69" s="46">
        <v>6.8409942768636262E-3</v>
      </c>
      <c r="V69" s="46">
        <v>0</v>
      </c>
      <c r="W69" s="46">
        <v>0</v>
      </c>
      <c r="X69" s="46">
        <v>0</v>
      </c>
      <c r="Y69" s="46">
        <v>0</v>
      </c>
      <c r="Z69" s="194">
        <f t="shared" si="4"/>
        <v>6.8409942768636262E-3</v>
      </c>
      <c r="AA69" s="194">
        <f t="shared" si="5"/>
        <v>0</v>
      </c>
      <c r="AB69" s="195">
        <f t="shared" si="6"/>
        <v>6.8409942768636262E-3</v>
      </c>
      <c r="AD69" s="193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194">
        <f t="shared" si="7"/>
        <v>0</v>
      </c>
      <c r="AL69" s="194">
        <f t="shared" si="8"/>
        <v>0</v>
      </c>
      <c r="AM69" s="195">
        <f t="shared" si="9"/>
        <v>0</v>
      </c>
      <c r="AO69" s="203" t="e">
        <v>#N/A</v>
      </c>
      <c r="AP69" s="204" t="e">
        <v>#N/A</v>
      </c>
      <c r="AQ69" s="204" t="e">
        <v>#N/A</v>
      </c>
    </row>
    <row r="70" spans="3:43" ht="11.25" customHeight="1" x14ac:dyDescent="0.2">
      <c r="C70" s="59">
        <f t="shared" si="0"/>
        <v>59</v>
      </c>
      <c r="D70" s="30" t="s">
        <v>1447</v>
      </c>
      <c r="E70" s="30" t="s">
        <v>1448</v>
      </c>
      <c r="F70" s="30" t="s">
        <v>1429</v>
      </c>
      <c r="G70" s="188" t="s">
        <v>1430</v>
      </c>
      <c r="H70" s="193">
        <v>0</v>
      </c>
      <c r="I70" s="46">
        <v>0</v>
      </c>
      <c r="J70" s="46">
        <v>0</v>
      </c>
      <c r="K70" s="46">
        <v>0</v>
      </c>
      <c r="L70" s="46">
        <v>5.4443158850069192E-3</v>
      </c>
      <c r="M70" s="46">
        <v>0</v>
      </c>
      <c r="N70" s="46">
        <v>0</v>
      </c>
      <c r="O70" s="194">
        <f t="shared" si="1"/>
        <v>5.4443158850069192E-3</v>
      </c>
      <c r="P70" s="194">
        <f t="shared" si="2"/>
        <v>0</v>
      </c>
      <c r="Q70" s="195">
        <f t="shared" si="3"/>
        <v>5.4443158850069192E-3</v>
      </c>
      <c r="S70" s="193">
        <v>0</v>
      </c>
      <c r="T70" s="46">
        <v>0</v>
      </c>
      <c r="U70" s="46">
        <v>0</v>
      </c>
      <c r="V70" s="46">
        <v>0</v>
      </c>
      <c r="W70" s="46">
        <v>7.4910270114620509E-3</v>
      </c>
      <c r="X70" s="46">
        <v>0</v>
      </c>
      <c r="Y70" s="46">
        <v>0</v>
      </c>
      <c r="Z70" s="194">
        <f t="shared" si="4"/>
        <v>7.4910270114620509E-3</v>
      </c>
      <c r="AA70" s="194">
        <f t="shared" si="5"/>
        <v>0</v>
      </c>
      <c r="AB70" s="195">
        <f t="shared" si="6"/>
        <v>7.4910270114620509E-3</v>
      </c>
      <c r="AD70" s="193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194">
        <f t="shared" si="7"/>
        <v>0</v>
      </c>
      <c r="AL70" s="194">
        <f t="shared" si="8"/>
        <v>0</v>
      </c>
      <c r="AM70" s="195">
        <f t="shared" si="9"/>
        <v>0</v>
      </c>
      <c r="AO70" s="203" t="e">
        <v>#N/A</v>
      </c>
      <c r="AP70" s="204" t="e">
        <v>#N/A</v>
      </c>
      <c r="AQ70" s="204" t="e">
        <v>#N/A</v>
      </c>
    </row>
    <row r="71" spans="3:43" ht="11.25" customHeight="1" x14ac:dyDescent="0.2">
      <c r="C71" s="59">
        <f t="shared" si="0"/>
        <v>60</v>
      </c>
      <c r="D71" s="30" t="s">
        <v>1449</v>
      </c>
      <c r="E71" s="30" t="s">
        <v>1450</v>
      </c>
      <c r="F71" s="30" t="s">
        <v>1429</v>
      </c>
      <c r="G71" s="188" t="s">
        <v>1430</v>
      </c>
      <c r="H71" s="193">
        <v>0</v>
      </c>
      <c r="I71" s="46">
        <v>0</v>
      </c>
      <c r="J71" s="46">
        <v>0</v>
      </c>
      <c r="K71" s="46">
        <v>0</v>
      </c>
      <c r="L71" s="46">
        <v>3.6295439233379454E-3</v>
      </c>
      <c r="M71" s="46">
        <v>0</v>
      </c>
      <c r="N71" s="46">
        <v>0</v>
      </c>
      <c r="O71" s="194">
        <f t="shared" si="1"/>
        <v>3.6295439233379454E-3</v>
      </c>
      <c r="P71" s="194">
        <f t="shared" si="2"/>
        <v>0</v>
      </c>
      <c r="Q71" s="195">
        <f t="shared" si="3"/>
        <v>3.6295439233379454E-3</v>
      </c>
      <c r="S71" s="193">
        <v>0</v>
      </c>
      <c r="T71" s="46">
        <v>0</v>
      </c>
      <c r="U71" s="46">
        <v>0</v>
      </c>
      <c r="V71" s="46">
        <v>0</v>
      </c>
      <c r="W71" s="46">
        <v>4.9940180076413669E-3</v>
      </c>
      <c r="X71" s="46">
        <v>0</v>
      </c>
      <c r="Y71" s="46">
        <v>0</v>
      </c>
      <c r="Z71" s="194">
        <f t="shared" si="4"/>
        <v>4.9940180076413669E-3</v>
      </c>
      <c r="AA71" s="194">
        <f t="shared" si="5"/>
        <v>0</v>
      </c>
      <c r="AB71" s="195">
        <f t="shared" si="6"/>
        <v>4.9940180076413669E-3</v>
      </c>
      <c r="AD71" s="193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194">
        <f t="shared" si="7"/>
        <v>0</v>
      </c>
      <c r="AL71" s="194">
        <f t="shared" si="8"/>
        <v>0</v>
      </c>
      <c r="AM71" s="195">
        <f t="shared" si="9"/>
        <v>0</v>
      </c>
      <c r="AO71" s="203" t="e">
        <v>#N/A</v>
      </c>
      <c r="AP71" s="204" t="e">
        <v>#N/A</v>
      </c>
      <c r="AQ71" s="204" t="e">
        <v>#N/A</v>
      </c>
    </row>
    <row r="72" spans="3:43" ht="11.25" customHeight="1" x14ac:dyDescent="0.2">
      <c r="C72" s="59">
        <f t="shared" si="0"/>
        <v>61</v>
      </c>
      <c r="D72" s="30" t="s">
        <v>1451</v>
      </c>
      <c r="E72" s="30" t="s">
        <v>1452</v>
      </c>
      <c r="F72" s="30" t="s">
        <v>1429</v>
      </c>
      <c r="G72" s="188" t="s">
        <v>1430</v>
      </c>
      <c r="H72" s="193">
        <v>0</v>
      </c>
      <c r="I72" s="46">
        <v>0</v>
      </c>
      <c r="J72" s="46">
        <v>0</v>
      </c>
      <c r="K72" s="46">
        <v>0</v>
      </c>
      <c r="L72" s="46">
        <v>4.0832369137551894E-2</v>
      </c>
      <c r="M72" s="46">
        <v>0</v>
      </c>
      <c r="N72" s="46">
        <v>0</v>
      </c>
      <c r="O72" s="194">
        <f t="shared" si="1"/>
        <v>4.0832369137551894E-2</v>
      </c>
      <c r="P72" s="194">
        <f t="shared" si="2"/>
        <v>0</v>
      </c>
      <c r="Q72" s="195">
        <f t="shared" si="3"/>
        <v>4.0832369137551894E-2</v>
      </c>
      <c r="S72" s="193">
        <v>0</v>
      </c>
      <c r="T72" s="46">
        <v>0</v>
      </c>
      <c r="U72" s="46">
        <v>0</v>
      </c>
      <c r="V72" s="46">
        <v>0</v>
      </c>
      <c r="W72" s="46">
        <v>5.6182702585965381E-2</v>
      </c>
      <c r="X72" s="46">
        <v>0</v>
      </c>
      <c r="Y72" s="46">
        <v>0</v>
      </c>
      <c r="Z72" s="194">
        <f t="shared" si="4"/>
        <v>5.6182702585965381E-2</v>
      </c>
      <c r="AA72" s="194">
        <f t="shared" si="5"/>
        <v>0</v>
      </c>
      <c r="AB72" s="195">
        <f t="shared" si="6"/>
        <v>5.6182702585965381E-2</v>
      </c>
      <c r="AD72" s="193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194">
        <f t="shared" si="7"/>
        <v>0</v>
      </c>
      <c r="AL72" s="194">
        <f t="shared" si="8"/>
        <v>0</v>
      </c>
      <c r="AM72" s="195">
        <f t="shared" si="9"/>
        <v>0</v>
      </c>
      <c r="AO72" s="203" t="e">
        <v>#N/A</v>
      </c>
      <c r="AP72" s="204" t="e">
        <v>#N/A</v>
      </c>
      <c r="AQ72" s="204" t="e">
        <v>#N/A</v>
      </c>
    </row>
    <row r="73" spans="3:43" ht="11.25" customHeight="1" x14ac:dyDescent="0.2">
      <c r="C73" s="59">
        <f t="shared" si="0"/>
        <v>62</v>
      </c>
      <c r="D73" s="30" t="s">
        <v>1453</v>
      </c>
      <c r="E73" s="30" t="s">
        <v>1454</v>
      </c>
      <c r="F73" s="30" t="s">
        <v>1429</v>
      </c>
      <c r="G73" s="188" t="s">
        <v>1430</v>
      </c>
      <c r="H73" s="193">
        <v>0</v>
      </c>
      <c r="I73" s="46">
        <v>0</v>
      </c>
      <c r="J73" s="46">
        <v>0</v>
      </c>
      <c r="K73" s="46">
        <v>0</v>
      </c>
      <c r="L73" s="46">
        <v>0.16332947655020758</v>
      </c>
      <c r="M73" s="46">
        <v>0</v>
      </c>
      <c r="N73" s="46">
        <v>0</v>
      </c>
      <c r="O73" s="194">
        <f t="shared" si="1"/>
        <v>0.16332947655020758</v>
      </c>
      <c r="P73" s="194">
        <f t="shared" si="2"/>
        <v>0</v>
      </c>
      <c r="Q73" s="195">
        <f t="shared" si="3"/>
        <v>0.16332947655020758</v>
      </c>
      <c r="S73" s="193">
        <v>0</v>
      </c>
      <c r="T73" s="46">
        <v>0</v>
      </c>
      <c r="U73" s="46">
        <v>0</v>
      </c>
      <c r="V73" s="46">
        <v>0</v>
      </c>
      <c r="W73" s="46">
        <v>0.22473081034386153</v>
      </c>
      <c r="X73" s="46">
        <v>0</v>
      </c>
      <c r="Y73" s="46">
        <v>0</v>
      </c>
      <c r="Z73" s="194">
        <f t="shared" si="4"/>
        <v>0.22473081034386153</v>
      </c>
      <c r="AA73" s="194">
        <f t="shared" si="5"/>
        <v>0</v>
      </c>
      <c r="AB73" s="195">
        <f t="shared" si="6"/>
        <v>0.22473081034386153</v>
      </c>
      <c r="AD73" s="193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194">
        <f t="shared" si="7"/>
        <v>0</v>
      </c>
      <c r="AL73" s="194">
        <f t="shared" si="8"/>
        <v>0</v>
      </c>
      <c r="AM73" s="195">
        <f t="shared" si="9"/>
        <v>0</v>
      </c>
      <c r="AO73" s="203" t="e">
        <v>#N/A</v>
      </c>
      <c r="AP73" s="204" t="e">
        <v>#N/A</v>
      </c>
      <c r="AQ73" s="204" t="e">
        <v>#N/A</v>
      </c>
    </row>
    <row r="74" spans="3:43" ht="11.25" customHeight="1" x14ac:dyDescent="0.2">
      <c r="C74" s="59">
        <f t="shared" si="0"/>
        <v>63</v>
      </c>
      <c r="D74" s="30" t="s">
        <v>1455</v>
      </c>
      <c r="E74" s="30" t="s">
        <v>1456</v>
      </c>
      <c r="F74" s="30" t="s">
        <v>1429</v>
      </c>
      <c r="G74" s="188" t="s">
        <v>1430</v>
      </c>
      <c r="H74" s="193">
        <v>0</v>
      </c>
      <c r="I74" s="46">
        <v>0</v>
      </c>
      <c r="J74" s="46">
        <v>5.444315885006918E-2</v>
      </c>
      <c r="K74" s="46">
        <v>0</v>
      </c>
      <c r="L74" s="46">
        <v>0</v>
      </c>
      <c r="M74" s="46">
        <v>0</v>
      </c>
      <c r="N74" s="46">
        <v>0</v>
      </c>
      <c r="O74" s="194">
        <f t="shared" si="1"/>
        <v>5.444315885006918E-2</v>
      </c>
      <c r="P74" s="194">
        <f t="shared" si="2"/>
        <v>0</v>
      </c>
      <c r="Q74" s="195">
        <f t="shared" si="3"/>
        <v>5.444315885006918E-2</v>
      </c>
      <c r="S74" s="193">
        <v>0</v>
      </c>
      <c r="T74" s="46">
        <v>0</v>
      </c>
      <c r="U74" s="46">
        <v>7.462902847487593E-2</v>
      </c>
      <c r="V74" s="46">
        <v>0</v>
      </c>
      <c r="W74" s="46">
        <v>0</v>
      </c>
      <c r="X74" s="46">
        <v>0</v>
      </c>
      <c r="Y74" s="46">
        <v>0</v>
      </c>
      <c r="Z74" s="194">
        <f t="shared" si="4"/>
        <v>7.462902847487593E-2</v>
      </c>
      <c r="AA74" s="194">
        <f t="shared" si="5"/>
        <v>0</v>
      </c>
      <c r="AB74" s="195">
        <f t="shared" si="6"/>
        <v>7.462902847487593E-2</v>
      </c>
      <c r="AD74" s="193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194">
        <f t="shared" si="7"/>
        <v>0</v>
      </c>
      <c r="AL74" s="194">
        <f t="shared" si="8"/>
        <v>0</v>
      </c>
      <c r="AM74" s="195">
        <f t="shared" si="9"/>
        <v>0</v>
      </c>
      <c r="AO74" s="203" t="e">
        <v>#N/A</v>
      </c>
      <c r="AP74" s="204" t="e">
        <v>#N/A</v>
      </c>
      <c r="AQ74" s="204" t="e">
        <v>#N/A</v>
      </c>
    </row>
    <row r="75" spans="3:43" ht="11.25" customHeight="1" x14ac:dyDescent="0.2">
      <c r="C75" s="59">
        <f t="shared" si="0"/>
        <v>64</v>
      </c>
      <c r="D75" s="30" t="s">
        <v>1457</v>
      </c>
      <c r="E75" s="30" t="s">
        <v>1458</v>
      </c>
      <c r="F75" s="30" t="s">
        <v>1429</v>
      </c>
      <c r="G75" s="188" t="s">
        <v>1430</v>
      </c>
      <c r="H75" s="193">
        <v>0</v>
      </c>
      <c r="I75" s="46">
        <v>0</v>
      </c>
      <c r="J75" s="46">
        <v>5.444315885006918E-2</v>
      </c>
      <c r="K75" s="46">
        <v>0</v>
      </c>
      <c r="L75" s="46">
        <v>0</v>
      </c>
      <c r="M75" s="46">
        <v>0</v>
      </c>
      <c r="N75" s="46">
        <v>0</v>
      </c>
      <c r="O75" s="194">
        <f t="shared" si="1"/>
        <v>5.444315885006918E-2</v>
      </c>
      <c r="P75" s="194">
        <f t="shared" si="2"/>
        <v>0</v>
      </c>
      <c r="Q75" s="195">
        <f t="shared" si="3"/>
        <v>5.444315885006918E-2</v>
      </c>
      <c r="S75" s="193">
        <v>0</v>
      </c>
      <c r="T75" s="46">
        <v>0</v>
      </c>
      <c r="U75" s="46">
        <v>7.462902847487593E-2</v>
      </c>
      <c r="V75" s="46">
        <v>0</v>
      </c>
      <c r="W75" s="46">
        <v>0</v>
      </c>
      <c r="X75" s="46">
        <v>0</v>
      </c>
      <c r="Y75" s="46">
        <v>0</v>
      </c>
      <c r="Z75" s="194">
        <f t="shared" si="4"/>
        <v>7.462902847487593E-2</v>
      </c>
      <c r="AA75" s="194">
        <f t="shared" si="5"/>
        <v>0</v>
      </c>
      <c r="AB75" s="195">
        <f t="shared" si="6"/>
        <v>7.462902847487593E-2</v>
      </c>
      <c r="AD75" s="193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194">
        <f t="shared" si="7"/>
        <v>0</v>
      </c>
      <c r="AL75" s="194">
        <f t="shared" si="8"/>
        <v>0</v>
      </c>
      <c r="AM75" s="195">
        <f t="shared" si="9"/>
        <v>0</v>
      </c>
      <c r="AO75" s="203" t="e">
        <v>#N/A</v>
      </c>
      <c r="AP75" s="204" t="e">
        <v>#N/A</v>
      </c>
      <c r="AQ75" s="204" t="e">
        <v>#N/A</v>
      </c>
    </row>
    <row r="76" spans="3:43" ht="11.25" customHeight="1" x14ac:dyDescent="0.2">
      <c r="C76" s="59">
        <f t="shared" si="0"/>
        <v>65</v>
      </c>
      <c r="D76" s="30" t="s">
        <v>1459</v>
      </c>
      <c r="E76" s="30" t="s">
        <v>1460</v>
      </c>
      <c r="F76" s="30" t="s">
        <v>1429</v>
      </c>
      <c r="G76" s="188" t="s">
        <v>1430</v>
      </c>
      <c r="H76" s="193">
        <v>0</v>
      </c>
      <c r="I76" s="46">
        <v>1.8576938227387152E-2</v>
      </c>
      <c r="J76" s="46">
        <v>6.1586588688620443E-2</v>
      </c>
      <c r="K76" s="46">
        <v>3.5152753318300305E-2</v>
      </c>
      <c r="L76" s="46">
        <v>3.0288486240305138E-4</v>
      </c>
      <c r="M76" s="46">
        <v>2.5302941709869062E-2</v>
      </c>
      <c r="N76" s="46">
        <v>9.6317386244170355E-2</v>
      </c>
      <c r="O76" s="194">
        <f t="shared" si="1"/>
        <v>0.23723949305075037</v>
      </c>
      <c r="P76" s="194">
        <f t="shared" si="2"/>
        <v>1.8576938227387152E-2</v>
      </c>
      <c r="Q76" s="195">
        <f t="shared" si="3"/>
        <v>0.21866255482336322</v>
      </c>
      <c r="S76" s="193">
        <v>0</v>
      </c>
      <c r="T76" s="46">
        <v>2.4661101199517442E-2</v>
      </c>
      <c r="U76" s="46">
        <v>8.4421025120361579E-2</v>
      </c>
      <c r="V76" s="46">
        <v>4.8296082679632105E-2</v>
      </c>
      <c r="W76" s="46">
        <v>4.1675000744769266E-4</v>
      </c>
      <c r="X76" s="46">
        <v>3.4866523422787975E-2</v>
      </c>
      <c r="Y76" s="46">
        <v>0.1329481450076791</v>
      </c>
      <c r="Z76" s="194">
        <f t="shared" si="4"/>
        <v>0.32560962743742589</v>
      </c>
      <c r="AA76" s="194">
        <f t="shared" si="5"/>
        <v>2.4661101199517442E-2</v>
      </c>
      <c r="AB76" s="195">
        <f t="shared" si="6"/>
        <v>0.30094852623790846</v>
      </c>
      <c r="AD76" s="193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194">
        <f t="shared" si="7"/>
        <v>0</v>
      </c>
      <c r="AL76" s="194">
        <f t="shared" si="8"/>
        <v>0</v>
      </c>
      <c r="AM76" s="195">
        <f t="shared" si="9"/>
        <v>0</v>
      </c>
      <c r="AO76" s="203" t="e">
        <v>#N/A</v>
      </c>
      <c r="AP76" s="204" t="e">
        <v>#N/A</v>
      </c>
      <c r="AQ76" s="204" t="e">
        <v>#N/A</v>
      </c>
    </row>
    <row r="77" spans="3:43" ht="11.25" customHeight="1" x14ac:dyDescent="0.2">
      <c r="C77" s="59">
        <f t="shared" ref="C77:C131" si="10">N(C76)+1</f>
        <v>66</v>
      </c>
      <c r="D77" s="30" t="s">
        <v>1461</v>
      </c>
      <c r="E77" s="30" t="s">
        <v>1462</v>
      </c>
      <c r="F77" s="30" t="s">
        <v>1429</v>
      </c>
      <c r="G77" s="188" t="s">
        <v>1430</v>
      </c>
      <c r="H77" s="193">
        <v>0</v>
      </c>
      <c r="I77" s="46">
        <v>0</v>
      </c>
      <c r="J77" s="46">
        <v>0</v>
      </c>
      <c r="K77" s="46">
        <v>0</v>
      </c>
      <c r="L77" s="46">
        <v>5.0872603738238369E-2</v>
      </c>
      <c r="M77" s="46">
        <v>5.0881111580249071E-2</v>
      </c>
      <c r="N77" s="46">
        <v>5.6545522598653489E-2</v>
      </c>
      <c r="O77" s="194">
        <f t="shared" ref="O77:O131" si="11">SUM(H77:N77)</f>
        <v>0.15829923791714093</v>
      </c>
      <c r="P77" s="194">
        <f t="shared" ref="P77:P131" si="12">SUM(H77:I77)</f>
        <v>0</v>
      </c>
      <c r="Q77" s="195">
        <f t="shared" ref="Q77:Q131" si="13">SUM(J77:N77)</f>
        <v>0.15829923791714093</v>
      </c>
      <c r="S77" s="193">
        <v>0</v>
      </c>
      <c r="T77" s="46">
        <v>0</v>
      </c>
      <c r="U77" s="46">
        <v>0</v>
      </c>
      <c r="V77" s="46">
        <v>0</v>
      </c>
      <c r="W77" s="46">
        <v>6.9997416901547885E-2</v>
      </c>
      <c r="X77" s="46">
        <v>7.0112301132097224E-2</v>
      </c>
      <c r="Y77" s="46">
        <v>7.8050522663926494E-2</v>
      </c>
      <c r="Z77" s="194">
        <f t="shared" ref="Z77:Z131" si="14">SUM(S77:Y77)</f>
        <v>0.21816024069757162</v>
      </c>
      <c r="AA77" s="194">
        <f t="shared" ref="AA77:AA131" si="15">SUM(S77:T77)</f>
        <v>0</v>
      </c>
      <c r="AB77" s="195">
        <f t="shared" ref="AB77:AB131" si="16">SUM(U77:Y77)</f>
        <v>0.21816024069757162</v>
      </c>
      <c r="AD77" s="193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194">
        <f t="shared" ref="AK77:AK131" si="17">SUM(AD77:AJ77)</f>
        <v>0</v>
      </c>
      <c r="AL77" s="194">
        <f t="shared" ref="AL77:AL131" si="18">SUM(AD77:AE77)</f>
        <v>0</v>
      </c>
      <c r="AM77" s="195">
        <f t="shared" ref="AM77:AM131" si="19">SUM(AF77:AJ77)</f>
        <v>0</v>
      </c>
      <c r="AO77" s="203" t="e">
        <v>#N/A</v>
      </c>
      <c r="AP77" s="204" t="e">
        <v>#N/A</v>
      </c>
      <c r="AQ77" s="204" t="e">
        <v>#N/A</v>
      </c>
    </row>
    <row r="78" spans="3:43" ht="11.25" customHeight="1" x14ac:dyDescent="0.2">
      <c r="C78" s="59">
        <f t="shared" si="10"/>
        <v>67</v>
      </c>
      <c r="D78" s="30" t="s">
        <v>1463</v>
      </c>
      <c r="E78" s="30" t="s">
        <v>1464</v>
      </c>
      <c r="F78" s="30" t="s">
        <v>1429</v>
      </c>
      <c r="G78" s="188" t="s">
        <v>150</v>
      </c>
      <c r="H78" s="193">
        <v>0</v>
      </c>
      <c r="I78" s="46">
        <v>0</v>
      </c>
      <c r="J78" s="46">
        <v>0</v>
      </c>
      <c r="K78" s="46">
        <v>0</v>
      </c>
      <c r="L78" s="46">
        <v>1.5850299698123305</v>
      </c>
      <c r="M78" s="46">
        <v>1.5852950473506213</v>
      </c>
      <c r="N78" s="46">
        <v>1.585602215189523</v>
      </c>
      <c r="O78" s="194">
        <f t="shared" si="11"/>
        <v>4.7559272323524748</v>
      </c>
      <c r="P78" s="194">
        <f t="shared" si="12"/>
        <v>0</v>
      </c>
      <c r="Q78" s="195">
        <f t="shared" si="13"/>
        <v>4.7559272323524748</v>
      </c>
      <c r="S78" s="193">
        <v>0</v>
      </c>
      <c r="T78" s="46">
        <v>0</v>
      </c>
      <c r="U78" s="46">
        <v>0</v>
      </c>
      <c r="V78" s="46">
        <v>0</v>
      </c>
      <c r="W78" s="46">
        <v>2.1808988619744567</v>
      </c>
      <c r="X78" s="46">
        <v>2.1844782924556738</v>
      </c>
      <c r="Y78" s="46">
        <v>2.1886274269851551</v>
      </c>
      <c r="Z78" s="194">
        <f t="shared" si="14"/>
        <v>6.5540045814152856</v>
      </c>
      <c r="AA78" s="194">
        <f t="shared" si="15"/>
        <v>0</v>
      </c>
      <c r="AB78" s="195">
        <f t="shared" si="16"/>
        <v>6.5540045814152856</v>
      </c>
      <c r="AD78" s="193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194">
        <f t="shared" si="17"/>
        <v>0</v>
      </c>
      <c r="AL78" s="194">
        <f t="shared" si="18"/>
        <v>0</v>
      </c>
      <c r="AM78" s="195">
        <f t="shared" si="19"/>
        <v>0</v>
      </c>
      <c r="AO78" s="203" t="e">
        <v>#N/A</v>
      </c>
      <c r="AP78" s="204" t="e">
        <v>#N/A</v>
      </c>
      <c r="AQ78" s="204" t="e">
        <v>#N/A</v>
      </c>
    </row>
    <row r="79" spans="3:43" ht="11.25" customHeight="1" x14ac:dyDescent="0.2">
      <c r="C79" s="59">
        <f t="shared" si="10"/>
        <v>68</v>
      </c>
      <c r="D79" s="30" t="s">
        <v>1465</v>
      </c>
      <c r="E79" s="30" t="s">
        <v>1466</v>
      </c>
      <c r="F79" s="30" t="s">
        <v>1429</v>
      </c>
      <c r="G79" s="188" t="s">
        <v>150</v>
      </c>
      <c r="H79" s="193">
        <v>0</v>
      </c>
      <c r="I79" s="46">
        <v>0.5385544984050199</v>
      </c>
      <c r="J79" s="46">
        <v>0.38024512746668682</v>
      </c>
      <c r="K79" s="46">
        <v>0.27891825993026309</v>
      </c>
      <c r="L79" s="46">
        <v>0.36772695299646058</v>
      </c>
      <c r="M79" s="46">
        <v>0.37412963117474668</v>
      </c>
      <c r="N79" s="46">
        <v>0.38688694050624367</v>
      </c>
      <c r="O79" s="194">
        <f t="shared" si="11"/>
        <v>2.3264614104794208</v>
      </c>
      <c r="P79" s="194">
        <f t="shared" si="12"/>
        <v>0.5385544984050199</v>
      </c>
      <c r="Q79" s="195">
        <f t="shared" si="13"/>
        <v>1.7879069120744007</v>
      </c>
      <c r="S79" s="193">
        <v>0</v>
      </c>
      <c r="T79" s="46">
        <v>0.7149373499579954</v>
      </c>
      <c r="U79" s="46">
        <v>0.52122847102410796</v>
      </c>
      <c r="V79" s="46">
        <v>0.38320353516770944</v>
      </c>
      <c r="W79" s="46">
        <v>0.50596853597807379</v>
      </c>
      <c r="X79" s="46">
        <v>0.5155368770195391</v>
      </c>
      <c r="Y79" s="46">
        <v>0.53402509218437788</v>
      </c>
      <c r="Z79" s="194">
        <f t="shared" si="14"/>
        <v>3.174899861331804</v>
      </c>
      <c r="AA79" s="194">
        <f t="shared" si="15"/>
        <v>0.7149373499579954</v>
      </c>
      <c r="AB79" s="195">
        <f t="shared" si="16"/>
        <v>2.4599625113738082</v>
      </c>
      <c r="AD79" s="193">
        <v>0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194">
        <f t="shared" si="17"/>
        <v>0</v>
      </c>
      <c r="AL79" s="194">
        <f t="shared" si="18"/>
        <v>0</v>
      </c>
      <c r="AM79" s="195">
        <f t="shared" si="19"/>
        <v>0</v>
      </c>
      <c r="AO79" s="203" t="e">
        <v>#N/A</v>
      </c>
      <c r="AP79" s="204" t="e">
        <v>#N/A</v>
      </c>
      <c r="AQ79" s="204" t="e">
        <v>#N/A</v>
      </c>
    </row>
    <row r="80" spans="3:43" ht="11.25" customHeight="1" x14ac:dyDescent="0.2">
      <c r="C80" s="59">
        <f t="shared" si="10"/>
        <v>69</v>
      </c>
      <c r="D80" s="30" t="s">
        <v>1467</v>
      </c>
      <c r="E80" s="30" t="s">
        <v>1468</v>
      </c>
      <c r="F80" s="30" t="s">
        <v>1429</v>
      </c>
      <c r="G80" s="188" t="s">
        <v>150</v>
      </c>
      <c r="H80" s="193">
        <v>0</v>
      </c>
      <c r="I80" s="46">
        <v>0</v>
      </c>
      <c r="J80" s="46">
        <v>0</v>
      </c>
      <c r="K80" s="46">
        <v>0</v>
      </c>
      <c r="L80" s="46">
        <v>0.52622994997769368</v>
      </c>
      <c r="M80" s="46">
        <v>0.53900031609921129</v>
      </c>
      <c r="N80" s="46">
        <v>0.55813197974671225</v>
      </c>
      <c r="O80" s="194">
        <f t="shared" si="11"/>
        <v>1.6233622458236172</v>
      </c>
      <c r="P80" s="194">
        <f t="shared" si="12"/>
        <v>0</v>
      </c>
      <c r="Q80" s="195">
        <f t="shared" si="13"/>
        <v>1.6233622458236172</v>
      </c>
      <c r="S80" s="193">
        <v>0</v>
      </c>
      <c r="T80" s="46">
        <v>0</v>
      </c>
      <c r="U80" s="46">
        <v>0</v>
      </c>
      <c r="V80" s="46">
        <v>0</v>
      </c>
      <c r="W80" s="46">
        <v>0.72405842217551963</v>
      </c>
      <c r="X80" s="46">
        <v>0.74272261943492912</v>
      </c>
      <c r="Y80" s="46">
        <v>0.7703968542987748</v>
      </c>
      <c r="Z80" s="194">
        <f t="shared" si="14"/>
        <v>2.2371778959092237</v>
      </c>
      <c r="AA80" s="194">
        <f t="shared" si="15"/>
        <v>0</v>
      </c>
      <c r="AB80" s="195">
        <f t="shared" si="16"/>
        <v>2.2371778959092237</v>
      </c>
      <c r="AD80" s="193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194">
        <f t="shared" si="17"/>
        <v>0</v>
      </c>
      <c r="AL80" s="194">
        <f t="shared" si="18"/>
        <v>0</v>
      </c>
      <c r="AM80" s="195">
        <f t="shared" si="19"/>
        <v>0</v>
      </c>
      <c r="AO80" s="203" t="e">
        <v>#N/A</v>
      </c>
      <c r="AP80" s="204" t="e">
        <v>#N/A</v>
      </c>
      <c r="AQ80" s="204" t="e">
        <v>#N/A</v>
      </c>
    </row>
    <row r="81" spans="3:43" ht="11.25" customHeight="1" x14ac:dyDescent="0.2">
      <c r="C81" s="59">
        <f t="shared" si="10"/>
        <v>70</v>
      </c>
      <c r="D81" s="30" t="s">
        <v>1469</v>
      </c>
      <c r="E81" s="30" t="s">
        <v>1470</v>
      </c>
      <c r="F81" s="30" t="s">
        <v>1429</v>
      </c>
      <c r="G81" s="188" t="s">
        <v>150</v>
      </c>
      <c r="H81" s="193">
        <v>0</v>
      </c>
      <c r="I81" s="46">
        <v>0.11225395535149048</v>
      </c>
      <c r="J81" s="46">
        <v>0.11564864030634889</v>
      </c>
      <c r="K81" s="46">
        <v>0.11914878404491329</v>
      </c>
      <c r="L81" s="46">
        <v>0.12680239758498643</v>
      </c>
      <c r="M81" s="46">
        <v>0.12682360378804972</v>
      </c>
      <c r="N81" s="46">
        <v>0.13319058607591994</v>
      </c>
      <c r="O81" s="194">
        <f t="shared" si="11"/>
        <v>0.73386796715170877</v>
      </c>
      <c r="P81" s="194">
        <f t="shared" si="12"/>
        <v>0.11225395535149048</v>
      </c>
      <c r="Q81" s="195">
        <f t="shared" si="13"/>
        <v>0.62161401180021825</v>
      </c>
      <c r="S81" s="193">
        <v>0</v>
      </c>
      <c r="T81" s="46">
        <v>0.14901842914501531</v>
      </c>
      <c r="U81" s="46">
        <v>0.15852764337703792</v>
      </c>
      <c r="V81" s="46">
        <v>0.16369754804995737</v>
      </c>
      <c r="W81" s="46">
        <v>0.17447190895795653</v>
      </c>
      <c r="X81" s="46">
        <v>0.17475826339645392</v>
      </c>
      <c r="Y81" s="46">
        <v>0.183844703866753</v>
      </c>
      <c r="Z81" s="194">
        <f t="shared" si="14"/>
        <v>1.0043184967931742</v>
      </c>
      <c r="AA81" s="194">
        <f t="shared" si="15"/>
        <v>0.14901842914501531</v>
      </c>
      <c r="AB81" s="195">
        <f t="shared" si="16"/>
        <v>0.8553000676481588</v>
      </c>
      <c r="AD81" s="193">
        <v>0</v>
      </c>
      <c r="AE81" s="46">
        <v>0</v>
      </c>
      <c r="AF81" s="46">
        <v>0</v>
      </c>
      <c r="AG81" s="46">
        <v>0</v>
      </c>
      <c r="AH81" s="46">
        <v>0</v>
      </c>
      <c r="AI81" s="46">
        <v>0</v>
      </c>
      <c r="AJ81" s="46">
        <v>0</v>
      </c>
      <c r="AK81" s="194">
        <f t="shared" si="17"/>
        <v>0</v>
      </c>
      <c r="AL81" s="194">
        <f t="shared" si="18"/>
        <v>0</v>
      </c>
      <c r="AM81" s="195">
        <f t="shared" si="19"/>
        <v>0</v>
      </c>
      <c r="AO81" s="203" t="e">
        <v>#N/A</v>
      </c>
      <c r="AP81" s="204" t="e">
        <v>#N/A</v>
      </c>
      <c r="AQ81" s="204" t="e">
        <v>#N/A</v>
      </c>
    </row>
    <row r="82" spans="3:43" ht="11.25" customHeight="1" x14ac:dyDescent="0.2">
      <c r="C82" s="59">
        <f t="shared" si="10"/>
        <v>71</v>
      </c>
      <c r="D82" s="30" t="s">
        <v>1471</v>
      </c>
      <c r="E82" s="30" t="s">
        <v>1472</v>
      </c>
      <c r="F82" s="30" t="s">
        <v>1429</v>
      </c>
      <c r="G82" s="188" t="s">
        <v>150</v>
      </c>
      <c r="H82" s="193">
        <v>0</v>
      </c>
      <c r="I82" s="46">
        <v>0</v>
      </c>
      <c r="J82" s="46">
        <v>0</v>
      </c>
      <c r="K82" s="46">
        <v>0</v>
      </c>
      <c r="L82" s="46">
        <v>0.10778203794723849</v>
      </c>
      <c r="M82" s="46">
        <v>0.11414124340924477</v>
      </c>
      <c r="N82" s="46">
        <v>0.11416335949364569</v>
      </c>
      <c r="O82" s="194">
        <f t="shared" si="11"/>
        <v>0.33608664085012896</v>
      </c>
      <c r="P82" s="194">
        <f t="shared" si="12"/>
        <v>0</v>
      </c>
      <c r="Q82" s="195">
        <f t="shared" si="13"/>
        <v>0.33608664085012896</v>
      </c>
      <c r="S82" s="193">
        <v>0</v>
      </c>
      <c r="T82" s="46">
        <v>0</v>
      </c>
      <c r="U82" s="46">
        <v>0</v>
      </c>
      <c r="V82" s="46">
        <v>0</v>
      </c>
      <c r="W82" s="46">
        <v>0.14830112261426309</v>
      </c>
      <c r="X82" s="46">
        <v>0.15728243705680853</v>
      </c>
      <c r="Y82" s="46">
        <v>0.15758117474293121</v>
      </c>
      <c r="Z82" s="194">
        <f t="shared" si="14"/>
        <v>0.46316473441400285</v>
      </c>
      <c r="AA82" s="194">
        <f t="shared" si="15"/>
        <v>0</v>
      </c>
      <c r="AB82" s="195">
        <f t="shared" si="16"/>
        <v>0.46316473441400285</v>
      </c>
      <c r="AD82" s="193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194">
        <f t="shared" si="17"/>
        <v>0</v>
      </c>
      <c r="AL82" s="194">
        <f t="shared" si="18"/>
        <v>0</v>
      </c>
      <c r="AM82" s="195">
        <f t="shared" si="19"/>
        <v>0</v>
      </c>
      <c r="AO82" s="203" t="e">
        <v>#N/A</v>
      </c>
      <c r="AP82" s="204" t="e">
        <v>#N/A</v>
      </c>
      <c r="AQ82" s="204" t="e">
        <v>#N/A</v>
      </c>
    </row>
    <row r="83" spans="3:43" ht="11.25" customHeight="1" x14ac:dyDescent="0.2">
      <c r="C83" s="59">
        <f t="shared" si="10"/>
        <v>72</v>
      </c>
      <c r="D83" s="30" t="s">
        <v>1473</v>
      </c>
      <c r="E83" s="30" t="s">
        <v>1474</v>
      </c>
      <c r="F83" s="30" t="s">
        <v>1429</v>
      </c>
      <c r="G83" s="188" t="s">
        <v>150</v>
      </c>
      <c r="H83" s="193">
        <v>0</v>
      </c>
      <c r="I83" s="46">
        <v>0</v>
      </c>
      <c r="J83" s="46">
        <v>0</v>
      </c>
      <c r="K83" s="46">
        <v>0</v>
      </c>
      <c r="L83" s="46">
        <v>7.6081438550991878E-2</v>
      </c>
      <c r="M83" s="46">
        <v>8.2435342462232331E-2</v>
      </c>
      <c r="N83" s="46">
        <v>8.2451315189855212E-2</v>
      </c>
      <c r="O83" s="194">
        <f t="shared" si="11"/>
        <v>0.24096809620307941</v>
      </c>
      <c r="P83" s="194">
        <f t="shared" si="12"/>
        <v>0</v>
      </c>
      <c r="Q83" s="195">
        <f t="shared" si="13"/>
        <v>0.24096809620307941</v>
      </c>
      <c r="S83" s="193">
        <v>0</v>
      </c>
      <c r="T83" s="46">
        <v>0</v>
      </c>
      <c r="U83" s="46">
        <v>0</v>
      </c>
      <c r="V83" s="46">
        <v>0</v>
      </c>
      <c r="W83" s="46">
        <v>0.10468314537477394</v>
      </c>
      <c r="X83" s="46">
        <v>0.11359287120769505</v>
      </c>
      <c r="Y83" s="46">
        <v>0.11380862620322807</v>
      </c>
      <c r="Z83" s="194">
        <f t="shared" si="14"/>
        <v>0.33208464278569705</v>
      </c>
      <c r="AA83" s="194">
        <f t="shared" si="15"/>
        <v>0</v>
      </c>
      <c r="AB83" s="195">
        <f t="shared" si="16"/>
        <v>0.33208464278569705</v>
      </c>
      <c r="AD83" s="193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194">
        <f t="shared" si="17"/>
        <v>0</v>
      </c>
      <c r="AL83" s="194">
        <f t="shared" si="18"/>
        <v>0</v>
      </c>
      <c r="AM83" s="195">
        <f t="shared" si="19"/>
        <v>0</v>
      </c>
      <c r="AO83" s="203" t="e">
        <v>#N/A</v>
      </c>
      <c r="AP83" s="204" t="e">
        <v>#N/A</v>
      </c>
      <c r="AQ83" s="204" t="e">
        <v>#N/A</v>
      </c>
    </row>
    <row r="84" spans="3:43" ht="11.25" customHeight="1" x14ac:dyDescent="0.2">
      <c r="C84" s="59">
        <f t="shared" si="10"/>
        <v>73</v>
      </c>
      <c r="D84" s="30" t="s">
        <v>1475</v>
      </c>
      <c r="E84" s="30" t="s">
        <v>1476</v>
      </c>
      <c r="F84" s="30" t="s">
        <v>1429</v>
      </c>
      <c r="G84" s="188" t="s">
        <v>150</v>
      </c>
      <c r="H84" s="193">
        <v>0</v>
      </c>
      <c r="I84" s="46">
        <v>0.31679676376765881</v>
      </c>
      <c r="J84" s="46">
        <v>0.31687093955557238</v>
      </c>
      <c r="K84" s="46">
        <v>0.15847628405128583</v>
      </c>
      <c r="L84" s="46">
        <v>0</v>
      </c>
      <c r="M84" s="46">
        <v>0</v>
      </c>
      <c r="N84" s="46">
        <v>0</v>
      </c>
      <c r="O84" s="194">
        <f t="shared" si="11"/>
        <v>0.79214398737451708</v>
      </c>
      <c r="P84" s="194">
        <f t="shared" si="12"/>
        <v>0.31679676376765881</v>
      </c>
      <c r="Q84" s="195">
        <f t="shared" si="13"/>
        <v>0.47534722360685822</v>
      </c>
      <c r="S84" s="193">
        <v>0</v>
      </c>
      <c r="T84" s="46">
        <v>0.42055138232823264</v>
      </c>
      <c r="U84" s="46">
        <v>0.43435705918675671</v>
      </c>
      <c r="V84" s="46">
        <v>0.2177292813452894</v>
      </c>
      <c r="W84" s="46">
        <v>0</v>
      </c>
      <c r="X84" s="46">
        <v>0</v>
      </c>
      <c r="Y84" s="46">
        <v>0</v>
      </c>
      <c r="Z84" s="194">
        <f t="shared" si="14"/>
        <v>1.0726377228602788</v>
      </c>
      <c r="AA84" s="194">
        <f t="shared" si="15"/>
        <v>0.42055138232823264</v>
      </c>
      <c r="AB84" s="195">
        <f t="shared" si="16"/>
        <v>0.65208634053204606</v>
      </c>
      <c r="AD84" s="193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194">
        <f t="shared" si="17"/>
        <v>0</v>
      </c>
      <c r="AL84" s="194">
        <f t="shared" si="18"/>
        <v>0</v>
      </c>
      <c r="AM84" s="195">
        <f t="shared" si="19"/>
        <v>0</v>
      </c>
      <c r="AO84" s="203" t="e">
        <v>#N/A</v>
      </c>
      <c r="AP84" s="204" t="e">
        <v>#N/A</v>
      </c>
      <c r="AQ84" s="204" t="e">
        <v>#N/A</v>
      </c>
    </row>
    <row r="85" spans="3:43" ht="11.25" customHeight="1" x14ac:dyDescent="0.2">
      <c r="C85" s="59">
        <f t="shared" si="10"/>
        <v>74</v>
      </c>
      <c r="D85" s="30" t="s">
        <v>1477</v>
      </c>
      <c r="E85" s="30" t="s">
        <v>1478</v>
      </c>
      <c r="F85" s="30" t="s">
        <v>1429</v>
      </c>
      <c r="G85" s="188" t="s">
        <v>150</v>
      </c>
      <c r="H85" s="193">
        <v>0</v>
      </c>
      <c r="I85" s="46">
        <v>0.12671870550706352</v>
      </c>
      <c r="J85" s="46">
        <v>0.12674837582222892</v>
      </c>
      <c r="K85" s="46">
        <v>0.12678102724102866</v>
      </c>
      <c r="L85" s="46">
        <v>0</v>
      </c>
      <c r="M85" s="46">
        <v>0</v>
      </c>
      <c r="N85" s="46">
        <v>0</v>
      </c>
      <c r="O85" s="194">
        <f t="shared" si="11"/>
        <v>0.3802481085703211</v>
      </c>
      <c r="P85" s="194">
        <f t="shared" si="12"/>
        <v>0.12671870550706352</v>
      </c>
      <c r="Q85" s="195">
        <f t="shared" si="13"/>
        <v>0.25352940306325755</v>
      </c>
      <c r="S85" s="193">
        <v>0</v>
      </c>
      <c r="T85" s="46">
        <v>0.16822055293129301</v>
      </c>
      <c r="U85" s="46">
        <v>0.17374282367470265</v>
      </c>
      <c r="V85" s="46">
        <v>0.17418342507623152</v>
      </c>
      <c r="W85" s="46">
        <v>0</v>
      </c>
      <c r="X85" s="46">
        <v>0</v>
      </c>
      <c r="Y85" s="46">
        <v>0</v>
      </c>
      <c r="Z85" s="194">
        <f t="shared" si="14"/>
        <v>0.51614680168222715</v>
      </c>
      <c r="AA85" s="194">
        <f t="shared" si="15"/>
        <v>0.16822055293129301</v>
      </c>
      <c r="AB85" s="195">
        <f t="shared" si="16"/>
        <v>0.34792624875093414</v>
      </c>
      <c r="AD85" s="193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194">
        <f t="shared" si="17"/>
        <v>0</v>
      </c>
      <c r="AL85" s="194">
        <f t="shared" si="18"/>
        <v>0</v>
      </c>
      <c r="AM85" s="195">
        <f t="shared" si="19"/>
        <v>0</v>
      </c>
      <c r="AO85" s="203" t="e">
        <v>#N/A</v>
      </c>
      <c r="AP85" s="204" t="e">
        <v>#N/A</v>
      </c>
      <c r="AQ85" s="204" t="e">
        <v>#N/A</v>
      </c>
    </row>
    <row r="86" spans="3:43" ht="11.25" customHeight="1" x14ac:dyDescent="0.2">
      <c r="C86" s="59">
        <f t="shared" si="10"/>
        <v>75</v>
      </c>
      <c r="D86" s="30" t="s">
        <v>1479</v>
      </c>
      <c r="E86" s="30" t="s">
        <v>1480</v>
      </c>
      <c r="F86" s="30" t="s">
        <v>1429</v>
      </c>
      <c r="G86" s="188" t="s">
        <v>150</v>
      </c>
      <c r="H86" s="193">
        <v>0</v>
      </c>
      <c r="I86" s="46">
        <v>6.3359352753531759E-2</v>
      </c>
      <c r="J86" s="46">
        <v>5.0699350328891578E-2</v>
      </c>
      <c r="K86" s="46">
        <v>6.339051362051433E-2</v>
      </c>
      <c r="L86" s="46">
        <v>0</v>
      </c>
      <c r="M86" s="46">
        <v>0</v>
      </c>
      <c r="N86" s="46">
        <v>0</v>
      </c>
      <c r="O86" s="194">
        <f t="shared" si="11"/>
        <v>0.17744921670293767</v>
      </c>
      <c r="P86" s="194">
        <f t="shared" si="12"/>
        <v>6.3359352753531759E-2</v>
      </c>
      <c r="Q86" s="195">
        <f t="shared" si="13"/>
        <v>0.1140898639494059</v>
      </c>
      <c r="S86" s="193">
        <v>0</v>
      </c>
      <c r="T86" s="46">
        <v>8.4110276465646505E-2</v>
      </c>
      <c r="U86" s="46">
        <v>6.9497129469881055E-2</v>
      </c>
      <c r="V86" s="46">
        <v>8.7091712538115762E-2</v>
      </c>
      <c r="W86" s="46">
        <v>0</v>
      </c>
      <c r="X86" s="46">
        <v>0</v>
      </c>
      <c r="Y86" s="46">
        <v>0</v>
      </c>
      <c r="Z86" s="194">
        <f t="shared" si="14"/>
        <v>0.24069911847364334</v>
      </c>
      <c r="AA86" s="194">
        <f t="shared" si="15"/>
        <v>8.4110276465646505E-2</v>
      </c>
      <c r="AB86" s="195">
        <f t="shared" si="16"/>
        <v>0.15658884200799683</v>
      </c>
      <c r="AD86" s="193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194">
        <f t="shared" si="17"/>
        <v>0</v>
      </c>
      <c r="AL86" s="194">
        <f t="shared" si="18"/>
        <v>0</v>
      </c>
      <c r="AM86" s="195">
        <f t="shared" si="19"/>
        <v>0</v>
      </c>
      <c r="AO86" s="203" t="e">
        <v>#N/A</v>
      </c>
      <c r="AP86" s="204" t="e">
        <v>#N/A</v>
      </c>
      <c r="AQ86" s="204" t="e">
        <v>#N/A</v>
      </c>
    </row>
    <row r="87" spans="3:43" ht="11.25" customHeight="1" x14ac:dyDescent="0.2">
      <c r="C87" s="59">
        <f t="shared" si="10"/>
        <v>76</v>
      </c>
      <c r="D87" s="30" t="s">
        <v>1481</v>
      </c>
      <c r="E87" s="30" t="s">
        <v>1482</v>
      </c>
      <c r="F87" s="30" t="s">
        <v>1429</v>
      </c>
      <c r="G87" s="188" t="s">
        <v>150</v>
      </c>
      <c r="H87" s="193">
        <v>0</v>
      </c>
      <c r="I87" s="46">
        <v>6.3359352753531759E-2</v>
      </c>
      <c r="J87" s="46">
        <v>6.337418791111446E-2</v>
      </c>
      <c r="K87" s="46">
        <v>6.339051362051433E-2</v>
      </c>
      <c r="L87" s="46">
        <v>0</v>
      </c>
      <c r="M87" s="46">
        <v>0</v>
      </c>
      <c r="N87" s="46">
        <v>0</v>
      </c>
      <c r="O87" s="194">
        <f t="shared" si="11"/>
        <v>0.19012405428516055</v>
      </c>
      <c r="P87" s="194">
        <f t="shared" si="12"/>
        <v>6.3359352753531759E-2</v>
      </c>
      <c r="Q87" s="195">
        <f t="shared" si="13"/>
        <v>0.12676470153162878</v>
      </c>
      <c r="S87" s="193">
        <v>0</v>
      </c>
      <c r="T87" s="46">
        <v>8.4110276465646505E-2</v>
      </c>
      <c r="U87" s="46">
        <v>8.6871411837351323E-2</v>
      </c>
      <c r="V87" s="46">
        <v>8.7091712538115762E-2</v>
      </c>
      <c r="W87" s="46">
        <v>0</v>
      </c>
      <c r="X87" s="46">
        <v>0</v>
      </c>
      <c r="Y87" s="46">
        <v>0</v>
      </c>
      <c r="Z87" s="194">
        <f t="shared" si="14"/>
        <v>0.25807340084111358</v>
      </c>
      <c r="AA87" s="194">
        <f t="shared" si="15"/>
        <v>8.4110276465646505E-2</v>
      </c>
      <c r="AB87" s="195">
        <f t="shared" si="16"/>
        <v>0.17396312437546707</v>
      </c>
      <c r="AD87" s="193">
        <v>0</v>
      </c>
      <c r="AE87" s="46">
        <v>0</v>
      </c>
      <c r="AF87" s="46">
        <v>0</v>
      </c>
      <c r="AG87" s="46">
        <v>0</v>
      </c>
      <c r="AH87" s="46">
        <v>0</v>
      </c>
      <c r="AI87" s="46">
        <v>0</v>
      </c>
      <c r="AJ87" s="46">
        <v>0</v>
      </c>
      <c r="AK87" s="194">
        <f t="shared" si="17"/>
        <v>0</v>
      </c>
      <c r="AL87" s="194">
        <f t="shared" si="18"/>
        <v>0</v>
      </c>
      <c r="AM87" s="195">
        <f t="shared" si="19"/>
        <v>0</v>
      </c>
      <c r="AO87" s="203" t="e">
        <v>#N/A</v>
      </c>
      <c r="AP87" s="204" t="e">
        <v>#N/A</v>
      </c>
      <c r="AQ87" s="204" t="e">
        <v>#N/A</v>
      </c>
    </row>
    <row r="88" spans="3:43" ht="11.25" customHeight="1" x14ac:dyDescent="0.2">
      <c r="C88" s="59">
        <f t="shared" si="10"/>
        <v>77</v>
      </c>
      <c r="D88" s="30" t="s">
        <v>1483</v>
      </c>
      <c r="E88" s="30" t="s">
        <v>1484</v>
      </c>
      <c r="F88" s="30" t="s">
        <v>1429</v>
      </c>
      <c r="G88" s="188" t="s">
        <v>150</v>
      </c>
      <c r="H88" s="193">
        <v>0</v>
      </c>
      <c r="I88" s="46">
        <v>0.17740618770988895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194">
        <f t="shared" si="11"/>
        <v>0.17740618770988895</v>
      </c>
      <c r="P88" s="194">
        <f t="shared" si="12"/>
        <v>0.17740618770988895</v>
      </c>
      <c r="Q88" s="195">
        <f t="shared" si="13"/>
        <v>0</v>
      </c>
      <c r="S88" s="193">
        <v>0</v>
      </c>
      <c r="T88" s="46">
        <v>0.23550877410381027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194">
        <f t="shared" si="14"/>
        <v>0.23550877410381027</v>
      </c>
      <c r="AA88" s="194">
        <f t="shared" si="15"/>
        <v>0.23550877410381027</v>
      </c>
      <c r="AB88" s="195">
        <f t="shared" si="16"/>
        <v>0</v>
      </c>
      <c r="AD88" s="193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194">
        <f t="shared" si="17"/>
        <v>0</v>
      </c>
      <c r="AL88" s="194">
        <f t="shared" si="18"/>
        <v>0</v>
      </c>
      <c r="AM88" s="195">
        <f t="shared" si="19"/>
        <v>0</v>
      </c>
      <c r="AO88" s="203" t="e">
        <v>#N/A</v>
      </c>
      <c r="AP88" s="204" t="e">
        <v>#N/A</v>
      </c>
      <c r="AQ88" s="204" t="e">
        <v>#N/A</v>
      </c>
    </row>
    <row r="89" spans="3:43" ht="11.25" customHeight="1" x14ac:dyDescent="0.2">
      <c r="C89" s="59">
        <f t="shared" si="10"/>
        <v>78</v>
      </c>
      <c r="D89" s="30" t="s">
        <v>1485</v>
      </c>
      <c r="E89" s="30" t="s">
        <v>1486</v>
      </c>
      <c r="F89" s="30" t="s">
        <v>1429</v>
      </c>
      <c r="G89" s="188" t="s">
        <v>150</v>
      </c>
      <c r="H89" s="193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194">
        <f t="shared" si="11"/>
        <v>0</v>
      </c>
      <c r="P89" s="194">
        <f t="shared" si="12"/>
        <v>0</v>
      </c>
      <c r="Q89" s="195">
        <f t="shared" si="13"/>
        <v>0</v>
      </c>
      <c r="S89" s="193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194">
        <f t="shared" si="14"/>
        <v>0</v>
      </c>
      <c r="AA89" s="194">
        <f t="shared" si="15"/>
        <v>0</v>
      </c>
      <c r="AB89" s="195">
        <f t="shared" si="16"/>
        <v>0</v>
      </c>
      <c r="AD89" s="193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194">
        <f t="shared" si="17"/>
        <v>0</v>
      </c>
      <c r="AL89" s="194">
        <f t="shared" si="18"/>
        <v>0</v>
      </c>
      <c r="AM89" s="195">
        <f t="shared" si="19"/>
        <v>0</v>
      </c>
      <c r="AO89" s="203" t="e">
        <v>#N/A</v>
      </c>
      <c r="AP89" s="204" t="e">
        <v>#N/A</v>
      </c>
      <c r="AQ89" s="204" t="e">
        <v>#N/A</v>
      </c>
    </row>
    <row r="90" spans="3:43" ht="11.25" customHeight="1" x14ac:dyDescent="0.2">
      <c r="C90" s="59">
        <f t="shared" si="10"/>
        <v>79</v>
      </c>
      <c r="D90" s="30" t="s">
        <v>1487</v>
      </c>
      <c r="E90" s="30" t="s">
        <v>320</v>
      </c>
      <c r="F90" s="30" t="s">
        <v>1429</v>
      </c>
      <c r="G90" s="188" t="s">
        <v>150</v>
      </c>
      <c r="H90" s="193">
        <v>0</v>
      </c>
      <c r="I90" s="46">
        <v>0</v>
      </c>
      <c r="J90" s="46">
        <v>0</v>
      </c>
      <c r="K90" s="46">
        <v>0</v>
      </c>
      <c r="L90" s="46">
        <v>0</v>
      </c>
      <c r="M90" s="46">
        <v>38.047081136414931</v>
      </c>
      <c r="N90" s="46">
        <v>38.054453164548569</v>
      </c>
      <c r="O90" s="194">
        <f t="shared" si="11"/>
        <v>76.101534300963493</v>
      </c>
      <c r="P90" s="194">
        <f t="shared" si="12"/>
        <v>0</v>
      </c>
      <c r="Q90" s="195">
        <f t="shared" si="13"/>
        <v>76.101534300963493</v>
      </c>
      <c r="S90" s="193">
        <v>0</v>
      </c>
      <c r="T90" s="46">
        <v>0</v>
      </c>
      <c r="U90" s="46">
        <v>0</v>
      </c>
      <c r="V90" s="46">
        <v>0</v>
      </c>
      <c r="W90" s="46">
        <v>0</v>
      </c>
      <c r="X90" s="46">
        <v>52.427479018936197</v>
      </c>
      <c r="Y90" s="46">
        <v>52.527058247643744</v>
      </c>
      <c r="Z90" s="194">
        <f t="shared" si="14"/>
        <v>104.95453726657993</v>
      </c>
      <c r="AA90" s="194">
        <f t="shared" si="15"/>
        <v>0</v>
      </c>
      <c r="AB90" s="195">
        <f t="shared" si="16"/>
        <v>104.95453726657993</v>
      </c>
      <c r="AD90" s="193">
        <v>0</v>
      </c>
      <c r="AE90" s="46">
        <v>0</v>
      </c>
      <c r="AF90" s="46">
        <v>0</v>
      </c>
      <c r="AG90" s="46">
        <v>0</v>
      </c>
      <c r="AH90" s="46">
        <v>0</v>
      </c>
      <c r="AI90" s="46">
        <v>0</v>
      </c>
      <c r="AJ90" s="46">
        <v>0</v>
      </c>
      <c r="AK90" s="194">
        <f t="shared" si="17"/>
        <v>0</v>
      </c>
      <c r="AL90" s="194">
        <f t="shared" si="18"/>
        <v>0</v>
      </c>
      <c r="AM90" s="195">
        <f t="shared" si="19"/>
        <v>0</v>
      </c>
      <c r="AO90" s="203" t="e">
        <v>#N/A</v>
      </c>
      <c r="AP90" s="204" t="e">
        <v>#N/A</v>
      </c>
      <c r="AQ90" s="204" t="e">
        <v>#N/A</v>
      </c>
    </row>
    <row r="91" spans="3:43" ht="11.25" customHeight="1" x14ac:dyDescent="0.2">
      <c r="C91" s="59">
        <f t="shared" si="10"/>
        <v>80</v>
      </c>
      <c r="D91" s="30" t="s">
        <v>1488</v>
      </c>
      <c r="E91" s="30" t="s">
        <v>359</v>
      </c>
      <c r="F91" s="30" t="s">
        <v>1429</v>
      </c>
      <c r="G91" s="188" t="s">
        <v>1489</v>
      </c>
      <c r="H91" s="193">
        <v>0</v>
      </c>
      <c r="I91" s="46">
        <v>0</v>
      </c>
      <c r="J91" s="46">
        <v>0</v>
      </c>
      <c r="K91" s="46">
        <v>0</v>
      </c>
      <c r="L91" s="46">
        <v>5.5865230515911097</v>
      </c>
      <c r="M91" s="46">
        <v>0</v>
      </c>
      <c r="N91" s="46">
        <v>0</v>
      </c>
      <c r="O91" s="194">
        <f t="shared" si="11"/>
        <v>5.5865230515911097</v>
      </c>
      <c r="P91" s="194">
        <f t="shared" si="12"/>
        <v>0</v>
      </c>
      <c r="Q91" s="195">
        <f t="shared" si="13"/>
        <v>5.5865230515911097</v>
      </c>
      <c r="S91" s="193">
        <v>0</v>
      </c>
      <c r="T91" s="46">
        <v>0</v>
      </c>
      <c r="U91" s="46">
        <v>0</v>
      </c>
      <c r="V91" s="46">
        <v>0</v>
      </c>
      <c r="W91" s="46">
        <v>7.6866948875746992</v>
      </c>
      <c r="X91" s="46">
        <v>0</v>
      </c>
      <c r="Y91" s="46">
        <v>0</v>
      </c>
      <c r="Z91" s="194">
        <f t="shared" si="14"/>
        <v>7.6866948875746992</v>
      </c>
      <c r="AA91" s="194">
        <f t="shared" si="15"/>
        <v>0</v>
      </c>
      <c r="AB91" s="195">
        <f t="shared" si="16"/>
        <v>7.6866948875746992</v>
      </c>
      <c r="AD91" s="193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194">
        <f t="shared" si="17"/>
        <v>0</v>
      </c>
      <c r="AL91" s="194">
        <f t="shared" si="18"/>
        <v>0</v>
      </c>
      <c r="AM91" s="195">
        <f t="shared" si="19"/>
        <v>0</v>
      </c>
      <c r="AO91" s="203" t="e">
        <v>#N/A</v>
      </c>
      <c r="AP91" s="204" t="e">
        <v>#N/A</v>
      </c>
      <c r="AQ91" s="204" t="e">
        <v>#N/A</v>
      </c>
    </row>
    <row r="92" spans="3:43" ht="11.25" customHeight="1" x14ac:dyDescent="0.2">
      <c r="C92" s="59">
        <f t="shared" si="10"/>
        <v>81</v>
      </c>
      <c r="D92" s="30" t="s">
        <v>1490</v>
      </c>
      <c r="E92" s="30" t="s">
        <v>1491</v>
      </c>
      <c r="F92" s="30" t="s">
        <v>1429</v>
      </c>
      <c r="G92" s="188" t="s">
        <v>1489</v>
      </c>
      <c r="H92" s="193">
        <v>0</v>
      </c>
      <c r="I92" s="46">
        <v>4.037400649135944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194">
        <f t="shared" si="11"/>
        <v>4.037400649135944</v>
      </c>
      <c r="P92" s="194">
        <f t="shared" si="12"/>
        <v>4.037400649135944</v>
      </c>
      <c r="Q92" s="195">
        <f t="shared" si="13"/>
        <v>0</v>
      </c>
      <c r="S92" s="193">
        <v>0</v>
      </c>
      <c r="T92" s="46">
        <v>5.3596962412542286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194">
        <f t="shared" si="14"/>
        <v>5.3596962412542286</v>
      </c>
      <c r="AA92" s="194">
        <f t="shared" si="15"/>
        <v>5.3596962412542286</v>
      </c>
      <c r="AB92" s="195">
        <f t="shared" si="16"/>
        <v>0</v>
      </c>
      <c r="AD92" s="193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194">
        <f t="shared" si="17"/>
        <v>0</v>
      </c>
      <c r="AL92" s="194">
        <f t="shared" si="18"/>
        <v>0</v>
      </c>
      <c r="AM92" s="195">
        <f t="shared" si="19"/>
        <v>0</v>
      </c>
      <c r="AO92" s="203" t="e">
        <v>#N/A</v>
      </c>
      <c r="AP92" s="204" t="e">
        <v>#N/A</v>
      </c>
      <c r="AQ92" s="204" t="e">
        <v>#N/A</v>
      </c>
    </row>
    <row r="93" spans="3:43" ht="11.25" customHeight="1" x14ac:dyDescent="0.2">
      <c r="C93" s="59">
        <f t="shared" si="10"/>
        <v>82</v>
      </c>
      <c r="D93" s="30" t="s">
        <v>1492</v>
      </c>
      <c r="E93" s="30" t="s">
        <v>1493</v>
      </c>
      <c r="F93" s="30" t="s">
        <v>1429</v>
      </c>
      <c r="G93" s="188" t="s">
        <v>1489</v>
      </c>
      <c r="H93" s="193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0.73067255579726564</v>
      </c>
      <c r="O93" s="194">
        <f t="shared" si="11"/>
        <v>0.73067255579726564</v>
      </c>
      <c r="P93" s="194">
        <f t="shared" si="12"/>
        <v>0</v>
      </c>
      <c r="Q93" s="195">
        <f t="shared" si="13"/>
        <v>0.73067255579726564</v>
      </c>
      <c r="S93" s="193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1.0085568627766404</v>
      </c>
      <c r="Z93" s="194">
        <f t="shared" si="14"/>
        <v>1.0085568627766404</v>
      </c>
      <c r="AA93" s="194">
        <f t="shared" si="15"/>
        <v>0</v>
      </c>
      <c r="AB93" s="195">
        <f t="shared" si="16"/>
        <v>1.0085568627766404</v>
      </c>
      <c r="AD93" s="193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194">
        <f t="shared" si="17"/>
        <v>0</v>
      </c>
      <c r="AL93" s="194">
        <f t="shared" si="18"/>
        <v>0</v>
      </c>
      <c r="AM93" s="195">
        <f t="shared" si="19"/>
        <v>0</v>
      </c>
      <c r="AO93" s="203" t="e">
        <v>#N/A</v>
      </c>
      <c r="AP93" s="204" t="e">
        <v>#N/A</v>
      </c>
      <c r="AQ93" s="204" t="e">
        <v>#N/A</v>
      </c>
    </row>
    <row r="94" spans="3:43" ht="11.25" customHeight="1" x14ac:dyDescent="0.2">
      <c r="C94" s="59">
        <f t="shared" si="10"/>
        <v>83</v>
      </c>
      <c r="D94" s="30" t="s">
        <v>1494</v>
      </c>
      <c r="E94" s="30" t="s">
        <v>1495</v>
      </c>
      <c r="F94" s="30" t="s">
        <v>1429</v>
      </c>
      <c r="G94" s="188" t="s">
        <v>1496</v>
      </c>
      <c r="H94" s="193">
        <v>0</v>
      </c>
      <c r="I94" s="46">
        <v>1.6244637527942496</v>
      </c>
      <c r="J94" s="46">
        <v>1.4510542032513343</v>
      </c>
      <c r="K94" s="46">
        <v>3.2238117551202912</v>
      </c>
      <c r="L94" s="46">
        <v>3.1231295495273081</v>
      </c>
      <c r="M94" s="46">
        <v>2.9935494111042518</v>
      </c>
      <c r="N94" s="46">
        <v>2.1784666488359736</v>
      </c>
      <c r="O94" s="194">
        <f t="shared" si="11"/>
        <v>14.594475320633409</v>
      </c>
      <c r="P94" s="194">
        <f t="shared" si="12"/>
        <v>1.6244637527942496</v>
      </c>
      <c r="Q94" s="195">
        <f t="shared" si="13"/>
        <v>12.97001156783916</v>
      </c>
      <c r="S94" s="193">
        <v>0</v>
      </c>
      <c r="T94" s="46">
        <v>2.1564944939929136</v>
      </c>
      <c r="U94" s="46">
        <v>1.9890610269557236</v>
      </c>
      <c r="V94" s="46">
        <v>4.4291688238202473</v>
      </c>
      <c r="W94" s="46">
        <v>4.2972245383911334</v>
      </c>
      <c r="X94" s="46">
        <v>4.1250010317507728</v>
      </c>
      <c r="Y94" s="46">
        <v>3.0069659406000269</v>
      </c>
      <c r="Z94" s="194">
        <f t="shared" si="14"/>
        <v>20.003915855510819</v>
      </c>
      <c r="AA94" s="194">
        <f t="shared" si="15"/>
        <v>2.1564944939929136</v>
      </c>
      <c r="AB94" s="195">
        <f t="shared" si="16"/>
        <v>17.847421361517902</v>
      </c>
      <c r="AD94" s="193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194">
        <f t="shared" si="17"/>
        <v>0</v>
      </c>
      <c r="AL94" s="194">
        <f t="shared" si="18"/>
        <v>0</v>
      </c>
      <c r="AM94" s="195">
        <f t="shared" si="19"/>
        <v>0</v>
      </c>
      <c r="AO94" s="203" t="e">
        <v>#N/A</v>
      </c>
      <c r="AP94" s="204" t="e">
        <v>#N/A</v>
      </c>
      <c r="AQ94" s="204" t="e">
        <v>#N/A</v>
      </c>
    </row>
    <row r="95" spans="3:43" ht="11.25" customHeight="1" x14ac:dyDescent="0.2">
      <c r="C95" s="59">
        <f t="shared" si="10"/>
        <v>84</v>
      </c>
      <c r="D95" s="30" t="s">
        <v>1497</v>
      </c>
      <c r="E95" s="30" t="s">
        <v>1498</v>
      </c>
      <c r="F95" s="30" t="s">
        <v>1429</v>
      </c>
      <c r="G95" s="188" t="s">
        <v>1496</v>
      </c>
      <c r="H95" s="193">
        <v>0</v>
      </c>
      <c r="I95" s="46">
        <v>4.3833289621815145E-2</v>
      </c>
      <c r="J95" s="46">
        <v>0.11828145913931391</v>
      </c>
      <c r="K95" s="46">
        <v>5.9353967643179517E-2</v>
      </c>
      <c r="L95" s="46">
        <v>0.12758313375036612</v>
      </c>
      <c r="M95" s="46">
        <v>3.0733393952456594E-2</v>
      </c>
      <c r="N95" s="46">
        <v>0.11871278786053631</v>
      </c>
      <c r="O95" s="194">
        <f t="shared" si="11"/>
        <v>0.49849803196766757</v>
      </c>
      <c r="P95" s="194">
        <f t="shared" si="12"/>
        <v>4.3833289621815145E-2</v>
      </c>
      <c r="Q95" s="195">
        <f t="shared" si="13"/>
        <v>0.45466474234585247</v>
      </c>
      <c r="S95" s="193">
        <v>0</v>
      </c>
      <c r="T95" s="46">
        <v>5.8189200935044531E-2</v>
      </c>
      <c r="U95" s="46">
        <v>0.16213663146304583</v>
      </c>
      <c r="V95" s="46">
        <v>8.1545934758029057E-2</v>
      </c>
      <c r="W95" s="46">
        <v>0.17554615149406483</v>
      </c>
      <c r="X95" s="46">
        <v>4.2349486964480043E-2</v>
      </c>
      <c r="Y95" s="46">
        <v>0.16386081007990061</v>
      </c>
      <c r="Z95" s="194">
        <f t="shared" si="14"/>
        <v>0.68362821569456489</v>
      </c>
      <c r="AA95" s="194">
        <f t="shared" si="15"/>
        <v>5.8189200935044531E-2</v>
      </c>
      <c r="AB95" s="195">
        <f t="shared" si="16"/>
        <v>0.62543901475952035</v>
      </c>
      <c r="AD95" s="193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v>0</v>
      </c>
      <c r="AK95" s="194">
        <f t="shared" si="17"/>
        <v>0</v>
      </c>
      <c r="AL95" s="194">
        <f t="shared" si="18"/>
        <v>0</v>
      </c>
      <c r="AM95" s="195">
        <f t="shared" si="19"/>
        <v>0</v>
      </c>
      <c r="AO95" s="203" t="e">
        <v>#N/A</v>
      </c>
      <c r="AP95" s="204" t="e">
        <v>#N/A</v>
      </c>
      <c r="AQ95" s="204" t="e">
        <v>#N/A</v>
      </c>
    </row>
    <row r="96" spans="3:43" ht="11.25" customHeight="1" x14ac:dyDescent="0.2">
      <c r="C96" s="59">
        <f t="shared" si="10"/>
        <v>85</v>
      </c>
      <c r="D96" s="30" t="s">
        <v>1499</v>
      </c>
      <c r="E96" s="30" t="s">
        <v>1500</v>
      </c>
      <c r="F96" s="30" t="s">
        <v>1429</v>
      </c>
      <c r="G96" s="188" t="s">
        <v>1496</v>
      </c>
      <c r="H96" s="193">
        <v>0</v>
      </c>
      <c r="I96" s="46">
        <v>9.7958864366258003E-2</v>
      </c>
      <c r="J96" s="46">
        <v>6.6810928469845071E-2</v>
      </c>
      <c r="K96" s="46">
        <v>8.4304493775108902E-2</v>
      </c>
      <c r="L96" s="46">
        <v>0.10226371159685373</v>
      </c>
      <c r="M96" s="46">
        <v>3.8875191564388616E-2</v>
      </c>
      <c r="N96" s="46">
        <v>9.2688543268811027E-2</v>
      </c>
      <c r="O96" s="194">
        <f t="shared" si="11"/>
        <v>0.48290173304126538</v>
      </c>
      <c r="P96" s="194">
        <f t="shared" si="12"/>
        <v>9.7958864366258003E-2</v>
      </c>
      <c r="Q96" s="195">
        <f t="shared" si="13"/>
        <v>0.38494286867500738</v>
      </c>
      <c r="S96" s="193">
        <v>0</v>
      </c>
      <c r="T96" s="46">
        <v>0.13004152987733061</v>
      </c>
      <c r="U96" s="46">
        <v>9.1582391406420549E-2</v>
      </c>
      <c r="V96" s="46">
        <v>0.11582526025088202</v>
      </c>
      <c r="W96" s="46">
        <v>0.14070826198274913</v>
      </c>
      <c r="X96" s="46">
        <v>5.356858474350646E-2</v>
      </c>
      <c r="Y96" s="46">
        <v>0.12793920569868319</v>
      </c>
      <c r="Z96" s="194">
        <f t="shared" si="14"/>
        <v>0.65966523395957199</v>
      </c>
      <c r="AA96" s="194">
        <f t="shared" si="15"/>
        <v>0.13004152987733061</v>
      </c>
      <c r="AB96" s="195">
        <f t="shared" si="16"/>
        <v>0.52962370408224135</v>
      </c>
      <c r="AD96" s="193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194">
        <f t="shared" si="17"/>
        <v>0</v>
      </c>
      <c r="AL96" s="194">
        <f t="shared" si="18"/>
        <v>0</v>
      </c>
      <c r="AM96" s="195">
        <f t="shared" si="19"/>
        <v>0</v>
      </c>
      <c r="AO96" s="203" t="e">
        <v>#N/A</v>
      </c>
      <c r="AP96" s="204" t="e">
        <v>#N/A</v>
      </c>
      <c r="AQ96" s="204" t="e">
        <v>#N/A</v>
      </c>
    </row>
    <row r="97" spans="3:43" ht="11.25" customHeight="1" x14ac:dyDescent="0.2">
      <c r="C97" s="59">
        <f t="shared" si="10"/>
        <v>86</v>
      </c>
      <c r="D97" s="30" t="s">
        <v>1501</v>
      </c>
      <c r="E97" s="30" t="s">
        <v>1502</v>
      </c>
      <c r="F97" s="30" t="s">
        <v>1429</v>
      </c>
      <c r="G97" s="188" t="s">
        <v>1496</v>
      </c>
      <c r="H97" s="193">
        <v>0</v>
      </c>
      <c r="I97" s="46">
        <v>2.0406473687485757E-2</v>
      </c>
      <c r="J97" s="46">
        <v>9.4392360778602774E-3</v>
      </c>
      <c r="K97" s="46">
        <v>1.9628725670227009E-2</v>
      </c>
      <c r="L97" s="46">
        <v>3.935473686781156E-2</v>
      </c>
      <c r="M97" s="46">
        <v>9.770743444735221E-3</v>
      </c>
      <c r="N97" s="46">
        <v>9.4392360778602774E-3</v>
      </c>
      <c r="O97" s="194">
        <f t="shared" si="11"/>
        <v>0.1080391518259801</v>
      </c>
      <c r="P97" s="194">
        <f t="shared" si="12"/>
        <v>2.0406473687485757E-2</v>
      </c>
      <c r="Q97" s="195">
        <f t="shared" si="13"/>
        <v>8.7632678138494347E-2</v>
      </c>
      <c r="S97" s="193">
        <v>0</v>
      </c>
      <c r="T97" s="46">
        <v>2.7089830766108852E-2</v>
      </c>
      <c r="U97" s="46">
        <v>1.2939018104656055E-2</v>
      </c>
      <c r="V97" s="46">
        <v>2.6967747000676126E-2</v>
      </c>
      <c r="W97" s="46">
        <v>5.4149576022513093E-2</v>
      </c>
      <c r="X97" s="46">
        <v>1.3463725249030563E-2</v>
      </c>
      <c r="Y97" s="46">
        <v>1.3029100723931236E-2</v>
      </c>
      <c r="Z97" s="194">
        <f t="shared" si="14"/>
        <v>0.14763899786691592</v>
      </c>
      <c r="AA97" s="194">
        <f t="shared" si="15"/>
        <v>2.7089830766108852E-2</v>
      </c>
      <c r="AB97" s="195">
        <f t="shared" si="16"/>
        <v>0.12054916710080707</v>
      </c>
      <c r="AD97" s="193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194">
        <f t="shared" si="17"/>
        <v>0</v>
      </c>
      <c r="AL97" s="194">
        <f t="shared" si="18"/>
        <v>0</v>
      </c>
      <c r="AM97" s="195">
        <f t="shared" si="19"/>
        <v>0</v>
      </c>
      <c r="AO97" s="203" t="e">
        <v>#N/A</v>
      </c>
      <c r="AP97" s="204" t="e">
        <v>#N/A</v>
      </c>
      <c r="AQ97" s="204" t="e">
        <v>#N/A</v>
      </c>
    </row>
    <row r="98" spans="3:43" ht="11.25" customHeight="1" x14ac:dyDescent="0.2">
      <c r="C98" s="59">
        <f t="shared" si="10"/>
        <v>87</v>
      </c>
      <c r="D98" s="30" t="s">
        <v>1503</v>
      </c>
      <c r="E98" s="30" t="s">
        <v>1504</v>
      </c>
      <c r="F98" s="30" t="s">
        <v>1429</v>
      </c>
      <c r="G98" s="188" t="s">
        <v>1505</v>
      </c>
      <c r="H98" s="193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194">
        <f t="shared" si="11"/>
        <v>0</v>
      </c>
      <c r="P98" s="194">
        <f t="shared" si="12"/>
        <v>0</v>
      </c>
      <c r="Q98" s="195">
        <f t="shared" si="13"/>
        <v>0</v>
      </c>
      <c r="S98" s="193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194">
        <f t="shared" si="14"/>
        <v>0</v>
      </c>
      <c r="AA98" s="194">
        <f t="shared" si="15"/>
        <v>0</v>
      </c>
      <c r="AB98" s="195">
        <f t="shared" si="16"/>
        <v>0</v>
      </c>
      <c r="AD98" s="193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194">
        <f t="shared" si="17"/>
        <v>0</v>
      </c>
      <c r="AL98" s="194">
        <f t="shared" si="18"/>
        <v>0</v>
      </c>
      <c r="AM98" s="195">
        <f t="shared" si="19"/>
        <v>0</v>
      </c>
      <c r="AO98" s="203" t="e">
        <v>#N/A</v>
      </c>
      <c r="AP98" s="204" t="e">
        <v>#N/A</v>
      </c>
      <c r="AQ98" s="204" t="e">
        <v>#N/A</v>
      </c>
    </row>
    <row r="99" spans="3:43" ht="11.25" customHeight="1" x14ac:dyDescent="0.2">
      <c r="C99" s="59">
        <f t="shared" si="10"/>
        <v>88</v>
      </c>
      <c r="D99" s="30" t="s">
        <v>1506</v>
      </c>
      <c r="E99" s="30" t="s">
        <v>1507</v>
      </c>
      <c r="F99" s="30" t="s">
        <v>1429</v>
      </c>
      <c r="G99" s="188" t="s">
        <v>1505</v>
      </c>
      <c r="H99" s="193">
        <v>0</v>
      </c>
      <c r="I99" s="46">
        <v>0.17507672965080584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194">
        <f t="shared" si="11"/>
        <v>0.17507672965080584</v>
      </c>
      <c r="P99" s="194">
        <f t="shared" si="12"/>
        <v>0.17507672965080584</v>
      </c>
      <c r="Q99" s="195">
        <f t="shared" si="13"/>
        <v>0</v>
      </c>
      <c r="S99" s="193">
        <v>0</v>
      </c>
      <c r="T99" s="46">
        <v>0.23241639148230875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194">
        <f t="shared" si="14"/>
        <v>0.23241639148230875</v>
      </c>
      <c r="AA99" s="194">
        <f t="shared" si="15"/>
        <v>0.23241639148230875</v>
      </c>
      <c r="AB99" s="195">
        <f t="shared" si="16"/>
        <v>0</v>
      </c>
      <c r="AD99" s="193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194">
        <f t="shared" si="17"/>
        <v>0</v>
      </c>
      <c r="AL99" s="194">
        <f t="shared" si="18"/>
        <v>0</v>
      </c>
      <c r="AM99" s="195">
        <f t="shared" si="19"/>
        <v>0</v>
      </c>
      <c r="AO99" s="203" t="e">
        <v>#N/A</v>
      </c>
      <c r="AP99" s="204" t="e">
        <v>#N/A</v>
      </c>
      <c r="AQ99" s="204" t="e">
        <v>#N/A</v>
      </c>
    </row>
    <row r="100" spans="3:43" ht="11.25" customHeight="1" x14ac:dyDescent="0.2">
      <c r="C100" s="59">
        <f t="shared" si="10"/>
        <v>89</v>
      </c>
      <c r="D100" s="30" t="s">
        <v>1508</v>
      </c>
      <c r="E100" s="30" t="s">
        <v>1509</v>
      </c>
      <c r="F100" s="30" t="s">
        <v>1429</v>
      </c>
      <c r="G100" s="188" t="s">
        <v>1505</v>
      </c>
      <c r="H100" s="193">
        <v>0</v>
      </c>
      <c r="I100" s="474" t="s">
        <v>1604</v>
      </c>
      <c r="J100" s="474" t="s">
        <v>1604</v>
      </c>
      <c r="K100" s="474" t="s">
        <v>1604</v>
      </c>
      <c r="L100" s="474" t="s">
        <v>1604</v>
      </c>
      <c r="M100" s="474" t="s">
        <v>1604</v>
      </c>
      <c r="N100" s="474" t="s">
        <v>1604</v>
      </c>
      <c r="O100" s="475" t="s">
        <v>1604</v>
      </c>
      <c r="P100" s="475" t="s">
        <v>1604</v>
      </c>
      <c r="Q100" s="476" t="s">
        <v>1604</v>
      </c>
      <c r="S100" s="193">
        <v>0</v>
      </c>
      <c r="T100" s="474" t="s">
        <v>1604</v>
      </c>
      <c r="U100" s="474" t="s">
        <v>1604</v>
      </c>
      <c r="V100" s="474" t="s">
        <v>1604</v>
      </c>
      <c r="W100" s="474" t="s">
        <v>1604</v>
      </c>
      <c r="X100" s="474" t="s">
        <v>1604</v>
      </c>
      <c r="Y100" s="474" t="s">
        <v>1604</v>
      </c>
      <c r="Z100" s="475" t="s">
        <v>1604</v>
      </c>
      <c r="AA100" s="475" t="s">
        <v>1604</v>
      </c>
      <c r="AB100" s="476" t="s">
        <v>1604</v>
      </c>
      <c r="AD100" s="193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194">
        <f t="shared" si="17"/>
        <v>0</v>
      </c>
      <c r="AL100" s="194">
        <f t="shared" si="18"/>
        <v>0</v>
      </c>
      <c r="AM100" s="195">
        <f t="shared" si="19"/>
        <v>0</v>
      </c>
      <c r="AO100" s="203" t="e">
        <v>#N/A</v>
      </c>
      <c r="AP100" s="204" t="e">
        <v>#N/A</v>
      </c>
      <c r="AQ100" s="204" t="e">
        <v>#N/A</v>
      </c>
    </row>
    <row r="101" spans="3:43" ht="11.25" customHeight="1" x14ac:dyDescent="0.2">
      <c r="C101" s="59">
        <f t="shared" si="10"/>
        <v>90</v>
      </c>
      <c r="D101" s="30" t="s">
        <v>1510</v>
      </c>
      <c r="E101" s="30" t="s">
        <v>1511</v>
      </c>
      <c r="F101" s="30" t="s">
        <v>1429</v>
      </c>
      <c r="G101" s="188" t="s">
        <v>1505</v>
      </c>
      <c r="H101" s="193">
        <v>0</v>
      </c>
      <c r="I101" s="474" t="s">
        <v>1604</v>
      </c>
      <c r="J101" s="474" t="s">
        <v>1604</v>
      </c>
      <c r="K101" s="474" t="s">
        <v>1604</v>
      </c>
      <c r="L101" s="474" t="s">
        <v>1604</v>
      </c>
      <c r="M101" s="474" t="s">
        <v>1604</v>
      </c>
      <c r="N101" s="474" t="s">
        <v>1604</v>
      </c>
      <c r="O101" s="475" t="s">
        <v>1604</v>
      </c>
      <c r="P101" s="475" t="s">
        <v>1604</v>
      </c>
      <c r="Q101" s="476" t="s">
        <v>1604</v>
      </c>
      <c r="S101" s="193">
        <v>0</v>
      </c>
      <c r="T101" s="474" t="s">
        <v>1604</v>
      </c>
      <c r="U101" s="474" t="s">
        <v>1604</v>
      </c>
      <c r="V101" s="474" t="s">
        <v>1604</v>
      </c>
      <c r="W101" s="474" t="s">
        <v>1604</v>
      </c>
      <c r="X101" s="474" t="s">
        <v>1604</v>
      </c>
      <c r="Y101" s="474" t="s">
        <v>1604</v>
      </c>
      <c r="Z101" s="475" t="s">
        <v>1604</v>
      </c>
      <c r="AA101" s="475" t="s">
        <v>1604</v>
      </c>
      <c r="AB101" s="476" t="s">
        <v>1604</v>
      </c>
      <c r="AD101" s="193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194">
        <f t="shared" si="17"/>
        <v>0</v>
      </c>
      <c r="AL101" s="194">
        <f t="shared" si="18"/>
        <v>0</v>
      </c>
      <c r="AM101" s="195">
        <f t="shared" si="19"/>
        <v>0</v>
      </c>
      <c r="AO101" s="203" t="e">
        <v>#N/A</v>
      </c>
      <c r="AP101" s="204" t="e">
        <v>#N/A</v>
      </c>
      <c r="AQ101" s="204" t="e">
        <v>#N/A</v>
      </c>
    </row>
    <row r="102" spans="3:43" ht="11.25" customHeight="1" x14ac:dyDescent="0.2">
      <c r="C102" s="59">
        <f t="shared" si="10"/>
        <v>91</v>
      </c>
      <c r="D102" s="30" t="s">
        <v>1512</v>
      </c>
      <c r="E102" s="30" t="s">
        <v>1513</v>
      </c>
      <c r="F102" s="30" t="s">
        <v>1429</v>
      </c>
      <c r="G102" s="188" t="s">
        <v>1505</v>
      </c>
      <c r="H102" s="193">
        <v>0</v>
      </c>
      <c r="I102" s="46">
        <v>0.26261509447620879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194">
        <f t="shared" si="11"/>
        <v>0.26261509447620879</v>
      </c>
      <c r="P102" s="194">
        <f t="shared" si="12"/>
        <v>0.26261509447620879</v>
      </c>
      <c r="Q102" s="195">
        <f t="shared" si="13"/>
        <v>0</v>
      </c>
      <c r="S102" s="193">
        <v>0</v>
      </c>
      <c r="T102" s="46">
        <v>0.34862458722346318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194">
        <f t="shared" si="14"/>
        <v>0.34862458722346318</v>
      </c>
      <c r="AA102" s="194">
        <f t="shared" si="15"/>
        <v>0.34862458722346318</v>
      </c>
      <c r="AB102" s="195">
        <f t="shared" si="16"/>
        <v>0</v>
      </c>
      <c r="AD102" s="193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  <c r="AK102" s="194">
        <f t="shared" si="17"/>
        <v>0</v>
      </c>
      <c r="AL102" s="194">
        <f t="shared" si="18"/>
        <v>0</v>
      </c>
      <c r="AM102" s="195">
        <f t="shared" si="19"/>
        <v>0</v>
      </c>
      <c r="AO102" s="203" t="e">
        <v>#N/A</v>
      </c>
      <c r="AP102" s="204" t="e">
        <v>#N/A</v>
      </c>
      <c r="AQ102" s="204" t="e">
        <v>#N/A</v>
      </c>
    </row>
    <row r="103" spans="3:43" ht="11.25" customHeight="1" x14ac:dyDescent="0.2">
      <c r="C103" s="59">
        <f t="shared" si="10"/>
        <v>92</v>
      </c>
      <c r="D103" s="30" t="s">
        <v>1514</v>
      </c>
      <c r="E103" s="30" t="s">
        <v>1515</v>
      </c>
      <c r="F103" s="30" t="s">
        <v>1429</v>
      </c>
      <c r="G103" s="188" t="s">
        <v>1505</v>
      </c>
      <c r="H103" s="193">
        <v>0</v>
      </c>
      <c r="I103" s="46">
        <v>0.43769182412701463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194">
        <f t="shared" si="11"/>
        <v>0.43769182412701463</v>
      </c>
      <c r="P103" s="194">
        <f t="shared" si="12"/>
        <v>0.43769182412701463</v>
      </c>
      <c r="Q103" s="195">
        <f t="shared" si="13"/>
        <v>0</v>
      </c>
      <c r="S103" s="193">
        <v>0</v>
      </c>
      <c r="T103" s="46">
        <v>0.58104097870577187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194">
        <f t="shared" si="14"/>
        <v>0.58104097870577187</v>
      </c>
      <c r="AA103" s="194">
        <f t="shared" si="15"/>
        <v>0.58104097870577187</v>
      </c>
      <c r="AB103" s="195">
        <f t="shared" si="16"/>
        <v>0</v>
      </c>
      <c r="AD103" s="193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194">
        <f t="shared" si="17"/>
        <v>0</v>
      </c>
      <c r="AL103" s="194">
        <f t="shared" si="18"/>
        <v>0</v>
      </c>
      <c r="AM103" s="195">
        <f t="shared" si="19"/>
        <v>0</v>
      </c>
      <c r="AO103" s="203" t="e">
        <v>#N/A</v>
      </c>
      <c r="AP103" s="204" t="e">
        <v>#N/A</v>
      </c>
      <c r="AQ103" s="204" t="e">
        <v>#N/A</v>
      </c>
    </row>
    <row r="104" spans="3:43" ht="11.25" customHeight="1" x14ac:dyDescent="0.2">
      <c r="C104" s="59">
        <f t="shared" si="10"/>
        <v>93</v>
      </c>
      <c r="D104" s="30" t="s">
        <v>1516</v>
      </c>
      <c r="E104" s="30" t="s">
        <v>1517</v>
      </c>
      <c r="F104" s="30" t="s">
        <v>1429</v>
      </c>
      <c r="G104" s="188" t="s">
        <v>1505</v>
      </c>
      <c r="H104" s="193">
        <v>0</v>
      </c>
      <c r="I104" s="474" t="s">
        <v>1604</v>
      </c>
      <c r="J104" s="474" t="s">
        <v>1604</v>
      </c>
      <c r="K104" s="474" t="s">
        <v>1604</v>
      </c>
      <c r="L104" s="474" t="s">
        <v>1604</v>
      </c>
      <c r="M104" s="474" t="s">
        <v>1604</v>
      </c>
      <c r="N104" s="474" t="s">
        <v>1604</v>
      </c>
      <c r="O104" s="475" t="s">
        <v>1604</v>
      </c>
      <c r="P104" s="475" t="s">
        <v>1604</v>
      </c>
      <c r="Q104" s="476" t="s">
        <v>1604</v>
      </c>
      <c r="S104" s="193">
        <v>0</v>
      </c>
      <c r="T104" s="474" t="s">
        <v>1604</v>
      </c>
      <c r="U104" s="474" t="s">
        <v>1604</v>
      </c>
      <c r="V104" s="474" t="s">
        <v>1604</v>
      </c>
      <c r="W104" s="474" t="s">
        <v>1604</v>
      </c>
      <c r="X104" s="474" t="s">
        <v>1604</v>
      </c>
      <c r="Y104" s="474" t="s">
        <v>1604</v>
      </c>
      <c r="Z104" s="475" t="s">
        <v>1604</v>
      </c>
      <c r="AA104" s="475" t="s">
        <v>1604</v>
      </c>
      <c r="AB104" s="476" t="s">
        <v>1604</v>
      </c>
      <c r="AD104" s="193">
        <v>0</v>
      </c>
      <c r="AE104" s="46">
        <v>0</v>
      </c>
      <c r="AF104" s="46">
        <v>0</v>
      </c>
      <c r="AG104" s="46">
        <v>0</v>
      </c>
      <c r="AH104" s="46">
        <v>0</v>
      </c>
      <c r="AI104" s="46">
        <v>0</v>
      </c>
      <c r="AJ104" s="46">
        <v>0</v>
      </c>
      <c r="AK104" s="194">
        <f t="shared" si="17"/>
        <v>0</v>
      </c>
      <c r="AL104" s="194">
        <f t="shared" si="18"/>
        <v>0</v>
      </c>
      <c r="AM104" s="195">
        <f t="shared" si="19"/>
        <v>0</v>
      </c>
      <c r="AO104" s="203" t="e">
        <v>#N/A</v>
      </c>
      <c r="AP104" s="204" t="e">
        <v>#N/A</v>
      </c>
      <c r="AQ104" s="204" t="e">
        <v>#N/A</v>
      </c>
    </row>
    <row r="105" spans="3:43" ht="11.25" customHeight="1" x14ac:dyDescent="0.2">
      <c r="C105" s="59">
        <f t="shared" si="10"/>
        <v>94</v>
      </c>
      <c r="D105" s="30" t="s">
        <v>1518</v>
      </c>
      <c r="E105" s="30" t="s">
        <v>1519</v>
      </c>
      <c r="F105" s="30" t="s">
        <v>1429</v>
      </c>
      <c r="G105" s="188" t="s">
        <v>1505</v>
      </c>
      <c r="H105" s="193">
        <v>0</v>
      </c>
      <c r="I105" s="474" t="s">
        <v>1604</v>
      </c>
      <c r="J105" s="474" t="s">
        <v>1604</v>
      </c>
      <c r="K105" s="474" t="s">
        <v>1604</v>
      </c>
      <c r="L105" s="474" t="s">
        <v>1604</v>
      </c>
      <c r="M105" s="474" t="s">
        <v>1604</v>
      </c>
      <c r="N105" s="474" t="s">
        <v>1604</v>
      </c>
      <c r="O105" s="475" t="s">
        <v>1604</v>
      </c>
      <c r="P105" s="475" t="s">
        <v>1604</v>
      </c>
      <c r="Q105" s="476" t="s">
        <v>1604</v>
      </c>
      <c r="S105" s="193">
        <v>0</v>
      </c>
      <c r="T105" s="474" t="s">
        <v>1604</v>
      </c>
      <c r="U105" s="474" t="s">
        <v>1604</v>
      </c>
      <c r="V105" s="474" t="s">
        <v>1604</v>
      </c>
      <c r="W105" s="474" t="s">
        <v>1604</v>
      </c>
      <c r="X105" s="474" t="s">
        <v>1604</v>
      </c>
      <c r="Y105" s="474" t="s">
        <v>1604</v>
      </c>
      <c r="Z105" s="475" t="s">
        <v>1604</v>
      </c>
      <c r="AA105" s="475" t="s">
        <v>1604</v>
      </c>
      <c r="AB105" s="476" t="s">
        <v>1604</v>
      </c>
      <c r="AD105" s="193">
        <v>0</v>
      </c>
      <c r="AE105" s="46">
        <v>0</v>
      </c>
      <c r="AF105" s="46">
        <v>0</v>
      </c>
      <c r="AG105" s="46">
        <v>0</v>
      </c>
      <c r="AH105" s="46">
        <v>0</v>
      </c>
      <c r="AI105" s="46">
        <v>0</v>
      </c>
      <c r="AJ105" s="46">
        <v>0</v>
      </c>
      <c r="AK105" s="194">
        <f t="shared" si="17"/>
        <v>0</v>
      </c>
      <c r="AL105" s="194">
        <f t="shared" si="18"/>
        <v>0</v>
      </c>
      <c r="AM105" s="195">
        <f t="shared" si="19"/>
        <v>0</v>
      </c>
      <c r="AO105" s="203" t="e">
        <v>#N/A</v>
      </c>
      <c r="AP105" s="204" t="e">
        <v>#N/A</v>
      </c>
      <c r="AQ105" s="204" t="e">
        <v>#N/A</v>
      </c>
    </row>
    <row r="106" spans="3:43" ht="11.25" customHeight="1" x14ac:dyDescent="0.2">
      <c r="C106" s="59">
        <f t="shared" si="10"/>
        <v>95</v>
      </c>
      <c r="D106" s="30" t="s">
        <v>1520</v>
      </c>
      <c r="E106" s="30" t="s">
        <v>1521</v>
      </c>
      <c r="F106" s="30" t="s">
        <v>1429</v>
      </c>
      <c r="G106" s="188" t="s">
        <v>1505</v>
      </c>
      <c r="H106" s="193">
        <v>0</v>
      </c>
      <c r="I106" s="46">
        <v>5.6685740647160643E-2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194">
        <f t="shared" si="11"/>
        <v>5.6685740647160643E-2</v>
      </c>
      <c r="P106" s="194">
        <f t="shared" si="12"/>
        <v>5.6685740647160643E-2</v>
      </c>
      <c r="Q106" s="195">
        <f t="shared" si="13"/>
        <v>0</v>
      </c>
      <c r="S106" s="193">
        <v>0</v>
      </c>
      <c r="T106" s="46">
        <v>7.5250978905033877E-2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194">
        <f t="shared" si="14"/>
        <v>7.5250978905033877E-2</v>
      </c>
      <c r="AA106" s="194">
        <f t="shared" si="15"/>
        <v>7.5250978905033877E-2</v>
      </c>
      <c r="AB106" s="195">
        <f t="shared" si="16"/>
        <v>0</v>
      </c>
      <c r="AD106" s="193">
        <v>0</v>
      </c>
      <c r="AE106" s="46">
        <v>0</v>
      </c>
      <c r="AF106" s="46">
        <v>0</v>
      </c>
      <c r="AG106" s="46">
        <v>0</v>
      </c>
      <c r="AH106" s="46">
        <v>0</v>
      </c>
      <c r="AI106" s="46">
        <v>0</v>
      </c>
      <c r="AJ106" s="46">
        <v>0</v>
      </c>
      <c r="AK106" s="194">
        <f t="shared" si="17"/>
        <v>0</v>
      </c>
      <c r="AL106" s="194">
        <f t="shared" si="18"/>
        <v>0</v>
      </c>
      <c r="AM106" s="195">
        <f t="shared" si="19"/>
        <v>0</v>
      </c>
      <c r="AO106" s="203" t="e">
        <v>#N/A</v>
      </c>
      <c r="AP106" s="204" t="e">
        <v>#N/A</v>
      </c>
      <c r="AQ106" s="204" t="e">
        <v>#N/A</v>
      </c>
    </row>
    <row r="107" spans="3:43" ht="11.25" customHeight="1" x14ac:dyDescent="0.2">
      <c r="C107" s="59">
        <f t="shared" si="10"/>
        <v>96</v>
      </c>
      <c r="D107" s="30" t="s">
        <v>1522</v>
      </c>
      <c r="E107" s="30" t="s">
        <v>1523</v>
      </c>
      <c r="F107" s="30" t="s">
        <v>1429</v>
      </c>
      <c r="G107" s="188" t="s">
        <v>1505</v>
      </c>
      <c r="H107" s="193">
        <v>0</v>
      </c>
      <c r="I107" s="474" t="s">
        <v>1604</v>
      </c>
      <c r="J107" s="474" t="s">
        <v>1604</v>
      </c>
      <c r="K107" s="474" t="s">
        <v>1604</v>
      </c>
      <c r="L107" s="474" t="s">
        <v>1604</v>
      </c>
      <c r="M107" s="474" t="s">
        <v>1604</v>
      </c>
      <c r="N107" s="474" t="s">
        <v>1604</v>
      </c>
      <c r="O107" s="475" t="s">
        <v>1604</v>
      </c>
      <c r="P107" s="475" t="s">
        <v>1604</v>
      </c>
      <c r="Q107" s="476" t="s">
        <v>1604</v>
      </c>
      <c r="S107" s="193">
        <v>0</v>
      </c>
      <c r="T107" s="474" t="s">
        <v>1604</v>
      </c>
      <c r="U107" s="474" t="s">
        <v>1604</v>
      </c>
      <c r="V107" s="474" t="s">
        <v>1604</v>
      </c>
      <c r="W107" s="474" t="s">
        <v>1604</v>
      </c>
      <c r="X107" s="474" t="s">
        <v>1604</v>
      </c>
      <c r="Y107" s="474" t="s">
        <v>1604</v>
      </c>
      <c r="Z107" s="475" t="s">
        <v>1604</v>
      </c>
      <c r="AA107" s="475" t="s">
        <v>1604</v>
      </c>
      <c r="AB107" s="476" t="s">
        <v>1604</v>
      </c>
      <c r="AD107" s="193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0</v>
      </c>
      <c r="AJ107" s="46">
        <v>0</v>
      </c>
      <c r="AK107" s="194">
        <f t="shared" si="17"/>
        <v>0</v>
      </c>
      <c r="AL107" s="194">
        <f t="shared" si="18"/>
        <v>0</v>
      </c>
      <c r="AM107" s="195">
        <f t="shared" si="19"/>
        <v>0</v>
      </c>
      <c r="AO107" s="203" t="e">
        <v>#N/A</v>
      </c>
      <c r="AP107" s="204" t="e">
        <v>#N/A</v>
      </c>
      <c r="AQ107" s="204" t="e">
        <v>#N/A</v>
      </c>
    </row>
    <row r="108" spans="3:43" ht="11.25" customHeight="1" x14ac:dyDescent="0.2">
      <c r="C108" s="59">
        <f t="shared" si="10"/>
        <v>97</v>
      </c>
      <c r="D108" s="30" t="s">
        <v>1524</v>
      </c>
      <c r="E108" s="30" t="s">
        <v>1525</v>
      </c>
      <c r="F108" s="30" t="s">
        <v>1429</v>
      </c>
      <c r="G108" s="188" t="s">
        <v>1505</v>
      </c>
      <c r="H108" s="193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194">
        <f t="shared" si="11"/>
        <v>0</v>
      </c>
      <c r="P108" s="194">
        <f t="shared" si="12"/>
        <v>0</v>
      </c>
      <c r="Q108" s="195">
        <f t="shared" si="13"/>
        <v>0</v>
      </c>
      <c r="S108" s="193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194">
        <f t="shared" si="14"/>
        <v>0</v>
      </c>
      <c r="AA108" s="194">
        <f t="shared" si="15"/>
        <v>0</v>
      </c>
      <c r="AB108" s="195">
        <f t="shared" si="16"/>
        <v>0</v>
      </c>
      <c r="AD108" s="193">
        <v>0</v>
      </c>
      <c r="AE108" s="46">
        <v>0</v>
      </c>
      <c r="AF108" s="46">
        <v>0</v>
      </c>
      <c r="AG108" s="46">
        <v>0</v>
      </c>
      <c r="AH108" s="46">
        <v>0</v>
      </c>
      <c r="AI108" s="46">
        <v>0</v>
      </c>
      <c r="AJ108" s="46">
        <v>0</v>
      </c>
      <c r="AK108" s="194">
        <f t="shared" si="17"/>
        <v>0</v>
      </c>
      <c r="AL108" s="194">
        <f t="shared" si="18"/>
        <v>0</v>
      </c>
      <c r="AM108" s="195">
        <f t="shared" si="19"/>
        <v>0</v>
      </c>
      <c r="AO108" s="203" t="e">
        <v>#N/A</v>
      </c>
      <c r="AP108" s="204" t="e">
        <v>#N/A</v>
      </c>
      <c r="AQ108" s="204" t="e">
        <v>#N/A</v>
      </c>
    </row>
    <row r="109" spans="3:43" ht="11.25" customHeight="1" x14ac:dyDescent="0.2">
      <c r="C109" s="59">
        <f t="shared" si="10"/>
        <v>98</v>
      </c>
      <c r="D109" s="30" t="s">
        <v>1526</v>
      </c>
      <c r="E109" s="30" t="s">
        <v>1527</v>
      </c>
      <c r="F109" s="30" t="s">
        <v>1429</v>
      </c>
      <c r="G109" s="188" t="s">
        <v>1505</v>
      </c>
      <c r="H109" s="193">
        <v>0</v>
      </c>
      <c r="I109" s="474" t="s">
        <v>1604</v>
      </c>
      <c r="J109" s="474" t="s">
        <v>1604</v>
      </c>
      <c r="K109" s="474" t="s">
        <v>1604</v>
      </c>
      <c r="L109" s="474" t="s">
        <v>1604</v>
      </c>
      <c r="M109" s="474" t="s">
        <v>1604</v>
      </c>
      <c r="N109" s="474" t="s">
        <v>1604</v>
      </c>
      <c r="O109" s="475" t="s">
        <v>1604</v>
      </c>
      <c r="P109" s="475" t="s">
        <v>1604</v>
      </c>
      <c r="Q109" s="476" t="s">
        <v>1604</v>
      </c>
      <c r="S109" s="193">
        <v>0</v>
      </c>
      <c r="T109" s="474" t="s">
        <v>1604</v>
      </c>
      <c r="U109" s="474" t="s">
        <v>1604</v>
      </c>
      <c r="V109" s="474" t="s">
        <v>1604</v>
      </c>
      <c r="W109" s="474" t="s">
        <v>1604</v>
      </c>
      <c r="X109" s="474" t="s">
        <v>1604</v>
      </c>
      <c r="Y109" s="474" t="s">
        <v>1604</v>
      </c>
      <c r="Z109" s="475" t="s">
        <v>1604</v>
      </c>
      <c r="AA109" s="475" t="s">
        <v>1604</v>
      </c>
      <c r="AB109" s="476" t="s">
        <v>1604</v>
      </c>
      <c r="AD109" s="193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  <c r="AK109" s="194">
        <f t="shared" si="17"/>
        <v>0</v>
      </c>
      <c r="AL109" s="194">
        <f t="shared" si="18"/>
        <v>0</v>
      </c>
      <c r="AM109" s="195">
        <f t="shared" si="19"/>
        <v>0</v>
      </c>
      <c r="AO109" s="203" t="e">
        <v>#N/A</v>
      </c>
      <c r="AP109" s="204" t="e">
        <v>#N/A</v>
      </c>
      <c r="AQ109" s="204" t="e">
        <v>#N/A</v>
      </c>
    </row>
    <row r="110" spans="3:43" ht="11.25" customHeight="1" x14ac:dyDescent="0.2">
      <c r="C110" s="59">
        <f t="shared" si="10"/>
        <v>99</v>
      </c>
      <c r="D110" s="30" t="s">
        <v>1528</v>
      </c>
      <c r="E110" s="30" t="s">
        <v>1529</v>
      </c>
      <c r="F110" s="30" t="s">
        <v>1429</v>
      </c>
      <c r="G110" s="188" t="s">
        <v>1505</v>
      </c>
      <c r="H110" s="193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194">
        <f t="shared" si="11"/>
        <v>0</v>
      </c>
      <c r="P110" s="194">
        <f t="shared" si="12"/>
        <v>0</v>
      </c>
      <c r="Q110" s="195">
        <f t="shared" si="13"/>
        <v>0</v>
      </c>
      <c r="S110" s="193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194">
        <f t="shared" si="14"/>
        <v>0</v>
      </c>
      <c r="AA110" s="194">
        <f t="shared" si="15"/>
        <v>0</v>
      </c>
      <c r="AB110" s="195">
        <f t="shared" si="16"/>
        <v>0</v>
      </c>
      <c r="AD110" s="193">
        <v>0</v>
      </c>
      <c r="AE110" s="46">
        <v>0</v>
      </c>
      <c r="AF110" s="46">
        <v>0</v>
      </c>
      <c r="AG110" s="46">
        <v>0</v>
      </c>
      <c r="AH110" s="46">
        <v>0</v>
      </c>
      <c r="AI110" s="46">
        <v>0</v>
      </c>
      <c r="AJ110" s="46">
        <v>0</v>
      </c>
      <c r="AK110" s="194">
        <f t="shared" si="17"/>
        <v>0</v>
      </c>
      <c r="AL110" s="194">
        <f t="shared" si="18"/>
        <v>0</v>
      </c>
      <c r="AM110" s="195">
        <f t="shared" si="19"/>
        <v>0</v>
      </c>
      <c r="AO110" s="203" t="e">
        <v>#N/A</v>
      </c>
      <c r="AP110" s="204" t="e">
        <v>#N/A</v>
      </c>
      <c r="AQ110" s="204" t="e">
        <v>#N/A</v>
      </c>
    </row>
    <row r="111" spans="3:43" ht="11.25" customHeight="1" x14ac:dyDescent="0.2">
      <c r="C111" s="59">
        <f t="shared" si="10"/>
        <v>100</v>
      </c>
      <c r="D111" s="30" t="s">
        <v>1530</v>
      </c>
      <c r="E111" s="30" t="s">
        <v>1531</v>
      </c>
      <c r="F111" s="30" t="s">
        <v>1429</v>
      </c>
      <c r="G111" s="188" t="s">
        <v>1505</v>
      </c>
      <c r="H111" s="193">
        <v>0</v>
      </c>
      <c r="I111" s="46">
        <v>1.7507672965080585</v>
      </c>
      <c r="J111" s="46">
        <v>2.1912735296156636</v>
      </c>
      <c r="K111" s="46">
        <v>2.6332448571838287</v>
      </c>
      <c r="L111" s="46">
        <v>2.6356773849524537</v>
      </c>
      <c r="M111" s="46">
        <v>2.1984093575102177</v>
      </c>
      <c r="N111" s="46">
        <v>1.760592236646991</v>
      </c>
      <c r="O111" s="194">
        <f t="shared" si="11"/>
        <v>13.169964662417213</v>
      </c>
      <c r="P111" s="194">
        <f t="shared" si="12"/>
        <v>1.7507672965080585</v>
      </c>
      <c r="Q111" s="195">
        <f t="shared" si="13"/>
        <v>11.419197365909154</v>
      </c>
      <c r="S111" s="193">
        <v>0</v>
      </c>
      <c r="T111" s="46">
        <v>2.3241639148230875</v>
      </c>
      <c r="U111" s="46">
        <v>3.0037311958382333</v>
      </c>
      <c r="V111" s="46">
        <v>3.6177937525041455</v>
      </c>
      <c r="W111" s="46">
        <v>3.6265218442874025</v>
      </c>
      <c r="X111" s="46">
        <v>3.0293272709318879</v>
      </c>
      <c r="Y111" s="46">
        <v>2.4301684369191996</v>
      </c>
      <c r="Z111" s="194">
        <f t="shared" si="14"/>
        <v>18.031706415303958</v>
      </c>
      <c r="AA111" s="194">
        <f t="shared" si="15"/>
        <v>2.3241639148230875</v>
      </c>
      <c r="AB111" s="195">
        <f t="shared" si="16"/>
        <v>15.707542500480869</v>
      </c>
      <c r="AD111" s="193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194">
        <f t="shared" si="17"/>
        <v>0</v>
      </c>
      <c r="AL111" s="194">
        <f t="shared" si="18"/>
        <v>0</v>
      </c>
      <c r="AM111" s="195">
        <f t="shared" si="19"/>
        <v>0</v>
      </c>
      <c r="AO111" s="203" t="e">
        <v>#N/A</v>
      </c>
      <c r="AP111" s="204" t="e">
        <v>#N/A</v>
      </c>
      <c r="AQ111" s="204" t="e">
        <v>#N/A</v>
      </c>
    </row>
    <row r="112" spans="3:43" ht="11.25" customHeight="1" x14ac:dyDescent="0.2">
      <c r="C112" s="59">
        <f t="shared" si="10"/>
        <v>101</v>
      </c>
      <c r="D112" s="30" t="s">
        <v>1532</v>
      </c>
      <c r="E112" s="30" t="s">
        <v>1533</v>
      </c>
      <c r="F112" s="30" t="s">
        <v>1429</v>
      </c>
      <c r="G112" s="188" t="s">
        <v>1505</v>
      </c>
      <c r="H112" s="193">
        <v>0</v>
      </c>
      <c r="I112" s="46">
        <v>0.43769182412701463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194">
        <f t="shared" si="11"/>
        <v>0.43769182412701463</v>
      </c>
      <c r="P112" s="194">
        <f t="shared" si="12"/>
        <v>0.43769182412701463</v>
      </c>
      <c r="Q112" s="195">
        <f t="shared" si="13"/>
        <v>0</v>
      </c>
      <c r="S112" s="193">
        <v>0</v>
      </c>
      <c r="T112" s="46">
        <v>0.58104097870577187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194">
        <f t="shared" si="14"/>
        <v>0.58104097870577187</v>
      </c>
      <c r="AA112" s="194">
        <f t="shared" si="15"/>
        <v>0.58104097870577187</v>
      </c>
      <c r="AB112" s="195">
        <f t="shared" si="16"/>
        <v>0</v>
      </c>
      <c r="AD112" s="193">
        <v>0</v>
      </c>
      <c r="AE112" s="46">
        <v>0</v>
      </c>
      <c r="AF112" s="46">
        <v>0</v>
      </c>
      <c r="AG112" s="46">
        <v>0</v>
      </c>
      <c r="AH112" s="46">
        <v>0</v>
      </c>
      <c r="AI112" s="46">
        <v>0</v>
      </c>
      <c r="AJ112" s="46">
        <v>0</v>
      </c>
      <c r="AK112" s="194">
        <f t="shared" si="17"/>
        <v>0</v>
      </c>
      <c r="AL112" s="194">
        <f t="shared" si="18"/>
        <v>0</v>
      </c>
      <c r="AM112" s="195">
        <f t="shared" si="19"/>
        <v>0</v>
      </c>
      <c r="AO112" s="203" t="e">
        <v>#N/A</v>
      </c>
      <c r="AP112" s="204" t="e">
        <v>#N/A</v>
      </c>
      <c r="AQ112" s="204" t="e">
        <v>#N/A</v>
      </c>
    </row>
    <row r="113" spans="3:43" ht="11.25" customHeight="1" x14ac:dyDescent="0.2">
      <c r="C113" s="59">
        <f t="shared" si="10"/>
        <v>102</v>
      </c>
      <c r="D113" s="30" t="s">
        <v>1534</v>
      </c>
      <c r="E113" s="30" t="s">
        <v>1535</v>
      </c>
      <c r="F113" s="30" t="s">
        <v>1429</v>
      </c>
      <c r="G113" s="188" t="s">
        <v>1505</v>
      </c>
      <c r="H113" s="193">
        <v>0</v>
      </c>
      <c r="I113" s="46">
        <v>1.2901970568664729</v>
      </c>
      <c r="J113" s="46">
        <v>2.5837125601680087</v>
      </c>
      <c r="K113" s="46">
        <v>1.2936822125641885</v>
      </c>
      <c r="L113" s="46">
        <v>0</v>
      </c>
      <c r="M113" s="46">
        <v>0</v>
      </c>
      <c r="N113" s="46">
        <v>0</v>
      </c>
      <c r="O113" s="194">
        <f t="shared" si="11"/>
        <v>5.1675918295986705</v>
      </c>
      <c r="P113" s="194">
        <f t="shared" si="12"/>
        <v>1.2901970568664729</v>
      </c>
      <c r="Q113" s="195">
        <f t="shared" si="13"/>
        <v>3.8773947727321971</v>
      </c>
      <c r="S113" s="193">
        <v>0</v>
      </c>
      <c r="T113" s="46">
        <v>1.7127515738732586</v>
      </c>
      <c r="U113" s="46">
        <v>3.5416746988300045</v>
      </c>
      <c r="V113" s="46">
        <v>1.7773794995068806</v>
      </c>
      <c r="W113" s="46">
        <v>0</v>
      </c>
      <c r="X113" s="46">
        <v>0</v>
      </c>
      <c r="Y113" s="46">
        <v>0</v>
      </c>
      <c r="Z113" s="194">
        <f t="shared" si="14"/>
        <v>7.0318057722101432</v>
      </c>
      <c r="AA113" s="194">
        <f t="shared" si="15"/>
        <v>1.7127515738732586</v>
      </c>
      <c r="AB113" s="195">
        <f t="shared" si="16"/>
        <v>5.3190541983368851</v>
      </c>
      <c r="AD113" s="193">
        <v>0</v>
      </c>
      <c r="AE113" s="46">
        <v>0</v>
      </c>
      <c r="AF113" s="46">
        <v>0</v>
      </c>
      <c r="AG113" s="46">
        <v>0</v>
      </c>
      <c r="AH113" s="46">
        <v>0</v>
      </c>
      <c r="AI113" s="46">
        <v>0</v>
      </c>
      <c r="AJ113" s="46">
        <v>0</v>
      </c>
      <c r="AK113" s="194">
        <f t="shared" si="17"/>
        <v>0</v>
      </c>
      <c r="AL113" s="194">
        <f t="shared" si="18"/>
        <v>0</v>
      </c>
      <c r="AM113" s="195">
        <f t="shared" si="19"/>
        <v>0</v>
      </c>
      <c r="AO113" s="203" t="e">
        <v>#N/A</v>
      </c>
      <c r="AP113" s="204" t="e">
        <v>#N/A</v>
      </c>
      <c r="AQ113" s="204" t="e">
        <v>#N/A</v>
      </c>
    </row>
    <row r="114" spans="3:43" ht="11.25" customHeight="1" x14ac:dyDescent="0.2">
      <c r="C114" s="59">
        <f t="shared" si="10"/>
        <v>103</v>
      </c>
      <c r="D114" s="30" t="s">
        <v>1536</v>
      </c>
      <c r="E114" s="30" t="s">
        <v>1537</v>
      </c>
      <c r="F114" s="30" t="s">
        <v>1429</v>
      </c>
      <c r="G114" s="188" t="s">
        <v>1505</v>
      </c>
      <c r="H114" s="193">
        <v>0</v>
      </c>
      <c r="I114" s="46">
        <v>0</v>
      </c>
      <c r="J114" s="46">
        <v>2.368403180154008</v>
      </c>
      <c r="K114" s="46">
        <v>3.8810466376925654</v>
      </c>
      <c r="L114" s="46">
        <v>1.9423159272495159</v>
      </c>
      <c r="M114" s="46">
        <v>0</v>
      </c>
      <c r="N114" s="46">
        <v>0</v>
      </c>
      <c r="O114" s="194">
        <f t="shared" si="11"/>
        <v>8.1917657450960881</v>
      </c>
      <c r="P114" s="194">
        <f t="shared" si="12"/>
        <v>0</v>
      </c>
      <c r="Q114" s="195">
        <f t="shared" si="13"/>
        <v>8.1917657450960881</v>
      </c>
      <c r="S114" s="193">
        <v>0</v>
      </c>
      <c r="T114" s="46">
        <v>0</v>
      </c>
      <c r="U114" s="46">
        <v>3.2465351405941711</v>
      </c>
      <c r="V114" s="46">
        <v>5.3321384985206421</v>
      </c>
      <c r="W114" s="46">
        <v>2.6725012624429292</v>
      </c>
      <c r="X114" s="46">
        <v>0</v>
      </c>
      <c r="Y114" s="46">
        <v>0</v>
      </c>
      <c r="Z114" s="194">
        <f t="shared" si="14"/>
        <v>11.251174901557743</v>
      </c>
      <c r="AA114" s="194">
        <f t="shared" si="15"/>
        <v>0</v>
      </c>
      <c r="AB114" s="195">
        <f t="shared" si="16"/>
        <v>11.251174901557743</v>
      </c>
      <c r="AD114" s="193">
        <v>0</v>
      </c>
      <c r="AE114" s="46">
        <v>0</v>
      </c>
      <c r="AF114" s="46">
        <v>0</v>
      </c>
      <c r="AG114" s="46">
        <v>0</v>
      </c>
      <c r="AH114" s="46">
        <v>0</v>
      </c>
      <c r="AI114" s="46">
        <v>0</v>
      </c>
      <c r="AJ114" s="46">
        <v>0</v>
      </c>
      <c r="AK114" s="194">
        <f t="shared" si="17"/>
        <v>0</v>
      </c>
      <c r="AL114" s="194">
        <f t="shared" si="18"/>
        <v>0</v>
      </c>
      <c r="AM114" s="195">
        <f t="shared" si="19"/>
        <v>0</v>
      </c>
      <c r="AO114" s="203" t="e">
        <v>#N/A</v>
      </c>
      <c r="AP114" s="204" t="e">
        <v>#N/A</v>
      </c>
      <c r="AQ114" s="204" t="e">
        <v>#N/A</v>
      </c>
    </row>
    <row r="115" spans="3:43" ht="11.25" customHeight="1" x14ac:dyDescent="0.2">
      <c r="C115" s="59">
        <f t="shared" si="10"/>
        <v>104</v>
      </c>
      <c r="D115" s="30" t="s">
        <v>1538</v>
      </c>
      <c r="E115" s="30" t="s">
        <v>344</v>
      </c>
      <c r="F115" s="30" t="s">
        <v>1429</v>
      </c>
      <c r="G115" s="188" t="s">
        <v>1505</v>
      </c>
      <c r="H115" s="193">
        <v>0</v>
      </c>
      <c r="I115" s="46">
        <v>1.0151457852285217</v>
      </c>
      <c r="J115" s="46">
        <v>3.1357522177952317</v>
      </c>
      <c r="K115" s="46">
        <v>3.6990048333957444</v>
      </c>
      <c r="L115" s="46">
        <v>3.1074261825559195</v>
      </c>
      <c r="M115" s="46">
        <v>3.4671885374956313</v>
      </c>
      <c r="N115" s="46">
        <v>2.3989800423174366</v>
      </c>
      <c r="O115" s="194">
        <f t="shared" si="11"/>
        <v>16.823497598788485</v>
      </c>
      <c r="P115" s="194">
        <f t="shared" si="12"/>
        <v>1.0151457852285217</v>
      </c>
      <c r="Q115" s="195">
        <f t="shared" si="13"/>
        <v>15.808351813559963</v>
      </c>
      <c r="S115" s="193">
        <v>0</v>
      </c>
      <c r="T115" s="46">
        <v>1.3476178170672257</v>
      </c>
      <c r="U115" s="46">
        <v>4.298393893647086</v>
      </c>
      <c r="V115" s="46">
        <v>5.0820327400368059</v>
      </c>
      <c r="W115" s="46">
        <v>4.275617719713046</v>
      </c>
      <c r="X115" s="46">
        <v>4.7776583347485806</v>
      </c>
      <c r="Y115" s="46">
        <v>3.3113434549398471</v>
      </c>
      <c r="Z115" s="194">
        <f t="shared" si="14"/>
        <v>23.092663960152592</v>
      </c>
      <c r="AA115" s="194">
        <f t="shared" si="15"/>
        <v>1.3476178170672257</v>
      </c>
      <c r="AB115" s="195">
        <f t="shared" si="16"/>
        <v>21.745046143085368</v>
      </c>
      <c r="AD115" s="193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0</v>
      </c>
      <c r="AJ115" s="46">
        <v>0</v>
      </c>
      <c r="AK115" s="194">
        <f t="shared" si="17"/>
        <v>0</v>
      </c>
      <c r="AL115" s="194">
        <f t="shared" si="18"/>
        <v>0</v>
      </c>
      <c r="AM115" s="195">
        <f t="shared" si="19"/>
        <v>0</v>
      </c>
      <c r="AO115" s="203" t="e">
        <v>#N/A</v>
      </c>
      <c r="AP115" s="204" t="e">
        <v>#N/A</v>
      </c>
      <c r="AQ115" s="204" t="e">
        <v>#N/A</v>
      </c>
    </row>
    <row r="116" spans="3:43" ht="11.25" customHeight="1" x14ac:dyDescent="0.2">
      <c r="C116" s="59">
        <f t="shared" si="10"/>
        <v>105</v>
      </c>
      <c r="D116" s="30" t="s">
        <v>1539</v>
      </c>
      <c r="E116" s="30" t="s">
        <v>1540</v>
      </c>
      <c r="F116" s="30" t="s">
        <v>1429</v>
      </c>
      <c r="G116" s="188" t="s">
        <v>1505</v>
      </c>
      <c r="H116" s="193">
        <v>0</v>
      </c>
      <c r="I116" s="46">
        <v>7.5049598136976163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194">
        <f t="shared" si="11"/>
        <v>7.5049598136976163</v>
      </c>
      <c r="P116" s="194">
        <f t="shared" si="12"/>
        <v>7.5049598136976163</v>
      </c>
      <c r="Q116" s="195">
        <f t="shared" si="13"/>
        <v>0</v>
      </c>
      <c r="S116" s="193">
        <v>0</v>
      </c>
      <c r="T116" s="46">
        <v>9.9629212951277655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194">
        <f t="shared" si="14"/>
        <v>9.9629212951277655</v>
      </c>
      <c r="AA116" s="194">
        <f t="shared" si="15"/>
        <v>9.9629212951277655</v>
      </c>
      <c r="AB116" s="195">
        <f t="shared" si="16"/>
        <v>0</v>
      </c>
      <c r="AD116" s="193">
        <v>0</v>
      </c>
      <c r="AE116" s="46">
        <v>0</v>
      </c>
      <c r="AF116" s="46">
        <v>0</v>
      </c>
      <c r="AG116" s="46">
        <v>0</v>
      </c>
      <c r="AH116" s="46">
        <v>0</v>
      </c>
      <c r="AI116" s="46">
        <v>0</v>
      </c>
      <c r="AJ116" s="46">
        <v>0</v>
      </c>
      <c r="AK116" s="194">
        <f t="shared" si="17"/>
        <v>0</v>
      </c>
      <c r="AL116" s="194">
        <f t="shared" si="18"/>
        <v>0</v>
      </c>
      <c r="AM116" s="195">
        <f t="shared" si="19"/>
        <v>0</v>
      </c>
      <c r="AO116" s="203" t="e">
        <v>#N/A</v>
      </c>
      <c r="AP116" s="204" t="e">
        <v>#N/A</v>
      </c>
      <c r="AQ116" s="204" t="e">
        <v>#N/A</v>
      </c>
    </row>
    <row r="117" spans="3:43" ht="11.25" customHeight="1" x14ac:dyDescent="0.2">
      <c r="C117" s="59">
        <f t="shared" si="10"/>
        <v>106</v>
      </c>
      <c r="D117" s="30" t="s">
        <v>1541</v>
      </c>
      <c r="E117" s="30" t="s">
        <v>1542</v>
      </c>
      <c r="F117" s="30" t="s">
        <v>1429</v>
      </c>
      <c r="G117" s="188" t="s">
        <v>1505</v>
      </c>
      <c r="H117" s="193">
        <v>0</v>
      </c>
      <c r="I117" s="46">
        <v>0.12955642495848907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194">
        <f t="shared" si="11"/>
        <v>0.12955642495848907</v>
      </c>
      <c r="P117" s="194">
        <f t="shared" si="12"/>
        <v>0.12955642495848907</v>
      </c>
      <c r="Q117" s="195">
        <f t="shared" si="13"/>
        <v>0</v>
      </c>
      <c r="S117" s="193">
        <v>0</v>
      </c>
      <c r="T117" s="46">
        <v>0.17198765845271174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194">
        <f t="shared" si="14"/>
        <v>0.17198765845271174</v>
      </c>
      <c r="AA117" s="194">
        <f t="shared" si="15"/>
        <v>0.17198765845271174</v>
      </c>
      <c r="AB117" s="195">
        <f t="shared" si="16"/>
        <v>0</v>
      </c>
      <c r="AD117" s="193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194">
        <f t="shared" si="17"/>
        <v>0</v>
      </c>
      <c r="AL117" s="194">
        <f t="shared" si="18"/>
        <v>0</v>
      </c>
      <c r="AM117" s="195">
        <f t="shared" si="19"/>
        <v>0</v>
      </c>
      <c r="AO117" s="203" t="e">
        <v>#N/A</v>
      </c>
      <c r="AP117" s="204" t="e">
        <v>#N/A</v>
      </c>
      <c r="AQ117" s="204" t="e">
        <v>#N/A</v>
      </c>
    </row>
    <row r="118" spans="3:43" ht="11.25" customHeight="1" x14ac:dyDescent="0.2">
      <c r="C118" s="59">
        <f t="shared" si="10"/>
        <v>107</v>
      </c>
      <c r="D118" s="30" t="s">
        <v>1543</v>
      </c>
      <c r="E118" s="30" t="s">
        <v>1544</v>
      </c>
      <c r="F118" s="30" t="s">
        <v>1429</v>
      </c>
      <c r="G118" s="188" t="s">
        <v>1505</v>
      </c>
      <c r="H118" s="193">
        <v>0</v>
      </c>
      <c r="I118" s="46">
        <v>0.64509852843323645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194">
        <f t="shared" si="11"/>
        <v>0.64509852843323645</v>
      </c>
      <c r="P118" s="194">
        <f t="shared" si="12"/>
        <v>0.64509852843323645</v>
      </c>
      <c r="Q118" s="195">
        <f t="shared" si="13"/>
        <v>0</v>
      </c>
      <c r="S118" s="193">
        <v>0</v>
      </c>
      <c r="T118" s="46">
        <v>0.8563757869366293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194">
        <f t="shared" si="14"/>
        <v>0.8563757869366293</v>
      </c>
      <c r="AA118" s="194">
        <f t="shared" si="15"/>
        <v>0.8563757869366293</v>
      </c>
      <c r="AB118" s="195">
        <f t="shared" si="16"/>
        <v>0</v>
      </c>
      <c r="AD118" s="193">
        <v>0</v>
      </c>
      <c r="AE118" s="46">
        <v>0</v>
      </c>
      <c r="AF118" s="46">
        <v>0</v>
      </c>
      <c r="AG118" s="46">
        <v>0</v>
      </c>
      <c r="AH118" s="46">
        <v>0</v>
      </c>
      <c r="AI118" s="46">
        <v>0</v>
      </c>
      <c r="AJ118" s="46">
        <v>0</v>
      </c>
      <c r="AK118" s="194">
        <f t="shared" si="17"/>
        <v>0</v>
      </c>
      <c r="AL118" s="194">
        <f t="shared" si="18"/>
        <v>0</v>
      </c>
      <c r="AM118" s="195">
        <f t="shared" si="19"/>
        <v>0</v>
      </c>
      <c r="AO118" s="203" t="e">
        <v>#N/A</v>
      </c>
      <c r="AP118" s="204" t="e">
        <v>#N/A</v>
      </c>
      <c r="AQ118" s="204" t="e">
        <v>#N/A</v>
      </c>
    </row>
    <row r="119" spans="3:43" ht="11.25" customHeight="1" x14ac:dyDescent="0.2">
      <c r="C119" s="59">
        <f t="shared" si="10"/>
        <v>108</v>
      </c>
      <c r="D119" s="30" t="s">
        <v>1545</v>
      </c>
      <c r="E119" s="30" t="s">
        <v>1546</v>
      </c>
      <c r="F119" s="30" t="s">
        <v>1429</v>
      </c>
      <c r="G119" s="188" t="s">
        <v>1505</v>
      </c>
      <c r="H119" s="193">
        <v>0</v>
      </c>
      <c r="I119" s="46">
        <v>0</v>
      </c>
      <c r="J119" s="46">
        <v>0</v>
      </c>
      <c r="K119" s="46">
        <v>0</v>
      </c>
      <c r="L119" s="46">
        <v>1.7265030464440145</v>
      </c>
      <c r="M119" s="46">
        <v>1.2960631780155445</v>
      </c>
      <c r="N119" s="46">
        <v>0</v>
      </c>
      <c r="O119" s="194">
        <f t="shared" si="11"/>
        <v>3.0225662244595588</v>
      </c>
      <c r="P119" s="194">
        <f t="shared" si="12"/>
        <v>0</v>
      </c>
      <c r="Q119" s="195">
        <f t="shared" si="13"/>
        <v>3.0225662244595588</v>
      </c>
      <c r="S119" s="193">
        <v>0</v>
      </c>
      <c r="T119" s="46">
        <v>0</v>
      </c>
      <c r="U119" s="46">
        <v>0</v>
      </c>
      <c r="V119" s="46">
        <v>0</v>
      </c>
      <c r="W119" s="46">
        <v>1.7265030464440145</v>
      </c>
      <c r="X119" s="46">
        <v>1.2960631780155445</v>
      </c>
      <c r="Y119" s="46">
        <v>0</v>
      </c>
      <c r="Z119" s="194">
        <f t="shared" si="14"/>
        <v>3.0225662244595588</v>
      </c>
      <c r="AA119" s="194">
        <f t="shared" si="15"/>
        <v>0</v>
      </c>
      <c r="AB119" s="195">
        <f t="shared" si="16"/>
        <v>3.0225662244595588</v>
      </c>
      <c r="AD119" s="193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0</v>
      </c>
      <c r="AJ119" s="46">
        <v>0</v>
      </c>
      <c r="AK119" s="194">
        <f t="shared" si="17"/>
        <v>0</v>
      </c>
      <c r="AL119" s="194">
        <f t="shared" si="18"/>
        <v>0</v>
      </c>
      <c r="AM119" s="195">
        <f t="shared" si="19"/>
        <v>0</v>
      </c>
      <c r="AO119" s="203" t="e">
        <v>#N/A</v>
      </c>
      <c r="AP119" s="204" t="e">
        <v>#N/A</v>
      </c>
      <c r="AQ119" s="204" t="e">
        <v>#N/A</v>
      </c>
    </row>
    <row r="120" spans="3:43" ht="11.25" customHeight="1" x14ac:dyDescent="0.2">
      <c r="C120" s="59">
        <f t="shared" si="10"/>
        <v>109</v>
      </c>
      <c r="D120" s="30" t="s">
        <v>1547</v>
      </c>
      <c r="E120" s="30" t="s">
        <v>1548</v>
      </c>
      <c r="F120" s="30" t="s">
        <v>1429</v>
      </c>
      <c r="G120" s="188" t="s">
        <v>1505</v>
      </c>
      <c r="H120" s="193">
        <v>0</v>
      </c>
      <c r="I120" s="46">
        <v>0</v>
      </c>
      <c r="J120" s="46">
        <v>2.5837125601680087</v>
      </c>
      <c r="K120" s="46">
        <v>3.0185918293164393</v>
      </c>
      <c r="L120" s="46">
        <v>0</v>
      </c>
      <c r="M120" s="46">
        <v>0</v>
      </c>
      <c r="N120" s="46">
        <v>0</v>
      </c>
      <c r="O120" s="194">
        <f t="shared" si="11"/>
        <v>5.6023043894844484</v>
      </c>
      <c r="P120" s="194">
        <f t="shared" si="12"/>
        <v>0</v>
      </c>
      <c r="Q120" s="195">
        <f t="shared" si="13"/>
        <v>5.6023043894844484</v>
      </c>
      <c r="S120" s="193">
        <v>0</v>
      </c>
      <c r="T120" s="46">
        <v>0</v>
      </c>
      <c r="U120" s="46">
        <v>2.5837125601680087</v>
      </c>
      <c r="V120" s="46">
        <v>3.0185918293164393</v>
      </c>
      <c r="W120" s="46">
        <v>0</v>
      </c>
      <c r="X120" s="46">
        <v>0</v>
      </c>
      <c r="Y120" s="46">
        <v>0</v>
      </c>
      <c r="Z120" s="194">
        <f t="shared" si="14"/>
        <v>5.6023043894844484</v>
      </c>
      <c r="AA120" s="194">
        <f t="shared" si="15"/>
        <v>0</v>
      </c>
      <c r="AB120" s="195">
        <f t="shared" si="16"/>
        <v>5.6023043894844484</v>
      </c>
      <c r="AD120" s="193">
        <v>0</v>
      </c>
      <c r="AE120" s="46">
        <v>0</v>
      </c>
      <c r="AF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194">
        <f t="shared" si="17"/>
        <v>0</v>
      </c>
      <c r="AL120" s="194">
        <f t="shared" si="18"/>
        <v>0</v>
      </c>
      <c r="AM120" s="195">
        <f t="shared" si="19"/>
        <v>0</v>
      </c>
      <c r="AO120" s="203" t="e">
        <v>#N/A</v>
      </c>
      <c r="AP120" s="204" t="e">
        <v>#N/A</v>
      </c>
      <c r="AQ120" s="204" t="e">
        <v>#N/A</v>
      </c>
    </row>
    <row r="121" spans="3:43" ht="11.25" customHeight="1" x14ac:dyDescent="0.2">
      <c r="C121" s="59">
        <f t="shared" si="10"/>
        <v>110</v>
      </c>
      <c r="D121" s="30" t="s">
        <v>1549</v>
      </c>
      <c r="E121" s="30" t="s">
        <v>1550</v>
      </c>
      <c r="F121" s="30" t="s">
        <v>46</v>
      </c>
      <c r="G121" s="188" t="s">
        <v>1342</v>
      </c>
      <c r="H121" s="193">
        <v>0</v>
      </c>
      <c r="I121" s="46">
        <v>0.46916267418417051</v>
      </c>
      <c r="J121" s="46">
        <v>0.24517735143046007</v>
      </c>
      <c r="K121" s="46">
        <v>0.24920736626347564</v>
      </c>
      <c r="L121" s="46">
        <v>0.25268074815947106</v>
      </c>
      <c r="M121" s="46">
        <v>0.256166391460389</v>
      </c>
      <c r="N121" s="46">
        <v>0.25985175384015768</v>
      </c>
      <c r="O121" s="194">
        <f t="shared" si="11"/>
        <v>1.7322462853381237</v>
      </c>
      <c r="P121" s="194">
        <f t="shared" si="12"/>
        <v>0.46916267418417051</v>
      </c>
      <c r="Q121" s="195">
        <f t="shared" si="13"/>
        <v>1.2630836111539536</v>
      </c>
      <c r="S121" s="193">
        <v>0</v>
      </c>
      <c r="T121" s="46">
        <v>0.62281889757456488</v>
      </c>
      <c r="U121" s="46">
        <v>0.33608166623262004</v>
      </c>
      <c r="V121" s="46">
        <v>0.34238397932740161</v>
      </c>
      <c r="W121" s="46">
        <v>0.34767238891331009</v>
      </c>
      <c r="X121" s="46">
        <v>0.3529878695685833</v>
      </c>
      <c r="Y121" s="46">
        <v>0.35867676644030594</v>
      </c>
      <c r="Z121" s="194">
        <f t="shared" si="14"/>
        <v>2.3606215680567857</v>
      </c>
      <c r="AA121" s="194">
        <f t="shared" si="15"/>
        <v>0.62281889757456488</v>
      </c>
      <c r="AB121" s="195">
        <f t="shared" si="16"/>
        <v>1.7378026704822209</v>
      </c>
      <c r="AD121" s="193">
        <v>0</v>
      </c>
      <c r="AE121" s="46">
        <v>0.22783223590155827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  <c r="AK121" s="194">
        <f t="shared" si="17"/>
        <v>0.22783223590155827</v>
      </c>
      <c r="AL121" s="194">
        <f t="shared" si="18"/>
        <v>0.22783223590155827</v>
      </c>
      <c r="AM121" s="195">
        <f t="shared" si="19"/>
        <v>0</v>
      </c>
      <c r="AO121" s="203" t="e">
        <v>#N/A</v>
      </c>
      <c r="AP121" s="204" t="e">
        <v>#N/A</v>
      </c>
      <c r="AQ121" s="204" t="e">
        <v>#N/A</v>
      </c>
    </row>
    <row r="122" spans="3:43" ht="11.25" customHeight="1" x14ac:dyDescent="0.2">
      <c r="C122" s="59">
        <f t="shared" si="10"/>
        <v>111</v>
      </c>
      <c r="D122" s="30" t="s">
        <v>1551</v>
      </c>
      <c r="E122" s="30" t="s">
        <v>1552</v>
      </c>
      <c r="F122" s="30" t="s">
        <v>46</v>
      </c>
      <c r="G122" s="188" t="s">
        <v>1342</v>
      </c>
      <c r="H122" s="193">
        <v>0</v>
      </c>
      <c r="I122" s="46">
        <v>0.18045391979303968</v>
      </c>
      <c r="J122" s="46">
        <v>0.11238079063305867</v>
      </c>
      <c r="K122" s="46">
        <v>0.11344798880761921</v>
      </c>
      <c r="L122" s="46">
        <v>0.11425313148042336</v>
      </c>
      <c r="M122" s="46">
        <v>0.11505705973865311</v>
      </c>
      <c r="N122" s="46">
        <v>0.11594349222194768</v>
      </c>
      <c r="O122" s="194">
        <f t="shared" si="11"/>
        <v>0.75153638267474165</v>
      </c>
      <c r="P122" s="194">
        <f t="shared" si="12"/>
        <v>0.18045391979303968</v>
      </c>
      <c r="Q122" s="195">
        <f t="shared" si="13"/>
        <v>0.57108246288170206</v>
      </c>
      <c r="S122" s="193">
        <v>0</v>
      </c>
      <c r="T122" s="46">
        <v>0.23955467383236681</v>
      </c>
      <c r="U122" s="46">
        <v>0.15404817430377565</v>
      </c>
      <c r="V122" s="46">
        <v>0.15586527170941039</v>
      </c>
      <c r="W122" s="46">
        <v>0.15720492935043737</v>
      </c>
      <c r="X122" s="46">
        <v>0.15854439828908035</v>
      </c>
      <c r="Y122" s="46">
        <v>0.16003831517545131</v>
      </c>
      <c r="Z122" s="194">
        <f t="shared" si="14"/>
        <v>1.0252557626605219</v>
      </c>
      <c r="AA122" s="194">
        <f t="shared" si="15"/>
        <v>0.23955467383236681</v>
      </c>
      <c r="AB122" s="195">
        <f t="shared" si="16"/>
        <v>0.78570108882815515</v>
      </c>
      <c r="AD122" s="193">
        <v>0</v>
      </c>
      <c r="AE122" s="46">
        <v>8.7631054825792976E-2</v>
      </c>
      <c r="AF122" s="46">
        <v>1.8730131772176445E-2</v>
      </c>
      <c r="AG122" s="46">
        <v>1.8907998134603209E-2</v>
      </c>
      <c r="AH122" s="46">
        <v>1.9042188580070566E-2</v>
      </c>
      <c r="AI122" s="46">
        <v>1.9176176623108852E-2</v>
      </c>
      <c r="AJ122" s="46">
        <v>1.9323915370324612E-2</v>
      </c>
      <c r="AK122" s="194">
        <f t="shared" si="17"/>
        <v>0.18281146530607664</v>
      </c>
      <c r="AL122" s="194">
        <f t="shared" si="18"/>
        <v>8.7631054825792976E-2</v>
      </c>
      <c r="AM122" s="195">
        <f t="shared" si="19"/>
        <v>9.5180410480283681E-2</v>
      </c>
      <c r="AO122" s="203" t="e">
        <v>#N/A</v>
      </c>
      <c r="AP122" s="204" t="e">
        <v>#N/A</v>
      </c>
      <c r="AQ122" s="204" t="e">
        <v>#N/A</v>
      </c>
    </row>
    <row r="123" spans="3:43" ht="11.25" customHeight="1" x14ac:dyDescent="0.2">
      <c r="C123" s="59">
        <f t="shared" si="10"/>
        <v>112</v>
      </c>
      <c r="D123" s="30" t="s">
        <v>1553</v>
      </c>
      <c r="E123" s="30" t="s">
        <v>1554</v>
      </c>
      <c r="F123" s="30" t="s">
        <v>46</v>
      </c>
      <c r="G123" s="188" t="s">
        <v>1342</v>
      </c>
      <c r="H123" s="193">
        <v>0</v>
      </c>
      <c r="I123" s="46">
        <v>0.58447345439286824</v>
      </c>
      <c r="J123" s="46">
        <v>0.36302263191801848</v>
      </c>
      <c r="K123" s="46">
        <v>0.36549769247469899</v>
      </c>
      <c r="L123" s="46">
        <v>0.36711761887780731</v>
      </c>
      <c r="M123" s="46">
        <v>0.3687251029838074</v>
      </c>
      <c r="N123" s="46">
        <v>0.3705878312334055</v>
      </c>
      <c r="O123" s="194">
        <f t="shared" si="11"/>
        <v>2.4194243318806063</v>
      </c>
      <c r="P123" s="194">
        <f t="shared" si="12"/>
        <v>0.58447345439286824</v>
      </c>
      <c r="Q123" s="195">
        <f t="shared" si="13"/>
        <v>1.8349508774877377</v>
      </c>
      <c r="S123" s="193">
        <v>0</v>
      </c>
      <c r="T123" s="46">
        <v>0.77589529721127592</v>
      </c>
      <c r="U123" s="46">
        <v>0.49762039724849239</v>
      </c>
      <c r="V123" s="46">
        <v>0.50215431534300992</v>
      </c>
      <c r="W123" s="46">
        <v>0.50513013158746767</v>
      </c>
      <c r="X123" s="46">
        <v>0.50808963586792999</v>
      </c>
      <c r="Y123" s="46">
        <v>0.51152721897997033</v>
      </c>
      <c r="Z123" s="194">
        <f t="shared" si="14"/>
        <v>3.300416996238146</v>
      </c>
      <c r="AA123" s="194">
        <f t="shared" si="15"/>
        <v>0.77589529721127592</v>
      </c>
      <c r="AB123" s="195">
        <f t="shared" si="16"/>
        <v>2.5245216990268702</v>
      </c>
      <c r="AD123" s="193">
        <v>0</v>
      </c>
      <c r="AE123" s="46">
        <v>0.28382883222965366</v>
      </c>
      <c r="AF123" s="46">
        <v>6.0503771986336427E-2</v>
      </c>
      <c r="AG123" s="46">
        <v>6.09162820791165E-2</v>
      </c>
      <c r="AH123" s="46">
        <v>6.1186269812967896E-2</v>
      </c>
      <c r="AI123" s="46">
        <v>6.1454183830634571E-2</v>
      </c>
      <c r="AJ123" s="46">
        <v>6.1764638538900928E-2</v>
      </c>
      <c r="AK123" s="194">
        <f t="shared" si="17"/>
        <v>0.58965397847760992</v>
      </c>
      <c r="AL123" s="194">
        <f t="shared" si="18"/>
        <v>0.28382883222965366</v>
      </c>
      <c r="AM123" s="195">
        <f t="shared" si="19"/>
        <v>0.30582514624795631</v>
      </c>
      <c r="AO123" s="203" t="e">
        <v>#N/A</v>
      </c>
      <c r="AP123" s="204" t="e">
        <v>#N/A</v>
      </c>
      <c r="AQ123" s="204" t="e">
        <v>#N/A</v>
      </c>
    </row>
    <row r="124" spans="3:43" ht="11.25" customHeight="1" x14ac:dyDescent="0.2">
      <c r="C124" s="59">
        <f t="shared" si="10"/>
        <v>113</v>
      </c>
      <c r="D124" s="30" t="s">
        <v>1555</v>
      </c>
      <c r="E124" s="30" t="s">
        <v>1556</v>
      </c>
      <c r="F124" s="30" t="s">
        <v>46</v>
      </c>
      <c r="G124" s="188" t="s">
        <v>1342</v>
      </c>
      <c r="H124" s="193">
        <v>0</v>
      </c>
      <c r="I124" s="46">
        <v>0.2326805143836361</v>
      </c>
      <c r="J124" s="46">
        <v>0.14875496303320365</v>
      </c>
      <c r="K124" s="46">
        <v>0.15414434675047342</v>
      </c>
      <c r="L124" s="46">
        <v>0.15933726593832803</v>
      </c>
      <c r="M124" s="46">
        <v>0.16468318041388477</v>
      </c>
      <c r="N124" s="46">
        <v>0.17030937544400349</v>
      </c>
      <c r="O124" s="194">
        <f t="shared" si="11"/>
        <v>1.0299096459635293</v>
      </c>
      <c r="P124" s="194">
        <f t="shared" si="12"/>
        <v>0.2326805143836361</v>
      </c>
      <c r="Q124" s="195">
        <f t="shared" si="13"/>
        <v>0.79722913157989339</v>
      </c>
      <c r="S124" s="193">
        <v>0</v>
      </c>
      <c r="T124" s="46">
        <v>0.30888608457076711</v>
      </c>
      <c r="U124" s="46">
        <v>0.20390878498722459</v>
      </c>
      <c r="V124" s="46">
        <v>0.21177766782163115</v>
      </c>
      <c r="W124" s="46">
        <v>0.21923778639729141</v>
      </c>
      <c r="X124" s="46">
        <v>0.22692736809334588</v>
      </c>
      <c r="Y124" s="46">
        <v>0.23508025316734626</v>
      </c>
      <c r="Z124" s="194">
        <f t="shared" si="14"/>
        <v>1.4058179450376063</v>
      </c>
      <c r="AA124" s="194">
        <f t="shared" si="15"/>
        <v>0.30888608457076711</v>
      </c>
      <c r="AB124" s="195">
        <f t="shared" si="16"/>
        <v>1.0969318604668392</v>
      </c>
      <c r="AD124" s="193">
        <v>0</v>
      </c>
      <c r="AE124" s="46">
        <v>0.1129930507258097</v>
      </c>
      <c r="AF124" s="46">
        <v>2.479249383886728E-2</v>
      </c>
      <c r="AG124" s="46">
        <v>2.569072445841224E-2</v>
      </c>
      <c r="AH124" s="46">
        <v>2.6556210989721343E-2</v>
      </c>
      <c r="AI124" s="46">
        <v>2.744719673564746E-2</v>
      </c>
      <c r="AJ124" s="46">
        <v>2.8384895907333917E-2</v>
      </c>
      <c r="AK124" s="194">
        <f t="shared" si="17"/>
        <v>0.24586457265579198</v>
      </c>
      <c r="AL124" s="194">
        <f t="shared" si="18"/>
        <v>0.1129930507258097</v>
      </c>
      <c r="AM124" s="195">
        <f t="shared" si="19"/>
        <v>0.13287152192998225</v>
      </c>
      <c r="AO124" s="203" t="e">
        <v>#N/A</v>
      </c>
      <c r="AP124" s="204" t="e">
        <v>#N/A</v>
      </c>
      <c r="AQ124" s="204" t="e">
        <v>#N/A</v>
      </c>
    </row>
    <row r="125" spans="3:43" ht="11.25" customHeight="1" x14ac:dyDescent="0.2">
      <c r="C125" s="59">
        <f t="shared" si="10"/>
        <v>114</v>
      </c>
      <c r="D125" s="30" t="s">
        <v>1557</v>
      </c>
      <c r="E125" s="30" t="s">
        <v>1558</v>
      </c>
      <c r="F125" s="30" t="s">
        <v>46</v>
      </c>
      <c r="G125" s="188" t="s">
        <v>1342</v>
      </c>
      <c r="H125" s="193">
        <v>0</v>
      </c>
      <c r="I125" s="46">
        <v>2.7079918503882463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194">
        <f t="shared" si="11"/>
        <v>2.7079918503882463</v>
      </c>
      <c r="P125" s="194">
        <f t="shared" si="12"/>
        <v>2.7079918503882463</v>
      </c>
      <c r="Q125" s="195">
        <f t="shared" si="13"/>
        <v>0</v>
      </c>
      <c r="S125" s="193">
        <v>0</v>
      </c>
      <c r="T125" s="46">
        <v>3.5948906247338019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194">
        <f t="shared" si="14"/>
        <v>3.5948906247338019</v>
      </c>
      <c r="AA125" s="194">
        <f t="shared" si="15"/>
        <v>3.5948906247338019</v>
      </c>
      <c r="AB125" s="195">
        <f t="shared" si="16"/>
        <v>0</v>
      </c>
      <c r="AD125" s="193">
        <v>0</v>
      </c>
      <c r="AE125" s="46">
        <v>1.3150403304141809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194">
        <f t="shared" si="17"/>
        <v>1.3150403304141809</v>
      </c>
      <c r="AL125" s="194">
        <f t="shared" si="18"/>
        <v>1.3150403304141809</v>
      </c>
      <c r="AM125" s="195">
        <f t="shared" si="19"/>
        <v>0</v>
      </c>
      <c r="AO125" s="203" t="e">
        <v>#N/A</v>
      </c>
      <c r="AP125" s="204" t="e">
        <v>#N/A</v>
      </c>
      <c r="AQ125" s="204" t="e">
        <v>#N/A</v>
      </c>
    </row>
    <row r="126" spans="3:43" ht="11.25" customHeight="1" x14ac:dyDescent="0.2">
      <c r="C126" s="59">
        <f t="shared" si="10"/>
        <v>115</v>
      </c>
      <c r="D126" s="30" t="s">
        <v>1559</v>
      </c>
      <c r="E126" s="30" t="s">
        <v>1560</v>
      </c>
      <c r="F126" s="30" t="s">
        <v>46</v>
      </c>
      <c r="G126" s="188" t="s">
        <v>1342</v>
      </c>
      <c r="H126" s="193">
        <v>0</v>
      </c>
      <c r="I126" s="46">
        <v>0.58339433490652148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194">
        <f t="shared" si="11"/>
        <v>0.58339433490652148</v>
      </c>
      <c r="P126" s="194">
        <f t="shared" si="12"/>
        <v>0.58339433490652148</v>
      </c>
      <c r="Q126" s="195">
        <f t="shared" si="13"/>
        <v>0</v>
      </c>
      <c r="S126" s="193">
        <v>0</v>
      </c>
      <c r="T126" s="46">
        <v>0.77446275356315553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194">
        <f t="shared" si="14"/>
        <v>0.77446275356315553</v>
      </c>
      <c r="AA126" s="194">
        <f t="shared" si="15"/>
        <v>0.77446275356315553</v>
      </c>
      <c r="AB126" s="195">
        <f t="shared" si="16"/>
        <v>0</v>
      </c>
      <c r="AD126" s="193">
        <v>0</v>
      </c>
      <c r="AE126" s="46">
        <v>0.28330479607139181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194">
        <f t="shared" si="17"/>
        <v>0.28330479607139181</v>
      </c>
      <c r="AL126" s="194">
        <f t="shared" si="18"/>
        <v>0.28330479607139181</v>
      </c>
      <c r="AM126" s="195">
        <f t="shared" si="19"/>
        <v>0</v>
      </c>
      <c r="AO126" s="203" t="e">
        <v>#N/A</v>
      </c>
      <c r="AP126" s="204" t="e">
        <v>#N/A</v>
      </c>
      <c r="AQ126" s="204" t="e">
        <v>#N/A</v>
      </c>
    </row>
    <row r="127" spans="3:43" ht="11.25" customHeight="1" x14ac:dyDescent="0.2">
      <c r="C127" s="59">
        <f t="shared" si="10"/>
        <v>116</v>
      </c>
      <c r="D127" s="30" t="s">
        <v>1561</v>
      </c>
      <c r="E127" s="30" t="s">
        <v>1562</v>
      </c>
      <c r="F127" s="30" t="s">
        <v>46</v>
      </c>
      <c r="G127" s="188" t="s">
        <v>1342</v>
      </c>
      <c r="H127" s="193">
        <v>0</v>
      </c>
      <c r="I127" s="46">
        <v>1.4478391804844202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194">
        <f t="shared" si="11"/>
        <v>1.4478391804844202</v>
      </c>
      <c r="P127" s="194">
        <f t="shared" si="12"/>
        <v>1.4478391804844202</v>
      </c>
      <c r="Q127" s="195">
        <f t="shared" si="13"/>
        <v>0</v>
      </c>
      <c r="S127" s="193">
        <v>0</v>
      </c>
      <c r="T127" s="46">
        <v>1.9220233234082644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194">
        <f t="shared" si="14"/>
        <v>1.9220233234082644</v>
      </c>
      <c r="AA127" s="194">
        <f t="shared" si="15"/>
        <v>1.9220233234082644</v>
      </c>
      <c r="AB127" s="195">
        <f t="shared" si="16"/>
        <v>0</v>
      </c>
      <c r="AD127" s="193">
        <v>0</v>
      </c>
      <c r="AE127" s="46">
        <v>0.70309181839592927</v>
      </c>
      <c r="AF127" s="46">
        <v>0</v>
      </c>
      <c r="AG127" s="46">
        <v>0</v>
      </c>
      <c r="AH127" s="46">
        <v>0</v>
      </c>
      <c r="AI127" s="46">
        <v>0</v>
      </c>
      <c r="AJ127" s="46">
        <v>0</v>
      </c>
      <c r="AK127" s="194">
        <f t="shared" si="17"/>
        <v>0.70309181839592927</v>
      </c>
      <c r="AL127" s="194">
        <f t="shared" si="18"/>
        <v>0.70309181839592927</v>
      </c>
      <c r="AM127" s="195">
        <f t="shared" si="19"/>
        <v>0</v>
      </c>
      <c r="AO127" s="203" t="e">
        <v>#N/A</v>
      </c>
      <c r="AP127" s="204" t="e">
        <v>#N/A</v>
      </c>
      <c r="AQ127" s="204" t="e">
        <v>#N/A</v>
      </c>
    </row>
    <row r="128" spans="3:43" ht="11.25" customHeight="1" x14ac:dyDescent="0.2">
      <c r="C128" s="59">
        <f t="shared" si="10"/>
        <v>117</v>
      </c>
      <c r="D128" s="30" t="s">
        <v>1563</v>
      </c>
      <c r="E128" s="30" t="s">
        <v>1564</v>
      </c>
      <c r="F128" s="30" t="s">
        <v>46</v>
      </c>
      <c r="G128" s="188" t="s">
        <v>1342</v>
      </c>
      <c r="H128" s="193">
        <v>0</v>
      </c>
      <c r="I128" s="46">
        <v>0.79355185871007505</v>
      </c>
      <c r="J128" s="46">
        <v>0.49288343576118809</v>
      </c>
      <c r="K128" s="46">
        <v>0.49624387735252434</v>
      </c>
      <c r="L128" s="46">
        <v>0.49844328538123545</v>
      </c>
      <c r="M128" s="46">
        <v>0.50062580024239078</v>
      </c>
      <c r="N128" s="46">
        <v>0.50315486542684096</v>
      </c>
      <c r="O128" s="194">
        <f t="shared" si="11"/>
        <v>3.2849031228742547</v>
      </c>
      <c r="P128" s="194">
        <f t="shared" si="12"/>
        <v>0.79355185871007505</v>
      </c>
      <c r="Q128" s="195">
        <f t="shared" si="13"/>
        <v>2.4913512641641793</v>
      </c>
      <c r="S128" s="193">
        <v>0</v>
      </c>
      <c r="T128" s="46">
        <v>1.0534493066173496</v>
      </c>
      <c r="U128" s="46">
        <v>0.6756296427162517</v>
      </c>
      <c r="V128" s="46">
        <v>0.68178543833725391</v>
      </c>
      <c r="W128" s="46">
        <v>0.68582576642096826</v>
      </c>
      <c r="X128" s="46">
        <v>0.689843947409292</v>
      </c>
      <c r="Y128" s="46">
        <v>0.69451122604705939</v>
      </c>
      <c r="Z128" s="194">
        <f t="shared" si="14"/>
        <v>4.4810453275481752</v>
      </c>
      <c r="AA128" s="194">
        <f t="shared" si="15"/>
        <v>1.0534493066173496</v>
      </c>
      <c r="AB128" s="195">
        <f t="shared" si="16"/>
        <v>3.4275960209308254</v>
      </c>
      <c r="AD128" s="193">
        <v>0</v>
      </c>
      <c r="AE128" s="46">
        <v>0.3853603541418596</v>
      </c>
      <c r="AF128" s="46">
        <v>8.2147239293531377E-2</v>
      </c>
      <c r="AG128" s="46">
        <v>8.2707312892087409E-2</v>
      </c>
      <c r="AH128" s="46">
        <v>8.3073880896872593E-2</v>
      </c>
      <c r="AI128" s="46">
        <v>8.3437633373731807E-2</v>
      </c>
      <c r="AJ128" s="46">
        <v>8.3859144237806854E-2</v>
      </c>
      <c r="AK128" s="194">
        <f t="shared" si="17"/>
        <v>0.80058556483588961</v>
      </c>
      <c r="AL128" s="194">
        <f t="shared" si="18"/>
        <v>0.3853603541418596</v>
      </c>
      <c r="AM128" s="195">
        <f t="shared" si="19"/>
        <v>0.41522521069403007</v>
      </c>
      <c r="AO128" s="203" t="e">
        <v>#N/A</v>
      </c>
      <c r="AP128" s="204" t="e">
        <v>#N/A</v>
      </c>
      <c r="AQ128" s="204" t="e">
        <v>#N/A</v>
      </c>
    </row>
    <row r="129" spans="1:43" ht="11.25" customHeight="1" x14ac:dyDescent="0.2">
      <c r="C129" s="59">
        <f t="shared" si="10"/>
        <v>118</v>
      </c>
      <c r="D129" s="30" t="s">
        <v>1565</v>
      </c>
      <c r="E129" s="30" t="s">
        <v>1566</v>
      </c>
      <c r="F129" s="30" t="s">
        <v>46</v>
      </c>
      <c r="G129" s="188" t="s">
        <v>1342</v>
      </c>
      <c r="H129" s="193">
        <v>0</v>
      </c>
      <c r="I129" s="46">
        <v>0.29322097978369932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194">
        <f t="shared" si="11"/>
        <v>0.29322097978369932</v>
      </c>
      <c r="P129" s="194">
        <f t="shared" si="12"/>
        <v>0.29322097978369932</v>
      </c>
      <c r="Q129" s="195">
        <f t="shared" si="13"/>
        <v>0</v>
      </c>
      <c r="S129" s="193">
        <v>0</v>
      </c>
      <c r="T129" s="46">
        <v>0.38925425534369823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194">
        <f t="shared" si="14"/>
        <v>0.38925425534369823</v>
      </c>
      <c r="AA129" s="194">
        <f t="shared" si="15"/>
        <v>0.38925425534369823</v>
      </c>
      <c r="AB129" s="195">
        <f t="shared" si="16"/>
        <v>0</v>
      </c>
      <c r="AD129" s="193">
        <v>0</v>
      </c>
      <c r="AE129" s="46">
        <v>0.14239238352354808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194">
        <f t="shared" si="17"/>
        <v>0.14239238352354808</v>
      </c>
      <c r="AL129" s="194">
        <f t="shared" si="18"/>
        <v>0.14239238352354808</v>
      </c>
      <c r="AM129" s="195">
        <f t="shared" si="19"/>
        <v>0</v>
      </c>
      <c r="AO129" s="203" t="e">
        <v>#N/A</v>
      </c>
      <c r="AP129" s="204" t="e">
        <v>#N/A</v>
      </c>
      <c r="AQ129" s="204" t="e">
        <v>#N/A</v>
      </c>
    </row>
    <row r="130" spans="1:43" ht="11.25" customHeight="1" x14ac:dyDescent="0.2">
      <c r="C130" s="59">
        <f t="shared" si="10"/>
        <v>119</v>
      </c>
      <c r="D130" s="30"/>
      <c r="E130" s="30"/>
      <c r="F130" s="30"/>
      <c r="G130" s="188"/>
      <c r="H130" s="193">
        <v>0</v>
      </c>
      <c r="I130" s="46">
        <v>0.27576360474071837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194">
        <f t="shared" si="11"/>
        <v>0.27576360474071837</v>
      </c>
      <c r="P130" s="194">
        <f t="shared" si="12"/>
        <v>0.27576360474071837</v>
      </c>
      <c r="Q130" s="195">
        <f t="shared" si="13"/>
        <v>0</v>
      </c>
      <c r="S130" s="193">
        <v>0</v>
      </c>
      <c r="T130" s="46">
        <v>0.36607938727107958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194">
        <f t="shared" si="14"/>
        <v>0.36607938727107958</v>
      </c>
      <c r="AA130" s="194">
        <f t="shared" si="15"/>
        <v>0.36607938727107958</v>
      </c>
      <c r="AB130" s="195">
        <f t="shared" si="16"/>
        <v>0</v>
      </c>
      <c r="AD130" s="193">
        <v>0</v>
      </c>
      <c r="AE130" s="46">
        <v>0.13391482763969467</v>
      </c>
      <c r="AF130" s="46">
        <v>0</v>
      </c>
      <c r="AG130" s="46">
        <v>0</v>
      </c>
      <c r="AH130" s="46">
        <v>0</v>
      </c>
      <c r="AI130" s="46">
        <v>0</v>
      </c>
      <c r="AJ130" s="46">
        <v>0</v>
      </c>
      <c r="AK130" s="194">
        <f t="shared" si="17"/>
        <v>0.13391482763969467</v>
      </c>
      <c r="AL130" s="194">
        <f t="shared" si="18"/>
        <v>0.13391482763969467</v>
      </c>
      <c r="AM130" s="195">
        <f t="shared" si="19"/>
        <v>0</v>
      </c>
      <c r="AO130" s="203" t="e">
        <v>#N/A</v>
      </c>
      <c r="AP130" s="204" t="e">
        <v>#N/A</v>
      </c>
      <c r="AQ130" s="204" t="e">
        <v>#N/A</v>
      </c>
    </row>
    <row r="131" spans="1:43" ht="11.25" customHeight="1" x14ac:dyDescent="0.2">
      <c r="C131" s="59">
        <f t="shared" si="10"/>
        <v>120</v>
      </c>
      <c r="D131" s="30"/>
      <c r="E131" s="30"/>
      <c r="F131" s="30"/>
      <c r="G131" s="188"/>
      <c r="H131" s="196">
        <v>0</v>
      </c>
      <c r="I131" s="197">
        <v>0</v>
      </c>
      <c r="J131" s="197">
        <v>0</v>
      </c>
      <c r="K131" s="197">
        <v>0</v>
      </c>
      <c r="L131" s="197">
        <v>0</v>
      </c>
      <c r="M131" s="197">
        <v>0</v>
      </c>
      <c r="N131" s="197">
        <v>0</v>
      </c>
      <c r="O131" s="198">
        <f t="shared" si="11"/>
        <v>0</v>
      </c>
      <c r="P131" s="198">
        <f t="shared" si="12"/>
        <v>0</v>
      </c>
      <c r="Q131" s="199">
        <f t="shared" si="13"/>
        <v>0</v>
      </c>
      <c r="S131" s="196">
        <v>0</v>
      </c>
      <c r="T131" s="197">
        <v>0</v>
      </c>
      <c r="U131" s="197">
        <v>0</v>
      </c>
      <c r="V131" s="197">
        <v>0</v>
      </c>
      <c r="W131" s="197">
        <v>0</v>
      </c>
      <c r="X131" s="197">
        <v>0</v>
      </c>
      <c r="Y131" s="197">
        <v>0</v>
      </c>
      <c r="Z131" s="198">
        <f t="shared" si="14"/>
        <v>0</v>
      </c>
      <c r="AA131" s="198">
        <f t="shared" si="15"/>
        <v>0</v>
      </c>
      <c r="AB131" s="199">
        <f t="shared" si="16"/>
        <v>0</v>
      </c>
      <c r="AD131" s="196">
        <v>0</v>
      </c>
      <c r="AE131" s="197">
        <v>0</v>
      </c>
      <c r="AF131" s="197">
        <v>0</v>
      </c>
      <c r="AG131" s="197">
        <v>0</v>
      </c>
      <c r="AH131" s="197">
        <v>0</v>
      </c>
      <c r="AI131" s="197">
        <v>0</v>
      </c>
      <c r="AJ131" s="197">
        <v>0</v>
      </c>
      <c r="AK131" s="198">
        <f t="shared" si="17"/>
        <v>0</v>
      </c>
      <c r="AL131" s="198">
        <f t="shared" si="18"/>
        <v>0</v>
      </c>
      <c r="AM131" s="199">
        <f t="shared" si="19"/>
        <v>0</v>
      </c>
      <c r="AO131" s="205" t="e">
        <v>#N/A</v>
      </c>
      <c r="AP131" s="206" t="e">
        <v>#N/A</v>
      </c>
      <c r="AQ131" s="206" t="e">
        <v>#N/A</v>
      </c>
    </row>
    <row r="132" spans="1:43" ht="11.25" customHeight="1" x14ac:dyDescent="0.2"/>
    <row r="133" spans="1:43" ht="11.25" customHeight="1" x14ac:dyDescent="0.2">
      <c r="D133" s="9" t="s">
        <v>339</v>
      </c>
      <c r="H133" s="173">
        <v>0</v>
      </c>
      <c r="I133" s="173">
        <v>97.095806434926104</v>
      </c>
      <c r="J133" s="173">
        <v>78.102285784285527</v>
      </c>
      <c r="K133" s="173">
        <v>76.050190729212375</v>
      </c>
      <c r="L133" s="173">
        <v>64.526828224100512</v>
      </c>
      <c r="M133" s="173">
        <v>90.635535225706988</v>
      </c>
      <c r="N133" s="173">
        <v>89.201761339263228</v>
      </c>
      <c r="O133" s="173"/>
      <c r="S133" s="173">
        <v>0</v>
      </c>
      <c r="T133" s="173">
        <v>128.89581045225103</v>
      </c>
      <c r="U133" s="173">
        <v>106.10227890649801</v>
      </c>
      <c r="V133" s="173">
        <v>103.35611323930787</v>
      </c>
      <c r="W133" s="173">
        <v>88.135694241606814</v>
      </c>
      <c r="X133" s="173">
        <v>124.40257112667038</v>
      </c>
      <c r="Y133" s="173">
        <v>123.12635510487117</v>
      </c>
      <c r="AD133" s="173">
        <f>SUM(AD12:AD131)</f>
        <v>0</v>
      </c>
      <c r="AE133" s="173">
        <f t="shared" ref="AE133:AJ133" si="20">SUM(AE12:AE131)</f>
        <v>11.13824103538513</v>
      </c>
      <c r="AF133" s="173">
        <f t="shared" si="20"/>
        <v>3.6525256087889337</v>
      </c>
      <c r="AG133" s="173">
        <f t="shared" si="20"/>
        <v>0.18822231756421937</v>
      </c>
      <c r="AH133" s="173">
        <f t="shared" si="20"/>
        <v>0.18985855027963239</v>
      </c>
      <c r="AI133" s="173">
        <f t="shared" si="20"/>
        <v>0.19151519056312269</v>
      </c>
      <c r="AJ133" s="173">
        <f t="shared" si="20"/>
        <v>0.19333259405436631</v>
      </c>
    </row>
    <row r="134" spans="1:43" ht="11.25" customHeight="1" x14ac:dyDescent="0.2">
      <c r="D134" s="9" t="s">
        <v>616</v>
      </c>
      <c r="H134" s="46">
        <v>0</v>
      </c>
      <c r="I134" s="46">
        <v>97.095806434926132</v>
      </c>
      <c r="J134" s="46">
        <v>78.10228578428557</v>
      </c>
      <c r="K134" s="46">
        <v>76.050190729212389</v>
      </c>
      <c r="L134" s="46">
        <v>64.526828224100512</v>
      </c>
      <c r="M134" s="46">
        <v>90.635535225707002</v>
      </c>
      <c r="N134" s="46">
        <v>89.201761339263243</v>
      </c>
      <c r="O134" s="173"/>
      <c r="S134" s="46">
        <v>0</v>
      </c>
      <c r="T134" s="46">
        <v>128.895810452251</v>
      </c>
      <c r="U134" s="46">
        <v>106.10227890649803</v>
      </c>
      <c r="V134" s="46">
        <v>103.35611323930779</v>
      </c>
      <c r="W134" s="46">
        <v>88.135694241606885</v>
      </c>
      <c r="X134" s="46">
        <v>124.40257112667038</v>
      </c>
      <c r="Y134" s="46">
        <v>123.12635510487117</v>
      </c>
      <c r="AD134" s="46">
        <v>0</v>
      </c>
      <c r="AE134" s="46">
        <v>11.13824103538513</v>
      </c>
      <c r="AF134" s="46">
        <v>3.6525256087889337</v>
      </c>
      <c r="AG134" s="46">
        <v>0.18822231756421934</v>
      </c>
      <c r="AH134" s="46">
        <v>0.18985855027963239</v>
      </c>
      <c r="AI134" s="46">
        <v>0.19151519056312269</v>
      </c>
      <c r="AJ134" s="46">
        <v>0.19333259405436631</v>
      </c>
    </row>
    <row r="135" spans="1:43" ht="11.25" customHeight="1" x14ac:dyDescent="0.2">
      <c r="A135" s="102">
        <f>IF(SUM(H135:N135,S135:Y135)=0,0,1)</f>
        <v>0</v>
      </c>
      <c r="D135" s="9" t="s">
        <v>83</v>
      </c>
      <c r="H135" s="181">
        <f>IF(ROUND(H133-H134,3)=0,0,1)</f>
        <v>0</v>
      </c>
      <c r="I135" s="181">
        <f t="shared" ref="I135:N135" si="21">IF(ROUND(I133-I134,3)=0,0,1)</f>
        <v>0</v>
      </c>
      <c r="J135" s="181">
        <f t="shared" si="21"/>
        <v>0</v>
      </c>
      <c r="K135" s="181">
        <f t="shared" si="21"/>
        <v>0</v>
      </c>
      <c r="L135" s="181">
        <f t="shared" si="21"/>
        <v>0</v>
      </c>
      <c r="M135" s="181">
        <f t="shared" si="21"/>
        <v>0</v>
      </c>
      <c r="N135" s="181">
        <f t="shared" si="21"/>
        <v>0</v>
      </c>
      <c r="O135" s="173"/>
      <c r="S135" s="181">
        <f t="shared" ref="S135:Y135" si="22">IF(ROUND(S133-S134,3)=0,0,1)</f>
        <v>0</v>
      </c>
      <c r="T135" s="181">
        <f t="shared" si="22"/>
        <v>0</v>
      </c>
      <c r="U135" s="181">
        <f t="shared" si="22"/>
        <v>0</v>
      </c>
      <c r="V135" s="181">
        <f t="shared" si="22"/>
        <v>0</v>
      </c>
      <c r="W135" s="181">
        <f t="shared" si="22"/>
        <v>0</v>
      </c>
      <c r="X135" s="181">
        <f t="shared" si="22"/>
        <v>0</v>
      </c>
      <c r="Y135" s="181">
        <f t="shared" si="22"/>
        <v>0</v>
      </c>
      <c r="AD135" s="181">
        <f>IF(ROUND(AD133-AD134,3)=0,0,1)</f>
        <v>0</v>
      </c>
      <c r="AE135" s="181">
        <f t="shared" ref="AE135:AJ135" si="23">IF(ROUND(AE133-AE134,3)=0,0,1)</f>
        <v>0</v>
      </c>
      <c r="AF135" s="181">
        <f t="shared" si="23"/>
        <v>0</v>
      </c>
      <c r="AG135" s="181">
        <f t="shared" si="23"/>
        <v>0</v>
      </c>
      <c r="AH135" s="181">
        <f t="shared" si="23"/>
        <v>0</v>
      </c>
      <c r="AI135" s="181">
        <f t="shared" si="23"/>
        <v>0</v>
      </c>
      <c r="AJ135" s="181">
        <f t="shared" si="23"/>
        <v>0</v>
      </c>
    </row>
    <row r="136" spans="1:43" ht="11.25" customHeight="1" x14ac:dyDescent="0.2"/>
    <row r="137" spans="1:43" s="6" customFormat="1" ht="18.75" x14ac:dyDescent="0.2">
      <c r="B137" s="6" t="s">
        <v>43</v>
      </c>
    </row>
    <row r="159" spans="7:7" ht="12.75" x14ac:dyDescent="0.2">
      <c r="G159"/>
    </row>
    <row r="160" spans="7:7" ht="12.75" x14ac:dyDescent="0.2">
      <c r="G160"/>
    </row>
    <row r="161" spans="7:7" ht="12.75" x14ac:dyDescent="0.2">
      <c r="G161"/>
    </row>
    <row r="162" spans="7:7" ht="12.75" x14ac:dyDescent="0.2">
      <c r="G162"/>
    </row>
    <row r="163" spans="7:7" ht="12.75" x14ac:dyDescent="0.2">
      <c r="G163"/>
    </row>
    <row r="164" spans="7:7" ht="12.75" x14ac:dyDescent="0.2">
      <c r="G164"/>
    </row>
    <row r="165" spans="7:7" ht="12.75" x14ac:dyDescent="0.2">
      <c r="G165"/>
    </row>
    <row r="166" spans="7:7" ht="12.75" x14ac:dyDescent="0.2">
      <c r="G166"/>
    </row>
    <row r="167" spans="7:7" ht="12.75" x14ac:dyDescent="0.2">
      <c r="G167"/>
    </row>
    <row r="168" spans="7:7" ht="12.75" x14ac:dyDescent="0.2">
      <c r="G168"/>
    </row>
    <row r="169" spans="7:7" ht="12.75" x14ac:dyDescent="0.2">
      <c r="G169"/>
    </row>
    <row r="170" spans="7:7" ht="12.75" x14ac:dyDescent="0.2">
      <c r="G170"/>
    </row>
    <row r="171" spans="7:7" ht="12.75" x14ac:dyDescent="0.2">
      <c r="G171"/>
    </row>
    <row r="172" spans="7:7" ht="12.75" x14ac:dyDescent="0.2">
      <c r="G172"/>
    </row>
    <row r="173" spans="7:7" ht="12.75" x14ac:dyDescent="0.2">
      <c r="G173"/>
    </row>
    <row r="174" spans="7:7" ht="12.75" x14ac:dyDescent="0.2">
      <c r="G174"/>
    </row>
    <row r="175" spans="7:7" ht="12.75" x14ac:dyDescent="0.2">
      <c r="G175"/>
    </row>
    <row r="176" spans="7:7" ht="12.75" x14ac:dyDescent="0.2">
      <c r="G176"/>
    </row>
    <row r="177" spans="7:7" ht="12.75" x14ac:dyDescent="0.2">
      <c r="G177"/>
    </row>
    <row r="178" spans="7:7" ht="12.75" x14ac:dyDescent="0.2">
      <c r="G178"/>
    </row>
  </sheetData>
  <autoFilter ref="C11:Q131" xr:uid="{0FD6D829-E318-44E7-9670-C6A2671083C0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E9BF-4AD4-4CDB-98CF-5CDAB6560D28}">
  <sheetPr codeName="Sheet12">
    <tabColor theme="0" tint="-0.249977111117893"/>
  </sheetPr>
  <dimension ref="A1"/>
  <sheetViews>
    <sheetView showGridLines="0" zoomScaleNormal="100"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7EB40-43CE-4E28-BDEE-D05E28CE5BFE}">
  <sheetPr codeName="Sheet13">
    <tabColor theme="3" tint="0.79998168889431442"/>
  </sheetPr>
  <dimension ref="A1:X62"/>
  <sheetViews>
    <sheetView showGridLines="0" zoomScaleNormal="100" workbookViewId="0">
      <pane xSplit="4" ySplit="4" topLeftCell="E5" activePane="bottomRight" state="frozen"/>
      <selection activeCell="B5" sqref="B5"/>
      <selection pane="topRight" activeCell="B5" sqref="B5"/>
      <selection pane="bottomLeft" activeCell="B5" sqref="B5"/>
      <selection pane="bottomRight" activeCell="E5" sqref="E5"/>
    </sheetView>
  </sheetViews>
  <sheetFormatPr defaultRowHeight="12.75" x14ac:dyDescent="0.2"/>
  <cols>
    <col min="1" max="3" width="3.7109375" customWidth="1"/>
    <col min="4" max="4" width="33" bestFit="1" customWidth="1"/>
    <col min="5" max="8" width="11.5703125" customWidth="1"/>
    <col min="9" max="9" width="3.5703125" customWidth="1"/>
  </cols>
  <sheetData>
    <row r="1" spans="1:24" ht="23.25" x14ac:dyDescent="0.35">
      <c r="A1" s="52">
        <f>IF(SUM(A5:A62)&lt;&gt;0,1,0)</f>
        <v>0</v>
      </c>
      <c r="B1" s="16" t="s">
        <v>261</v>
      </c>
    </row>
    <row r="2" spans="1:24" ht="15" x14ac:dyDescent="0.2">
      <c r="B2" s="34" t="str">
        <f>Model_Name</f>
        <v>Power and Water - Revised Proposal - Tables and Charts</v>
      </c>
    </row>
    <row r="3" spans="1:24" x14ac:dyDescent="0.2">
      <c r="B3" s="37" t="str">
        <f>"Model Checks:"&amp;IF(Model_Checks=0," OK"," Check")</f>
        <v>Model Checks: OK</v>
      </c>
      <c r="J3" s="39" t="str">
        <f>LookupTab!M$40</f>
        <v>FY15</v>
      </c>
      <c r="K3" s="39" t="str">
        <f>LookupTab!N$40</f>
        <v>FY16</v>
      </c>
      <c r="L3" s="39" t="str">
        <f>LookupTab!O$40</f>
        <v>FY17</v>
      </c>
      <c r="M3" s="39" t="str">
        <f>LookupTab!P$40</f>
        <v>FY18</v>
      </c>
      <c r="N3" s="39" t="str">
        <f>LookupTab!Q$40</f>
        <v>FY19</v>
      </c>
      <c r="O3" s="39" t="str">
        <f>LookupTab!R$40</f>
        <v>FY20</v>
      </c>
      <c r="P3" s="39" t="str">
        <f>LookupTab!S$40</f>
        <v>FY21</v>
      </c>
      <c r="Q3" s="39" t="str">
        <f>LookupTab!T$40</f>
        <v>FY22</v>
      </c>
      <c r="R3" s="39" t="str">
        <f>LookupTab!U$40</f>
        <v>FY23</v>
      </c>
      <c r="S3" s="39" t="str">
        <f>LookupTab!V$40</f>
        <v>FY24</v>
      </c>
      <c r="T3" s="39" t="str">
        <f>LookupTab!W$40</f>
        <v>FY25</v>
      </c>
      <c r="U3" s="39" t="str">
        <f>LookupTab!X$40</f>
        <v>FY26</v>
      </c>
      <c r="V3" s="39" t="str">
        <f>LookupTab!Y$40</f>
        <v>FY27</v>
      </c>
      <c r="W3" s="39" t="str">
        <f>LookupTab!Z$40</f>
        <v>FY28</v>
      </c>
      <c r="X3" s="39" t="str">
        <f>LookupTab!AA$40</f>
        <v>FY29</v>
      </c>
    </row>
    <row r="4" spans="1:24" ht="15" x14ac:dyDescent="0.2">
      <c r="B4" s="29" t="str">
        <f>ToC!$B$1</f>
        <v>Table of contents</v>
      </c>
      <c r="E4" s="48" t="s">
        <v>2</v>
      </c>
      <c r="F4" s="48" t="s">
        <v>3</v>
      </c>
      <c r="G4" s="48" t="s">
        <v>4</v>
      </c>
      <c r="H4" s="48" t="s">
        <v>1</v>
      </c>
      <c r="J4" s="41" t="str">
        <f>LookupTab!M$41</f>
        <v>Previous Period</v>
      </c>
      <c r="K4" s="41"/>
      <c r="L4" s="41"/>
      <c r="M4" s="41"/>
      <c r="N4" s="41"/>
      <c r="O4" s="42" t="str">
        <f>LookupTab!R$41</f>
        <v>Current Period</v>
      </c>
      <c r="P4" s="42"/>
      <c r="Q4" s="42"/>
      <c r="R4" s="42"/>
      <c r="S4" s="42"/>
      <c r="T4" s="43" t="str">
        <f>LookupTab!W$41</f>
        <v>Next Period</v>
      </c>
      <c r="U4" s="43"/>
      <c r="V4" s="43"/>
      <c r="W4" s="43"/>
      <c r="X4" s="43"/>
    </row>
    <row r="6" spans="1:24" s="6" customFormat="1" ht="18.75" x14ac:dyDescent="0.2">
      <c r="B6" s="6" t="s">
        <v>617</v>
      </c>
    </row>
    <row r="8" spans="1:24" s="121" customFormat="1" ht="15.75" x14ac:dyDescent="0.2">
      <c r="C8" s="121" t="str">
        <f>Nominal</f>
        <v>Nominal</v>
      </c>
    </row>
    <row r="10" spans="1:24" x14ac:dyDescent="0.2">
      <c r="D10" s="60" t="s">
        <v>56</v>
      </c>
      <c r="E10" s="61" t="str">
        <f>E$4</f>
        <v>Unit</v>
      </c>
      <c r="F10" s="61" t="str">
        <f>F$4</f>
        <v>Basis</v>
      </c>
      <c r="G10" s="61" t="str">
        <f>G$4</f>
        <v>Timing</v>
      </c>
      <c r="H10" s="61" t="s">
        <v>1</v>
      </c>
      <c r="I10" s="60"/>
      <c r="J10" s="62" t="str">
        <f>J$3</f>
        <v>FY15</v>
      </c>
      <c r="K10" s="62" t="str">
        <f t="shared" ref="K10:X10" si="0">K$3</f>
        <v>FY16</v>
      </c>
      <c r="L10" s="62" t="str">
        <f t="shared" si="0"/>
        <v>FY17</v>
      </c>
      <c r="M10" s="62" t="str">
        <f t="shared" si="0"/>
        <v>FY18</v>
      </c>
      <c r="N10" s="62" t="str">
        <f t="shared" si="0"/>
        <v>FY19</v>
      </c>
      <c r="O10" s="62" t="str">
        <f t="shared" si="0"/>
        <v>FY20</v>
      </c>
      <c r="P10" s="62" t="str">
        <f t="shared" si="0"/>
        <v>FY21</v>
      </c>
      <c r="Q10" s="62" t="str">
        <f t="shared" si="0"/>
        <v>FY22</v>
      </c>
      <c r="R10" s="62" t="str">
        <f t="shared" si="0"/>
        <v>FY23</v>
      </c>
      <c r="S10" s="62" t="str">
        <f t="shared" si="0"/>
        <v>FY24</v>
      </c>
      <c r="T10" s="62" t="str">
        <f t="shared" si="0"/>
        <v>FY25</v>
      </c>
      <c r="U10" s="62" t="str">
        <f t="shared" si="0"/>
        <v>FY26</v>
      </c>
      <c r="V10" s="62" t="str">
        <f t="shared" si="0"/>
        <v>FY27</v>
      </c>
      <c r="W10" s="62" t="str">
        <f t="shared" si="0"/>
        <v>FY28</v>
      </c>
      <c r="X10" s="62" t="str">
        <f t="shared" si="0"/>
        <v>FY29</v>
      </c>
    </row>
    <row r="12" spans="1:24" x14ac:dyDescent="0.2">
      <c r="D12" s="37" t="str">
        <f>Input_Revenue!$D$12</f>
        <v>Proposed</v>
      </c>
      <c r="E12" s="39" t="str">
        <f>Unit_Dollar_M</f>
        <v>$Million</v>
      </c>
      <c r="F12" s="39" t="str">
        <f>Nominal</f>
        <v>Nominal</v>
      </c>
      <c r="G12" s="39" t="str">
        <f>Mid_Period</f>
        <v>Mid Period</v>
      </c>
      <c r="H12" s="51" t="s">
        <v>78</v>
      </c>
      <c r="J12" s="79" t="e">
        <f>Input_Revenue!J12</f>
        <v>#N/A</v>
      </c>
      <c r="K12" s="74" t="e">
        <f>Input_Revenue!K12</f>
        <v>#N/A</v>
      </c>
      <c r="L12" s="74" t="e">
        <f>Input_Revenue!L12</f>
        <v>#N/A</v>
      </c>
      <c r="M12" s="74" t="e">
        <f>Input_Revenue!M12</f>
        <v>#N/A</v>
      </c>
      <c r="N12" s="80" t="e">
        <f>Input_Revenue!N12</f>
        <v>#N/A</v>
      </c>
      <c r="O12" s="79" t="e">
        <f>Input_Revenue!O12*Input_CPI!Y$18</f>
        <v>#N/A</v>
      </c>
      <c r="P12" s="74" t="e">
        <f>Input_Revenue!P12*Input_CPI!Z$18</f>
        <v>#N/A</v>
      </c>
      <c r="Q12" s="74" t="e">
        <f>Input_Revenue!Q12*Input_CPI!AA$18</f>
        <v>#N/A</v>
      </c>
      <c r="R12" s="74" t="e">
        <f>Input_Revenue!R12*Input_CPI!AB$18</f>
        <v>#N/A</v>
      </c>
      <c r="S12" s="80" t="e">
        <f>Input_Revenue!S12*Input_CPI!AC$18</f>
        <v>#N/A</v>
      </c>
      <c r="T12" s="79">
        <f>Input_Revenue!T12*Input_CPI!AD$19</f>
        <v>171.07195025019973</v>
      </c>
      <c r="U12" s="74">
        <f>Input_Revenue!U12*Input_CPI!AE$19</f>
        <v>188.12276582985535</v>
      </c>
      <c r="V12" s="74">
        <f>Input_Revenue!V12*Input_CPI!AF$19</f>
        <v>206.87304360367094</v>
      </c>
      <c r="W12" s="74">
        <f>Input_Revenue!W12*Input_CPI!AG$19</f>
        <v>227.49216970663144</v>
      </c>
      <c r="X12" s="80">
        <f>Input_Revenue!X12*Input_CPI!AH$19</f>
        <v>240.48990940245076</v>
      </c>
    </row>
    <row r="13" spans="1:24" x14ac:dyDescent="0.2">
      <c r="D13" s="37" t="str">
        <f>Input_Revenue!$D$13</f>
        <v>Actual / Estimate</v>
      </c>
      <c r="E13" s="39" t="str">
        <f>Unit_Dollar_M</f>
        <v>$Million</v>
      </c>
      <c r="F13" s="39" t="str">
        <f>Nominal</f>
        <v>Nominal</v>
      </c>
      <c r="G13" s="39" t="str">
        <f>Mid_Period</f>
        <v>Mid Period</v>
      </c>
      <c r="H13" s="39" t="str">
        <f>H12</f>
        <v>Input_Revenue</v>
      </c>
      <c r="J13" s="79">
        <f>Input_Revenue!J13</f>
        <v>143.50099570137766</v>
      </c>
      <c r="K13" s="74">
        <f>Input_Revenue!K13</f>
        <v>165.42309480461367</v>
      </c>
      <c r="L13" s="74">
        <f>Input_Revenue!L13</f>
        <v>167.80137341850002</v>
      </c>
      <c r="M13" s="74">
        <f>Input_Revenue!M13</f>
        <v>159.78246102156695</v>
      </c>
      <c r="N13" s="80">
        <f>Input_Revenue!N13</f>
        <v>165.68571700000001</v>
      </c>
      <c r="O13" s="79">
        <f>Input_Revenue!O13</f>
        <v>172.09497206999998</v>
      </c>
      <c r="P13" s="74">
        <f>Input_Revenue!P13</f>
        <v>151.65829631</v>
      </c>
      <c r="Q13" s="74">
        <f>Input_Revenue!Q13</f>
        <v>148.74895078</v>
      </c>
      <c r="R13" s="74">
        <f>Input_Revenue!R13</f>
        <v>135.84320094883856</v>
      </c>
      <c r="S13" s="80">
        <f>Input_Revenue!S13</f>
        <v>157.655030402629</v>
      </c>
      <c r="T13" s="79" t="e">
        <f>Input_Revenue!T13</f>
        <v>#N/A</v>
      </c>
      <c r="U13" s="74" t="e">
        <f>Input_Revenue!U13</f>
        <v>#N/A</v>
      </c>
      <c r="V13" s="74" t="e">
        <f>Input_Revenue!V13</f>
        <v>#N/A</v>
      </c>
      <c r="W13" s="74" t="e">
        <f>Input_Revenue!W13</f>
        <v>#N/A</v>
      </c>
      <c r="X13" s="80" t="e">
        <f>Input_Revenue!X13</f>
        <v>#N/A</v>
      </c>
    </row>
    <row r="14" spans="1:24" x14ac:dyDescent="0.2">
      <c r="D14" s="37" t="str">
        <f>Input_Revenue!$D$14</f>
        <v>Allowed</v>
      </c>
      <c r="E14" s="39" t="str">
        <f>Unit_Dollar_M</f>
        <v>$Million</v>
      </c>
      <c r="F14" s="39" t="str">
        <f>Nominal</f>
        <v>Nominal</v>
      </c>
      <c r="G14" s="39" t="str">
        <f>Mid_Period</f>
        <v>Mid Period</v>
      </c>
      <c r="H14" s="39" t="str">
        <f>H13</f>
        <v>Input_Revenue</v>
      </c>
      <c r="J14" s="79">
        <f>Input_Revenue!J14</f>
        <v>179.19605995541366</v>
      </c>
      <c r="K14" s="74">
        <f>Input_Revenue!K14</f>
        <v>196.86049076157855</v>
      </c>
      <c r="L14" s="74">
        <f>Input_Revenue!L14</f>
        <v>206.19305604711266</v>
      </c>
      <c r="M14" s="74">
        <f>Input_Revenue!M14</f>
        <v>205.05981901107774</v>
      </c>
      <c r="N14" s="80">
        <f>Input_Revenue!N14</f>
        <v>204.9777950834733</v>
      </c>
      <c r="O14" s="79">
        <f>Input_Revenue!O14*Input_CPI!Y$18</f>
        <v>138.14006361802296</v>
      </c>
      <c r="P14" s="74">
        <f>Input_Revenue!P14*Input_CPI!Z$18</f>
        <v>141.75995176093465</v>
      </c>
      <c r="Q14" s="74">
        <f>Input_Revenue!Q14*Input_CPI!AA$18</f>
        <v>149.71643227142133</v>
      </c>
      <c r="R14" s="74">
        <f>Input_Revenue!R14*Input_CPI!AB$18</f>
        <v>159.03994302442189</v>
      </c>
      <c r="S14" s="80">
        <f>Input_Revenue!S14*Input_CPI!AC$18</f>
        <v>168.35097010192555</v>
      </c>
      <c r="T14" s="79" t="e">
        <f>Input_Revenue!T14*Input_CPI!AD$19</f>
        <v>#N/A</v>
      </c>
      <c r="U14" s="74" t="e">
        <f>Input_Revenue!U14*Input_CPI!AE$19</f>
        <v>#N/A</v>
      </c>
      <c r="V14" s="74" t="e">
        <f>Input_Revenue!V14*Input_CPI!AF$19</f>
        <v>#N/A</v>
      </c>
      <c r="W14" s="74" t="e">
        <f>Input_Revenue!W14*Input_CPI!AG$19</f>
        <v>#N/A</v>
      </c>
      <c r="X14" s="80" t="e">
        <f>Input_Revenue!X14*Input_CPI!AH$19</f>
        <v>#N/A</v>
      </c>
    </row>
    <row r="16" spans="1:24" s="121" customFormat="1" ht="15.75" x14ac:dyDescent="0.2">
      <c r="C16" s="121" t="str">
        <f>Real_Input</f>
        <v>Real 2024</v>
      </c>
    </row>
    <row r="18" spans="2:24" x14ac:dyDescent="0.2">
      <c r="D18" s="60" t="s">
        <v>56</v>
      </c>
      <c r="E18" s="61" t="str">
        <f>E$4</f>
        <v>Unit</v>
      </c>
      <c r="F18" s="61" t="str">
        <f>F$4</f>
        <v>Basis</v>
      </c>
      <c r="G18" s="61" t="str">
        <f>G$4</f>
        <v>Timing</v>
      </c>
      <c r="H18" s="61" t="s">
        <v>1</v>
      </c>
      <c r="I18" s="60"/>
      <c r="J18" s="62" t="str">
        <f>J$3</f>
        <v>FY15</v>
      </c>
      <c r="K18" s="62" t="str">
        <f t="shared" ref="K18:X18" si="1">K$3</f>
        <v>FY16</v>
      </c>
      <c r="L18" s="62" t="str">
        <f t="shared" si="1"/>
        <v>FY17</v>
      </c>
      <c r="M18" s="62" t="str">
        <f t="shared" si="1"/>
        <v>FY18</v>
      </c>
      <c r="N18" s="62" t="str">
        <f t="shared" si="1"/>
        <v>FY19</v>
      </c>
      <c r="O18" s="62" t="str">
        <f t="shared" si="1"/>
        <v>FY20</v>
      </c>
      <c r="P18" s="62" t="str">
        <f t="shared" si="1"/>
        <v>FY21</v>
      </c>
      <c r="Q18" s="62" t="str">
        <f t="shared" si="1"/>
        <v>FY22</v>
      </c>
      <c r="R18" s="62" t="str">
        <f t="shared" si="1"/>
        <v>FY23</v>
      </c>
      <c r="S18" s="62" t="str">
        <f t="shared" si="1"/>
        <v>FY24</v>
      </c>
      <c r="T18" s="62" t="str">
        <f t="shared" si="1"/>
        <v>FY25</v>
      </c>
      <c r="U18" s="62" t="str">
        <f t="shared" si="1"/>
        <v>FY26</v>
      </c>
      <c r="V18" s="62" t="str">
        <f t="shared" si="1"/>
        <v>FY27</v>
      </c>
      <c r="W18" s="62" t="str">
        <f t="shared" si="1"/>
        <v>FY28</v>
      </c>
      <c r="X18" s="62" t="str">
        <f t="shared" si="1"/>
        <v>FY29</v>
      </c>
    </row>
    <row r="20" spans="2:24" x14ac:dyDescent="0.2">
      <c r="D20" s="37" t="str">
        <f>D12</f>
        <v>Proposed</v>
      </c>
      <c r="E20" s="39" t="str">
        <f>Unit_Dollar_M</f>
        <v>$Million</v>
      </c>
      <c r="F20" s="39" t="str">
        <f>Real_Input</f>
        <v>Real 2024</v>
      </c>
      <c r="G20" s="39" t="str">
        <f>End_Period</f>
        <v>End Period</v>
      </c>
      <c r="H20" s="51" t="s">
        <v>78</v>
      </c>
      <c r="J20" s="79" t="e">
        <f>Input_Revenue!J12*Input_CPI!T$20</f>
        <v>#N/A</v>
      </c>
      <c r="K20" s="74" t="e">
        <f>Input_Revenue!K12*Input_CPI!U$20</f>
        <v>#N/A</v>
      </c>
      <c r="L20" s="74" t="e">
        <f>Input_Revenue!L12*Input_CPI!V$20</f>
        <v>#N/A</v>
      </c>
      <c r="M20" s="74" t="e">
        <f>Input_Revenue!M12*Input_CPI!W$20</f>
        <v>#N/A</v>
      </c>
      <c r="N20" s="80" t="e">
        <f>Input_Revenue!N12*Input_CPI!X$20</f>
        <v>#N/A</v>
      </c>
      <c r="O20" s="79" t="e">
        <f>Input_Revenue!O12*Input_CPI!Y$16</f>
        <v>#N/A</v>
      </c>
      <c r="P20" s="74" t="e">
        <f>Input_Revenue!P12*Input_CPI!Z$16</f>
        <v>#N/A</v>
      </c>
      <c r="Q20" s="74" t="e">
        <f>Input_Revenue!Q12*Input_CPI!AA$16</f>
        <v>#N/A</v>
      </c>
      <c r="R20" s="74" t="e">
        <f>Input_Revenue!R12*Input_CPI!AB$16</f>
        <v>#N/A</v>
      </c>
      <c r="S20" s="80" t="e">
        <f>Input_Revenue!S12*Input_CPI!AC$16</f>
        <v>#N/A</v>
      </c>
      <c r="T20" s="79">
        <f>Input_Revenue!T12</f>
        <v>168.72627221033039</v>
      </c>
      <c r="U20" s="74">
        <f>Input_Revenue!U12</f>
        <v>180.489968952612</v>
      </c>
      <c r="V20" s="74">
        <f>Input_Revenue!V12</f>
        <v>193.07383767659815</v>
      </c>
      <c r="W20" s="74">
        <f>Input_Revenue!W12</f>
        <v>206.53506126402323</v>
      </c>
      <c r="X20" s="80">
        <f>Input_Revenue!X12</f>
        <v>212.38899199525338</v>
      </c>
    </row>
    <row r="21" spans="2:24" x14ac:dyDescent="0.2">
      <c r="D21" s="37" t="str">
        <f>D13</f>
        <v>Actual / Estimate</v>
      </c>
      <c r="E21" s="39" t="str">
        <f>Unit_Dollar_M</f>
        <v>$Million</v>
      </c>
      <c r="F21" s="39" t="str">
        <f>Real_Input</f>
        <v>Real 2024</v>
      </c>
      <c r="G21" s="39" t="str">
        <f>End_Period</f>
        <v>End Period</v>
      </c>
      <c r="H21" s="39" t="str">
        <f>H20</f>
        <v>Input_Revenue</v>
      </c>
      <c r="J21" s="79">
        <f>Input_Revenue!J13*Input_CPI!T$20</f>
        <v>186.29185404502522</v>
      </c>
      <c r="K21" s="74">
        <f>Input_Revenue!K13*Input_CPI!U$20</f>
        <v>212.06459110030377</v>
      </c>
      <c r="L21" s="74">
        <f>Input_Revenue!L13*Input_CPI!V$20</f>
        <v>211.98149501382358</v>
      </c>
      <c r="M21" s="74">
        <f>Input_Revenue!M13*Input_CPI!W$20</f>
        <v>197.88243074728541</v>
      </c>
      <c r="N21" s="80">
        <f>Input_Revenue!N13*Input_CPI!X$20</f>
        <v>201.49583262587984</v>
      </c>
      <c r="O21" s="79">
        <f>Input_Revenue!O13*Input_CPI!Y$20</f>
        <v>208.0057730064222</v>
      </c>
      <c r="P21" s="74">
        <f>Input_Revenue!P13*Input_CPI!Z$20</f>
        <v>180.19224785983207</v>
      </c>
      <c r="Q21" s="74">
        <f>Input_Revenue!Q13*Input_CPI!AA$20</f>
        <v>168.3368941612201</v>
      </c>
      <c r="R21" s="74">
        <f>Input_Revenue!R13*Input_CPI!AB$20</f>
        <v>144.91249113218032</v>
      </c>
      <c r="S21" s="80">
        <f>Input_Revenue!S13*Input_CPI!AC$20</f>
        <v>160.46773046709114</v>
      </c>
      <c r="T21" s="79" t="e">
        <f>Input_Revenue!T13*Input_CPI!AD$20</f>
        <v>#N/A</v>
      </c>
      <c r="U21" s="74" t="e">
        <f>Input_Revenue!U13*Input_CPI!AE$20</f>
        <v>#N/A</v>
      </c>
      <c r="V21" s="74" t="e">
        <f>Input_Revenue!V13*Input_CPI!AF$20</f>
        <v>#N/A</v>
      </c>
      <c r="W21" s="74" t="e">
        <f>Input_Revenue!W13*Input_CPI!AG$20</f>
        <v>#N/A</v>
      </c>
      <c r="X21" s="80" t="e">
        <f>Input_Revenue!X13*Input_CPI!AH$20</f>
        <v>#N/A</v>
      </c>
    </row>
    <row r="22" spans="2:24" x14ac:dyDescent="0.2">
      <c r="D22" s="37" t="str">
        <f>D14</f>
        <v>Allowed</v>
      </c>
      <c r="E22" s="39" t="str">
        <f>Unit_Dollar_M</f>
        <v>$Million</v>
      </c>
      <c r="F22" s="39" t="str">
        <f>Real_Input</f>
        <v>Real 2024</v>
      </c>
      <c r="G22" s="39" t="str">
        <f>End_Period</f>
        <v>End Period</v>
      </c>
      <c r="H22" s="39" t="str">
        <f>H21</f>
        <v>Input_Revenue</v>
      </c>
      <c r="J22" s="79">
        <f>Input_Revenue!J14*Input_CPI!T$20</f>
        <v>232.63090324562134</v>
      </c>
      <c r="K22" s="74">
        <f>Input_Revenue!K14*Input_CPI!U$20</f>
        <v>252.36584726254893</v>
      </c>
      <c r="L22" s="74">
        <f>Input_Revenue!L14*Input_CPI!V$20</f>
        <v>260.48125466365912</v>
      </c>
      <c r="M22" s="74">
        <f>Input_Revenue!M14*Input_CPI!W$20</f>
        <v>253.95612994741279</v>
      </c>
      <c r="N22" s="80">
        <f>Input_Revenue!N14*Input_CPI!X$20</f>
        <v>249.28021701569745</v>
      </c>
      <c r="O22" s="79">
        <f>Input_Revenue!O14*Input_CPI!Y$16</f>
        <v>166.96554449211695</v>
      </c>
      <c r="P22" s="74">
        <f>Input_Revenue!P14*Input_CPI!Z$16</f>
        <v>168.43156613134033</v>
      </c>
      <c r="Q22" s="74">
        <f>Input_Revenue!Q14*Input_CPI!AA$16</f>
        <v>169.43177804826823</v>
      </c>
      <c r="R22" s="74">
        <f>Input_Revenue!R14*Input_CPI!AB$16</f>
        <v>169.65791568669636</v>
      </c>
      <c r="S22" s="80">
        <f>Input_Revenue!S14*Input_CPI!AC$16</f>
        <v>171.35449484356329</v>
      </c>
      <c r="T22" s="79" t="e">
        <f>Input_Revenue!T14</f>
        <v>#N/A</v>
      </c>
      <c r="U22" s="74" t="e">
        <f>Input_Revenue!U14</f>
        <v>#N/A</v>
      </c>
      <c r="V22" s="74" t="e">
        <f>Input_Revenue!V14</f>
        <v>#N/A</v>
      </c>
      <c r="W22" s="74" t="e">
        <f>Input_Revenue!W14</f>
        <v>#N/A</v>
      </c>
      <c r="X22" s="80" t="e">
        <f>Input_Revenue!X14</f>
        <v>#N/A</v>
      </c>
    </row>
    <row r="24" spans="2:24" s="6" customFormat="1" ht="18.75" x14ac:dyDescent="0.2">
      <c r="B24" s="6" t="s">
        <v>618</v>
      </c>
    </row>
    <row r="26" spans="2:24" s="121" customFormat="1" ht="15.75" x14ac:dyDescent="0.2">
      <c r="C26" s="121" t="str">
        <f>Nominal</f>
        <v>Nominal</v>
      </c>
    </row>
    <row r="28" spans="2:24" x14ac:dyDescent="0.2">
      <c r="D28" s="60" t="s">
        <v>56</v>
      </c>
      <c r="E28" s="61" t="str">
        <f>E$4</f>
        <v>Unit</v>
      </c>
      <c r="F28" s="61" t="str">
        <f>F$4</f>
        <v>Basis</v>
      </c>
      <c r="G28" s="61" t="str">
        <f>G$4</f>
        <v>Timing</v>
      </c>
      <c r="H28" s="61" t="s">
        <v>1</v>
      </c>
      <c r="I28" s="60"/>
      <c r="J28" s="62" t="str">
        <f>J$3</f>
        <v>FY15</v>
      </c>
      <c r="K28" s="62" t="str">
        <f t="shared" ref="K28:X28" si="2">K$3</f>
        <v>FY16</v>
      </c>
      <c r="L28" s="62" t="str">
        <f t="shared" si="2"/>
        <v>FY17</v>
      </c>
      <c r="M28" s="62" t="str">
        <f t="shared" si="2"/>
        <v>FY18</v>
      </c>
      <c r="N28" s="62" t="str">
        <f t="shared" si="2"/>
        <v>FY19</v>
      </c>
      <c r="O28" s="62" t="str">
        <f t="shared" si="2"/>
        <v>FY20</v>
      </c>
      <c r="P28" s="62" t="str">
        <f t="shared" si="2"/>
        <v>FY21</v>
      </c>
      <c r="Q28" s="62" t="str">
        <f t="shared" si="2"/>
        <v>FY22</v>
      </c>
      <c r="R28" s="62" t="str">
        <f t="shared" si="2"/>
        <v>FY23</v>
      </c>
      <c r="S28" s="62" t="str">
        <f t="shared" si="2"/>
        <v>FY24</v>
      </c>
      <c r="T28" s="62" t="str">
        <f t="shared" si="2"/>
        <v>FY25</v>
      </c>
      <c r="U28" s="62" t="str">
        <f t="shared" si="2"/>
        <v>FY26</v>
      </c>
      <c r="V28" s="62" t="str">
        <f t="shared" si="2"/>
        <v>FY27</v>
      </c>
      <c r="W28" s="62" t="str">
        <f t="shared" si="2"/>
        <v>FY28</v>
      </c>
      <c r="X28" s="62" t="str">
        <f t="shared" si="2"/>
        <v>FY29</v>
      </c>
    </row>
    <row r="30" spans="2:24" x14ac:dyDescent="0.2">
      <c r="D30" s="37" t="str">
        <f>Input_Revenue!$D$20</f>
        <v>Return on capital</v>
      </c>
      <c r="E30" s="39" t="str">
        <f t="shared" ref="E30:E36" si="3">Unit_Dollar_M</f>
        <v>$Million</v>
      </c>
      <c r="F30" s="39" t="str">
        <f>Nominal</f>
        <v>Nominal</v>
      </c>
      <c r="G30" s="39" t="str">
        <f t="shared" ref="G30:G36" si="4">Mid_Period</f>
        <v>Mid Period</v>
      </c>
      <c r="H30" s="51" t="s">
        <v>78</v>
      </c>
      <c r="J30" s="79">
        <f>Input_Revenue!J20</f>
        <v>40.126182048622823</v>
      </c>
      <c r="K30" s="74">
        <f>Input_Revenue!K20</f>
        <v>45.599081075941257</v>
      </c>
      <c r="L30" s="74">
        <f>Input_Revenue!L20</f>
        <v>49.475517671645832</v>
      </c>
      <c r="M30" s="74">
        <f>Input_Revenue!M20</f>
        <v>50.184331037236213</v>
      </c>
      <c r="N30" s="80">
        <f>Input_Revenue!N20</f>
        <v>51.436027342449563</v>
      </c>
      <c r="O30" s="79">
        <f>Input_Revenue!O20*Input_CPI!Y$18</f>
        <v>45.726657640936487</v>
      </c>
      <c r="P30" s="74">
        <f>Input_Revenue!P20*Input_CPI!Z$18</f>
        <v>48.121179904386857</v>
      </c>
      <c r="Q30" s="74">
        <f>Input_Revenue!Q20*Input_CPI!AA$18</f>
        <v>50.608748009155278</v>
      </c>
      <c r="R30" s="74">
        <f>Input_Revenue!R20*Input_CPI!AB$18</f>
        <v>54.468499327817057</v>
      </c>
      <c r="S30" s="80">
        <f>Input_Revenue!S20*Input_CPI!AC$18</f>
        <v>60.014699875260206</v>
      </c>
      <c r="T30" s="79">
        <f>Input_Revenue!T20*Input_CPI!AD$19</f>
        <v>71.085497010125877</v>
      </c>
      <c r="U30" s="74">
        <f>Input_Revenue!U20*Input_CPI!AE$19</f>
        <v>76.685613243832151</v>
      </c>
      <c r="V30" s="74">
        <f>Input_Revenue!V20*Input_CPI!AF$19</f>
        <v>82.693615048539414</v>
      </c>
      <c r="W30" s="74">
        <f>Input_Revenue!W20*Input_CPI!AG$19</f>
        <v>87.910625688908254</v>
      </c>
      <c r="X30" s="80">
        <f>Input_Revenue!X20*Input_CPI!AH$19</f>
        <v>95.563605946177248</v>
      </c>
    </row>
    <row r="31" spans="2:24" x14ac:dyDescent="0.2">
      <c r="D31" s="37" t="str">
        <f>Input_Revenue!$D$21</f>
        <v>Return of capital (regulatory depreciation)</v>
      </c>
      <c r="E31" s="39" t="str">
        <f t="shared" si="3"/>
        <v>$Million</v>
      </c>
      <c r="F31" s="39" t="str">
        <f>Nominal</f>
        <v>Nominal</v>
      </c>
      <c r="G31" s="39" t="str">
        <f t="shared" si="4"/>
        <v>Mid Period</v>
      </c>
      <c r="H31" s="39" t="str">
        <f>H30</f>
        <v>Input_Revenue</v>
      </c>
      <c r="J31" s="79">
        <f>Input_Revenue!J21</f>
        <v>28.490464006480725</v>
      </c>
      <c r="K31" s="74">
        <f>Input_Revenue!K21</f>
        <v>34.143121076443251</v>
      </c>
      <c r="L31" s="74">
        <f>Input_Revenue!L21</f>
        <v>31.90165004523816</v>
      </c>
      <c r="M31" s="74">
        <f>Input_Revenue!M21</f>
        <v>34.505409841174924</v>
      </c>
      <c r="N31" s="80">
        <f>Input_Revenue!N21</f>
        <v>37.850963199394336</v>
      </c>
      <c r="O31" s="79">
        <f>Input_Revenue!O21*Input_CPI!Y$18</f>
        <v>17.990922812662131</v>
      </c>
      <c r="P31" s="74">
        <f>Input_Revenue!P21*Input_CPI!Z$18</f>
        <v>22.753834548450907</v>
      </c>
      <c r="Q31" s="74">
        <f>Input_Revenue!Q21*Input_CPI!AA$18</f>
        <v>26.430374931740236</v>
      </c>
      <c r="R31" s="74">
        <f>Input_Revenue!R21*Input_CPI!AB$18</f>
        <v>31.868761298469217</v>
      </c>
      <c r="S31" s="80">
        <f>Input_Revenue!S21*Input_CPI!AC$18</f>
        <v>35.961799710304604</v>
      </c>
      <c r="T31" s="79">
        <f>Input_Revenue!T21*Input_CPI!AD$19</f>
        <v>35.519706090974751</v>
      </c>
      <c r="U31" s="74">
        <f>Input_Revenue!U21*Input_CPI!AE$19</f>
        <v>36.74926767186696</v>
      </c>
      <c r="V31" s="74">
        <f>Input_Revenue!V21*Input_CPI!AF$19</f>
        <v>39.662297155837187</v>
      </c>
      <c r="W31" s="74">
        <f>Input_Revenue!W21*Input_CPI!AG$19</f>
        <v>45.704090973521232</v>
      </c>
      <c r="X31" s="80">
        <f>Input_Revenue!X21*Input_CPI!AH$19</f>
        <v>49.976884305476148</v>
      </c>
    </row>
    <row r="32" spans="2:24" x14ac:dyDescent="0.2">
      <c r="D32" s="37" t="str">
        <f>Input_Revenue!$D$22</f>
        <v>Operating expenditure</v>
      </c>
      <c r="E32" s="39" t="str">
        <f t="shared" si="3"/>
        <v>$Million</v>
      </c>
      <c r="F32" s="39" t="str">
        <f>Nominal</f>
        <v>Nominal</v>
      </c>
      <c r="G32" s="39" t="str">
        <f t="shared" si="4"/>
        <v>Mid Period</v>
      </c>
      <c r="H32" s="39" t="str">
        <f>H31</f>
        <v>Input_Revenue</v>
      </c>
      <c r="J32" s="79">
        <f>Input_Revenue!J22</f>
        <v>103.2108422725609</v>
      </c>
      <c r="K32" s="74">
        <f>Input_Revenue!K22</f>
        <v>108.43259131820697</v>
      </c>
      <c r="L32" s="74">
        <f>Input_Revenue!L22</f>
        <v>114.762519910039</v>
      </c>
      <c r="M32" s="74">
        <f>Input_Revenue!M22</f>
        <v>109.41155678634661</v>
      </c>
      <c r="N32" s="80">
        <f>Input_Revenue!N22</f>
        <v>103.71100069523501</v>
      </c>
      <c r="O32" s="79">
        <f>Input_Revenue!O22*Input_CPI!Y$18</f>
        <v>67.244789594376925</v>
      </c>
      <c r="P32" s="74">
        <f>Input_Revenue!P22*Input_CPI!Z$18</f>
        <v>67.894001263578502</v>
      </c>
      <c r="Q32" s="74">
        <f>Input_Revenue!Q22*Input_CPI!AA$18</f>
        <v>70.962805887201327</v>
      </c>
      <c r="R32" s="74">
        <f>Input_Revenue!R22*Input_CPI!AB$18</f>
        <v>74.815091556577045</v>
      </c>
      <c r="S32" s="80">
        <f>Input_Revenue!S22*Input_CPI!AC$18</f>
        <v>77.915819099022741</v>
      </c>
      <c r="T32" s="79">
        <f>Input_Revenue!T22*Input_CPI!AD$19</f>
        <v>76.909984492376125</v>
      </c>
      <c r="U32" s="74">
        <f>Input_Revenue!U22*Input_CPI!AE$19</f>
        <v>80.131447652419311</v>
      </c>
      <c r="V32" s="74">
        <f>Input_Revenue!V22*Input_CPI!AF$19</f>
        <v>82.885817585577783</v>
      </c>
      <c r="W32" s="74">
        <f>Input_Revenue!W22*Input_CPI!AG$19</f>
        <v>86.34413850773781</v>
      </c>
      <c r="X32" s="80">
        <f>Input_Revenue!X22*Input_CPI!AH$19</f>
        <v>89.176755308233808</v>
      </c>
    </row>
    <row r="33" spans="3:24" x14ac:dyDescent="0.2">
      <c r="D33" s="37" t="str">
        <f>Input_Revenue!$D$23</f>
        <v>Revenue adjustments</v>
      </c>
      <c r="E33" s="39" t="str">
        <f t="shared" si="3"/>
        <v>$Million</v>
      </c>
      <c r="F33" s="39" t="str">
        <f>Nominal</f>
        <v>Nominal</v>
      </c>
      <c r="G33" s="39" t="str">
        <f t="shared" si="4"/>
        <v>Mid Period</v>
      </c>
      <c r="H33" s="39" t="str">
        <f>H32</f>
        <v>Input_Revenue</v>
      </c>
      <c r="J33" s="79">
        <f>Input_Revenue!J23</f>
        <v>7.3685716277492181</v>
      </c>
      <c r="K33" s="74">
        <f>Input_Revenue!K23</f>
        <v>8.685697290987056</v>
      </c>
      <c r="L33" s="74">
        <f>Input_Revenue!L23</f>
        <v>10.053368420189708</v>
      </c>
      <c r="M33" s="74">
        <f>Input_Revenue!M23</f>
        <v>10.958521346319987</v>
      </c>
      <c r="N33" s="80">
        <f>Input_Revenue!N23</f>
        <v>11.979803846394363</v>
      </c>
      <c r="O33" s="79">
        <f>Input_Revenue!O23*Input_CPI!Y$18</f>
        <v>4.4440031169960231E-2</v>
      </c>
      <c r="P33" s="74">
        <f>Input_Revenue!P23*Input_CPI!Z$18</f>
        <v>4.9336300965939571E-2</v>
      </c>
      <c r="Q33" s="74">
        <f>Input_Revenue!Q23*Input_CPI!AA$18</f>
        <v>5.4372983188454023E-2</v>
      </c>
      <c r="R33" s="74">
        <f>Input_Revenue!R23*Input_CPI!AB$18</f>
        <v>6.1224809106322879E-2</v>
      </c>
      <c r="S33" s="80">
        <f>Input_Revenue!S23*Input_CPI!AC$18</f>
        <v>6.599931475765175E-2</v>
      </c>
      <c r="T33" s="79">
        <f>Input_Revenue!T23*Input_CPI!AD$19</f>
        <v>-1.1030761777124281</v>
      </c>
      <c r="U33" s="74">
        <f>Input_Revenue!U23*Input_CPI!AE$19</f>
        <v>-1.1339598963617796</v>
      </c>
      <c r="V33" s="74">
        <f>Input_Revenue!V23*Input_CPI!AF$19</f>
        <v>-1.1657082915374526</v>
      </c>
      <c r="W33" s="74">
        <f>Input_Revenue!W23*Input_CPI!AG$19</f>
        <v>-1.1983455722896483</v>
      </c>
      <c r="X33" s="80">
        <f>Input_Revenue!X23*Input_CPI!AH$19</f>
        <v>-1.2318966254689856</v>
      </c>
    </row>
    <row r="34" spans="3:24" x14ac:dyDescent="0.2">
      <c r="D34" s="37" t="str">
        <f>Input_Revenue!$D$24</f>
        <v>Net tax allowance</v>
      </c>
      <c r="E34" s="39" t="str">
        <f t="shared" si="3"/>
        <v>$Million</v>
      </c>
      <c r="F34" s="39" t="str">
        <f>Nominal</f>
        <v>Nominal</v>
      </c>
      <c r="G34" s="39" t="str">
        <f t="shared" si="4"/>
        <v>Mid Period</v>
      </c>
      <c r="H34" s="39" t="str">
        <f>H33</f>
        <v>Input_Revenue</v>
      </c>
      <c r="J34" s="79">
        <f>Input_Revenue!J24</f>
        <v>0</v>
      </c>
      <c r="K34" s="74">
        <f>Input_Revenue!K24</f>
        <v>0</v>
      </c>
      <c r="L34" s="74">
        <f>Input_Revenue!L24</f>
        <v>0</v>
      </c>
      <c r="M34" s="74">
        <f>Input_Revenue!M24</f>
        <v>0</v>
      </c>
      <c r="N34" s="80">
        <f>Input_Revenue!N24</f>
        <v>0</v>
      </c>
      <c r="O34" s="79">
        <f>Input_Revenue!O24*Input_CPI!Y$18</f>
        <v>1.6900695016716283</v>
      </c>
      <c r="P34" s="74">
        <f>Input_Revenue!P24*Input_CPI!Z$18</f>
        <v>1.0089152749742696</v>
      </c>
      <c r="Q34" s="74">
        <f>Input_Revenue!Q24*Input_CPI!AA$18</f>
        <v>1.0946156595254537</v>
      </c>
      <c r="R34" s="74">
        <f>Input_Revenue!R24*Input_CPI!AB$18</f>
        <v>0.88631473352313861</v>
      </c>
      <c r="S34" s="80">
        <f>Input_Revenue!S24*Input_CPI!AC$18</f>
        <v>1.2530392883795418</v>
      </c>
      <c r="T34" s="79">
        <f>Input_Revenue!T24*Input_CPI!AD$19</f>
        <v>0</v>
      </c>
      <c r="U34" s="74">
        <f>Input_Revenue!U24*Input_CPI!AE$19</f>
        <v>0</v>
      </c>
      <c r="V34" s="74">
        <f>Input_Revenue!V24*Input_CPI!AF$19</f>
        <v>0</v>
      </c>
      <c r="W34" s="74">
        <f>Input_Revenue!W24*Input_CPI!AG$19</f>
        <v>0</v>
      </c>
      <c r="X34" s="80">
        <f>Input_Revenue!X24*Input_CPI!AH$19</f>
        <v>0</v>
      </c>
    </row>
    <row r="35" spans="3:24" x14ac:dyDescent="0.2">
      <c r="E35" s="39"/>
      <c r="F35" s="39"/>
      <c r="G35" s="39"/>
      <c r="H35" s="51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</row>
    <row r="36" spans="3:24" x14ac:dyDescent="0.2">
      <c r="D36" s="104" t="str">
        <f>Input_Revenue!$D$26</f>
        <v>Annual building block revenue</v>
      </c>
      <c r="E36" s="125" t="str">
        <f t="shared" si="3"/>
        <v>$Million</v>
      </c>
      <c r="F36" s="125" t="str">
        <f>F34</f>
        <v>Nominal</v>
      </c>
      <c r="G36" s="125" t="str">
        <f t="shared" si="4"/>
        <v>Mid Period</v>
      </c>
      <c r="H36" s="125" t="s">
        <v>8</v>
      </c>
      <c r="I36" s="69"/>
      <c r="J36" s="128">
        <f>Input_Revenue!J26</f>
        <v>179.19605995541366</v>
      </c>
      <c r="K36" s="129">
        <f>Input_Revenue!K26</f>
        <v>196.86049076157855</v>
      </c>
      <c r="L36" s="129">
        <f>Input_Revenue!L26</f>
        <v>206.19305604711269</v>
      </c>
      <c r="M36" s="129">
        <f>Input_Revenue!M26</f>
        <v>205.05981901107774</v>
      </c>
      <c r="N36" s="130">
        <f>Input_Revenue!N26</f>
        <v>204.97779508347327</v>
      </c>
      <c r="O36" s="128">
        <f>Input_Revenue!O26*Input_CPI!Y$18</f>
        <v>132.69687958081713</v>
      </c>
      <c r="P36" s="129">
        <f>Input_Revenue!P26*Input_CPI!Z$18</f>
        <v>139.82726729235645</v>
      </c>
      <c r="Q36" s="129">
        <f>Input_Revenue!Q26*Input_CPI!AA$18</f>
        <v>149.15091747081075</v>
      </c>
      <c r="R36" s="129">
        <f>Input_Revenue!R26*Input_CPI!AB$18</f>
        <v>162.0998917254928</v>
      </c>
      <c r="S36" s="130">
        <f>Input_Revenue!S26*Input_CPI!AC$18</f>
        <v>175.21135728772475</v>
      </c>
      <c r="T36" s="128">
        <f>Input_Revenue!T26*Input_CPI!AD$19</f>
        <v>182.41211141576431</v>
      </c>
      <c r="U36" s="129">
        <f>Input_Revenue!U26*Input_CPI!AE$19</f>
        <v>192.43236867175662</v>
      </c>
      <c r="V36" s="129">
        <f>Input_Revenue!V26*Input_CPI!AF$19</f>
        <v>204.07602149841691</v>
      </c>
      <c r="W36" s="129">
        <f>Input_Revenue!W26*Input_CPI!AG$19</f>
        <v>218.76050959787761</v>
      </c>
      <c r="X36" s="130">
        <f>Input_Revenue!X26*Input_CPI!AH$19</f>
        <v>233.4853489344182</v>
      </c>
    </row>
    <row r="38" spans="3:24" s="121" customFormat="1" ht="15.75" x14ac:dyDescent="0.2">
      <c r="C38" s="121" t="str">
        <f>Real_Input</f>
        <v>Real 2024</v>
      </c>
    </row>
    <row r="40" spans="3:24" x14ac:dyDescent="0.2">
      <c r="D40" s="60" t="s">
        <v>56</v>
      </c>
      <c r="E40" s="61" t="str">
        <f>E$4</f>
        <v>Unit</v>
      </c>
      <c r="F40" s="61" t="str">
        <f>F$4</f>
        <v>Basis</v>
      </c>
      <c r="G40" s="61" t="str">
        <f>G$4</f>
        <v>Timing</v>
      </c>
      <c r="H40" s="61" t="s">
        <v>1</v>
      </c>
      <c r="I40" s="60"/>
      <c r="J40" s="62" t="str">
        <f>J$3</f>
        <v>FY15</v>
      </c>
      <c r="K40" s="62" t="str">
        <f t="shared" ref="K40:X40" si="5">K$3</f>
        <v>FY16</v>
      </c>
      <c r="L40" s="62" t="str">
        <f t="shared" si="5"/>
        <v>FY17</v>
      </c>
      <c r="M40" s="62" t="str">
        <f t="shared" si="5"/>
        <v>FY18</v>
      </c>
      <c r="N40" s="62" t="str">
        <f t="shared" si="5"/>
        <v>FY19</v>
      </c>
      <c r="O40" s="62" t="str">
        <f t="shared" si="5"/>
        <v>FY20</v>
      </c>
      <c r="P40" s="62" t="str">
        <f t="shared" si="5"/>
        <v>FY21</v>
      </c>
      <c r="Q40" s="62" t="str">
        <f t="shared" si="5"/>
        <v>FY22</v>
      </c>
      <c r="R40" s="62" t="str">
        <f t="shared" si="5"/>
        <v>FY23</v>
      </c>
      <c r="S40" s="62" t="str">
        <f t="shared" si="5"/>
        <v>FY24</v>
      </c>
      <c r="T40" s="62" t="str">
        <f t="shared" si="5"/>
        <v>FY25</v>
      </c>
      <c r="U40" s="62" t="str">
        <f t="shared" si="5"/>
        <v>FY26</v>
      </c>
      <c r="V40" s="62" t="str">
        <f t="shared" si="5"/>
        <v>FY27</v>
      </c>
      <c r="W40" s="62" t="str">
        <f t="shared" si="5"/>
        <v>FY28</v>
      </c>
      <c r="X40" s="62" t="str">
        <f t="shared" si="5"/>
        <v>FY29</v>
      </c>
    </row>
    <row r="42" spans="3:24" x14ac:dyDescent="0.2">
      <c r="D42" s="37" t="str">
        <f>Input_Revenue!$D$20</f>
        <v>Return on capital</v>
      </c>
      <c r="E42" s="39" t="str">
        <f t="shared" ref="E42:E48" si="6">Unit_Dollar_M</f>
        <v>$Million</v>
      </c>
      <c r="F42" s="39" t="str">
        <f t="shared" ref="F42:F48" si="7">Real_Input</f>
        <v>Real 2024</v>
      </c>
      <c r="G42" s="39" t="str">
        <f t="shared" ref="G42:G48" si="8">End_Period</f>
        <v>End Period</v>
      </c>
      <c r="H42" s="51" t="s">
        <v>78</v>
      </c>
      <c r="J42" s="79">
        <f>Input_Revenue!J20*Input_CPI!T$20</f>
        <v>52.091491163879013</v>
      </c>
      <c r="K42" s="74">
        <f>Input_Revenue!K20*Input_CPI!U$20</f>
        <v>58.455867328202025</v>
      </c>
      <c r="L42" s="74">
        <f>Input_Revenue!L20*Input_CPI!V$20</f>
        <v>62.501837672456418</v>
      </c>
      <c r="M42" s="74">
        <f>Input_Revenue!M20*Input_CPI!W$20</f>
        <v>62.150735115629118</v>
      </c>
      <c r="N42" s="80">
        <f>Input_Revenue!N20*Input_CPI!X$20</f>
        <v>62.553039235931216</v>
      </c>
      <c r="O42" s="79">
        <f>Input_Revenue!O20*Input_CPI!Y$16</f>
        <v>55.268371034885497</v>
      </c>
      <c r="P42" s="74">
        <f>Input_Revenue!P20*Input_CPI!Z$16</f>
        <v>57.175003198734316</v>
      </c>
      <c r="Q42" s="74">
        <f>Input_Revenue!Q20*Input_CPI!AA$16</f>
        <v>57.273139827716321</v>
      </c>
      <c r="R42" s="74">
        <f>Input_Revenue!R20*Input_CPI!AB$16</f>
        <v>58.104975962677692</v>
      </c>
      <c r="S42" s="80">
        <f>Input_Revenue!S20*Input_CPI!AC$16</f>
        <v>61.085413253556595</v>
      </c>
      <c r="T42" s="79">
        <f>Input_Revenue!T20</f>
        <v>70.110797832113462</v>
      </c>
      <c r="U42" s="74">
        <f>Input_Revenue!U20</f>
        <v>73.574210396255467</v>
      </c>
      <c r="V42" s="74">
        <f>Input_Revenue!V20</f>
        <v>77.177641565328997</v>
      </c>
      <c r="W42" s="74">
        <f>Input_Revenue!W20</f>
        <v>79.812094129796378</v>
      </c>
      <c r="X42" s="80">
        <f>Input_Revenue!X20</f>
        <v>84.397129130164458</v>
      </c>
    </row>
    <row r="43" spans="3:24" x14ac:dyDescent="0.2">
      <c r="D43" s="37" t="str">
        <f>Input_Revenue!$D$21</f>
        <v>Return of capital (regulatory depreciation)</v>
      </c>
      <c r="E43" s="39" t="str">
        <f t="shared" si="6"/>
        <v>$Million</v>
      </c>
      <c r="F43" s="39" t="str">
        <f t="shared" si="7"/>
        <v>Real 2024</v>
      </c>
      <c r="G43" s="39" t="str">
        <f t="shared" si="8"/>
        <v>End Period</v>
      </c>
      <c r="H43" s="39" t="str">
        <f>H42</f>
        <v>Input_Revenue</v>
      </c>
      <c r="J43" s="79">
        <f>Input_Revenue!J21*Input_CPI!T$20</f>
        <v>36.986094322406139</v>
      </c>
      <c r="K43" s="74">
        <f>Input_Revenue!K21*Input_CPI!U$20</f>
        <v>43.769867916666264</v>
      </c>
      <c r="L43" s="74">
        <f>Input_Revenue!L21*Input_CPI!V$20</f>
        <v>40.300978068465731</v>
      </c>
      <c r="M43" s="74">
        <f>Input_Revenue!M21*Input_CPI!W$20</f>
        <v>42.733190674672194</v>
      </c>
      <c r="N43" s="80">
        <f>Input_Revenue!N21*Input_CPI!X$20</f>
        <v>46.031797330807329</v>
      </c>
      <c r="O43" s="79">
        <f>Input_Revenue!O21*Input_CPI!Y$16</f>
        <v>21.745061821007226</v>
      </c>
      <c r="P43" s="74">
        <f>Input_Revenue!P21*Input_CPI!Z$16</f>
        <v>27.034884964916536</v>
      </c>
      <c r="Q43" s="74">
        <f>Input_Revenue!Q21*Input_CPI!AA$16</f>
        <v>29.910847802255145</v>
      </c>
      <c r="R43" s="74">
        <f>Input_Revenue!R21*Input_CPI!AB$16</f>
        <v>33.996413194041985</v>
      </c>
      <c r="S43" s="80">
        <f>Input_Revenue!S21*Input_CPI!AC$16</f>
        <v>36.603388856588268</v>
      </c>
      <c r="T43" s="79">
        <f>Input_Revenue!T21</f>
        <v>35.032672451395868</v>
      </c>
      <c r="U43" s="74">
        <f>Input_Revenue!U21</f>
        <v>35.258221682353387</v>
      </c>
      <c r="V43" s="74">
        <f>Input_Revenue!V21</f>
        <v>37.016673557613885</v>
      </c>
      <c r="W43" s="74">
        <f>Input_Revenue!W21</f>
        <v>41.493723680272829</v>
      </c>
      <c r="X43" s="80">
        <f>Input_Revenue!X21</f>
        <v>44.137153642236385</v>
      </c>
    </row>
    <row r="44" spans="3:24" x14ac:dyDescent="0.2">
      <c r="D44" s="37" t="str">
        <f>Input_Revenue!$D$22</f>
        <v>Operating expenditure</v>
      </c>
      <c r="E44" s="39" t="str">
        <f t="shared" si="6"/>
        <v>$Million</v>
      </c>
      <c r="F44" s="39" t="str">
        <f t="shared" si="7"/>
        <v>Real 2024</v>
      </c>
      <c r="G44" s="39" t="str">
        <f t="shared" si="8"/>
        <v>End Period</v>
      </c>
      <c r="H44" s="39" t="str">
        <f>H43</f>
        <v>Input_Revenue</v>
      </c>
      <c r="J44" s="79">
        <f>Input_Revenue!J22*Input_CPI!T$20</f>
        <v>133.98749653637034</v>
      </c>
      <c r="K44" s="74">
        <f>Input_Revenue!K22*Input_CPI!U$20</f>
        <v>139.00545850022741</v>
      </c>
      <c r="L44" s="74">
        <f>Input_Revenue!L22*Input_CPI!V$20</f>
        <v>144.97813722543503</v>
      </c>
      <c r="M44" s="74">
        <f>Input_Revenue!M22*Input_CPI!W$20</f>
        <v>135.5006342392272</v>
      </c>
      <c r="N44" s="80">
        <f>Input_Revenue!N22*Input_CPI!X$20</f>
        <v>126.12634822076777</v>
      </c>
      <c r="O44" s="79">
        <f>Input_Revenue!O22*Input_CPI!Y$16</f>
        <v>81.276659463027329</v>
      </c>
      <c r="P44" s="74">
        <f>Input_Revenue!P22*Input_CPI!Z$16</f>
        <v>80.6680082893415</v>
      </c>
      <c r="Q44" s="74">
        <f>Input_Revenue!Q22*Input_CPI!AA$16</f>
        <v>80.307513305990781</v>
      </c>
      <c r="R44" s="74">
        <f>Input_Revenue!R22*Input_CPI!AB$16</f>
        <v>79.809966314242871</v>
      </c>
      <c r="S44" s="80">
        <f>Input_Revenue!S22*Input_CPI!AC$16</f>
        <v>79.305903696023876</v>
      </c>
      <c r="T44" s="79">
        <f>Input_Revenue!T22</f>
        <v>75.855422003279543</v>
      </c>
      <c r="U44" s="74">
        <f>Input_Revenue!U22</f>
        <v>76.880235282069876</v>
      </c>
      <c r="V44" s="74">
        <f>Input_Revenue!V22</f>
        <v>77.357023474111045</v>
      </c>
      <c r="W44" s="74">
        <f>Input_Revenue!W22</f>
        <v>78.389915395690636</v>
      </c>
      <c r="X44" s="80">
        <f>Input_Revenue!X22</f>
        <v>78.75657326489943</v>
      </c>
    </row>
    <row r="45" spans="3:24" x14ac:dyDescent="0.2">
      <c r="D45" s="37" t="str">
        <f>Input_Revenue!$D$23</f>
        <v>Revenue adjustments</v>
      </c>
      <c r="E45" s="39" t="str">
        <f t="shared" si="6"/>
        <v>$Million</v>
      </c>
      <c r="F45" s="39" t="str">
        <f t="shared" si="7"/>
        <v>Real 2024</v>
      </c>
      <c r="G45" s="39" t="str">
        <f t="shared" si="8"/>
        <v>End Period</v>
      </c>
      <c r="H45" s="39" t="str">
        <f>H44</f>
        <v>Input_Revenue</v>
      </c>
      <c r="J45" s="79">
        <f>Input_Revenue!J23*Input_CPI!T$20</f>
        <v>9.5658212229658623</v>
      </c>
      <c r="K45" s="74">
        <f>Input_Revenue!K23*Input_CPI!U$20</f>
        <v>11.134653517453202</v>
      </c>
      <c r="L45" s="74">
        <f>Input_Revenue!L23*Input_CPI!V$20</f>
        <v>12.700301697301962</v>
      </c>
      <c r="M45" s="74">
        <f>Input_Revenue!M23*Input_CPI!W$20</f>
        <v>13.57156991788427</v>
      </c>
      <c r="N45" s="80">
        <f>Input_Revenue!N23*Input_CPI!X$20</f>
        <v>14.5690322281911</v>
      </c>
      <c r="O45" s="79">
        <f>Input_Revenue!O23*Input_CPI!Y$16</f>
        <v>5.3713266138752429E-2</v>
      </c>
      <c r="P45" s="74">
        <f>Input_Revenue!P23*Input_CPI!Z$16</f>
        <v>5.8618744826000449E-2</v>
      </c>
      <c r="Q45" s="74">
        <f>Input_Revenue!Q23*Input_CPI!AA$16</f>
        <v>6.1533066742513437E-2</v>
      </c>
      <c r="R45" s="74">
        <f>Input_Revenue!R23*Input_CPI!AB$16</f>
        <v>6.5312356781337344E-2</v>
      </c>
      <c r="S45" s="80">
        <f>Input_Revenue!S23*Input_CPI!AC$16</f>
        <v>6.7176798764341641E-2</v>
      </c>
      <c r="T45" s="79">
        <f>Input_Revenue!T23</f>
        <v>-1.0879511875397037</v>
      </c>
      <c r="U45" s="74">
        <f>Input_Revenue!U23</f>
        <v>-1.0879511875397037</v>
      </c>
      <c r="V45" s="74">
        <f>Input_Revenue!V23</f>
        <v>-1.0879511875397037</v>
      </c>
      <c r="W45" s="74">
        <f>Input_Revenue!W23</f>
        <v>-1.0879511875397037</v>
      </c>
      <c r="X45" s="80">
        <f>Input_Revenue!X23</f>
        <v>-1.0879511875397037</v>
      </c>
    </row>
    <row r="46" spans="3:24" x14ac:dyDescent="0.2">
      <c r="D46" s="37" t="str">
        <f>Input_Revenue!$D$24</f>
        <v>Net tax allowance</v>
      </c>
      <c r="E46" s="39" t="str">
        <f t="shared" si="6"/>
        <v>$Million</v>
      </c>
      <c r="F46" s="39" t="str">
        <f t="shared" si="7"/>
        <v>Real 2024</v>
      </c>
      <c r="G46" s="39" t="str">
        <f t="shared" si="8"/>
        <v>End Period</v>
      </c>
      <c r="H46" s="39" t="str">
        <f>H45</f>
        <v>Input_Revenue</v>
      </c>
      <c r="J46" s="79">
        <f>Input_Revenue!J24*Input_CPI!T$20</f>
        <v>0</v>
      </c>
      <c r="K46" s="74">
        <f>Input_Revenue!K24*Input_CPI!U$20</f>
        <v>0</v>
      </c>
      <c r="L46" s="74">
        <f>Input_Revenue!L24*Input_CPI!V$20</f>
        <v>0</v>
      </c>
      <c r="M46" s="74">
        <f>Input_Revenue!M24*Input_CPI!W$20</f>
        <v>0</v>
      </c>
      <c r="N46" s="80">
        <f>Input_Revenue!N24*Input_CPI!X$20</f>
        <v>0</v>
      </c>
      <c r="O46" s="79">
        <f>Input_Revenue!O24*Input_CPI!Y$16</f>
        <v>2.0427337818259703</v>
      </c>
      <c r="P46" s="74">
        <f>Input_Revenue!P24*Input_CPI!Z$16</f>
        <v>1.1987389791464169</v>
      </c>
      <c r="Q46" s="74">
        <f>Input_Revenue!Q24*Input_CPI!AA$16</f>
        <v>1.2387596649154022</v>
      </c>
      <c r="R46" s="74">
        <f>Input_Revenue!R24*Input_CPI!AB$16</f>
        <v>0.94548770247518754</v>
      </c>
      <c r="S46" s="80">
        <f>Input_Revenue!S24*Input_CPI!AC$16</f>
        <v>1.2753945768736534</v>
      </c>
      <c r="T46" s="79">
        <f>Input_Revenue!T24</f>
        <v>0</v>
      </c>
      <c r="U46" s="74">
        <f>Input_Revenue!U24</f>
        <v>0</v>
      </c>
      <c r="V46" s="74">
        <f>Input_Revenue!V24</f>
        <v>0</v>
      </c>
      <c r="W46" s="74">
        <f>Input_Revenue!W24</f>
        <v>0</v>
      </c>
      <c r="X46" s="80">
        <f>Input_Revenue!X24</f>
        <v>0</v>
      </c>
    </row>
    <row r="47" spans="3:24" x14ac:dyDescent="0.2">
      <c r="E47" s="39"/>
      <c r="F47" s="39"/>
      <c r="G47" s="39"/>
      <c r="H47" s="51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</row>
    <row r="48" spans="3:24" x14ac:dyDescent="0.2">
      <c r="D48" s="104" t="str">
        <f>Input_Revenue!$D$26</f>
        <v>Annual building block revenue</v>
      </c>
      <c r="E48" s="125" t="str">
        <f t="shared" si="6"/>
        <v>$Million</v>
      </c>
      <c r="F48" s="125" t="str">
        <f t="shared" si="7"/>
        <v>Real 2024</v>
      </c>
      <c r="G48" s="125" t="str">
        <f t="shared" si="8"/>
        <v>End Period</v>
      </c>
      <c r="H48" s="125" t="s">
        <v>8</v>
      </c>
      <c r="I48" s="69"/>
      <c r="J48" s="128">
        <f>Input_Revenue!J26*Input_CPI!T$20</f>
        <v>232.63090324562134</v>
      </c>
      <c r="K48" s="129">
        <f>Input_Revenue!K26*Input_CPI!U$20</f>
        <v>252.36584726254893</v>
      </c>
      <c r="L48" s="129">
        <f>Input_Revenue!L26*Input_CPI!V$20</f>
        <v>260.48125466365912</v>
      </c>
      <c r="M48" s="129">
        <f>Input_Revenue!M26*Input_CPI!W$20</f>
        <v>253.95612994741279</v>
      </c>
      <c r="N48" s="130">
        <f>Input_Revenue!N26*Input_CPI!X$20</f>
        <v>249.28021701569742</v>
      </c>
      <c r="O48" s="128">
        <f>Input_Revenue!O26*Input_CPI!Y$16</f>
        <v>160.38653936688476</v>
      </c>
      <c r="P48" s="129">
        <f>Input_Revenue!P26*Input_CPI!Z$16</f>
        <v>166.13525417696471</v>
      </c>
      <c r="Q48" s="129">
        <f>Input_Revenue!Q26*Input_CPI!AA$16</f>
        <v>168.79179366762017</v>
      </c>
      <c r="R48" s="129">
        <f>Input_Revenue!R26*Input_CPI!AB$16</f>
        <v>172.92215553021907</v>
      </c>
      <c r="S48" s="130">
        <f>Input_Revenue!S26*Input_CPI!AC$16</f>
        <v>178.33727718180677</v>
      </c>
      <c r="T48" s="128">
        <f>Input_Revenue!T26</f>
        <v>179.91094109924916</v>
      </c>
      <c r="U48" s="129">
        <f>Input_Revenue!U26</f>
        <v>184.62471617313901</v>
      </c>
      <c r="V48" s="129">
        <f>Input_Revenue!V26</f>
        <v>190.46338740951421</v>
      </c>
      <c r="W48" s="129">
        <f>Input_Revenue!W26</f>
        <v>198.60778201822012</v>
      </c>
      <c r="X48" s="130">
        <f>Input_Revenue!X26</f>
        <v>206.20290484976056</v>
      </c>
    </row>
    <row r="50" spans="2:24" s="121" customFormat="1" ht="15.75" x14ac:dyDescent="0.2">
      <c r="C50" s="121" t="s">
        <v>619</v>
      </c>
      <c r="G50" s="31" t="s">
        <v>101</v>
      </c>
    </row>
    <row r="52" spans="2:24" x14ac:dyDescent="0.2">
      <c r="D52" s="60" t="s">
        <v>56</v>
      </c>
      <c r="E52" s="61" t="str">
        <f>E$4</f>
        <v>Unit</v>
      </c>
      <c r="F52" s="61" t="str">
        <f>F$4</f>
        <v>Basis</v>
      </c>
      <c r="G52" s="61" t="str">
        <f>G$4</f>
        <v>Timing</v>
      </c>
      <c r="H52" s="61" t="s">
        <v>1</v>
      </c>
      <c r="J52" s="41" t="str">
        <f>LookupTab!M$41</f>
        <v>Previous Period</v>
      </c>
      <c r="K52" s="41"/>
      <c r="L52" s="41"/>
      <c r="M52" s="41"/>
      <c r="N52" s="41"/>
      <c r="O52" s="42" t="str">
        <f>LookupTab!R$41</f>
        <v>Current Period</v>
      </c>
      <c r="P52" s="42"/>
      <c r="Q52" s="42"/>
      <c r="R52" s="42"/>
      <c r="S52" s="42"/>
      <c r="T52" s="43" t="str">
        <f>LookupTab!W$41</f>
        <v>Next Period</v>
      </c>
      <c r="U52" s="43"/>
      <c r="V52" s="43"/>
      <c r="W52" s="43"/>
      <c r="X52" s="43"/>
    </row>
    <row r="53" spans="2:24" ht="15" x14ac:dyDescent="0.2">
      <c r="J53" s="48" t="str">
        <f>J$3</f>
        <v>FY15</v>
      </c>
      <c r="K53" s="48" t="str">
        <f t="shared" ref="K53:X53" si="9">K$3</f>
        <v>FY16</v>
      </c>
      <c r="L53" s="48" t="str">
        <f t="shared" si="9"/>
        <v>FY17</v>
      </c>
      <c r="M53" s="48" t="str">
        <f t="shared" si="9"/>
        <v>FY18</v>
      </c>
      <c r="N53" s="48" t="str">
        <f t="shared" si="9"/>
        <v>FY19</v>
      </c>
      <c r="O53" s="48" t="str">
        <f t="shared" si="9"/>
        <v>FY20</v>
      </c>
      <c r="P53" s="48" t="str">
        <f t="shared" si="9"/>
        <v>FY21</v>
      </c>
      <c r="Q53" s="48" t="str">
        <f t="shared" si="9"/>
        <v>FY22</v>
      </c>
      <c r="R53" s="48" t="str">
        <f t="shared" si="9"/>
        <v>FY23</v>
      </c>
      <c r="S53" s="48" t="str">
        <f t="shared" si="9"/>
        <v>FY24</v>
      </c>
      <c r="T53" s="48" t="str">
        <f t="shared" si="9"/>
        <v>FY25</v>
      </c>
      <c r="U53" s="48" t="str">
        <f t="shared" si="9"/>
        <v>FY26</v>
      </c>
      <c r="V53" s="48" t="str">
        <f t="shared" si="9"/>
        <v>FY27</v>
      </c>
      <c r="W53" s="48" t="str">
        <f t="shared" si="9"/>
        <v>FY28</v>
      </c>
      <c r="X53" s="48" t="str">
        <f t="shared" si="9"/>
        <v>FY29</v>
      </c>
    </row>
    <row r="54" spans="2:24" x14ac:dyDescent="0.2">
      <c r="D54" s="45" t="s">
        <v>88</v>
      </c>
      <c r="E54" s="39" t="str">
        <f t="shared" ref="E54:G58" si="10">IF($G$50=Nominal,E30,E42)</f>
        <v>$Million</v>
      </c>
      <c r="F54" s="39" t="str">
        <f t="shared" si="10"/>
        <v>Real 2024</v>
      </c>
      <c r="G54" s="39" t="str">
        <f t="shared" si="10"/>
        <v>End Period</v>
      </c>
      <c r="H54" s="51" t="s">
        <v>8</v>
      </c>
      <c r="J54" s="85">
        <f t="shared" ref="J54:X54" si="11">IF($G$50=Nominal,J30,J42)</f>
        <v>52.091491163879013</v>
      </c>
      <c r="K54" s="83">
        <f t="shared" si="11"/>
        <v>58.455867328202025</v>
      </c>
      <c r="L54" s="83">
        <f t="shared" si="11"/>
        <v>62.501837672456418</v>
      </c>
      <c r="M54" s="83">
        <f t="shared" si="11"/>
        <v>62.150735115629118</v>
      </c>
      <c r="N54" s="86">
        <f t="shared" si="11"/>
        <v>62.553039235931216</v>
      </c>
      <c r="O54" s="85">
        <f t="shared" si="11"/>
        <v>55.268371034885497</v>
      </c>
      <c r="P54" s="83">
        <f t="shared" si="11"/>
        <v>57.175003198734316</v>
      </c>
      <c r="Q54" s="83">
        <f t="shared" si="11"/>
        <v>57.273139827716321</v>
      </c>
      <c r="R54" s="83">
        <f t="shared" si="11"/>
        <v>58.104975962677692</v>
      </c>
      <c r="S54" s="86">
        <f t="shared" si="11"/>
        <v>61.085413253556595</v>
      </c>
      <c r="T54" s="85">
        <f t="shared" si="11"/>
        <v>70.110797832113462</v>
      </c>
      <c r="U54" s="83">
        <f t="shared" si="11"/>
        <v>73.574210396255467</v>
      </c>
      <c r="V54" s="83">
        <f t="shared" si="11"/>
        <v>77.177641565328997</v>
      </c>
      <c r="W54" s="83">
        <f t="shared" si="11"/>
        <v>79.812094129796378</v>
      </c>
      <c r="X54" s="86">
        <f t="shared" si="11"/>
        <v>84.397129130164458</v>
      </c>
    </row>
    <row r="55" spans="2:24" x14ac:dyDescent="0.2">
      <c r="D55" s="45" t="s">
        <v>91</v>
      </c>
      <c r="E55" s="39" t="str">
        <f t="shared" si="10"/>
        <v>$Million</v>
      </c>
      <c r="F55" s="39" t="str">
        <f t="shared" si="10"/>
        <v>Real 2024</v>
      </c>
      <c r="G55" s="39" t="str">
        <f t="shared" si="10"/>
        <v>End Period</v>
      </c>
      <c r="H55" s="39" t="str">
        <f>$H$54</f>
        <v>Calculated</v>
      </c>
      <c r="J55" s="85">
        <f t="shared" ref="J55:X55" si="12">IF($G$50=Nominal,J31,J43)</f>
        <v>36.986094322406139</v>
      </c>
      <c r="K55" s="83">
        <f t="shared" si="12"/>
        <v>43.769867916666264</v>
      </c>
      <c r="L55" s="83">
        <f t="shared" si="12"/>
        <v>40.300978068465731</v>
      </c>
      <c r="M55" s="83">
        <f t="shared" si="12"/>
        <v>42.733190674672194</v>
      </c>
      <c r="N55" s="86">
        <f t="shared" si="12"/>
        <v>46.031797330807329</v>
      </c>
      <c r="O55" s="85">
        <f t="shared" si="12"/>
        <v>21.745061821007226</v>
      </c>
      <c r="P55" s="83">
        <f t="shared" si="12"/>
        <v>27.034884964916536</v>
      </c>
      <c r="Q55" s="83">
        <f t="shared" si="12"/>
        <v>29.910847802255145</v>
      </c>
      <c r="R55" s="83">
        <f t="shared" si="12"/>
        <v>33.996413194041985</v>
      </c>
      <c r="S55" s="86">
        <f t="shared" si="12"/>
        <v>36.603388856588268</v>
      </c>
      <c r="T55" s="85">
        <f t="shared" si="12"/>
        <v>35.032672451395868</v>
      </c>
      <c r="U55" s="83">
        <f t="shared" si="12"/>
        <v>35.258221682353387</v>
      </c>
      <c r="V55" s="83">
        <f t="shared" si="12"/>
        <v>37.016673557613885</v>
      </c>
      <c r="W55" s="83">
        <f t="shared" si="12"/>
        <v>41.493723680272829</v>
      </c>
      <c r="X55" s="86">
        <f t="shared" si="12"/>
        <v>44.137153642236385</v>
      </c>
    </row>
    <row r="56" spans="2:24" x14ac:dyDescent="0.2">
      <c r="D56" s="45" t="s">
        <v>92</v>
      </c>
      <c r="E56" s="39" t="str">
        <f t="shared" si="10"/>
        <v>$Million</v>
      </c>
      <c r="F56" s="39" t="str">
        <f t="shared" si="10"/>
        <v>Real 2024</v>
      </c>
      <c r="G56" s="39" t="str">
        <f t="shared" si="10"/>
        <v>End Period</v>
      </c>
      <c r="H56" s="39" t="str">
        <f>$H$54</f>
        <v>Calculated</v>
      </c>
      <c r="J56" s="85">
        <f t="shared" ref="J56:X56" si="13">IF($G$50=Nominal,J32,J44)</f>
        <v>133.98749653637034</v>
      </c>
      <c r="K56" s="83">
        <f t="shared" si="13"/>
        <v>139.00545850022741</v>
      </c>
      <c r="L56" s="83">
        <f t="shared" si="13"/>
        <v>144.97813722543503</v>
      </c>
      <c r="M56" s="83">
        <f t="shared" si="13"/>
        <v>135.5006342392272</v>
      </c>
      <c r="N56" s="86">
        <f t="shared" si="13"/>
        <v>126.12634822076777</v>
      </c>
      <c r="O56" s="85">
        <f t="shared" si="13"/>
        <v>81.276659463027329</v>
      </c>
      <c r="P56" s="83">
        <f t="shared" si="13"/>
        <v>80.6680082893415</v>
      </c>
      <c r="Q56" s="83">
        <f t="shared" si="13"/>
        <v>80.307513305990781</v>
      </c>
      <c r="R56" s="83">
        <f t="shared" si="13"/>
        <v>79.809966314242871</v>
      </c>
      <c r="S56" s="86">
        <f t="shared" si="13"/>
        <v>79.305903696023876</v>
      </c>
      <c r="T56" s="85">
        <f t="shared" si="13"/>
        <v>75.855422003279543</v>
      </c>
      <c r="U56" s="83">
        <f t="shared" si="13"/>
        <v>76.880235282069876</v>
      </c>
      <c r="V56" s="83">
        <f t="shared" si="13"/>
        <v>77.357023474111045</v>
      </c>
      <c r="W56" s="83">
        <f t="shared" si="13"/>
        <v>78.389915395690636</v>
      </c>
      <c r="X56" s="86">
        <f t="shared" si="13"/>
        <v>78.75657326489943</v>
      </c>
    </row>
    <row r="57" spans="2:24" x14ac:dyDescent="0.2">
      <c r="D57" s="45" t="s">
        <v>93</v>
      </c>
      <c r="E57" s="39" t="str">
        <f t="shared" si="10"/>
        <v>$Million</v>
      </c>
      <c r="F57" s="39" t="str">
        <f t="shared" si="10"/>
        <v>Real 2024</v>
      </c>
      <c r="G57" s="39" t="str">
        <f t="shared" si="10"/>
        <v>End Period</v>
      </c>
      <c r="H57" s="39" t="str">
        <f>$H$54</f>
        <v>Calculated</v>
      </c>
      <c r="J57" s="85">
        <f t="shared" ref="J57:X57" si="14">IF($G$50=Nominal,J33,J45)</f>
        <v>9.5658212229658623</v>
      </c>
      <c r="K57" s="83">
        <f t="shared" si="14"/>
        <v>11.134653517453202</v>
      </c>
      <c r="L57" s="83">
        <f t="shared" si="14"/>
        <v>12.700301697301962</v>
      </c>
      <c r="M57" s="83">
        <f t="shared" si="14"/>
        <v>13.57156991788427</v>
      </c>
      <c r="N57" s="86">
        <f t="shared" si="14"/>
        <v>14.5690322281911</v>
      </c>
      <c r="O57" s="85">
        <f t="shared" si="14"/>
        <v>5.3713266138752429E-2</v>
      </c>
      <c r="P57" s="83">
        <f t="shared" si="14"/>
        <v>5.8618744826000449E-2</v>
      </c>
      <c r="Q57" s="83">
        <f t="shared" si="14"/>
        <v>6.1533066742513437E-2</v>
      </c>
      <c r="R57" s="83">
        <f t="shared" si="14"/>
        <v>6.5312356781337344E-2</v>
      </c>
      <c r="S57" s="86">
        <f t="shared" si="14"/>
        <v>6.7176798764341641E-2</v>
      </c>
      <c r="T57" s="85">
        <f t="shared" si="14"/>
        <v>-1.0879511875397037</v>
      </c>
      <c r="U57" s="83">
        <f t="shared" si="14"/>
        <v>-1.0879511875397037</v>
      </c>
      <c r="V57" s="83">
        <f t="shared" si="14"/>
        <v>-1.0879511875397037</v>
      </c>
      <c r="W57" s="83">
        <f t="shared" si="14"/>
        <v>-1.0879511875397037</v>
      </c>
      <c r="X57" s="86">
        <f t="shared" si="14"/>
        <v>-1.0879511875397037</v>
      </c>
    </row>
    <row r="58" spans="2:24" x14ac:dyDescent="0.2">
      <c r="D58" s="45" t="s">
        <v>94</v>
      </c>
      <c r="E58" s="39" t="str">
        <f t="shared" si="10"/>
        <v>$Million</v>
      </c>
      <c r="F58" s="39" t="str">
        <f t="shared" si="10"/>
        <v>Real 2024</v>
      </c>
      <c r="G58" s="39" t="str">
        <f t="shared" si="10"/>
        <v>End Period</v>
      </c>
      <c r="H58" s="39" t="str">
        <f>$H$54</f>
        <v>Calculated</v>
      </c>
      <c r="J58" s="85">
        <f t="shared" ref="J58:X58" si="15">IF($G$50=Nominal,J34,J46)</f>
        <v>0</v>
      </c>
      <c r="K58" s="83">
        <f t="shared" si="15"/>
        <v>0</v>
      </c>
      <c r="L58" s="83">
        <f t="shared" si="15"/>
        <v>0</v>
      </c>
      <c r="M58" s="83">
        <f t="shared" si="15"/>
        <v>0</v>
      </c>
      <c r="N58" s="86">
        <f t="shared" si="15"/>
        <v>0</v>
      </c>
      <c r="O58" s="85">
        <f t="shared" si="15"/>
        <v>2.0427337818259703</v>
      </c>
      <c r="P58" s="83">
        <f t="shared" si="15"/>
        <v>1.1987389791464169</v>
      </c>
      <c r="Q58" s="83">
        <f t="shared" si="15"/>
        <v>1.2387596649154022</v>
      </c>
      <c r="R58" s="83">
        <f t="shared" si="15"/>
        <v>0.94548770247518754</v>
      </c>
      <c r="S58" s="86">
        <f t="shared" si="15"/>
        <v>1.2753945768736534</v>
      </c>
      <c r="T58" s="85">
        <f t="shared" si="15"/>
        <v>0</v>
      </c>
      <c r="U58" s="83">
        <f t="shared" si="15"/>
        <v>0</v>
      </c>
      <c r="V58" s="83">
        <f t="shared" si="15"/>
        <v>0</v>
      </c>
      <c r="W58" s="83">
        <f t="shared" si="15"/>
        <v>0</v>
      </c>
      <c r="X58" s="86">
        <f t="shared" si="15"/>
        <v>0</v>
      </c>
    </row>
    <row r="59" spans="2:24" x14ac:dyDescent="0.2">
      <c r="D59" s="45" t="str">
        <f>"Building Block Revenue ("&amp;E59&amp;", "&amp;F59&amp;")"</f>
        <v>Building Block Revenue ($Million, Real 2024)</v>
      </c>
      <c r="E59" s="39" t="str">
        <f>IF($G$50=Nominal,E36,E48)</f>
        <v>$Million</v>
      </c>
      <c r="F59" s="39" t="str">
        <f>IF($G$50=Nominal,F36,F48)</f>
        <v>Real 2024</v>
      </c>
      <c r="G59" s="39" t="str">
        <f>IF($G$50=Nominal,G36,G48)</f>
        <v>End Period</v>
      </c>
      <c r="H59" s="39" t="str">
        <f>IF($G$50=Nominal,H36,H48)</f>
        <v>Calculated</v>
      </c>
      <c r="J59" s="127">
        <f t="shared" ref="J59:X59" si="16">IF($G$50=Nominal,J36,J48)</f>
        <v>232.63090324562134</v>
      </c>
      <c r="K59" s="127">
        <f t="shared" si="16"/>
        <v>252.36584726254893</v>
      </c>
      <c r="L59" s="127">
        <f t="shared" si="16"/>
        <v>260.48125466365912</v>
      </c>
      <c r="M59" s="127">
        <f t="shared" si="16"/>
        <v>253.95612994741279</v>
      </c>
      <c r="N59" s="127">
        <f t="shared" si="16"/>
        <v>249.28021701569742</v>
      </c>
      <c r="O59" s="127">
        <f t="shared" si="16"/>
        <v>160.38653936688476</v>
      </c>
      <c r="P59" s="127">
        <f t="shared" si="16"/>
        <v>166.13525417696471</v>
      </c>
      <c r="Q59" s="127">
        <f t="shared" si="16"/>
        <v>168.79179366762017</v>
      </c>
      <c r="R59" s="127">
        <f t="shared" si="16"/>
        <v>172.92215553021907</v>
      </c>
      <c r="S59" s="127">
        <f t="shared" si="16"/>
        <v>178.33727718180677</v>
      </c>
      <c r="T59" s="127">
        <f t="shared" si="16"/>
        <v>179.91094109924916</v>
      </c>
      <c r="U59" s="127">
        <f t="shared" si="16"/>
        <v>184.62471617313901</v>
      </c>
      <c r="V59" s="127">
        <f t="shared" si="16"/>
        <v>190.46338740951421</v>
      </c>
      <c r="W59" s="127">
        <f t="shared" si="16"/>
        <v>198.60778201822012</v>
      </c>
      <c r="X59" s="127">
        <f t="shared" si="16"/>
        <v>206.20290484976056</v>
      </c>
    </row>
    <row r="60" spans="2:24" x14ac:dyDescent="0.2">
      <c r="D60" s="45" t="s">
        <v>60</v>
      </c>
      <c r="E60" s="39" t="str">
        <f>IF($G$50=Nominal,E13,E21)</f>
        <v>$Million</v>
      </c>
      <c r="F60" s="39" t="str">
        <f>IF($G$50=Nominal,F13,F21)</f>
        <v>Real 2024</v>
      </c>
      <c r="G60" s="39" t="str">
        <f>IF($G$50=Nominal,G13,G21)</f>
        <v>End Period</v>
      </c>
      <c r="H60" s="39" t="str">
        <f>$H$54</f>
        <v>Calculated</v>
      </c>
      <c r="J60" s="85">
        <f t="shared" ref="J60:X60" si="17">IF($G$50=Nominal,J13,J21)</f>
        <v>186.29185404502522</v>
      </c>
      <c r="K60" s="83">
        <f t="shared" si="17"/>
        <v>212.06459110030377</v>
      </c>
      <c r="L60" s="83">
        <f t="shared" si="17"/>
        <v>211.98149501382358</v>
      </c>
      <c r="M60" s="83">
        <f t="shared" si="17"/>
        <v>197.88243074728541</v>
      </c>
      <c r="N60" s="86">
        <f t="shared" si="17"/>
        <v>201.49583262587984</v>
      </c>
      <c r="O60" s="85">
        <f t="shared" si="17"/>
        <v>208.0057730064222</v>
      </c>
      <c r="P60" s="83">
        <f t="shared" si="17"/>
        <v>180.19224785983207</v>
      </c>
      <c r="Q60" s="83">
        <f t="shared" si="17"/>
        <v>168.3368941612201</v>
      </c>
      <c r="R60" s="83">
        <f t="shared" si="17"/>
        <v>144.91249113218032</v>
      </c>
      <c r="S60" s="86">
        <f t="shared" si="17"/>
        <v>160.46773046709114</v>
      </c>
      <c r="T60" s="85" t="e">
        <f t="shared" si="17"/>
        <v>#N/A</v>
      </c>
      <c r="U60" s="83" t="e">
        <f t="shared" si="17"/>
        <v>#N/A</v>
      </c>
      <c r="V60" s="83" t="e">
        <f t="shared" si="17"/>
        <v>#N/A</v>
      </c>
      <c r="W60" s="83" t="e">
        <f t="shared" si="17"/>
        <v>#N/A</v>
      </c>
      <c r="X60" s="86" t="e">
        <f t="shared" si="17"/>
        <v>#N/A</v>
      </c>
    </row>
    <row r="62" spans="2:24" s="6" customFormat="1" ht="18.75" x14ac:dyDescent="0.2">
      <c r="B62" s="6" t="s">
        <v>43</v>
      </c>
    </row>
  </sheetData>
  <hyperlinks>
    <hyperlink ref="B4" location="ToC!A1" display="ToC!A1" xr:uid="{BED7DDEF-DCB1-4227-AFAE-D000431FE21C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7707B95-0EF7-40CB-B7A2-4B425E7B1340}">
          <x14:formula1>
            <xm:f>LookupTab!$H$12:$H$13</xm:f>
          </x14:formula1>
          <xm:sqref>G50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ADC4-7159-4BCA-902E-26BA2C8247CB}">
  <sheetPr codeName="Sheet14">
    <tabColor theme="3" tint="0.79998168889431442"/>
  </sheetPr>
  <dimension ref="A1:AD51"/>
  <sheetViews>
    <sheetView showGridLines="0" zoomScaleNormal="100" workbookViewId="0">
      <pane xSplit="4" ySplit="4" topLeftCell="E5" activePane="bottomRight" state="frozen"/>
      <selection activeCell="B5" sqref="B5"/>
      <selection pane="topRight" activeCell="B5" sqref="B5"/>
      <selection pane="bottomLeft" activeCell="B5" sqref="B5"/>
      <selection pane="bottomRight" activeCell="E5" sqref="E5"/>
    </sheetView>
  </sheetViews>
  <sheetFormatPr defaultRowHeight="12.75" x14ac:dyDescent="0.2"/>
  <cols>
    <col min="1" max="3" width="3.7109375" customWidth="1"/>
    <col min="4" max="4" width="35.7109375" customWidth="1"/>
    <col min="5" max="8" width="11.5703125" customWidth="1"/>
    <col min="9" max="9" width="3.5703125" customWidth="1"/>
  </cols>
  <sheetData>
    <row r="1" spans="1:24" ht="23.25" x14ac:dyDescent="0.35">
      <c r="A1" s="52">
        <f>IF(SUM(A5:A51)&lt;&gt;0,1,0)</f>
        <v>0</v>
      </c>
      <c r="B1" s="16" t="s">
        <v>262</v>
      </c>
    </row>
    <row r="2" spans="1:24" ht="15" x14ac:dyDescent="0.2">
      <c r="B2" s="34" t="str">
        <f>Model_Name</f>
        <v>Power and Water - Revised Proposal - Tables and Charts</v>
      </c>
    </row>
    <row r="3" spans="1:24" x14ac:dyDescent="0.2">
      <c r="B3" s="37" t="str">
        <f>"Model Checks:"&amp;IF(Model_Checks=0," OK"," Check")</f>
        <v>Model Checks: OK</v>
      </c>
      <c r="J3" s="39" t="str">
        <f>LookupTab!M$40</f>
        <v>FY15</v>
      </c>
      <c r="K3" s="39" t="str">
        <f>LookupTab!N$40</f>
        <v>FY16</v>
      </c>
      <c r="L3" s="39" t="str">
        <f>LookupTab!O$40</f>
        <v>FY17</v>
      </c>
      <c r="M3" s="39" t="str">
        <f>LookupTab!P$40</f>
        <v>FY18</v>
      </c>
      <c r="N3" s="39" t="str">
        <f>LookupTab!Q$40</f>
        <v>FY19</v>
      </c>
      <c r="O3" s="39" t="str">
        <f>LookupTab!R$40</f>
        <v>FY20</v>
      </c>
      <c r="P3" s="39" t="str">
        <f>LookupTab!S$40</f>
        <v>FY21</v>
      </c>
      <c r="Q3" s="39" t="str">
        <f>LookupTab!T$40</f>
        <v>FY22</v>
      </c>
      <c r="R3" s="39" t="str">
        <f>LookupTab!U$40</f>
        <v>FY23</v>
      </c>
      <c r="S3" s="39" t="str">
        <f>LookupTab!V$40</f>
        <v>FY24</v>
      </c>
      <c r="T3" s="39" t="str">
        <f>LookupTab!W$40</f>
        <v>FY25</v>
      </c>
      <c r="U3" s="39" t="str">
        <f>LookupTab!X$40</f>
        <v>FY26</v>
      </c>
      <c r="V3" s="39" t="str">
        <f>LookupTab!Y$40</f>
        <v>FY27</v>
      </c>
      <c r="W3" s="39" t="str">
        <f>LookupTab!Z$40</f>
        <v>FY28</v>
      </c>
      <c r="X3" s="39" t="str">
        <f>LookupTab!AA$40</f>
        <v>FY29</v>
      </c>
    </row>
    <row r="4" spans="1:24" ht="15" x14ac:dyDescent="0.2">
      <c r="B4" s="29" t="str">
        <f>ToC!$B$1</f>
        <v>Table of contents</v>
      </c>
      <c r="E4" s="48" t="s">
        <v>2</v>
      </c>
      <c r="F4" s="48" t="s">
        <v>3</v>
      </c>
      <c r="G4" s="48" t="s">
        <v>4</v>
      </c>
      <c r="H4" s="48" t="s">
        <v>1</v>
      </c>
      <c r="J4" s="41" t="str">
        <f>LookupTab!M$41</f>
        <v>Previous Period</v>
      </c>
      <c r="K4" s="41"/>
      <c r="L4" s="41"/>
      <c r="M4" s="41"/>
      <c r="N4" s="41"/>
      <c r="O4" s="42" t="str">
        <f>LookupTab!R$41</f>
        <v>Current Period</v>
      </c>
      <c r="P4" s="42"/>
      <c r="Q4" s="42"/>
      <c r="R4" s="42"/>
      <c r="S4" s="42"/>
      <c r="T4" s="43" t="str">
        <f>LookupTab!W$41</f>
        <v>Next Period</v>
      </c>
      <c r="U4" s="43"/>
      <c r="V4" s="43"/>
      <c r="W4" s="43"/>
      <c r="X4" s="43"/>
    </row>
    <row r="6" spans="1:24" s="6" customFormat="1" ht="18.75" x14ac:dyDescent="0.2">
      <c r="B6" s="6" t="s">
        <v>620</v>
      </c>
    </row>
    <row r="8" spans="1:24" s="121" customFormat="1" ht="15.75" x14ac:dyDescent="0.2">
      <c r="C8" s="121" t="str">
        <f>Nominal</f>
        <v>Nominal</v>
      </c>
    </row>
    <row r="10" spans="1:24" x14ac:dyDescent="0.2">
      <c r="D10" s="60" t="s">
        <v>56</v>
      </c>
      <c r="E10" s="61" t="str">
        <f>E$4</f>
        <v>Unit</v>
      </c>
      <c r="F10" s="61" t="str">
        <f>F$4</f>
        <v>Basis</v>
      </c>
      <c r="G10" s="61" t="str">
        <f>G$4</f>
        <v>Timing</v>
      </c>
      <c r="H10" s="61" t="str">
        <f>H$4</f>
        <v>Source</v>
      </c>
      <c r="I10" s="60"/>
      <c r="J10" s="62" t="str">
        <f>J$3</f>
        <v>FY15</v>
      </c>
      <c r="K10" s="62" t="str">
        <f t="shared" ref="K10:X10" si="0">K$3</f>
        <v>FY16</v>
      </c>
      <c r="L10" s="62" t="str">
        <f t="shared" si="0"/>
        <v>FY17</v>
      </c>
      <c r="M10" s="62" t="str">
        <f t="shared" si="0"/>
        <v>FY18</v>
      </c>
      <c r="N10" s="62" t="str">
        <f t="shared" si="0"/>
        <v>FY19</v>
      </c>
      <c r="O10" s="62" t="str">
        <f t="shared" si="0"/>
        <v>FY20</v>
      </c>
      <c r="P10" s="62" t="str">
        <f t="shared" si="0"/>
        <v>FY21</v>
      </c>
      <c r="Q10" s="62" t="str">
        <f t="shared" si="0"/>
        <v>FY22</v>
      </c>
      <c r="R10" s="62" t="str">
        <f t="shared" si="0"/>
        <v>FY23</v>
      </c>
      <c r="S10" s="62" t="str">
        <f t="shared" si="0"/>
        <v>FY24</v>
      </c>
      <c r="T10" s="62" t="str">
        <f t="shared" si="0"/>
        <v>FY25</v>
      </c>
      <c r="U10" s="62" t="str">
        <f t="shared" si="0"/>
        <v>FY26</v>
      </c>
      <c r="V10" s="62" t="str">
        <f t="shared" si="0"/>
        <v>FY27</v>
      </c>
      <c r="W10" s="62" t="str">
        <f t="shared" si="0"/>
        <v>FY28</v>
      </c>
      <c r="X10" s="62" t="str">
        <f t="shared" si="0"/>
        <v>FY29</v>
      </c>
    </row>
    <row r="12" spans="1:24" x14ac:dyDescent="0.2">
      <c r="D12" s="45" t="s">
        <v>59</v>
      </c>
      <c r="E12" s="39" t="str">
        <f>Unit_Dollar_M</f>
        <v>$Million</v>
      </c>
      <c r="F12" s="39" t="str">
        <f>Nominal</f>
        <v>Nominal</v>
      </c>
      <c r="G12" s="39" t="str">
        <f>Mid_Period</f>
        <v>Mid Period</v>
      </c>
      <c r="H12" s="51" t="s">
        <v>79</v>
      </c>
      <c r="J12" s="79">
        <f>Input_Opex!J21*Input_CPI!T17</f>
        <v>0</v>
      </c>
      <c r="K12" s="74">
        <f>Input_Opex!K21*Input_CPI!U17</f>
        <v>0</v>
      </c>
      <c r="L12" s="74">
        <f>Input_Opex!L21*Input_CPI!V17</f>
        <v>0</v>
      </c>
      <c r="M12" s="74">
        <f>Input_Opex!M21*Input_CPI!W17</f>
        <v>0</v>
      </c>
      <c r="N12" s="80">
        <f>Input_Opex!N21*Input_CPI!X17</f>
        <v>0</v>
      </c>
      <c r="O12" s="79">
        <f>Input_Opex!O21*Input_CPI!Y18</f>
        <v>0</v>
      </c>
      <c r="P12" s="74">
        <f>Input_Opex!P21*Input_CPI!Z18</f>
        <v>0</v>
      </c>
      <c r="Q12" s="74">
        <f>Input_Opex!Q21*Input_CPI!AA18</f>
        <v>0</v>
      </c>
      <c r="R12" s="74">
        <f>Input_Opex!R21*Input_CPI!AB18</f>
        <v>0</v>
      </c>
      <c r="S12" s="80">
        <f>Input_Opex!S21*Input_CPI!AC18</f>
        <v>0</v>
      </c>
      <c r="T12" s="79">
        <f>Input_Opex!T21*Input_CPI!AD19</f>
        <v>76.22930250989377</v>
      </c>
      <c r="U12" s="74">
        <f>Input_Opex!U21*Input_CPI!AE19</f>
        <v>79.414126072446379</v>
      </c>
      <c r="V12" s="74">
        <f>Input_Opex!V21*Input_CPI!AF19</f>
        <v>82.129783912615451</v>
      </c>
      <c r="W12" s="74">
        <f>Input_Opex!W21*Input_CPI!AG19</f>
        <v>85.558176217322639</v>
      </c>
      <c r="X12" s="80">
        <f>Input_Opex!X21*Input_CPI!AH19</f>
        <v>88.340851410153618</v>
      </c>
    </row>
    <row r="13" spans="1:24" x14ac:dyDescent="0.2">
      <c r="D13" s="45" t="s">
        <v>60</v>
      </c>
      <c r="E13" s="39" t="str">
        <f>Unit_Dollar_M</f>
        <v>$Million</v>
      </c>
      <c r="F13" s="39" t="str">
        <f>Nominal</f>
        <v>Nominal</v>
      </c>
      <c r="G13" s="39" t="str">
        <f>Mid_Period</f>
        <v>Mid Period</v>
      </c>
      <c r="H13" s="39" t="str">
        <f>H12</f>
        <v>Input_Opex</v>
      </c>
      <c r="J13" s="79">
        <f>Input_Opex!J41</f>
        <v>74.60346522243448</v>
      </c>
      <c r="K13" s="74">
        <f>Input_Opex!K41</f>
        <v>81.47968577120065</v>
      </c>
      <c r="L13" s="74">
        <f>Input_Opex!L41</f>
        <v>71.943509871691802</v>
      </c>
      <c r="M13" s="74">
        <f>Input_Opex!M41</f>
        <v>85.750999000000007</v>
      </c>
      <c r="N13" s="80">
        <f>Input_Opex!N41</f>
        <v>89.053912850000017</v>
      </c>
      <c r="O13" s="79">
        <f>Input_Opex!O41</f>
        <v>88.442184109999999</v>
      </c>
      <c r="P13" s="74">
        <f>Input_Opex!P41</f>
        <v>78.820852000000002</v>
      </c>
      <c r="Q13" s="74">
        <f>Input_Opex!Q41</f>
        <v>64.246408750000001</v>
      </c>
      <c r="R13" s="74">
        <f>Input_Opex!R41</f>
        <v>65.486249999999998</v>
      </c>
      <c r="S13" s="80">
        <f>Input_Opex!S41</f>
        <v>67.843755000000002</v>
      </c>
      <c r="T13" s="79">
        <f>Input_Opex!T41</f>
        <v>0</v>
      </c>
      <c r="U13" s="74">
        <f>Input_Opex!U41</f>
        <v>0</v>
      </c>
      <c r="V13" s="74">
        <f>Input_Opex!V41</f>
        <v>0</v>
      </c>
      <c r="W13" s="74">
        <f>Input_Opex!W41</f>
        <v>0</v>
      </c>
      <c r="X13" s="80">
        <f>Input_Opex!X41</f>
        <v>0</v>
      </c>
    </row>
    <row r="14" spans="1:24" x14ac:dyDescent="0.2">
      <c r="D14" s="45" t="s">
        <v>61</v>
      </c>
      <c r="E14" s="39" t="str">
        <f>Unit_Dollar_M</f>
        <v>$Million</v>
      </c>
      <c r="F14" s="39" t="str">
        <f>Nominal</f>
        <v>Nominal</v>
      </c>
      <c r="G14" s="39" t="str">
        <f>Mid_Period</f>
        <v>Mid Period</v>
      </c>
      <c r="H14" s="39" t="str">
        <f>H13</f>
        <v>Input_Opex</v>
      </c>
      <c r="J14" s="79">
        <f>Input_Opex!J61*Input_CPI!U18</f>
        <v>96.945611782783644</v>
      </c>
      <c r="K14" s="74">
        <f>Input_Opex!K61*Input_CPI!V18</f>
        <v>92.149351233987403</v>
      </c>
      <c r="L14" s="74">
        <f>Input_Opex!L61*Input_CPI!W18</f>
        <v>90.356353194473755</v>
      </c>
      <c r="M14" s="74">
        <f>Input_Opex!M61*Input_CPI!X18</f>
        <v>84.583593012948924</v>
      </c>
      <c r="N14" s="80">
        <f>Input_Opex!N61*Input_CPI!Y18</f>
        <v>77.54833444250751</v>
      </c>
      <c r="O14" s="79">
        <f>Input_Opex!O61*Input_CPI!Y18</f>
        <v>66.767787891600662</v>
      </c>
      <c r="P14" s="74">
        <f>Input_Opex!P61*Input_CPI!Z18</f>
        <v>67.385024955709724</v>
      </c>
      <c r="Q14" s="74">
        <f>Input_Opex!Q61*Input_CPI!AA18</f>
        <v>70.416191761021111</v>
      </c>
      <c r="R14" s="74">
        <f>Input_Opex!R61*Input_CPI!AB18</f>
        <v>74.218216053919164</v>
      </c>
      <c r="S14" s="80">
        <f>Input_Opex!S61*Input_CPI!AC18</f>
        <v>77.289770410817809</v>
      </c>
      <c r="T14" s="79">
        <f>Input_Opex!T61*Input_CPI!AD19</f>
        <v>0</v>
      </c>
      <c r="U14" s="74">
        <f>Input_Opex!U61*Input_CPI!AE19</f>
        <v>0</v>
      </c>
      <c r="V14" s="74">
        <f>Input_Opex!V61*Input_CPI!AF19</f>
        <v>0</v>
      </c>
      <c r="W14" s="74">
        <f>Input_Opex!W61*Input_CPI!AG19</f>
        <v>0</v>
      </c>
      <c r="X14" s="80">
        <f>Input_Opex!X61*Input_CPI!AH19</f>
        <v>0</v>
      </c>
    </row>
    <row r="16" spans="1:24" s="121" customFormat="1" ht="15.75" x14ac:dyDescent="0.2">
      <c r="C16" s="121" t="str">
        <f>Real_Input</f>
        <v>Real 2024</v>
      </c>
    </row>
    <row r="18" spans="3:24" x14ac:dyDescent="0.2">
      <c r="D18" s="60" t="s">
        <v>56</v>
      </c>
      <c r="E18" s="61" t="str">
        <f>E$4</f>
        <v>Unit</v>
      </c>
      <c r="F18" s="61" t="str">
        <f>F$4</f>
        <v>Basis</v>
      </c>
      <c r="G18" s="61" t="str">
        <f>G$4</f>
        <v>Timing</v>
      </c>
      <c r="H18" s="61" t="str">
        <f>H$4</f>
        <v>Source</v>
      </c>
      <c r="I18" s="60"/>
      <c r="J18" s="62" t="str">
        <f>J$3</f>
        <v>FY15</v>
      </c>
      <c r="K18" s="62" t="str">
        <f t="shared" ref="K18:X18" si="1">K$3</f>
        <v>FY16</v>
      </c>
      <c r="L18" s="62" t="str">
        <f t="shared" si="1"/>
        <v>FY17</v>
      </c>
      <c r="M18" s="62" t="str">
        <f t="shared" si="1"/>
        <v>FY18</v>
      </c>
      <c r="N18" s="62" t="str">
        <f t="shared" si="1"/>
        <v>FY19</v>
      </c>
      <c r="O18" s="62" t="str">
        <f t="shared" si="1"/>
        <v>FY20</v>
      </c>
      <c r="P18" s="62" t="str">
        <f t="shared" si="1"/>
        <v>FY21</v>
      </c>
      <c r="Q18" s="62" t="str">
        <f t="shared" si="1"/>
        <v>FY22</v>
      </c>
      <c r="R18" s="62" t="str">
        <f t="shared" si="1"/>
        <v>FY23</v>
      </c>
      <c r="S18" s="62" t="str">
        <f t="shared" si="1"/>
        <v>FY24</v>
      </c>
      <c r="T18" s="62" t="str">
        <f t="shared" si="1"/>
        <v>FY25</v>
      </c>
      <c r="U18" s="62" t="str">
        <f t="shared" si="1"/>
        <v>FY26</v>
      </c>
      <c r="V18" s="62" t="str">
        <f t="shared" si="1"/>
        <v>FY27</v>
      </c>
      <c r="W18" s="62" t="str">
        <f t="shared" si="1"/>
        <v>FY28</v>
      </c>
      <c r="X18" s="62" t="str">
        <f t="shared" si="1"/>
        <v>FY29</v>
      </c>
    </row>
    <row r="20" spans="3:24" x14ac:dyDescent="0.2">
      <c r="D20" s="37" t="str">
        <f>D12</f>
        <v>Proposed</v>
      </c>
      <c r="E20" s="39" t="str">
        <f>Unit_Dollar_M</f>
        <v>$Million</v>
      </c>
      <c r="F20" s="39" t="str">
        <f>Real_Input</f>
        <v>Real 2024</v>
      </c>
      <c r="G20" s="39" t="str">
        <f>End_Period</f>
        <v>End Period</v>
      </c>
      <c r="H20" s="51" t="s">
        <v>79</v>
      </c>
      <c r="J20" s="79">
        <f>Input_Opex!J21*Input_CPI!T$15</f>
        <v>0</v>
      </c>
      <c r="K20" s="74">
        <f>Input_Opex!K21*Input_CPI!U$15</f>
        <v>0</v>
      </c>
      <c r="L20" s="74">
        <f>Input_Opex!L21*Input_CPI!V$15</f>
        <v>0</v>
      </c>
      <c r="M20" s="74">
        <f>Input_Opex!M21*Input_CPI!W$15</f>
        <v>0</v>
      </c>
      <c r="N20" s="80">
        <f>Input_Opex!N21*Input_CPI!X$15</f>
        <v>0</v>
      </c>
      <c r="O20" s="79">
        <f>Input_Opex!O21*Input_CPI!Y$16</f>
        <v>0</v>
      </c>
      <c r="P20" s="74">
        <f>Input_Opex!P21*Input_CPI!Z$16</f>
        <v>0</v>
      </c>
      <c r="Q20" s="74">
        <f>Input_Opex!Q21*Input_CPI!AA$16</f>
        <v>0</v>
      </c>
      <c r="R20" s="74">
        <f>Input_Opex!R21*Input_CPI!AB$16</f>
        <v>0</v>
      </c>
      <c r="S20" s="80">
        <f>Input_Opex!S21*Input_CPI!AC$16</f>
        <v>0</v>
      </c>
      <c r="T20" s="79">
        <f>Input_Opex!T21</f>
        <v>75.18407329124922</v>
      </c>
      <c r="U20" s="74">
        <f>Input_Opex!U21</f>
        <v>76.192017940977578</v>
      </c>
      <c r="V20" s="74">
        <f>Input_Opex!V21</f>
        <v>76.651420075481582</v>
      </c>
      <c r="W20" s="74">
        <f>Input_Opex!W21</f>
        <v>77.676357781767294</v>
      </c>
      <c r="X20" s="80">
        <f>Input_Opex!X21</f>
        <v>78.018343595474704</v>
      </c>
    </row>
    <row r="21" spans="3:24" x14ac:dyDescent="0.2">
      <c r="D21" s="37" t="str">
        <f>D13</f>
        <v>Actual / Estimate</v>
      </c>
      <c r="E21" s="39" t="str">
        <f>Unit_Dollar_M</f>
        <v>$Million</v>
      </c>
      <c r="F21" s="39" t="str">
        <f>Real_Input</f>
        <v>Real 2024</v>
      </c>
      <c r="G21" s="39" t="str">
        <f>End_Period</f>
        <v>End Period</v>
      </c>
      <c r="H21" s="39" t="str">
        <f>H20</f>
        <v>Input_Opex</v>
      </c>
      <c r="J21" s="79">
        <f>Input_Opex!J41*Input_CPI!T$20</f>
        <v>96.849626628322085</v>
      </c>
      <c r="K21" s="74">
        <f>Input_Opex!K41*Input_CPI!U$20</f>
        <v>104.45310714601014</v>
      </c>
      <c r="L21" s="74">
        <f>Input_Opex!L41*Input_CPI!V$20</f>
        <v>90.885387100542189</v>
      </c>
      <c r="M21" s="74">
        <f>Input_Opex!M41*Input_CPI!W$20</f>
        <v>106.19823986086728</v>
      </c>
      <c r="N21" s="80">
        <f>Input_Opex!N41*Input_CPI!X$20</f>
        <v>108.30138314398756</v>
      </c>
      <c r="O21" s="79">
        <f>Input_Opex!O41*Input_CPI!Y$20</f>
        <v>106.89728265096583</v>
      </c>
      <c r="P21" s="74">
        <f>Input_Opex!P41*Input_CPI!Z$20</f>
        <v>93.650705867586851</v>
      </c>
      <c r="Q21" s="74">
        <f>Input_Opex!Q41*Input_CPI!AA$20</f>
        <v>72.706670220368153</v>
      </c>
      <c r="R21" s="74">
        <f>Input_Opex!R41*Input_CPI!AB$20</f>
        <v>69.85830395721311</v>
      </c>
      <c r="S21" s="80">
        <f>Input_Opex!S41*Input_CPI!AC$20</f>
        <v>69.054145392076393</v>
      </c>
      <c r="T21" s="79">
        <f>Input_Opex!T41*Input_CPI!AD$20</f>
        <v>0</v>
      </c>
      <c r="U21" s="74">
        <f>Input_Opex!U41*Input_CPI!AE$20</f>
        <v>0</v>
      </c>
      <c r="V21" s="74">
        <f>Input_Opex!V41*Input_CPI!AF$20</f>
        <v>0</v>
      </c>
      <c r="W21" s="74">
        <f>Input_Opex!W41*Input_CPI!AG$20</f>
        <v>0</v>
      </c>
      <c r="X21" s="80">
        <f>Input_Opex!X41*Input_CPI!AH$20</f>
        <v>0</v>
      </c>
    </row>
    <row r="22" spans="3:24" x14ac:dyDescent="0.2">
      <c r="D22" s="37" t="str">
        <f>D14</f>
        <v>Allowed</v>
      </c>
      <c r="E22" s="39" t="str">
        <f>Unit_Dollar_M</f>
        <v>$Million</v>
      </c>
      <c r="F22" s="39" t="str">
        <f>Real_Input</f>
        <v>Real 2024</v>
      </c>
      <c r="G22" s="39" t="str">
        <f>End_Period</f>
        <v>End Period</v>
      </c>
      <c r="H22" s="39" t="str">
        <f>H21</f>
        <v>Input_Opex</v>
      </c>
      <c r="J22" s="79">
        <f>Input_Opex!J61*Input_CPI!T$16</f>
        <v>124.27969350934558</v>
      </c>
      <c r="K22" s="74">
        <f>Input_Opex!K61*Input_CPI!U$16</f>
        <v>116.41118806826745</v>
      </c>
      <c r="L22" s="74">
        <f>Input_Opex!L61*Input_CPI!V$16</f>
        <v>111.90173620601161</v>
      </c>
      <c r="M22" s="74">
        <f>Input_Opex!M61*Input_CPI!W$16</f>
        <v>102.86488062596666</v>
      </c>
      <c r="N22" s="80">
        <f>Input_Opex!N61*Input_CPI!X$16</f>
        <v>93.730229634560231</v>
      </c>
      <c r="O22" s="79">
        <f>Input_Opex!O61*Input_CPI!Y$16</f>
        <v>80.700122526951134</v>
      </c>
      <c r="P22" s="74">
        <f>Input_Opex!P61*Input_CPI!Z$16</f>
        <v>80.063269958147245</v>
      </c>
      <c r="Q22" s="74">
        <f>Input_Opex!Q61*Input_CPI!AA$16</f>
        <v>79.688918527181769</v>
      </c>
      <c r="R22" s="74">
        <f>Input_Opex!R61*Input_CPI!AB$16</f>
        <v>79.173241653886095</v>
      </c>
      <c r="S22" s="80">
        <f>Input_Opex!S61*Input_CPI!AC$16</f>
        <v>78.668685765827917</v>
      </c>
      <c r="T22" s="79">
        <f>Input_Opex!T61</f>
        <v>0</v>
      </c>
      <c r="U22" s="74">
        <f>Input_Opex!U61</f>
        <v>0</v>
      </c>
      <c r="V22" s="74">
        <f>Input_Opex!V61</f>
        <v>0</v>
      </c>
      <c r="W22" s="74">
        <f>Input_Opex!W61</f>
        <v>0</v>
      </c>
      <c r="X22" s="80">
        <f>Input_Opex!X61</f>
        <v>0</v>
      </c>
    </row>
    <row r="24" spans="3:24" s="121" customFormat="1" ht="15.75" x14ac:dyDescent="0.2">
      <c r="C24" s="121" t="str">
        <f>"Opex summary ("&amp;E20&amp;", "&amp;IF($G$24=Real_Input,F20,F12)&amp;")"</f>
        <v>Opex summary ($Million, Real 2024)</v>
      </c>
      <c r="G24" s="31" t="s">
        <v>101</v>
      </c>
    </row>
    <row r="26" spans="3:24" x14ac:dyDescent="0.2">
      <c r="J26" s="41" t="str">
        <f>J4</f>
        <v>Previous Period</v>
      </c>
      <c r="K26" s="41"/>
      <c r="L26" s="41"/>
      <c r="M26" s="41"/>
      <c r="N26" s="41"/>
      <c r="O26" s="42" t="str">
        <f>O4</f>
        <v>Current Period</v>
      </c>
      <c r="P26" s="42"/>
      <c r="Q26" s="42"/>
      <c r="R26" s="42"/>
      <c r="S26" s="42"/>
      <c r="T26" s="43" t="str">
        <f>T4</f>
        <v>Next Period</v>
      </c>
      <c r="U26" s="43"/>
      <c r="V26" s="43"/>
      <c r="W26" s="43"/>
      <c r="X26" s="43"/>
    </row>
    <row r="27" spans="3:24" ht="15" x14ac:dyDescent="0.2">
      <c r="D27" s="60" t="s">
        <v>56</v>
      </c>
      <c r="E27" s="61" t="str">
        <f>E$4</f>
        <v>Unit</v>
      </c>
      <c r="F27" s="61" t="str">
        <f>F$4</f>
        <v>Basis</v>
      </c>
      <c r="G27" s="61" t="str">
        <f>G$4</f>
        <v>Timing</v>
      </c>
      <c r="H27" s="61" t="str">
        <f>H$4</f>
        <v>Source</v>
      </c>
      <c r="J27" s="48" t="str">
        <f>J$3</f>
        <v>FY15</v>
      </c>
      <c r="K27" s="48" t="str">
        <f>K$3</f>
        <v>FY16</v>
      </c>
      <c r="L27" s="48" t="str">
        <f t="shared" ref="L27:X27" si="2">L$3</f>
        <v>FY17</v>
      </c>
      <c r="M27" s="48" t="str">
        <f t="shared" si="2"/>
        <v>FY18</v>
      </c>
      <c r="N27" s="48" t="str">
        <f t="shared" si="2"/>
        <v>FY19</v>
      </c>
      <c r="O27" s="48" t="str">
        <f t="shared" si="2"/>
        <v>FY20</v>
      </c>
      <c r="P27" s="48" t="str">
        <f t="shared" si="2"/>
        <v>FY21</v>
      </c>
      <c r="Q27" s="48" t="str">
        <f t="shared" si="2"/>
        <v>FY22</v>
      </c>
      <c r="R27" s="48" t="str">
        <f t="shared" si="2"/>
        <v>FY23</v>
      </c>
      <c r="S27" s="48" t="str">
        <f t="shared" si="2"/>
        <v>FY24</v>
      </c>
      <c r="T27" s="48" t="str">
        <f t="shared" si="2"/>
        <v>FY25</v>
      </c>
      <c r="U27" s="48" t="str">
        <f t="shared" si="2"/>
        <v>FY26</v>
      </c>
      <c r="V27" s="48" t="str">
        <f t="shared" si="2"/>
        <v>FY27</v>
      </c>
      <c r="W27" s="48" t="str">
        <f t="shared" si="2"/>
        <v>FY28</v>
      </c>
      <c r="X27" s="48" t="str">
        <f t="shared" si="2"/>
        <v>FY29</v>
      </c>
    </row>
    <row r="28" spans="3:24" x14ac:dyDescent="0.2">
      <c r="J28" s="39" t="str">
        <f>LookupTab!M42</f>
        <v>Actual</v>
      </c>
      <c r="K28" s="39" t="str">
        <f>LookupTab!N42</f>
        <v>Actual</v>
      </c>
      <c r="L28" s="39" t="str">
        <f>LookupTab!O42</f>
        <v>Actual</v>
      </c>
      <c r="M28" s="39" t="str">
        <f>LookupTab!P42</f>
        <v>Actual</v>
      </c>
      <c r="N28" s="39" t="str">
        <f>LookupTab!Q42</f>
        <v>Actual</v>
      </c>
      <c r="O28" s="39" t="str">
        <f>LookupTab!R42</f>
        <v>Actual</v>
      </c>
      <c r="P28" s="39" t="str">
        <f>LookupTab!S42</f>
        <v>Actual</v>
      </c>
      <c r="Q28" s="39" t="str">
        <f>LookupTab!T42</f>
        <v>Actual</v>
      </c>
      <c r="R28" s="39" t="str">
        <f>LookupTab!U42</f>
        <v>Actual</v>
      </c>
      <c r="S28" s="39" t="str">
        <f>LookupTab!V42</f>
        <v>Estimate</v>
      </c>
      <c r="T28" s="39" t="str">
        <f>LookupTab!W42</f>
        <v>Forecast</v>
      </c>
      <c r="U28" s="39" t="str">
        <f>LookupTab!X42</f>
        <v>Forecast</v>
      </c>
      <c r="V28" s="39" t="str">
        <f>LookupTab!Y42</f>
        <v>Forecast</v>
      </c>
      <c r="W28" s="39" t="str">
        <f>LookupTab!Z42</f>
        <v>Forecast</v>
      </c>
      <c r="X28" s="39" t="str">
        <f>LookupTab!AA42</f>
        <v>Forecast</v>
      </c>
    </row>
    <row r="29" spans="3:24" x14ac:dyDescent="0.2">
      <c r="D29" s="37" t="str">
        <f>K28</f>
        <v>Actual</v>
      </c>
      <c r="E29" s="39" t="str">
        <f>IF($G$24=Real_Input,E21,E13)</f>
        <v>$Million</v>
      </c>
      <c r="F29" s="39" t="str">
        <f>IF($G$24=Real_Input,F21,F13)</f>
        <v>Real 2024</v>
      </c>
      <c r="G29" s="39" t="str">
        <f>IF($G$24=Real_Input,G21,G13)</f>
        <v>End Period</v>
      </c>
      <c r="H29" s="51" t="s">
        <v>8</v>
      </c>
      <c r="J29" s="136">
        <f>IF(J$28=$D29,IF($G$24=Real_Input,J21,J13),NA())</f>
        <v>96.849626628322085</v>
      </c>
      <c r="K29" s="136">
        <f t="shared" ref="K29:X29" si="3">IF(K$28=$D29,IF($G$24=Real_Input,K21,K13),NA())</f>
        <v>104.45310714601014</v>
      </c>
      <c r="L29" s="136">
        <f t="shared" si="3"/>
        <v>90.885387100542189</v>
      </c>
      <c r="M29" s="136">
        <f t="shared" si="3"/>
        <v>106.19823986086728</v>
      </c>
      <c r="N29" s="136">
        <f t="shared" si="3"/>
        <v>108.30138314398756</v>
      </c>
      <c r="O29" s="136">
        <f t="shared" si="3"/>
        <v>106.89728265096583</v>
      </c>
      <c r="P29" s="136">
        <f t="shared" si="3"/>
        <v>93.650705867586851</v>
      </c>
      <c r="Q29" s="136">
        <f t="shared" si="3"/>
        <v>72.706670220368153</v>
      </c>
      <c r="R29" s="136">
        <f t="shared" si="3"/>
        <v>69.85830395721311</v>
      </c>
      <c r="S29" s="136" t="e">
        <f t="shared" si="3"/>
        <v>#N/A</v>
      </c>
      <c r="T29" s="136" t="e">
        <f t="shared" si="3"/>
        <v>#N/A</v>
      </c>
      <c r="U29" s="136" t="e">
        <f t="shared" si="3"/>
        <v>#N/A</v>
      </c>
      <c r="V29" s="136" t="e">
        <f t="shared" si="3"/>
        <v>#N/A</v>
      </c>
      <c r="W29" s="136" t="e">
        <f t="shared" si="3"/>
        <v>#N/A</v>
      </c>
      <c r="X29" s="136" t="e">
        <f t="shared" si="3"/>
        <v>#N/A</v>
      </c>
    </row>
    <row r="30" spans="3:24" x14ac:dyDescent="0.2">
      <c r="D30" s="37" t="str">
        <f>S28</f>
        <v>Estimate</v>
      </c>
      <c r="E30" s="39" t="str">
        <f t="shared" ref="E30:H32" si="4">E29</f>
        <v>$Million</v>
      </c>
      <c r="F30" s="39" t="str">
        <f t="shared" si="4"/>
        <v>Real 2024</v>
      </c>
      <c r="G30" s="39" t="str">
        <f t="shared" si="4"/>
        <v>End Period</v>
      </c>
      <c r="H30" s="39" t="str">
        <f t="shared" si="4"/>
        <v>Calculated</v>
      </c>
      <c r="J30" s="136" t="e">
        <f>IF(J$28=$D30,IF($G$24=Real_Input,J21,J13),NA())</f>
        <v>#N/A</v>
      </c>
      <c r="K30" s="136" t="e">
        <f t="shared" ref="K30:X30" si="5">IF(K$28=$D30,IF($G$24=Real_Input,K21,K13),NA())</f>
        <v>#N/A</v>
      </c>
      <c r="L30" s="136" t="e">
        <f t="shared" si="5"/>
        <v>#N/A</v>
      </c>
      <c r="M30" s="136" t="e">
        <f t="shared" si="5"/>
        <v>#N/A</v>
      </c>
      <c r="N30" s="136" t="e">
        <f t="shared" si="5"/>
        <v>#N/A</v>
      </c>
      <c r="O30" s="136" t="e">
        <f t="shared" si="5"/>
        <v>#N/A</v>
      </c>
      <c r="P30" s="136" t="e">
        <f t="shared" si="5"/>
        <v>#N/A</v>
      </c>
      <c r="Q30" s="136" t="e">
        <f t="shared" si="5"/>
        <v>#N/A</v>
      </c>
      <c r="R30" s="136" t="e">
        <f t="shared" si="5"/>
        <v>#N/A</v>
      </c>
      <c r="S30" s="136">
        <f t="shared" si="5"/>
        <v>69.054145392076393</v>
      </c>
      <c r="T30" s="136" t="e">
        <f t="shared" si="5"/>
        <v>#N/A</v>
      </c>
      <c r="U30" s="136" t="e">
        <f t="shared" si="5"/>
        <v>#N/A</v>
      </c>
      <c r="V30" s="136" t="e">
        <f t="shared" si="5"/>
        <v>#N/A</v>
      </c>
      <c r="W30" s="136" t="e">
        <f t="shared" si="5"/>
        <v>#N/A</v>
      </c>
      <c r="X30" s="136" t="e">
        <f t="shared" si="5"/>
        <v>#N/A</v>
      </c>
    </row>
    <row r="31" spans="3:24" x14ac:dyDescent="0.2">
      <c r="D31" s="37" t="str">
        <f>T28</f>
        <v>Forecast</v>
      </c>
      <c r="E31" s="39" t="str">
        <f t="shared" si="4"/>
        <v>$Million</v>
      </c>
      <c r="F31" s="39" t="str">
        <f t="shared" si="4"/>
        <v>Real 2024</v>
      </c>
      <c r="G31" s="39" t="str">
        <f t="shared" si="4"/>
        <v>End Period</v>
      </c>
      <c r="H31" s="39" t="str">
        <f t="shared" si="4"/>
        <v>Calculated</v>
      </c>
      <c r="J31" s="136" t="e">
        <f>IF(J$28=$D31,IF($G$24=Real_Input,J20,J12),NA())</f>
        <v>#N/A</v>
      </c>
      <c r="K31" s="136" t="e">
        <f t="shared" ref="K31:X31" si="6">IF(K$28=$D31,IF($G$24=Real_Input,K20,K12),NA())</f>
        <v>#N/A</v>
      </c>
      <c r="L31" s="136" t="e">
        <f t="shared" si="6"/>
        <v>#N/A</v>
      </c>
      <c r="M31" s="136" t="e">
        <f t="shared" si="6"/>
        <v>#N/A</v>
      </c>
      <c r="N31" s="136" t="e">
        <f t="shared" si="6"/>
        <v>#N/A</v>
      </c>
      <c r="O31" s="136" t="e">
        <f t="shared" si="6"/>
        <v>#N/A</v>
      </c>
      <c r="P31" s="136" t="e">
        <f t="shared" si="6"/>
        <v>#N/A</v>
      </c>
      <c r="Q31" s="136" t="e">
        <f t="shared" si="6"/>
        <v>#N/A</v>
      </c>
      <c r="R31" s="136" t="e">
        <f t="shared" si="6"/>
        <v>#N/A</v>
      </c>
      <c r="S31" s="136" t="e">
        <f t="shared" si="6"/>
        <v>#N/A</v>
      </c>
      <c r="T31" s="136">
        <f t="shared" si="6"/>
        <v>75.18407329124922</v>
      </c>
      <c r="U31" s="136">
        <f t="shared" si="6"/>
        <v>76.192017940977578</v>
      </c>
      <c r="V31" s="136">
        <f t="shared" si="6"/>
        <v>76.651420075481582</v>
      </c>
      <c r="W31" s="136">
        <f t="shared" si="6"/>
        <v>77.676357781767294</v>
      </c>
      <c r="X31" s="136">
        <f t="shared" si="6"/>
        <v>78.018343595474704</v>
      </c>
    </row>
    <row r="32" spans="3:24" x14ac:dyDescent="0.2">
      <c r="D32" s="37" t="s">
        <v>61</v>
      </c>
      <c r="E32" s="39" t="str">
        <f t="shared" si="4"/>
        <v>$Million</v>
      </c>
      <c r="F32" s="39" t="str">
        <f t="shared" si="4"/>
        <v>Real 2024</v>
      </c>
      <c r="G32" s="39" t="str">
        <f t="shared" si="4"/>
        <v>End Period</v>
      </c>
      <c r="H32" s="39" t="str">
        <f t="shared" si="4"/>
        <v>Calculated</v>
      </c>
      <c r="J32" s="136">
        <f>IF(J$28&lt;&gt;$D31,IF($G$24=Real_Input,J22,J14),NA())</f>
        <v>124.27969350934558</v>
      </c>
      <c r="K32" s="136">
        <f t="shared" ref="K32:X32" si="7">IF(K$28&lt;&gt;$D31,IF($G$24=Real_Input,K22,K14),NA())</f>
        <v>116.41118806826745</v>
      </c>
      <c r="L32" s="136">
        <f t="shared" si="7"/>
        <v>111.90173620601161</v>
      </c>
      <c r="M32" s="136">
        <f t="shared" si="7"/>
        <v>102.86488062596666</v>
      </c>
      <c r="N32" s="136">
        <f t="shared" si="7"/>
        <v>93.730229634560231</v>
      </c>
      <c r="O32" s="136">
        <f t="shared" si="7"/>
        <v>80.700122526951134</v>
      </c>
      <c r="P32" s="136">
        <f t="shared" si="7"/>
        <v>80.063269958147245</v>
      </c>
      <c r="Q32" s="136">
        <f t="shared" si="7"/>
        <v>79.688918527181769</v>
      </c>
      <c r="R32" s="136">
        <f t="shared" si="7"/>
        <v>79.173241653886095</v>
      </c>
      <c r="S32" s="136">
        <f t="shared" si="7"/>
        <v>78.668685765827917</v>
      </c>
      <c r="T32" s="136" t="e">
        <f t="shared" si="7"/>
        <v>#N/A</v>
      </c>
      <c r="U32" s="136" t="e">
        <f t="shared" si="7"/>
        <v>#N/A</v>
      </c>
      <c r="V32" s="136" t="e">
        <f t="shared" si="7"/>
        <v>#N/A</v>
      </c>
      <c r="W32" s="136" t="e">
        <f t="shared" si="7"/>
        <v>#N/A</v>
      </c>
      <c r="X32" s="136" t="e">
        <f t="shared" si="7"/>
        <v>#N/A</v>
      </c>
    </row>
    <row r="34" spans="2:24" s="6" customFormat="1" ht="18.75" x14ac:dyDescent="0.2">
      <c r="B34" s="6" t="s">
        <v>621</v>
      </c>
    </row>
    <row r="36" spans="2:24" s="121" customFormat="1" ht="15.75" x14ac:dyDescent="0.2">
      <c r="C36" s="121" t="str">
        <f>"Actual / Estimate - "&amp;Real_Input</f>
        <v>Actual / Estimate - Real 2024</v>
      </c>
    </row>
    <row r="38" spans="2:24" x14ac:dyDescent="0.2">
      <c r="D38" s="60" t="s">
        <v>56</v>
      </c>
      <c r="E38" s="61" t="str">
        <f>E$4</f>
        <v>Unit</v>
      </c>
      <c r="F38" s="61" t="str">
        <f>F$4</f>
        <v>Basis</v>
      </c>
      <c r="G38" s="61" t="str">
        <f>G$4</f>
        <v>Timing</v>
      </c>
      <c r="H38" s="61" t="str">
        <f>H$4</f>
        <v>Source</v>
      </c>
      <c r="I38" s="60"/>
      <c r="J38" s="62" t="str">
        <f>J$3</f>
        <v>FY15</v>
      </c>
      <c r="K38" s="62" t="str">
        <f t="shared" ref="K38:X38" si="8">K$3</f>
        <v>FY16</v>
      </c>
      <c r="L38" s="62" t="str">
        <f t="shared" si="8"/>
        <v>FY17</v>
      </c>
      <c r="M38" s="62" t="str">
        <f t="shared" si="8"/>
        <v>FY18</v>
      </c>
      <c r="N38" s="62" t="str">
        <f t="shared" si="8"/>
        <v>FY19</v>
      </c>
      <c r="O38" s="62" t="str">
        <f t="shared" si="8"/>
        <v>FY20</v>
      </c>
      <c r="P38" s="62" t="str">
        <f t="shared" si="8"/>
        <v>FY21</v>
      </c>
      <c r="Q38" s="62" t="str">
        <f t="shared" si="8"/>
        <v>FY22</v>
      </c>
      <c r="R38" s="62" t="str">
        <f t="shared" si="8"/>
        <v>FY23</v>
      </c>
      <c r="S38" s="62" t="str">
        <f t="shared" si="8"/>
        <v>FY24</v>
      </c>
      <c r="T38" s="62" t="str">
        <f t="shared" si="8"/>
        <v>FY25</v>
      </c>
      <c r="U38" s="62" t="str">
        <f t="shared" si="8"/>
        <v>FY26</v>
      </c>
      <c r="V38" s="62" t="str">
        <f t="shared" si="8"/>
        <v>FY27</v>
      </c>
      <c r="W38" s="62" t="str">
        <f t="shared" si="8"/>
        <v>FY28</v>
      </c>
      <c r="X38" s="62" t="str">
        <f t="shared" si="8"/>
        <v>FY29</v>
      </c>
    </row>
    <row r="40" spans="2:24" x14ac:dyDescent="0.2">
      <c r="D40" s="37" t="str">
        <f>Input_Opex!D32</f>
        <v>Vegetation management</v>
      </c>
      <c r="E40" s="39" t="str">
        <f t="shared" ref="E40:E49" si="9">Unit_Dollar_M</f>
        <v>$Million</v>
      </c>
      <c r="F40" s="39" t="str">
        <f t="shared" ref="F40:F49" si="10">Real_Input</f>
        <v>Real 2024</v>
      </c>
      <c r="G40" s="39" t="str">
        <f t="shared" ref="G40:G49" si="11">End_Period</f>
        <v>End Period</v>
      </c>
      <c r="H40" s="51" t="s">
        <v>79</v>
      </c>
      <c r="J40" s="79">
        <f>Input_Opex!J32*Input_CPI!T$20</f>
        <v>7.9768126495221559</v>
      </c>
      <c r="K40" s="74">
        <f>Input_Opex!K32*Input_CPI!U$20</f>
        <v>6.5083381387702071</v>
      </c>
      <c r="L40" s="74">
        <f>Input_Opex!L32*Input_CPI!V$20</f>
        <v>5.8438412997668729</v>
      </c>
      <c r="M40" s="74">
        <f>Input_Opex!M32*Input_CPI!W$20</f>
        <v>5.0910384844422705</v>
      </c>
      <c r="N40" s="80">
        <f>Input_Opex!N32*Input_CPI!X$20</f>
        <v>6.0340819827200134</v>
      </c>
      <c r="O40" s="79">
        <f>Input_Opex!O32*Input_CPI!Y$20</f>
        <v>3.8283692157385985</v>
      </c>
      <c r="P40" s="74">
        <f>Input_Opex!P32*Input_CPI!Z$20</f>
        <v>4.0554285723209658</v>
      </c>
      <c r="Q40" s="74">
        <f>Input_Opex!Q32*Input_CPI!AA$20</f>
        <v>2.8812802621867877</v>
      </c>
      <c r="R40" s="74">
        <f>Input_Opex!R32*Input_CPI!AB$20</f>
        <v>4.0160861417195584</v>
      </c>
      <c r="S40" s="80">
        <f>Input_Opex!S32*Input_CPI!AC$20</f>
        <v>3.9698558457311433</v>
      </c>
      <c r="T40" s="79">
        <f>Input_Opex!T32*Input_CPI!AD$20</f>
        <v>0</v>
      </c>
      <c r="U40" s="74">
        <f>Input_Opex!U32*Input_CPI!AE$20</f>
        <v>0</v>
      </c>
      <c r="V40" s="74">
        <f>Input_Opex!V32*Input_CPI!AF$20</f>
        <v>0</v>
      </c>
      <c r="W40" s="74">
        <f>Input_Opex!W32*Input_CPI!AG$20</f>
        <v>0</v>
      </c>
      <c r="X40" s="80">
        <f>Input_Opex!X32*Input_CPI!AH$20</f>
        <v>0</v>
      </c>
    </row>
    <row r="41" spans="2:24" x14ac:dyDescent="0.2">
      <c r="D41" s="37" t="str">
        <f>Input_Opex!D33</f>
        <v>Maintenance</v>
      </c>
      <c r="E41" s="39" t="str">
        <f t="shared" si="9"/>
        <v>$Million</v>
      </c>
      <c r="F41" s="39" t="str">
        <f t="shared" si="10"/>
        <v>Real 2024</v>
      </c>
      <c r="G41" s="39" t="str">
        <f t="shared" si="11"/>
        <v>End Period</v>
      </c>
      <c r="H41" s="39" t="str">
        <f t="shared" ref="H41:H47" si="12">H40</f>
        <v>Input_Opex</v>
      </c>
      <c r="J41" s="79">
        <f>Input_Opex!J33*Input_CPI!T$20</f>
        <v>26.015172828646161</v>
      </c>
      <c r="K41" s="74">
        <f>Input_Opex!K33*Input_CPI!U$20</f>
        <v>22.260197745352684</v>
      </c>
      <c r="L41" s="74">
        <f>Input_Opex!L33*Input_CPI!V$20</f>
        <v>21.314536038801844</v>
      </c>
      <c r="M41" s="74">
        <f>Input_Opex!M33*Input_CPI!W$20</f>
        <v>17.452429038490369</v>
      </c>
      <c r="N41" s="80">
        <f>Input_Opex!N33*Input_CPI!X$20</f>
        <v>16.672043728948729</v>
      </c>
      <c r="O41" s="79">
        <f>Input_Opex!O33*Input_CPI!Y$20</f>
        <v>16.950193170690572</v>
      </c>
      <c r="P41" s="74">
        <f>Input_Opex!P33*Input_CPI!Z$20</f>
        <v>20.235451995104324</v>
      </c>
      <c r="Q41" s="74">
        <f>Input_Opex!Q33*Input_CPI!AA$20</f>
        <v>16.610918349601821</v>
      </c>
      <c r="R41" s="74">
        <f>Input_Opex!R33*Input_CPI!AB$20</f>
        <v>15.317084601406091</v>
      </c>
      <c r="S41" s="80">
        <f>Input_Opex!S33*Input_CPI!AC$20</f>
        <v>15.140765336874727</v>
      </c>
      <c r="T41" s="79">
        <f>Input_Opex!T33*Input_CPI!AD$20</f>
        <v>0</v>
      </c>
      <c r="U41" s="74">
        <f>Input_Opex!U33*Input_CPI!AE$20</f>
        <v>0</v>
      </c>
      <c r="V41" s="74">
        <f>Input_Opex!V33*Input_CPI!AF$20</f>
        <v>0</v>
      </c>
      <c r="W41" s="74">
        <f>Input_Opex!W33*Input_CPI!AG$20</f>
        <v>0</v>
      </c>
      <c r="X41" s="80">
        <f>Input_Opex!X33*Input_CPI!AH$20</f>
        <v>0</v>
      </c>
    </row>
    <row r="42" spans="2:24" x14ac:dyDescent="0.2">
      <c r="D42" s="37" t="str">
        <f>Input_Opex!D34</f>
        <v>Emergency response</v>
      </c>
      <c r="E42" s="39" t="str">
        <f t="shared" si="9"/>
        <v>$Million</v>
      </c>
      <c r="F42" s="39" t="str">
        <f t="shared" si="10"/>
        <v>Real 2024</v>
      </c>
      <c r="G42" s="39" t="str">
        <f t="shared" si="11"/>
        <v>End Period</v>
      </c>
      <c r="H42" s="39" t="str">
        <f t="shared" si="12"/>
        <v>Input_Opex</v>
      </c>
      <c r="J42" s="79">
        <f>Input_Opex!J34*Input_CPI!T$20</f>
        <v>8.671523454557466</v>
      </c>
      <c r="K42" s="74">
        <f>Input_Opex!K34*Input_CPI!U$20</f>
        <v>8.1622605438858358</v>
      </c>
      <c r="L42" s="74">
        <f>Input_Opex!L34*Input_CPI!V$20</f>
        <v>8.1591779973464131</v>
      </c>
      <c r="M42" s="74">
        <f>Input_Opex!M34*Input_CPI!W$20</f>
        <v>11.081312318509985</v>
      </c>
      <c r="N42" s="80">
        <f>Input_Opex!N34*Input_CPI!X$20</f>
        <v>8.0178953672316666</v>
      </c>
      <c r="O42" s="79">
        <f>Input_Opex!O34*Input_CPI!Y$20</f>
        <v>7.4763607199664932</v>
      </c>
      <c r="P42" s="74">
        <f>Input_Opex!P34*Input_CPI!Z$20</f>
        <v>11.45900359458405</v>
      </c>
      <c r="Q42" s="74">
        <f>Input_Opex!Q34*Input_CPI!AA$20</f>
        <v>8.6113071182018945</v>
      </c>
      <c r="R42" s="74">
        <f>Input_Opex!R34*Input_CPI!AB$20</f>
        <v>9.1681563937323887</v>
      </c>
      <c r="S42" s="80">
        <f>Input_Opex!S34*Input_CPI!AC$20</f>
        <v>9.0626191694813034</v>
      </c>
      <c r="T42" s="79">
        <f>Input_Opex!T34*Input_CPI!AD$20</f>
        <v>0</v>
      </c>
      <c r="U42" s="74">
        <f>Input_Opex!U34*Input_CPI!AE$20</f>
        <v>0</v>
      </c>
      <c r="V42" s="74">
        <f>Input_Opex!V34*Input_CPI!AF$20</f>
        <v>0</v>
      </c>
      <c r="W42" s="74">
        <f>Input_Opex!W34*Input_CPI!AG$20</f>
        <v>0</v>
      </c>
      <c r="X42" s="80">
        <f>Input_Opex!X34*Input_CPI!AH$20</f>
        <v>0</v>
      </c>
    </row>
    <row r="43" spans="2:24" x14ac:dyDescent="0.2">
      <c r="D43" s="37" t="str">
        <f>Input_Opex!D35</f>
        <v>Non-network</v>
      </c>
      <c r="E43" s="39" t="str">
        <f t="shared" si="9"/>
        <v>$Million</v>
      </c>
      <c r="F43" s="39" t="str">
        <f t="shared" si="10"/>
        <v>Real 2024</v>
      </c>
      <c r="G43" s="39" t="str">
        <f t="shared" si="11"/>
        <v>End Period</v>
      </c>
      <c r="H43" s="39" t="str">
        <f t="shared" si="12"/>
        <v>Input_Opex</v>
      </c>
      <c r="J43" s="79">
        <f>Input_Opex!J35*Input_CPI!T$20</f>
        <v>9.2155781060077331</v>
      </c>
      <c r="K43" s="74">
        <f>Input_Opex!K35*Input_CPI!U$20</f>
        <v>8.748754309182992</v>
      </c>
      <c r="L43" s="74">
        <f>Input_Opex!L35*Input_CPI!V$20</f>
        <v>9.2627780270860232</v>
      </c>
      <c r="M43" s="74">
        <f>Input_Opex!M35*Input_CPI!W$20</f>
        <v>8.8421036238516564</v>
      </c>
      <c r="N43" s="80">
        <f>Input_Opex!N35*Input_CPI!X$20</f>
        <v>8.4828726954967522</v>
      </c>
      <c r="O43" s="79">
        <f>Input_Opex!O35*Input_CPI!Y$20</f>
        <v>4.1203531290903594</v>
      </c>
      <c r="P43" s="74">
        <f>Input_Opex!P35*Input_CPI!Z$20</f>
        <v>3.1649390387616574</v>
      </c>
      <c r="Q43" s="74">
        <f>Input_Opex!Q35*Input_CPI!AA$20</f>
        <v>4.7024742309815561</v>
      </c>
      <c r="R43" s="74">
        <f>Input_Opex!R35*Input_CPI!AB$20</f>
        <v>4.1175011599959799</v>
      </c>
      <c r="S43" s="80">
        <f>Input_Opex!S35*Input_CPI!AC$20</f>
        <v>4.0701034472373205</v>
      </c>
      <c r="T43" s="79">
        <f>Input_Opex!T35*Input_CPI!AD$20</f>
        <v>0</v>
      </c>
      <c r="U43" s="74">
        <f>Input_Opex!U35*Input_CPI!AE$20</f>
        <v>0</v>
      </c>
      <c r="V43" s="74">
        <f>Input_Opex!V35*Input_CPI!AF$20</f>
        <v>0</v>
      </c>
      <c r="W43" s="74">
        <f>Input_Opex!W35*Input_CPI!AG$20</f>
        <v>0</v>
      </c>
      <c r="X43" s="80">
        <f>Input_Opex!X35*Input_CPI!AH$20</f>
        <v>0</v>
      </c>
    </row>
    <row r="44" spans="2:24" x14ac:dyDescent="0.2">
      <c r="D44" s="37" t="str">
        <f>Input_Opex!D36</f>
        <v>Export services</v>
      </c>
      <c r="E44" s="39" t="str">
        <f t="shared" si="9"/>
        <v>$Million</v>
      </c>
      <c r="F44" s="39" t="str">
        <f t="shared" si="10"/>
        <v>Real 2024</v>
      </c>
      <c r="G44" s="39" t="str">
        <f t="shared" si="11"/>
        <v>End Period</v>
      </c>
      <c r="H44" s="39" t="str">
        <f t="shared" si="12"/>
        <v>Input_Opex</v>
      </c>
      <c r="J44" s="79">
        <f>Input_Opex!J36*Input_CPI!T$20</f>
        <v>0</v>
      </c>
      <c r="K44" s="74">
        <f>Input_Opex!K36*Input_CPI!U$20</f>
        <v>0</v>
      </c>
      <c r="L44" s="74">
        <f>Input_Opex!L36*Input_CPI!V$20</f>
        <v>0</v>
      </c>
      <c r="M44" s="74">
        <f>Input_Opex!M36*Input_CPI!W$20</f>
        <v>0</v>
      </c>
      <c r="N44" s="80">
        <f>Input_Opex!N36*Input_CPI!X$20</f>
        <v>0</v>
      </c>
      <c r="O44" s="79">
        <f>Input_Opex!O36*Input_CPI!Y$20</f>
        <v>0</v>
      </c>
      <c r="P44" s="74">
        <f>Input_Opex!P36*Input_CPI!Z$20</f>
        <v>0</v>
      </c>
      <c r="Q44" s="74">
        <f>Input_Opex!Q36*Input_CPI!AA$20</f>
        <v>0</v>
      </c>
      <c r="R44" s="74">
        <f>Input_Opex!R36*Input_CPI!AB$20</f>
        <v>0</v>
      </c>
      <c r="S44" s="80">
        <f>Input_Opex!S36*Input_CPI!AC$20</f>
        <v>0</v>
      </c>
      <c r="T44" s="79">
        <f>Input_Opex!T36*Input_CPI!AD$20</f>
        <v>0</v>
      </c>
      <c r="U44" s="74">
        <f>Input_Opex!U36*Input_CPI!AE$20</f>
        <v>0</v>
      </c>
      <c r="V44" s="74">
        <f>Input_Opex!V36*Input_CPI!AF$20</f>
        <v>0</v>
      </c>
      <c r="W44" s="74">
        <f>Input_Opex!W36*Input_CPI!AG$20</f>
        <v>0</v>
      </c>
      <c r="X44" s="80">
        <f>Input_Opex!X36*Input_CPI!AH$20</f>
        <v>0</v>
      </c>
    </row>
    <row r="45" spans="2:24" x14ac:dyDescent="0.2">
      <c r="D45" s="37" t="str">
        <f>Input_Opex!D37</f>
        <v>Network overheads</v>
      </c>
      <c r="E45" s="39" t="str">
        <f t="shared" si="9"/>
        <v>$Million</v>
      </c>
      <c r="F45" s="39" t="str">
        <f t="shared" si="10"/>
        <v>Real 2024</v>
      </c>
      <c r="G45" s="39" t="str">
        <f t="shared" si="11"/>
        <v>End Period</v>
      </c>
      <c r="H45" s="39" t="str">
        <f t="shared" si="12"/>
        <v>Input_Opex</v>
      </c>
      <c r="J45" s="79">
        <f>Input_Opex!J37*Input_CPI!T$20</f>
        <v>32.192437958827433</v>
      </c>
      <c r="K45" s="74">
        <f>Input_Opex!K37*Input_CPI!U$20</f>
        <v>37.265407272629446</v>
      </c>
      <c r="L45" s="74">
        <f>Input_Opex!L37*Input_CPI!V$20</f>
        <v>36.709683272064758</v>
      </c>
      <c r="M45" s="74">
        <f>Input_Opex!M37*Input_CPI!W$20</f>
        <v>47.033122989292465</v>
      </c>
      <c r="N45" s="80">
        <f>Input_Opex!N37*Input_CPI!X$20</f>
        <v>49.939508935241598</v>
      </c>
      <c r="O45" s="79">
        <f>Input_Opex!O37*Input_CPI!Y$20</f>
        <v>53.905089360914481</v>
      </c>
      <c r="P45" s="74">
        <f>Input_Opex!P37*Input_CPI!Z$20</f>
        <v>33.834354652131381</v>
      </c>
      <c r="Q45" s="74">
        <f>Input_Opex!Q37*Input_CPI!AA$20</f>
        <v>18.900685187819008</v>
      </c>
      <c r="R45" s="74">
        <f>Input_Opex!R37*Input_CPI!AB$20</f>
        <v>23.733786517823624</v>
      </c>
      <c r="S45" s="80">
        <f>Input_Opex!S37*Input_CPI!AC$20</f>
        <v>23.460580232667837</v>
      </c>
      <c r="T45" s="79">
        <f>Input_Opex!T37*Input_CPI!AD$20</f>
        <v>0</v>
      </c>
      <c r="U45" s="74">
        <f>Input_Opex!U37*Input_CPI!AE$20</f>
        <v>0</v>
      </c>
      <c r="V45" s="74">
        <f>Input_Opex!V37*Input_CPI!AF$20</f>
        <v>0</v>
      </c>
      <c r="W45" s="74">
        <f>Input_Opex!W37*Input_CPI!AG$20</f>
        <v>0</v>
      </c>
      <c r="X45" s="80">
        <f>Input_Opex!X37*Input_CPI!AH$20</f>
        <v>0</v>
      </c>
    </row>
    <row r="46" spans="2:24" x14ac:dyDescent="0.2">
      <c r="D46" s="37" t="str">
        <f>Input_Opex!D38</f>
        <v>Corporate overheads</v>
      </c>
      <c r="E46" s="39" t="str">
        <f t="shared" si="9"/>
        <v>$Million</v>
      </c>
      <c r="F46" s="39" t="str">
        <f t="shared" si="10"/>
        <v>Real 2024</v>
      </c>
      <c r="G46" s="39" t="str">
        <f t="shared" si="11"/>
        <v>End Period</v>
      </c>
      <c r="H46" s="39" t="str">
        <f t="shared" si="12"/>
        <v>Input_Opex</v>
      </c>
      <c r="J46" s="79">
        <f>Input_Opex!J38*Input_CPI!T$20</f>
        <v>12.846635786295575</v>
      </c>
      <c r="K46" s="74">
        <f>Input_Opex!K38*Input_CPI!U$20</f>
        <v>21.408452952867293</v>
      </c>
      <c r="L46" s="74">
        <f>Input_Opex!L38*Input_CPI!V$20</f>
        <v>9.7898448408767837</v>
      </c>
      <c r="M46" s="74">
        <f>Input_Opex!M38*Input_CPI!W$20</f>
        <v>16.571826154227885</v>
      </c>
      <c r="N46" s="80">
        <f>Input_Opex!N38*Input_CPI!X$20</f>
        <v>18.959312282062651</v>
      </c>
      <c r="O46" s="79">
        <f>Input_Opex!O38*Input_CPI!Y$20</f>
        <v>20.788730322333553</v>
      </c>
      <c r="P46" s="74">
        <f>Input_Opex!P38*Input_CPI!Z$20</f>
        <v>20.811365530590002</v>
      </c>
      <c r="Q46" s="74">
        <f>Input_Opex!Q38*Input_CPI!AA$20</f>
        <v>20.951033967588675</v>
      </c>
      <c r="R46" s="74">
        <f>Input_Opex!R38*Input_CPI!AB$20</f>
        <v>13.945200803714592</v>
      </c>
      <c r="S46" s="80">
        <f>Input_Opex!S38*Input_CPI!AC$20</f>
        <v>13.784673679040523</v>
      </c>
      <c r="T46" s="79">
        <f>Input_Opex!T38*Input_CPI!AD$20</f>
        <v>0</v>
      </c>
      <c r="U46" s="74">
        <f>Input_Opex!U38*Input_CPI!AE$20</f>
        <v>0</v>
      </c>
      <c r="V46" s="74">
        <f>Input_Opex!V38*Input_CPI!AF$20</f>
        <v>0</v>
      </c>
      <c r="W46" s="74">
        <f>Input_Opex!W38*Input_CPI!AG$20</f>
        <v>0</v>
      </c>
      <c r="X46" s="80">
        <f>Input_Opex!X38*Input_CPI!AH$20</f>
        <v>0</v>
      </c>
    </row>
    <row r="47" spans="2:24" x14ac:dyDescent="0.2">
      <c r="D47" s="37" t="str">
        <f>Input_Opex!D39</f>
        <v>Other/Balancing item</v>
      </c>
      <c r="E47" s="39" t="str">
        <f t="shared" si="9"/>
        <v>$Million</v>
      </c>
      <c r="F47" s="39" t="str">
        <f t="shared" si="10"/>
        <v>Real 2024</v>
      </c>
      <c r="G47" s="39" t="str">
        <f t="shared" si="11"/>
        <v>End Period</v>
      </c>
      <c r="H47" s="39" t="str">
        <f t="shared" si="12"/>
        <v>Input_Opex</v>
      </c>
      <c r="J47" s="79">
        <f>Input_Opex!J39*Input_CPI!T$20</f>
        <v>-6.8534155534438257E-2</v>
      </c>
      <c r="K47" s="74">
        <f>Input_Opex!K39*Input_CPI!U$20</f>
        <v>9.9696183321674625E-2</v>
      </c>
      <c r="L47" s="74">
        <f>Input_Opex!L39*Input_CPI!V$20</f>
        <v>-0.19447437540052495</v>
      </c>
      <c r="M47" s="74">
        <f>Input_Opex!M39*Input_CPI!W$20</f>
        <v>0.12640725205264211</v>
      </c>
      <c r="N47" s="80">
        <f>Input_Opex!N39*Input_CPI!X$20</f>
        <v>0.19566815228612508</v>
      </c>
      <c r="O47" s="79">
        <f>Input_Opex!O39*Input_CPI!Y$20</f>
        <v>-0.17181326776822262</v>
      </c>
      <c r="P47" s="74">
        <f>Input_Opex!P39*Input_CPI!Z$20</f>
        <v>9.0162484094460524E-2</v>
      </c>
      <c r="Q47" s="74">
        <f>Input_Opex!Q39*Input_CPI!AA$20</f>
        <v>4.8971103988414547E-2</v>
      </c>
      <c r="R47" s="74">
        <f>Input_Opex!R39*Input_CPI!AB$20</f>
        <v>-0.43951166117912671</v>
      </c>
      <c r="S47" s="80">
        <f>Input_Opex!S39*Input_CPI!AC$20</f>
        <v>-0.43445231895645936</v>
      </c>
      <c r="T47" s="79">
        <f>Input_Opex!T39*Input_CPI!AD$20</f>
        <v>0</v>
      </c>
      <c r="U47" s="74">
        <f>Input_Opex!U39*Input_CPI!AE$20</f>
        <v>0</v>
      </c>
      <c r="V47" s="74">
        <f>Input_Opex!V39*Input_CPI!AF$20</f>
        <v>0</v>
      </c>
      <c r="W47" s="74">
        <f>Input_Opex!W39*Input_CPI!AG$20</f>
        <v>0</v>
      </c>
      <c r="X47" s="80">
        <f>Input_Opex!X39*Input_CPI!AH$20</f>
        <v>0</v>
      </c>
    </row>
    <row r="48" spans="2:24" x14ac:dyDescent="0.2">
      <c r="D48" s="37"/>
    </row>
    <row r="49" spans="2:30" x14ac:dyDescent="0.2">
      <c r="D49" s="104" t="str">
        <f>Input_Opex!D41</f>
        <v>Total</v>
      </c>
      <c r="E49" s="125" t="str">
        <f t="shared" si="9"/>
        <v>$Million</v>
      </c>
      <c r="F49" s="125" t="str">
        <f t="shared" si="10"/>
        <v>Real 2024</v>
      </c>
      <c r="G49" s="125" t="str">
        <f t="shared" si="11"/>
        <v>End Period</v>
      </c>
      <c r="H49" s="125" t="s">
        <v>8</v>
      </c>
      <c r="I49" s="60"/>
      <c r="J49" s="128">
        <f>SUM(J40:J47)</f>
        <v>96.849626628322085</v>
      </c>
      <c r="K49" s="129">
        <f t="shared" ref="K49:X49" si="13">SUM(K40:K47)</f>
        <v>104.45310714601013</v>
      </c>
      <c r="L49" s="129">
        <f t="shared" si="13"/>
        <v>90.885387100542161</v>
      </c>
      <c r="M49" s="129">
        <f t="shared" si="13"/>
        <v>106.19823986086729</v>
      </c>
      <c r="N49" s="130">
        <f t="shared" si="13"/>
        <v>108.30138314398754</v>
      </c>
      <c r="O49" s="128">
        <f t="shared" si="13"/>
        <v>106.89728265096582</v>
      </c>
      <c r="P49" s="129">
        <f t="shared" si="13"/>
        <v>93.650705867586851</v>
      </c>
      <c r="Q49" s="129">
        <f t="shared" si="13"/>
        <v>72.706670220368167</v>
      </c>
      <c r="R49" s="129">
        <f t="shared" si="13"/>
        <v>69.85830395721311</v>
      </c>
      <c r="S49" s="130">
        <f t="shared" si="13"/>
        <v>69.054145392076407</v>
      </c>
      <c r="T49" s="128">
        <f t="shared" si="13"/>
        <v>0</v>
      </c>
      <c r="U49" s="129">
        <f t="shared" si="13"/>
        <v>0</v>
      </c>
      <c r="V49" s="129">
        <f t="shared" si="13"/>
        <v>0</v>
      </c>
      <c r="W49" s="129">
        <f t="shared" si="13"/>
        <v>0</v>
      </c>
      <c r="X49" s="130">
        <f t="shared" si="13"/>
        <v>0</v>
      </c>
      <c r="AD49" s="50"/>
    </row>
    <row r="51" spans="2:30" s="6" customFormat="1" ht="18.75" x14ac:dyDescent="0.2">
      <c r="B51" s="6" t="s">
        <v>43</v>
      </c>
    </row>
  </sheetData>
  <hyperlinks>
    <hyperlink ref="B4" location="ToC!A1" display="ToC!A1" xr:uid="{326640C5-609D-4FAE-8340-6C1295EF1102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394022-D7F6-4B07-AB86-8E14A747C779}">
          <x14:formula1>
            <xm:f>LookupTab!$H$12:$H$13</xm:f>
          </x14:formula1>
          <xm:sqref>G24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3147-D3F7-4CCC-B041-21D192BB60CF}">
  <sheetPr codeName="Sheet15">
    <tabColor theme="3" tint="0.79998168889431442"/>
  </sheetPr>
  <dimension ref="A1:AD84"/>
  <sheetViews>
    <sheetView showGridLines="0" zoomScaleNormal="100" workbookViewId="0">
      <pane xSplit="4" ySplit="4" topLeftCell="E5" activePane="bottomRight" state="frozen"/>
      <selection activeCell="B5" sqref="B5"/>
      <selection pane="topRight" activeCell="B5" sqref="B5"/>
      <selection pane="bottomLeft" activeCell="B5" sqref="B5"/>
      <selection pane="bottomRight" activeCell="E5" sqref="E5"/>
    </sheetView>
  </sheetViews>
  <sheetFormatPr defaultRowHeight="12.75" outlineLevelCol="1" x14ac:dyDescent="0.2"/>
  <cols>
    <col min="1" max="3" width="3.7109375" customWidth="1"/>
    <col min="4" max="4" width="35.7109375" customWidth="1"/>
    <col min="5" max="8" width="11.5703125" customWidth="1"/>
    <col min="9" max="9" width="3.5703125" customWidth="1"/>
    <col min="10" max="14" width="8.7109375" customWidth="1" outlineLevel="1"/>
  </cols>
  <sheetData>
    <row r="1" spans="1:29" ht="23.25" x14ac:dyDescent="0.35">
      <c r="A1" s="52">
        <f>IF(SUM(A5:A107)&lt;&gt;0,1,0)</f>
        <v>0</v>
      </c>
      <c r="B1" s="16" t="s">
        <v>263</v>
      </c>
    </row>
    <row r="2" spans="1:29" ht="15" x14ac:dyDescent="0.2">
      <c r="B2" s="34" t="str">
        <f>Model_Name</f>
        <v>Power and Water - Revised Proposal - Tables and Charts</v>
      </c>
    </row>
    <row r="3" spans="1:29" x14ac:dyDescent="0.2">
      <c r="B3" s="37" t="str">
        <f>"Model Checks:"&amp;IF(Model_Checks=0," OK"," Check")</f>
        <v>Model Checks: OK</v>
      </c>
      <c r="I3" s="39"/>
      <c r="J3" s="39" t="str">
        <f>"FY"&amp;RIGHT(K3,2)-1</f>
        <v>FY10</v>
      </c>
      <c r="K3" s="39" t="str">
        <f>"FY"&amp;RIGHT(L3,2)-1</f>
        <v>FY11</v>
      </c>
      <c r="L3" s="39" t="str">
        <f>"FY"&amp;RIGHT(M3,2)-1</f>
        <v>FY12</v>
      </c>
      <c r="M3" s="39" t="str">
        <f>LookupTab!K$40</f>
        <v>FY13</v>
      </c>
      <c r="N3" s="39" t="str">
        <f>LookupTab!L$40</f>
        <v>FY14</v>
      </c>
      <c r="O3" s="39" t="str">
        <f>LookupTab!M$40</f>
        <v>FY15</v>
      </c>
      <c r="P3" s="39" t="str">
        <f>LookupTab!N$40</f>
        <v>FY16</v>
      </c>
      <c r="Q3" s="39" t="str">
        <f>LookupTab!O$40</f>
        <v>FY17</v>
      </c>
      <c r="R3" s="39" t="str">
        <f>LookupTab!P$40</f>
        <v>FY18</v>
      </c>
      <c r="S3" s="39" t="str">
        <f>LookupTab!Q$40</f>
        <v>FY19</v>
      </c>
      <c r="T3" s="39" t="str">
        <f>LookupTab!R$40</f>
        <v>FY20</v>
      </c>
      <c r="U3" s="39" t="str">
        <f>LookupTab!S$40</f>
        <v>FY21</v>
      </c>
      <c r="V3" s="39" t="str">
        <f>LookupTab!T$40</f>
        <v>FY22</v>
      </c>
      <c r="W3" s="39" t="str">
        <f>LookupTab!U$40</f>
        <v>FY23</v>
      </c>
      <c r="X3" s="39" t="str">
        <f>LookupTab!V$40</f>
        <v>FY24</v>
      </c>
      <c r="Y3" s="39" t="str">
        <f>LookupTab!W$40</f>
        <v>FY25</v>
      </c>
      <c r="Z3" s="39" t="str">
        <f>LookupTab!X$40</f>
        <v>FY26</v>
      </c>
      <c r="AA3" s="39" t="str">
        <f>LookupTab!Y$40</f>
        <v>FY27</v>
      </c>
      <c r="AB3" s="39" t="str">
        <f>LookupTab!Z$40</f>
        <v>FY28</v>
      </c>
      <c r="AC3" s="39" t="str">
        <f>LookupTab!AA$40</f>
        <v>FY29</v>
      </c>
    </row>
    <row r="4" spans="1:29" ht="15" x14ac:dyDescent="0.2">
      <c r="B4" s="29" t="str">
        <f>ToC!$B$1</f>
        <v>Table of contents</v>
      </c>
      <c r="E4" s="48" t="s">
        <v>2</v>
      </c>
      <c r="F4" s="48" t="s">
        <v>3</v>
      </c>
      <c r="G4" s="48" t="s">
        <v>4</v>
      </c>
      <c r="H4" s="48" t="s">
        <v>1</v>
      </c>
      <c r="O4" s="41" t="str">
        <f>LookupTab!M$41</f>
        <v>Previous Period</v>
      </c>
      <c r="P4" s="41"/>
      <c r="Q4" s="41"/>
      <c r="R4" s="41"/>
      <c r="S4" s="41"/>
      <c r="T4" s="42" t="str">
        <f>LookupTab!R$41</f>
        <v>Current Period</v>
      </c>
      <c r="U4" s="42"/>
      <c r="V4" s="42"/>
      <c r="W4" s="42"/>
      <c r="X4" s="42"/>
      <c r="Y4" s="43" t="str">
        <f>LookupTab!W$41</f>
        <v>Next Period</v>
      </c>
      <c r="Z4" s="43"/>
      <c r="AA4" s="43"/>
      <c r="AB4" s="43"/>
      <c r="AC4" s="43"/>
    </row>
    <row r="6" spans="1:29" s="6" customFormat="1" ht="18.75" x14ac:dyDescent="0.2">
      <c r="B6" s="6" t="s">
        <v>622</v>
      </c>
    </row>
    <row r="8" spans="1:29" s="121" customFormat="1" ht="15.75" x14ac:dyDescent="0.2">
      <c r="C8" s="121" t="str">
        <f>Nominal</f>
        <v>Nominal</v>
      </c>
    </row>
    <row r="10" spans="1:29" x14ac:dyDescent="0.2">
      <c r="D10" s="60" t="s">
        <v>56</v>
      </c>
      <c r="E10" s="61" t="str">
        <f>E$4</f>
        <v>Unit</v>
      </c>
      <c r="F10" s="61" t="str">
        <f>F$4</f>
        <v>Basis</v>
      </c>
      <c r="G10" s="61" t="str">
        <f>G$4</f>
        <v>Timing</v>
      </c>
      <c r="H10" s="61" t="str">
        <f>H$4</f>
        <v>Source</v>
      </c>
      <c r="I10" s="60"/>
      <c r="J10" s="60"/>
      <c r="K10" s="60"/>
      <c r="L10" s="60"/>
      <c r="M10" s="60"/>
      <c r="N10" s="60"/>
      <c r="O10" s="62" t="str">
        <f t="shared" ref="O10:AC10" si="0">O$3</f>
        <v>FY15</v>
      </c>
      <c r="P10" s="62" t="str">
        <f t="shared" si="0"/>
        <v>FY16</v>
      </c>
      <c r="Q10" s="62" t="str">
        <f t="shared" si="0"/>
        <v>FY17</v>
      </c>
      <c r="R10" s="62" t="str">
        <f t="shared" si="0"/>
        <v>FY18</v>
      </c>
      <c r="S10" s="62" t="str">
        <f t="shared" si="0"/>
        <v>FY19</v>
      </c>
      <c r="T10" s="62" t="str">
        <f t="shared" si="0"/>
        <v>FY20</v>
      </c>
      <c r="U10" s="62" t="str">
        <f t="shared" si="0"/>
        <v>FY21</v>
      </c>
      <c r="V10" s="62" t="str">
        <f t="shared" si="0"/>
        <v>FY22</v>
      </c>
      <c r="W10" s="62" t="str">
        <f t="shared" si="0"/>
        <v>FY23</v>
      </c>
      <c r="X10" s="62" t="str">
        <f t="shared" si="0"/>
        <v>FY24</v>
      </c>
      <c r="Y10" s="62" t="str">
        <f t="shared" si="0"/>
        <v>FY25</v>
      </c>
      <c r="Z10" s="62" t="str">
        <f t="shared" si="0"/>
        <v>FY26</v>
      </c>
      <c r="AA10" s="62" t="str">
        <f t="shared" si="0"/>
        <v>FY27</v>
      </c>
      <c r="AB10" s="62" t="str">
        <f t="shared" si="0"/>
        <v>FY28</v>
      </c>
      <c r="AC10" s="62" t="str">
        <f t="shared" si="0"/>
        <v>FY29</v>
      </c>
    </row>
    <row r="12" spans="1:29" x14ac:dyDescent="0.2">
      <c r="D12" s="45" t="s">
        <v>59</v>
      </c>
      <c r="E12" s="39" t="str">
        <f>Unit_Dollar_M</f>
        <v>$Million</v>
      </c>
      <c r="F12" s="39" t="str">
        <f>Nominal</f>
        <v>Nominal</v>
      </c>
      <c r="G12" s="39" t="str">
        <f>Mid_Period</f>
        <v>Mid Period</v>
      </c>
      <c r="H12" s="51" t="s">
        <v>80</v>
      </c>
      <c r="O12" s="79">
        <f>Input_Capex!N$24*Input_CPI!T$17</f>
        <v>0</v>
      </c>
      <c r="P12" s="74">
        <f>Input_Capex!O$24*Input_CPI!U$17</f>
        <v>0</v>
      </c>
      <c r="Q12" s="74">
        <f>Input_Capex!P$24*Input_CPI!V$17</f>
        <v>0</v>
      </c>
      <c r="R12" s="74">
        <f>Input_Capex!Q$24*Input_CPI!W$17</f>
        <v>0</v>
      </c>
      <c r="S12" s="80">
        <f>Input_Capex!R$24*Input_CPI!X$17</f>
        <v>0</v>
      </c>
      <c r="T12" s="79">
        <f>Input_Capex!S$24*Input_CPI!Y$18</f>
        <v>0</v>
      </c>
      <c r="U12" s="74">
        <f>Input_Capex!T$24*Input_CPI!Z$18</f>
        <v>0</v>
      </c>
      <c r="V12" s="74">
        <f>Input_Capex!U$24*Input_CPI!AA$18</f>
        <v>0</v>
      </c>
      <c r="W12" s="74">
        <f>Input_Capex!V$24*Input_CPI!AB$18</f>
        <v>0</v>
      </c>
      <c r="X12" s="80">
        <f>Input_Capex!W$24*Input_CPI!AC$18</f>
        <v>152.79466775743501</v>
      </c>
      <c r="Y12" s="79">
        <f>Input_Capex!X$24*Input_CPI!AD$19</f>
        <v>107.57734133957787</v>
      </c>
      <c r="Z12" s="74">
        <f>Input_Capex!Y$24*Input_CPI!AE$19</f>
        <v>107.72697231228007</v>
      </c>
      <c r="AA12" s="74">
        <f>Input_Capex!Z$24*Input_CPI!AF$19</f>
        <v>94.434852164818665</v>
      </c>
      <c r="AB12" s="74">
        <f>Input_Capex!AA$24*Input_CPI!AG$19</f>
        <v>137.02569747473441</v>
      </c>
      <c r="AC12" s="80">
        <f>Input_Capex!AB$24*Input_CPI!AH$19</f>
        <v>139.41704655242307</v>
      </c>
    </row>
    <row r="13" spans="1:29" x14ac:dyDescent="0.2">
      <c r="D13" s="45" t="s">
        <v>60</v>
      </c>
      <c r="E13" s="39" t="str">
        <f>Unit_Dollar_M</f>
        <v>$Million</v>
      </c>
      <c r="F13" s="39" t="str">
        <f>Nominal</f>
        <v>Nominal</v>
      </c>
      <c r="G13" s="39" t="str">
        <f>Mid_Period</f>
        <v>Mid Period</v>
      </c>
      <c r="H13" s="39" t="str">
        <f>H12</f>
        <v>Input_Capex</v>
      </c>
      <c r="O13" s="79">
        <f>Input_Capex!N$45</f>
        <v>86.063210529636919</v>
      </c>
      <c r="P13" s="74">
        <f>Input_Capex!O$45</f>
        <v>75.205655752714435</v>
      </c>
      <c r="Q13" s="74">
        <f>Input_Capex!P$45</f>
        <v>56.112144712708208</v>
      </c>
      <c r="R13" s="74">
        <f>Input_Capex!Q$45</f>
        <v>50.844322923498922</v>
      </c>
      <c r="S13" s="80">
        <f>Input_Capex!R$45</f>
        <v>43.985269419893427</v>
      </c>
      <c r="T13" s="79">
        <f>Input_Capex!S$45</f>
        <v>67.60321128485748</v>
      </c>
      <c r="U13" s="74">
        <f>Input_Capex!T$45</f>
        <v>47.73079244738075</v>
      </c>
      <c r="V13" s="74">
        <f>Input_Capex!U$45</f>
        <v>70.974835234333327</v>
      </c>
      <c r="W13" s="74">
        <f>Input_Capex!V$45</f>
        <v>101.92715181991665</v>
      </c>
      <c r="X13" s="80">
        <f>Input_Capex!W$45</f>
        <v>126.63650726828591</v>
      </c>
      <c r="Y13" s="79">
        <f>Input_Capex!X$45</f>
        <v>0</v>
      </c>
      <c r="Z13" s="74">
        <f>Input_Capex!Y$45</f>
        <v>0</v>
      </c>
      <c r="AA13" s="74">
        <f>Input_Capex!Z$45</f>
        <v>0</v>
      </c>
      <c r="AB13" s="74">
        <f>Input_Capex!AA$45</f>
        <v>0</v>
      </c>
      <c r="AC13" s="80">
        <f>Input_Capex!AB$45</f>
        <v>0</v>
      </c>
    </row>
    <row r="14" spans="1:29" x14ac:dyDescent="0.2">
      <c r="D14" s="45" t="s">
        <v>61</v>
      </c>
      <c r="E14" s="39" t="str">
        <f>Unit_Dollar_M</f>
        <v>$Million</v>
      </c>
      <c r="F14" s="39" t="str">
        <f>Nominal</f>
        <v>Nominal</v>
      </c>
      <c r="G14" s="39" t="str">
        <f>Mid_Period</f>
        <v>Mid Period</v>
      </c>
      <c r="H14" s="39" t="str">
        <f>H13</f>
        <v>Input_Capex</v>
      </c>
      <c r="O14" s="79">
        <f>Input_Capex!N$118*Input_CPI!T$18</f>
        <v>83.502873475165003</v>
      </c>
      <c r="P14" s="74">
        <f>Input_Capex!O$118*Input_CPI!U$18</f>
        <v>60.259111514167031</v>
      </c>
      <c r="Q14" s="74">
        <f>Input_Capex!P$118*Input_CPI!V$18</f>
        <v>48.726955319383791</v>
      </c>
      <c r="R14" s="74">
        <f>Input_Capex!Q$118*Input_CPI!W$18</f>
        <v>58.703153846606781</v>
      </c>
      <c r="S14" s="80">
        <f>Input_Capex!R$118*Input_CPI!X$18</f>
        <v>71.087393012990532</v>
      </c>
      <c r="T14" s="79">
        <f>Input_Capex!S$118*Input_CPI!Y$18</f>
        <v>95.993540064164975</v>
      </c>
      <c r="U14" s="74">
        <f>Input_Capex!T$118*Input_CPI!Z$18</f>
        <v>79.258190693016743</v>
      </c>
      <c r="V14" s="74">
        <f>Input_Capex!U$118*Input_CPI!AA$18</f>
        <v>94.086700051489231</v>
      </c>
      <c r="W14" s="74">
        <f>Input_Capex!V$118*Input_CPI!AB$18</f>
        <v>71.311605579582022</v>
      </c>
      <c r="X14" s="80">
        <f>Input_Capex!W$118*Input_CPI!AC$18</f>
        <v>71.449820422648685</v>
      </c>
      <c r="Y14" s="79">
        <f>Input_Capex!X$118*Input_CPI!AD$19</f>
        <v>0</v>
      </c>
      <c r="Z14" s="74">
        <f>Input_Capex!Y$118*Input_CPI!AE$19</f>
        <v>0</v>
      </c>
      <c r="AA14" s="74">
        <f>Input_Capex!Z$118*Input_CPI!AF$19</f>
        <v>0</v>
      </c>
      <c r="AB14" s="74">
        <f>Input_Capex!AA$118*Input_CPI!AG$19</f>
        <v>0</v>
      </c>
      <c r="AC14" s="80">
        <f>Input_Capex!AB$118*Input_CPI!AH$19</f>
        <v>0</v>
      </c>
    </row>
    <row r="16" spans="1:29" s="121" customFormat="1" ht="15.75" x14ac:dyDescent="0.2">
      <c r="C16" s="121" t="str">
        <f>Real_Input</f>
        <v>Real 2024</v>
      </c>
    </row>
    <row r="18" spans="3:29" x14ac:dyDescent="0.2">
      <c r="D18" s="60" t="s">
        <v>56</v>
      </c>
      <c r="E18" s="61" t="str">
        <f>E$4</f>
        <v>Unit</v>
      </c>
      <c r="F18" s="61" t="str">
        <f>F$4</f>
        <v>Basis</v>
      </c>
      <c r="G18" s="61" t="str">
        <f>G$4</f>
        <v>Timing</v>
      </c>
      <c r="H18" s="61" t="str">
        <f>H$4</f>
        <v>Source</v>
      </c>
      <c r="I18" s="60"/>
      <c r="J18" s="62" t="str">
        <f>J$3</f>
        <v>FY10</v>
      </c>
      <c r="K18" s="62" t="str">
        <f>K$3</f>
        <v>FY11</v>
      </c>
      <c r="L18" s="62" t="str">
        <f>L$3</f>
        <v>FY12</v>
      </c>
      <c r="M18" s="62" t="str">
        <f>M$3</f>
        <v>FY13</v>
      </c>
      <c r="N18" s="62" t="str">
        <f>N$3</f>
        <v>FY14</v>
      </c>
      <c r="O18" s="62" t="str">
        <f t="shared" ref="O18:AC18" si="1">O$3</f>
        <v>FY15</v>
      </c>
      <c r="P18" s="62" t="str">
        <f t="shared" si="1"/>
        <v>FY16</v>
      </c>
      <c r="Q18" s="62" t="str">
        <f t="shared" si="1"/>
        <v>FY17</v>
      </c>
      <c r="R18" s="62" t="str">
        <f t="shared" si="1"/>
        <v>FY18</v>
      </c>
      <c r="S18" s="62" t="str">
        <f t="shared" si="1"/>
        <v>FY19</v>
      </c>
      <c r="T18" s="62" t="str">
        <f t="shared" si="1"/>
        <v>FY20</v>
      </c>
      <c r="U18" s="62" t="str">
        <f t="shared" si="1"/>
        <v>FY21</v>
      </c>
      <c r="V18" s="62" t="str">
        <f t="shared" si="1"/>
        <v>FY22</v>
      </c>
      <c r="W18" s="62" t="str">
        <f t="shared" si="1"/>
        <v>FY23</v>
      </c>
      <c r="X18" s="62" t="str">
        <f t="shared" si="1"/>
        <v>FY24</v>
      </c>
      <c r="Y18" s="62" t="str">
        <f t="shared" si="1"/>
        <v>FY25</v>
      </c>
      <c r="Z18" s="62" t="str">
        <f t="shared" si="1"/>
        <v>FY26</v>
      </c>
      <c r="AA18" s="62" t="str">
        <f t="shared" si="1"/>
        <v>FY27</v>
      </c>
      <c r="AB18" s="62" t="str">
        <f t="shared" si="1"/>
        <v>FY28</v>
      </c>
      <c r="AC18" s="62" t="str">
        <f t="shared" si="1"/>
        <v>FY29</v>
      </c>
    </row>
    <row r="20" spans="3:29" x14ac:dyDescent="0.2">
      <c r="D20" s="37" t="str">
        <f>D12</f>
        <v>Proposed</v>
      </c>
      <c r="E20" s="39" t="str">
        <f>Unit_Dollar_M</f>
        <v>$Million</v>
      </c>
      <c r="F20" s="39" t="str">
        <f>Real_Input</f>
        <v>Real 2024</v>
      </c>
      <c r="G20" s="39" t="str">
        <f>End_Period</f>
        <v>End Period</v>
      </c>
      <c r="H20" s="51" t="s">
        <v>80</v>
      </c>
      <c r="J20" s="79"/>
      <c r="K20" s="74"/>
      <c r="L20" s="74"/>
      <c r="M20" s="74"/>
      <c r="N20" s="80"/>
      <c r="O20" s="79">
        <f>Input_Capex!N$24*Input_CPI!T$15</f>
        <v>0</v>
      </c>
      <c r="P20" s="74">
        <f>Input_Capex!O$24*Input_CPI!U$15</f>
        <v>0</v>
      </c>
      <c r="Q20" s="74">
        <f>Input_Capex!P$24*Input_CPI!V$15</f>
        <v>0</v>
      </c>
      <c r="R20" s="74">
        <f>Input_Capex!Q$24*Input_CPI!W$15</f>
        <v>0</v>
      </c>
      <c r="S20" s="80">
        <f>Input_Capex!R$24*Input_CPI!X$15</f>
        <v>0</v>
      </c>
      <c r="T20" s="79">
        <f>Input_Capex!S$24</f>
        <v>0</v>
      </c>
      <c r="U20" s="74">
        <f>Input_Capex!T$24</f>
        <v>0</v>
      </c>
      <c r="V20" s="74">
        <f>Input_Capex!U$24</f>
        <v>0</v>
      </c>
      <c r="W20" s="74">
        <f>Input_Capex!V$24</f>
        <v>0</v>
      </c>
      <c r="X20" s="80">
        <f>Input_Capex!W$24</f>
        <v>128.89581045225097</v>
      </c>
      <c r="Y20" s="79">
        <f>Input_Capex!X$24</f>
        <v>106.10227890649801</v>
      </c>
      <c r="Z20" s="74">
        <f>Input_Capex!Y$24</f>
        <v>103.35611323930785</v>
      </c>
      <c r="AA20" s="74">
        <f>Input_Capex!Z$24</f>
        <v>88.135694241606842</v>
      </c>
      <c r="AB20" s="74">
        <f>Input_Capex!AA$24</f>
        <v>124.40257112667038</v>
      </c>
      <c r="AC20" s="80">
        <f>Input_Capex!AB$24</f>
        <v>123.12635510487118</v>
      </c>
    </row>
    <row r="21" spans="3:29" x14ac:dyDescent="0.2">
      <c r="D21" s="37" t="str">
        <f>D13</f>
        <v>Actual / Estimate</v>
      </c>
      <c r="E21" s="39" t="str">
        <f>Unit_Dollar_M</f>
        <v>$Million</v>
      </c>
      <c r="F21" s="39" t="str">
        <f>Real_Input</f>
        <v>Real 2024</v>
      </c>
      <c r="G21" s="39" t="str">
        <f>End_Period</f>
        <v>End Period</v>
      </c>
      <c r="H21" s="39" t="str">
        <f>H20</f>
        <v>Input_Capex</v>
      </c>
      <c r="J21" s="79">
        <f>Input_Capex!I$45*Input_CPI!O$20</f>
        <v>111.6281636853313</v>
      </c>
      <c r="K21" s="74">
        <f>Input_Capex!J$45*Input_CPI!P$20</f>
        <v>121.31590782812431</v>
      </c>
      <c r="L21" s="74">
        <f>Input_Capex!K$45*Input_CPI!Q$20</f>
        <v>106.67659851632953</v>
      </c>
      <c r="M21" s="74">
        <f>Input_Capex!L$45*Input_CPI!R$20</f>
        <v>147.34623473641926</v>
      </c>
      <c r="N21" s="80">
        <f>Input_Capex!M$45*Input_CPI!S$20</f>
        <v>119.45950366612691</v>
      </c>
      <c r="O21" s="79">
        <f>Input_Capex!N$45*Input_CPI!T$20</f>
        <v>111.72657706151008</v>
      </c>
      <c r="P21" s="74">
        <f>Input_Capex!O$45*Input_CPI!U$20</f>
        <v>96.410097117738061</v>
      </c>
      <c r="Q21" s="74">
        <f>Input_Capex!P$45*Input_CPI!V$20</f>
        <v>70.885810302435303</v>
      </c>
      <c r="R21" s="74">
        <f>Input_Capex!Q$45*Input_CPI!W$20</f>
        <v>62.968101414108666</v>
      </c>
      <c r="S21" s="80">
        <f>Input_Capex!R$45*Input_CPI!X$20</f>
        <v>53.491928245299967</v>
      </c>
      <c r="T21" s="79">
        <f>Input_Capex!S$45*Input_CPI!Y$20</f>
        <v>81.709872472645941</v>
      </c>
      <c r="U21" s="74">
        <f>Input_Capex!T$45*Input_CPI!Z$20</f>
        <v>56.71116577522519</v>
      </c>
      <c r="V21" s="74">
        <f>Input_Capex!U$45*Input_CPI!AA$20</f>
        <v>80.321126732669541</v>
      </c>
      <c r="W21" s="74">
        <f>Input_Capex!V$45*Input_CPI!AB$20</f>
        <v>108.73210717255522</v>
      </c>
      <c r="X21" s="80">
        <f>Input_Capex!W$45*Input_CPI!AC$20</f>
        <v>128.89581045225097</v>
      </c>
      <c r="Y21" s="79">
        <f>Input_Capex!X$45*Input_CPI!AD$20</f>
        <v>0</v>
      </c>
      <c r="Z21" s="74">
        <f>Input_Capex!Y$45*Input_CPI!AE$20</f>
        <v>0</v>
      </c>
      <c r="AA21" s="74">
        <f>Input_Capex!Z$45*Input_CPI!AF$20</f>
        <v>0</v>
      </c>
      <c r="AB21" s="74">
        <f>Input_Capex!AA$45*Input_CPI!AG$20</f>
        <v>0</v>
      </c>
      <c r="AC21" s="80">
        <f>Input_Capex!AB$45*Input_CPI!AH$20</f>
        <v>0</v>
      </c>
    </row>
    <row r="22" spans="3:29" x14ac:dyDescent="0.2">
      <c r="D22" s="37" t="str">
        <f>D14</f>
        <v>Allowed</v>
      </c>
      <c r="E22" s="39" t="str">
        <f>Unit_Dollar_M</f>
        <v>$Million</v>
      </c>
      <c r="F22" s="39" t="str">
        <f>Real_Input</f>
        <v>Real 2024</v>
      </c>
      <c r="G22" s="39" t="str">
        <f>End_Period</f>
        <v>End Period</v>
      </c>
      <c r="H22" s="39" t="str">
        <f>H21</f>
        <v>Input_Capex</v>
      </c>
      <c r="J22" s="79"/>
      <c r="K22" s="74"/>
      <c r="L22" s="74"/>
      <c r="M22" s="74"/>
      <c r="N22" s="80"/>
      <c r="O22" s="79">
        <f>Input_Capex!N$118*Input_CPI!T$16</f>
        <v>108.40276781177975</v>
      </c>
      <c r="P22" s="74">
        <f>Input_Capex!O$118*Input_CPI!U$16</f>
        <v>77.249333646023871</v>
      </c>
      <c r="Q22" s="74">
        <f>Input_Capex!P$118*Input_CPI!V$16</f>
        <v>61.556187685743751</v>
      </c>
      <c r="R22" s="74">
        <f>Input_Capex!Q$118*Input_CPI!W$16</f>
        <v>72.700862794512062</v>
      </c>
      <c r="S22" s="80">
        <f>Input_Capex!R$118*Input_CPI!X$16</f>
        <v>86.451709318768124</v>
      </c>
      <c r="T22" s="79">
        <f>Input_Capex!S$118*Input_CPI!Y$16</f>
        <v>116.02436878020985</v>
      </c>
      <c r="U22" s="74">
        <f>Input_Capex!T$118*Input_CPI!Z$16</f>
        <v>94.170328229753466</v>
      </c>
      <c r="V22" s="74">
        <f>Input_Capex!U$118*Input_CPI!AA$16</f>
        <v>106.47646780360037</v>
      </c>
      <c r="W22" s="74">
        <f>Input_Capex!V$118*Input_CPI!AB$16</f>
        <v>76.072577346470979</v>
      </c>
      <c r="X22" s="80">
        <f>Input_Capex!W$118*Input_CPI!AC$16</f>
        <v>72.724546094232707</v>
      </c>
      <c r="Y22" s="79">
        <f>Input_Capex!X$118</f>
        <v>0</v>
      </c>
      <c r="Z22" s="74">
        <f>Input_Capex!Y$118</f>
        <v>0</v>
      </c>
      <c r="AA22" s="74">
        <f>Input_Capex!Z$118</f>
        <v>0</v>
      </c>
      <c r="AB22" s="74">
        <f>Input_Capex!AA$118</f>
        <v>0</v>
      </c>
      <c r="AC22" s="80">
        <f>Input_Capex!AB$118</f>
        <v>0</v>
      </c>
    </row>
    <row r="24" spans="3:29" s="121" customFormat="1" ht="15.75" x14ac:dyDescent="0.2">
      <c r="C24" s="121" t="str">
        <f>"Capex summary ("&amp;E20&amp;", "&amp;IF($G$24=Real_Input,F20,F12)&amp;")"</f>
        <v>Capex summary ($Million, Real 2024)</v>
      </c>
      <c r="G24" s="31" t="s">
        <v>101</v>
      </c>
    </row>
    <row r="26" spans="3:29" x14ac:dyDescent="0.2">
      <c r="O26" s="41" t="str">
        <f>O4</f>
        <v>Previous Period</v>
      </c>
      <c r="P26" s="41"/>
      <c r="Q26" s="41"/>
      <c r="R26" s="41"/>
      <c r="S26" s="41"/>
      <c r="T26" s="42" t="str">
        <f>T4</f>
        <v>Current Period</v>
      </c>
      <c r="U26" s="42"/>
      <c r="V26" s="42"/>
      <c r="W26" s="42"/>
      <c r="X26" s="42"/>
      <c r="Y26" s="43" t="str">
        <f>Y4</f>
        <v>Next Period</v>
      </c>
      <c r="Z26" s="43"/>
      <c r="AA26" s="43"/>
      <c r="AB26" s="43"/>
      <c r="AC26" s="43"/>
    </row>
    <row r="27" spans="3:29" ht="15" x14ac:dyDescent="0.2">
      <c r="D27" s="60" t="s">
        <v>56</v>
      </c>
      <c r="E27" s="61" t="str">
        <f>E$4</f>
        <v>Unit</v>
      </c>
      <c r="F27" s="61" t="str">
        <f>F$4</f>
        <v>Basis</v>
      </c>
      <c r="G27" s="61" t="str">
        <f>G$4</f>
        <v>Timing</v>
      </c>
      <c r="H27" s="61" t="str">
        <f>H$4</f>
        <v>Source</v>
      </c>
      <c r="O27" s="48" t="str">
        <f>O$3</f>
        <v>FY15</v>
      </c>
      <c r="P27" s="48" t="str">
        <f>P$3</f>
        <v>FY16</v>
      </c>
      <c r="Q27" s="48" t="str">
        <f t="shared" ref="Q27:AC27" si="2">Q$3</f>
        <v>FY17</v>
      </c>
      <c r="R27" s="48" t="str">
        <f t="shared" si="2"/>
        <v>FY18</v>
      </c>
      <c r="S27" s="48" t="str">
        <f t="shared" si="2"/>
        <v>FY19</v>
      </c>
      <c r="T27" s="48" t="str">
        <f t="shared" si="2"/>
        <v>FY20</v>
      </c>
      <c r="U27" s="48" t="str">
        <f t="shared" si="2"/>
        <v>FY21</v>
      </c>
      <c r="V27" s="48" t="str">
        <f t="shared" si="2"/>
        <v>FY22</v>
      </c>
      <c r="W27" s="48" t="str">
        <f t="shared" si="2"/>
        <v>FY23</v>
      </c>
      <c r="X27" s="48" t="str">
        <f t="shared" si="2"/>
        <v>FY24</v>
      </c>
      <c r="Y27" s="48" t="str">
        <f t="shared" si="2"/>
        <v>FY25</v>
      </c>
      <c r="Z27" s="48" t="str">
        <f t="shared" si="2"/>
        <v>FY26</v>
      </c>
      <c r="AA27" s="48" t="str">
        <f t="shared" si="2"/>
        <v>FY27</v>
      </c>
      <c r="AB27" s="48" t="str">
        <f t="shared" si="2"/>
        <v>FY28</v>
      </c>
      <c r="AC27" s="48" t="str">
        <f t="shared" si="2"/>
        <v>FY29</v>
      </c>
    </row>
    <row r="28" spans="3:29" x14ac:dyDescent="0.2">
      <c r="O28" s="39" t="str">
        <f>LookupTab!M42</f>
        <v>Actual</v>
      </c>
      <c r="P28" s="39" t="str">
        <f>LookupTab!N42</f>
        <v>Actual</v>
      </c>
      <c r="Q28" s="39" t="str">
        <f>LookupTab!O42</f>
        <v>Actual</v>
      </c>
      <c r="R28" s="39" t="str">
        <f>LookupTab!P42</f>
        <v>Actual</v>
      </c>
      <c r="S28" s="39" t="str">
        <f>LookupTab!Q42</f>
        <v>Actual</v>
      </c>
      <c r="T28" s="39" t="str">
        <f>LookupTab!R42</f>
        <v>Actual</v>
      </c>
      <c r="U28" s="39" t="str">
        <f>LookupTab!S42</f>
        <v>Actual</v>
      </c>
      <c r="V28" s="39" t="str">
        <f>LookupTab!T42</f>
        <v>Actual</v>
      </c>
      <c r="W28" s="39" t="str">
        <f>LookupTab!U42</f>
        <v>Actual</v>
      </c>
      <c r="X28" s="39" t="str">
        <f>LookupTab!V42</f>
        <v>Estimate</v>
      </c>
      <c r="Y28" s="39" t="str">
        <f>LookupTab!W42</f>
        <v>Forecast</v>
      </c>
      <c r="Z28" s="39" t="str">
        <f>LookupTab!X42</f>
        <v>Forecast</v>
      </c>
      <c r="AA28" s="39" t="str">
        <f>LookupTab!Y42</f>
        <v>Forecast</v>
      </c>
      <c r="AB28" s="39" t="str">
        <f>LookupTab!Z42</f>
        <v>Forecast</v>
      </c>
      <c r="AC28" s="39" t="str">
        <f>LookupTab!AA42</f>
        <v>Forecast</v>
      </c>
    </row>
    <row r="29" spans="3:29" x14ac:dyDescent="0.2">
      <c r="D29" s="37" t="str">
        <f>P28</f>
        <v>Actual</v>
      </c>
      <c r="E29" s="39" t="str">
        <f>IF($G$24=Real_Input,E21,E13)</f>
        <v>$Million</v>
      </c>
      <c r="F29" s="39" t="str">
        <f>IF($G$24=Real_Input,F21,F13)</f>
        <v>Real 2024</v>
      </c>
      <c r="G29" s="39" t="str">
        <f>IF($G$24=Real_Input,G21,G13)</f>
        <v>End Period</v>
      </c>
      <c r="H29" s="51" t="s">
        <v>8</v>
      </c>
      <c r="O29" s="137">
        <f>IF(O$28=$D29,IF($G$24=Real_Input,O21,O13),NA())</f>
        <v>111.72657706151008</v>
      </c>
      <c r="P29" s="137">
        <f t="shared" ref="P29:AC29" si="3">IF(P$28=$D29,IF($G$24=Real_Input,P21,P13),NA())</f>
        <v>96.410097117738061</v>
      </c>
      <c r="Q29" s="137">
        <f t="shared" si="3"/>
        <v>70.885810302435303</v>
      </c>
      <c r="R29" s="137">
        <f t="shared" si="3"/>
        <v>62.968101414108666</v>
      </c>
      <c r="S29" s="137">
        <f t="shared" si="3"/>
        <v>53.491928245299967</v>
      </c>
      <c r="T29" s="137">
        <f t="shared" si="3"/>
        <v>81.709872472645941</v>
      </c>
      <c r="U29" s="137">
        <f t="shared" si="3"/>
        <v>56.71116577522519</v>
      </c>
      <c r="V29" s="137">
        <f t="shared" si="3"/>
        <v>80.321126732669541</v>
      </c>
      <c r="W29" s="137">
        <f t="shared" si="3"/>
        <v>108.73210717255522</v>
      </c>
      <c r="X29" s="137" t="e">
        <f t="shared" si="3"/>
        <v>#N/A</v>
      </c>
      <c r="Y29" s="137" t="e">
        <f t="shared" si="3"/>
        <v>#N/A</v>
      </c>
      <c r="Z29" s="137" t="e">
        <f t="shared" si="3"/>
        <v>#N/A</v>
      </c>
      <c r="AA29" s="137" t="e">
        <f t="shared" si="3"/>
        <v>#N/A</v>
      </c>
      <c r="AB29" s="137" t="e">
        <f t="shared" si="3"/>
        <v>#N/A</v>
      </c>
      <c r="AC29" s="137" t="e">
        <f t="shared" si="3"/>
        <v>#N/A</v>
      </c>
    </row>
    <row r="30" spans="3:29" x14ac:dyDescent="0.2">
      <c r="D30" s="37" t="str">
        <f>X28</f>
        <v>Estimate</v>
      </c>
      <c r="E30" s="39" t="str">
        <f>E29</f>
        <v>$Million</v>
      </c>
      <c r="F30" s="39" t="str">
        <f t="shared" ref="F30:H32" si="4">F29</f>
        <v>Real 2024</v>
      </c>
      <c r="G30" s="39" t="str">
        <f t="shared" si="4"/>
        <v>End Period</v>
      </c>
      <c r="H30" s="39" t="str">
        <f>H29</f>
        <v>Calculated</v>
      </c>
      <c r="O30" s="137" t="e">
        <f>IF(O$28=$D30,IF($G$24=Real_Input,O21,O13),NA())</f>
        <v>#N/A</v>
      </c>
      <c r="P30" s="137" t="e">
        <f t="shared" ref="P30:AC30" si="5">IF(P$28=$D30,IF($G$24=Real_Input,P21,P13),NA())</f>
        <v>#N/A</v>
      </c>
      <c r="Q30" s="137" t="e">
        <f t="shared" si="5"/>
        <v>#N/A</v>
      </c>
      <c r="R30" s="137" t="e">
        <f t="shared" si="5"/>
        <v>#N/A</v>
      </c>
      <c r="S30" s="137" t="e">
        <f t="shared" si="5"/>
        <v>#N/A</v>
      </c>
      <c r="T30" s="137" t="e">
        <f t="shared" si="5"/>
        <v>#N/A</v>
      </c>
      <c r="U30" s="137" t="e">
        <f t="shared" si="5"/>
        <v>#N/A</v>
      </c>
      <c r="V30" s="137" t="e">
        <f t="shared" si="5"/>
        <v>#N/A</v>
      </c>
      <c r="W30" s="137" t="e">
        <f t="shared" si="5"/>
        <v>#N/A</v>
      </c>
      <c r="X30" s="137">
        <f t="shared" si="5"/>
        <v>128.89581045225097</v>
      </c>
      <c r="Y30" s="137" t="e">
        <f t="shared" si="5"/>
        <v>#N/A</v>
      </c>
      <c r="Z30" s="137" t="e">
        <f t="shared" si="5"/>
        <v>#N/A</v>
      </c>
      <c r="AA30" s="137" t="e">
        <f t="shared" si="5"/>
        <v>#N/A</v>
      </c>
      <c r="AB30" s="137" t="e">
        <f t="shared" si="5"/>
        <v>#N/A</v>
      </c>
      <c r="AC30" s="137" t="e">
        <f t="shared" si="5"/>
        <v>#N/A</v>
      </c>
    </row>
    <row r="31" spans="3:29" x14ac:dyDescent="0.2">
      <c r="D31" s="37" t="str">
        <f>Y28</f>
        <v>Forecast</v>
      </c>
      <c r="E31" s="39" t="str">
        <f>E30</f>
        <v>$Million</v>
      </c>
      <c r="F31" s="39" t="str">
        <f t="shared" si="4"/>
        <v>Real 2024</v>
      </c>
      <c r="G31" s="39" t="str">
        <f t="shared" si="4"/>
        <v>End Period</v>
      </c>
      <c r="H31" s="39" t="str">
        <f t="shared" si="4"/>
        <v>Calculated</v>
      </c>
      <c r="O31" s="137" t="e">
        <f>IF(O$28=$D31,IF($G$24=Real_Input,O20,O12),NA())</f>
        <v>#N/A</v>
      </c>
      <c r="P31" s="137" t="e">
        <f t="shared" ref="P31:AC31" si="6">IF(P$28=$D31,IF($G$24=Real_Input,P20,P12),NA())</f>
        <v>#N/A</v>
      </c>
      <c r="Q31" s="137" t="e">
        <f t="shared" si="6"/>
        <v>#N/A</v>
      </c>
      <c r="R31" s="137" t="e">
        <f t="shared" si="6"/>
        <v>#N/A</v>
      </c>
      <c r="S31" s="137" t="e">
        <f t="shared" si="6"/>
        <v>#N/A</v>
      </c>
      <c r="T31" s="137" t="e">
        <f t="shared" si="6"/>
        <v>#N/A</v>
      </c>
      <c r="U31" s="137" t="e">
        <f t="shared" si="6"/>
        <v>#N/A</v>
      </c>
      <c r="V31" s="137" t="e">
        <f t="shared" si="6"/>
        <v>#N/A</v>
      </c>
      <c r="W31" s="137" t="e">
        <f t="shared" si="6"/>
        <v>#N/A</v>
      </c>
      <c r="X31" s="137" t="e">
        <f t="shared" si="6"/>
        <v>#N/A</v>
      </c>
      <c r="Y31" s="137">
        <f t="shared" si="6"/>
        <v>106.10227890649801</v>
      </c>
      <c r="Z31" s="137">
        <f t="shared" si="6"/>
        <v>103.35611323930785</v>
      </c>
      <c r="AA31" s="137">
        <f t="shared" si="6"/>
        <v>88.135694241606842</v>
      </c>
      <c r="AB31" s="137">
        <f t="shared" si="6"/>
        <v>124.40257112667038</v>
      </c>
      <c r="AC31" s="137">
        <f t="shared" si="6"/>
        <v>123.12635510487118</v>
      </c>
    </row>
    <row r="32" spans="3:29" x14ac:dyDescent="0.2">
      <c r="D32" s="37" t="s">
        <v>61</v>
      </c>
      <c r="E32" s="39" t="str">
        <f>E31</f>
        <v>$Million</v>
      </c>
      <c r="F32" s="39" t="str">
        <f t="shared" si="4"/>
        <v>Real 2024</v>
      </c>
      <c r="G32" s="39" t="str">
        <f t="shared" si="4"/>
        <v>End Period</v>
      </c>
      <c r="H32" s="39" t="str">
        <f t="shared" si="4"/>
        <v>Calculated</v>
      </c>
      <c r="O32" s="137">
        <f>IF(O$28&lt;&gt;$D31,IF($G$24=Real_Input,O22,O14),NA())</f>
        <v>108.40276781177975</v>
      </c>
      <c r="P32" s="137">
        <f t="shared" ref="P32:AC32" si="7">IF(P$28&lt;&gt;$D31,IF($G$24=Real_Input,P22,P14),NA())</f>
        <v>77.249333646023871</v>
      </c>
      <c r="Q32" s="137">
        <f t="shared" si="7"/>
        <v>61.556187685743751</v>
      </c>
      <c r="R32" s="137">
        <f t="shared" si="7"/>
        <v>72.700862794512062</v>
      </c>
      <c r="S32" s="137">
        <f t="shared" si="7"/>
        <v>86.451709318768124</v>
      </c>
      <c r="T32" s="137">
        <f t="shared" si="7"/>
        <v>116.02436878020985</v>
      </c>
      <c r="U32" s="137">
        <f t="shared" si="7"/>
        <v>94.170328229753466</v>
      </c>
      <c r="V32" s="137">
        <f t="shared" si="7"/>
        <v>106.47646780360037</v>
      </c>
      <c r="W32" s="137">
        <f t="shared" si="7"/>
        <v>76.072577346470979</v>
      </c>
      <c r="X32" s="137">
        <f t="shared" si="7"/>
        <v>72.724546094232707</v>
      </c>
      <c r="Y32" s="137" t="e">
        <f t="shared" si="7"/>
        <v>#N/A</v>
      </c>
      <c r="Z32" s="137" t="e">
        <f t="shared" si="7"/>
        <v>#N/A</v>
      </c>
      <c r="AA32" s="137" t="e">
        <f t="shared" si="7"/>
        <v>#N/A</v>
      </c>
      <c r="AB32" s="137" t="e">
        <f t="shared" si="7"/>
        <v>#N/A</v>
      </c>
      <c r="AC32" s="137" t="e">
        <f t="shared" si="7"/>
        <v>#N/A</v>
      </c>
    </row>
    <row r="34" spans="2:29" s="6" customFormat="1" ht="18.75" x14ac:dyDescent="0.2">
      <c r="B34" s="6" t="s">
        <v>623</v>
      </c>
    </row>
    <row r="36" spans="2:29" s="121" customFormat="1" ht="15.75" x14ac:dyDescent="0.2">
      <c r="C36" s="121" t="str">
        <f>$D$12</f>
        <v>Proposed</v>
      </c>
    </row>
    <row r="38" spans="2:29" x14ac:dyDescent="0.2">
      <c r="D38" s="60" t="s">
        <v>56</v>
      </c>
      <c r="E38" s="61" t="str">
        <f>E$4</f>
        <v>Unit</v>
      </c>
      <c r="F38" s="61" t="str">
        <f>F$4</f>
        <v>Basis</v>
      </c>
      <c r="G38" s="61" t="str">
        <f>G$4</f>
        <v>Timing</v>
      </c>
      <c r="H38" s="61" t="str">
        <f>H$4</f>
        <v>Source</v>
      </c>
      <c r="I38" s="60"/>
      <c r="J38" s="60"/>
      <c r="K38" s="60"/>
      <c r="L38" s="60"/>
      <c r="M38" s="60"/>
      <c r="N38" s="60"/>
      <c r="O38" s="62" t="str">
        <f t="shared" ref="O38:AC38" si="8">O$3</f>
        <v>FY15</v>
      </c>
      <c r="P38" s="62" t="str">
        <f t="shared" si="8"/>
        <v>FY16</v>
      </c>
      <c r="Q38" s="62" t="str">
        <f t="shared" si="8"/>
        <v>FY17</v>
      </c>
      <c r="R38" s="62" t="str">
        <f t="shared" si="8"/>
        <v>FY18</v>
      </c>
      <c r="S38" s="62" t="str">
        <f t="shared" si="8"/>
        <v>FY19</v>
      </c>
      <c r="T38" s="62" t="str">
        <f t="shared" si="8"/>
        <v>FY20</v>
      </c>
      <c r="U38" s="62" t="str">
        <f t="shared" si="8"/>
        <v>FY21</v>
      </c>
      <c r="V38" s="62" t="str">
        <f t="shared" si="8"/>
        <v>FY22</v>
      </c>
      <c r="W38" s="62" t="str">
        <f t="shared" si="8"/>
        <v>FY23</v>
      </c>
      <c r="X38" s="62" t="str">
        <f t="shared" si="8"/>
        <v>FY24</v>
      </c>
      <c r="Y38" s="62" t="str">
        <f t="shared" si="8"/>
        <v>FY25</v>
      </c>
      <c r="Z38" s="62" t="str">
        <f t="shared" si="8"/>
        <v>FY26</v>
      </c>
      <c r="AA38" s="62" t="str">
        <f t="shared" si="8"/>
        <v>FY27</v>
      </c>
      <c r="AB38" s="62" t="str">
        <f t="shared" si="8"/>
        <v>FY28</v>
      </c>
      <c r="AC38" s="62" t="str">
        <f t="shared" si="8"/>
        <v>FY29</v>
      </c>
    </row>
    <row r="39" spans="2:29" x14ac:dyDescent="0.2">
      <c r="I39" s="60"/>
      <c r="J39" s="60"/>
      <c r="K39" s="60"/>
      <c r="L39" s="60"/>
      <c r="M39" s="60"/>
      <c r="N39" s="60"/>
    </row>
    <row r="40" spans="2:29" x14ac:dyDescent="0.2">
      <c r="D40" s="37" t="str">
        <f>Input_General!$E$15</f>
        <v>Replacement expenditure</v>
      </c>
      <c r="E40" s="39" t="str">
        <f t="shared" ref="E40:E50" si="9">Unit_Dollar_M</f>
        <v>$Million</v>
      </c>
      <c r="F40" s="39" t="str">
        <f t="shared" ref="F40:F50" si="10">Real_Input</f>
        <v>Real 2024</v>
      </c>
      <c r="G40" s="39" t="str">
        <f t="shared" ref="G40:G50" si="11">End_Period</f>
        <v>End Period</v>
      </c>
      <c r="H40" s="51" t="s">
        <v>80</v>
      </c>
      <c r="I40" s="60"/>
      <c r="J40" s="60"/>
      <c r="K40" s="60"/>
      <c r="L40" s="60"/>
      <c r="M40" s="60"/>
      <c r="N40" s="60"/>
      <c r="O40" s="79">
        <f>Input_Capex!N14*Input_CPI!T$15</f>
        <v>0</v>
      </c>
      <c r="P40" s="74">
        <f>Input_Capex!O14*Input_CPI!U$15</f>
        <v>0</v>
      </c>
      <c r="Q40" s="74">
        <f>Input_Capex!P14*Input_CPI!V$15</f>
        <v>0</v>
      </c>
      <c r="R40" s="74">
        <f>Input_Capex!Q14*Input_CPI!W$15</f>
        <v>0</v>
      </c>
      <c r="S40" s="80">
        <f>Input_Capex!R14*Input_CPI!X$15</f>
        <v>0</v>
      </c>
      <c r="T40" s="79">
        <f>Input_Capex!S14</f>
        <v>0</v>
      </c>
      <c r="U40" s="74">
        <f>Input_Capex!T14</f>
        <v>0</v>
      </c>
      <c r="V40" s="74">
        <f>Input_Capex!U14</f>
        <v>0</v>
      </c>
      <c r="W40" s="74">
        <f>Input_Capex!V14</f>
        <v>0</v>
      </c>
      <c r="X40" s="80">
        <f>Input_Capex!W14</f>
        <v>47.944172762622976</v>
      </c>
      <c r="Y40" s="79">
        <f>Input_Capex!X14</f>
        <v>47.482378411260413</v>
      </c>
      <c r="Z40" s="74">
        <f>Input_Capex!Y14</f>
        <v>43.716079596462826</v>
      </c>
      <c r="AA40" s="74">
        <f>Input_Capex!Z14</f>
        <v>30.173874312226513</v>
      </c>
      <c r="AB40" s="74">
        <f>Input_Capex!AA14</f>
        <v>27.224724818316563</v>
      </c>
      <c r="AC40" s="80">
        <f>Input_Capex!AB14</f>
        <v>26.947576970723329</v>
      </c>
    </row>
    <row r="41" spans="2:29" x14ac:dyDescent="0.2">
      <c r="D41" s="37" t="str">
        <f>Input_General!$E$16</f>
        <v>Connections</v>
      </c>
      <c r="E41" s="39" t="str">
        <f t="shared" si="9"/>
        <v>$Million</v>
      </c>
      <c r="F41" s="39" t="str">
        <f t="shared" si="10"/>
        <v>Real 2024</v>
      </c>
      <c r="G41" s="39" t="str">
        <f t="shared" si="11"/>
        <v>End Period</v>
      </c>
      <c r="H41" s="39" t="str">
        <f t="shared" ref="H41:H48" si="12">H40</f>
        <v>Input_Capex</v>
      </c>
      <c r="I41" s="60"/>
      <c r="J41" s="60"/>
      <c r="K41" s="60"/>
      <c r="L41" s="60"/>
      <c r="M41" s="60"/>
      <c r="N41" s="60"/>
      <c r="O41" s="79">
        <f>Input_Capex!N15*Input_CPI!T$15</f>
        <v>0</v>
      </c>
      <c r="P41" s="74">
        <f>Input_Capex!O15*Input_CPI!U$15</f>
        <v>0</v>
      </c>
      <c r="Q41" s="74">
        <f>Input_Capex!P15*Input_CPI!V$15</f>
        <v>0</v>
      </c>
      <c r="R41" s="74">
        <f>Input_Capex!Q15*Input_CPI!W$15</f>
        <v>0</v>
      </c>
      <c r="S41" s="80">
        <f>Input_Capex!R15*Input_CPI!X$15</f>
        <v>0</v>
      </c>
      <c r="T41" s="79">
        <f>Input_Capex!S15</f>
        <v>0</v>
      </c>
      <c r="U41" s="74">
        <f>Input_Capex!T15</f>
        <v>0</v>
      </c>
      <c r="V41" s="74">
        <f>Input_Capex!U15</f>
        <v>0</v>
      </c>
      <c r="W41" s="74">
        <f>Input_Capex!V15</f>
        <v>0</v>
      </c>
      <c r="X41" s="80">
        <f>Input_Capex!W15</f>
        <v>7.5685323717673958</v>
      </c>
      <c r="Y41" s="79">
        <f>Input_Capex!X15</f>
        <v>1.3622191727759292</v>
      </c>
      <c r="Z41" s="74">
        <f>Input_Capex!Y15</f>
        <v>1.3785412716487917</v>
      </c>
      <c r="AA41" s="74">
        <f>Input_Capex!Z15</f>
        <v>1.3918320498372652</v>
      </c>
      <c r="AB41" s="74">
        <f>Input_Capex!AA15</f>
        <v>1.4052575348391252</v>
      </c>
      <c r="AC41" s="80">
        <f>Input_Capex!AB15</f>
        <v>1.4198473181663556</v>
      </c>
    </row>
    <row r="42" spans="2:29" x14ac:dyDescent="0.2">
      <c r="D42" s="37" t="str">
        <f>Input_General!$E$17</f>
        <v>Augmentation expenditure</v>
      </c>
      <c r="E42" s="39" t="str">
        <f t="shared" si="9"/>
        <v>$Million</v>
      </c>
      <c r="F42" s="39" t="str">
        <f t="shared" si="10"/>
        <v>Real 2024</v>
      </c>
      <c r="G42" s="39" t="str">
        <f t="shared" si="11"/>
        <v>End Period</v>
      </c>
      <c r="H42" s="39" t="str">
        <f t="shared" si="12"/>
        <v>Input_Capex</v>
      </c>
      <c r="I42" s="60"/>
      <c r="J42" s="60"/>
      <c r="K42" s="60"/>
      <c r="L42" s="60"/>
      <c r="M42" s="60"/>
      <c r="N42" s="60"/>
      <c r="O42" s="79">
        <f>Input_Capex!N16*Input_CPI!T$15</f>
        <v>0</v>
      </c>
      <c r="P42" s="74">
        <f>Input_Capex!O16*Input_CPI!U$15</f>
        <v>0</v>
      </c>
      <c r="Q42" s="74">
        <f>Input_Capex!P16*Input_CPI!V$15</f>
        <v>0</v>
      </c>
      <c r="R42" s="74">
        <f>Input_Capex!Q16*Input_CPI!W$15</f>
        <v>0</v>
      </c>
      <c r="S42" s="80">
        <f>Input_Capex!R16*Input_CPI!X$15</f>
        <v>0</v>
      </c>
      <c r="T42" s="79">
        <f>Input_Capex!S16</f>
        <v>0</v>
      </c>
      <c r="U42" s="74">
        <f>Input_Capex!T16</f>
        <v>0</v>
      </c>
      <c r="V42" s="74">
        <f>Input_Capex!U16</f>
        <v>0</v>
      </c>
      <c r="W42" s="74">
        <f>Input_Capex!V16</f>
        <v>0</v>
      </c>
      <c r="X42" s="80">
        <f>Input_Capex!W16</f>
        <v>13.546480610193314</v>
      </c>
      <c r="Y42" s="79">
        <f>Input_Capex!X16</f>
        <v>9.4855153762789328</v>
      </c>
      <c r="Z42" s="74">
        <f>Input_Capex!Y16</f>
        <v>6.0246979087984371</v>
      </c>
      <c r="AA42" s="74">
        <f>Input_Capex!Z16</f>
        <v>7.2162069931347013</v>
      </c>
      <c r="AB42" s="74">
        <f>Input_Capex!AA16</f>
        <v>5.3517768869779863</v>
      </c>
      <c r="AC42" s="80">
        <f>Input_Capex!AB16</f>
        <v>4.9208958491892503</v>
      </c>
    </row>
    <row r="43" spans="2:29" x14ac:dyDescent="0.2">
      <c r="D43" s="37" t="str">
        <f>Input_General!$E$18</f>
        <v>Non-network - IT</v>
      </c>
      <c r="E43" s="39" t="str">
        <f t="shared" si="9"/>
        <v>$Million</v>
      </c>
      <c r="F43" s="39" t="str">
        <f t="shared" si="10"/>
        <v>Real 2024</v>
      </c>
      <c r="G43" s="39" t="str">
        <f t="shared" si="11"/>
        <v>End Period</v>
      </c>
      <c r="H43" s="39" t="str">
        <f t="shared" si="12"/>
        <v>Input_Capex</v>
      </c>
      <c r="I43" s="60"/>
      <c r="J43" s="60"/>
      <c r="K43" s="60"/>
      <c r="L43" s="60"/>
      <c r="M43" s="60"/>
      <c r="N43" s="60"/>
      <c r="O43" s="79">
        <f>Input_Capex!N17*Input_CPI!T$15</f>
        <v>0</v>
      </c>
      <c r="P43" s="74">
        <f>Input_Capex!O17*Input_CPI!U$15</f>
        <v>0</v>
      </c>
      <c r="Q43" s="74">
        <f>Input_Capex!P17*Input_CPI!V$15</f>
        <v>0</v>
      </c>
      <c r="R43" s="74">
        <f>Input_Capex!Q17*Input_CPI!W$15</f>
        <v>0</v>
      </c>
      <c r="S43" s="80">
        <f>Input_Capex!R17*Input_CPI!X$15</f>
        <v>0</v>
      </c>
      <c r="T43" s="79">
        <f>Input_Capex!S17</f>
        <v>0</v>
      </c>
      <c r="U43" s="74">
        <f>Input_Capex!T17</f>
        <v>0</v>
      </c>
      <c r="V43" s="74">
        <f>Input_Capex!U17</f>
        <v>0</v>
      </c>
      <c r="W43" s="74">
        <f>Input_Capex!V17</f>
        <v>0</v>
      </c>
      <c r="X43" s="80">
        <f>Input_Capex!W17</f>
        <v>19.548453124904182</v>
      </c>
      <c r="Y43" s="79">
        <f>Input_Capex!X17</f>
        <v>15.195574283853276</v>
      </c>
      <c r="Z43" s="74">
        <f>Input_Capex!Y17</f>
        <v>18.547632452429632</v>
      </c>
      <c r="AA43" s="74">
        <f>Input_Capex!Z17</f>
        <v>11.249363944702427</v>
      </c>
      <c r="AB43" s="74">
        <f>Input_Capex!AA17</f>
        <v>9.7453969219687053</v>
      </c>
      <c r="AC43" s="80">
        <f>Input_Capex!AB17</f>
        <v>9.2801447622374109</v>
      </c>
    </row>
    <row r="44" spans="2:29" x14ac:dyDescent="0.2">
      <c r="D44" s="37" t="str">
        <f>Input_General!$E$19</f>
        <v>Non-network - Other</v>
      </c>
      <c r="E44" s="39" t="str">
        <f t="shared" si="9"/>
        <v>$Million</v>
      </c>
      <c r="F44" s="39" t="str">
        <f t="shared" si="10"/>
        <v>Real 2024</v>
      </c>
      <c r="G44" s="39" t="str">
        <f t="shared" si="11"/>
        <v>End Period</v>
      </c>
      <c r="H44" s="39" t="str">
        <f t="shared" si="12"/>
        <v>Input_Capex</v>
      </c>
      <c r="I44" s="60"/>
      <c r="J44" s="60"/>
      <c r="K44" s="60"/>
      <c r="L44" s="60"/>
      <c r="M44" s="60"/>
      <c r="N44" s="60"/>
      <c r="O44" s="79">
        <f>Input_Capex!N18*Input_CPI!T$15</f>
        <v>0</v>
      </c>
      <c r="P44" s="74">
        <f>Input_Capex!O18*Input_CPI!U$15</f>
        <v>0</v>
      </c>
      <c r="Q44" s="74">
        <f>Input_Capex!P18*Input_CPI!V$15</f>
        <v>0</v>
      </c>
      <c r="R44" s="74">
        <f>Input_Capex!Q18*Input_CPI!W$15</f>
        <v>0</v>
      </c>
      <c r="S44" s="80">
        <f>Input_Capex!R18*Input_CPI!X$15</f>
        <v>0</v>
      </c>
      <c r="T44" s="79">
        <f>Input_Capex!S18</f>
        <v>0</v>
      </c>
      <c r="U44" s="74">
        <f>Input_Capex!T18</f>
        <v>0</v>
      </c>
      <c r="V44" s="74">
        <f>Input_Capex!U18</f>
        <v>0</v>
      </c>
      <c r="W44" s="74">
        <f>Input_Capex!V18</f>
        <v>0</v>
      </c>
      <c r="X44" s="80">
        <f>Input_Capex!W18</f>
        <v>8.4881675654382533</v>
      </c>
      <c r="Y44" s="79">
        <f>Input_Capex!X18</f>
        <v>4.5185272541263259</v>
      </c>
      <c r="Z44" s="74">
        <f>Input_Capex!Y18</f>
        <v>6.2727515625339398</v>
      </c>
      <c r="AA44" s="74">
        <f>Input_Capex!Z18</f>
        <v>13.447441023845927</v>
      </c>
      <c r="AB44" s="74">
        <f>Input_Capex!AA18</f>
        <v>45.432778575846022</v>
      </c>
      <c r="AC44" s="80">
        <f>Input_Capex!AB18</f>
        <v>45.612755827973473</v>
      </c>
    </row>
    <row r="45" spans="2:29" x14ac:dyDescent="0.2">
      <c r="D45" s="37" t="str">
        <f>Input_General!$E$20</f>
        <v>Export services</v>
      </c>
      <c r="E45" s="39" t="str">
        <f t="shared" si="9"/>
        <v>$Million</v>
      </c>
      <c r="F45" s="39" t="str">
        <f t="shared" si="10"/>
        <v>Real 2024</v>
      </c>
      <c r="G45" s="39" t="str">
        <f t="shared" si="11"/>
        <v>End Period</v>
      </c>
      <c r="H45" s="39" t="str">
        <f t="shared" si="12"/>
        <v>Input_Capex</v>
      </c>
      <c r="I45" s="60"/>
      <c r="J45" s="60"/>
      <c r="K45" s="60"/>
      <c r="L45" s="60"/>
      <c r="M45" s="60"/>
      <c r="N45" s="60"/>
      <c r="O45" s="79">
        <f>Input_Capex!N19*Input_CPI!T$15</f>
        <v>0</v>
      </c>
      <c r="P45" s="74">
        <f>Input_Capex!O19*Input_CPI!U$15</f>
        <v>0</v>
      </c>
      <c r="Q45" s="74">
        <f>Input_Capex!P19*Input_CPI!V$15</f>
        <v>0</v>
      </c>
      <c r="R45" s="74">
        <f>Input_Capex!Q19*Input_CPI!W$15</f>
        <v>0</v>
      </c>
      <c r="S45" s="80">
        <f>Input_Capex!R19*Input_CPI!X$15</f>
        <v>0</v>
      </c>
      <c r="T45" s="79">
        <f>Input_Capex!S19</f>
        <v>0</v>
      </c>
      <c r="U45" s="74">
        <f>Input_Capex!T19</f>
        <v>0</v>
      </c>
      <c r="V45" s="74">
        <f>Input_Capex!U19</f>
        <v>0</v>
      </c>
      <c r="W45" s="74">
        <f>Input_Capex!V19</f>
        <v>0</v>
      </c>
      <c r="X45" s="80">
        <f>Input_Capex!W19</f>
        <v>0</v>
      </c>
      <c r="Y45" s="79">
        <f>Input_Capex!X19</f>
        <v>5.8071285990685041E-2</v>
      </c>
      <c r="Z45" s="74">
        <f>Input_Capex!Y19</f>
        <v>0.11048793733875202</v>
      </c>
      <c r="AA45" s="74">
        <f>Input_Capex!Z19</f>
        <v>1.0481099003536483</v>
      </c>
      <c r="AB45" s="74">
        <f>Input_Capex!AA19</f>
        <v>1.4756004877586051</v>
      </c>
      <c r="AC45" s="80">
        <f>Input_Capex!AB19</f>
        <v>1.0205406109734163</v>
      </c>
    </row>
    <row r="46" spans="2:29" x14ac:dyDescent="0.2">
      <c r="D46" s="37" t="str">
        <f>Input_General!$E$21</f>
        <v>Capitalised network overheads</v>
      </c>
      <c r="E46" s="39" t="str">
        <f t="shared" si="9"/>
        <v>$Million</v>
      </c>
      <c r="F46" s="39" t="str">
        <f t="shared" si="10"/>
        <v>Real 2024</v>
      </c>
      <c r="G46" s="39" t="str">
        <f t="shared" si="11"/>
        <v>End Period</v>
      </c>
      <c r="H46" s="39" t="str">
        <f t="shared" si="12"/>
        <v>Input_Capex</v>
      </c>
      <c r="I46" s="60"/>
      <c r="J46" s="60"/>
      <c r="K46" s="60"/>
      <c r="L46" s="60"/>
      <c r="M46" s="60"/>
      <c r="N46" s="60"/>
      <c r="O46" s="79">
        <f>Input_Capex!N20*Input_CPI!T$15</f>
        <v>0</v>
      </c>
      <c r="P46" s="74">
        <f>Input_Capex!O20*Input_CPI!U$15</f>
        <v>0</v>
      </c>
      <c r="Q46" s="74">
        <f>Input_Capex!P20*Input_CPI!V$15</f>
        <v>0</v>
      </c>
      <c r="R46" s="74">
        <f>Input_Capex!Q20*Input_CPI!W$15</f>
        <v>0</v>
      </c>
      <c r="S46" s="80">
        <f>Input_Capex!R20*Input_CPI!X$15</f>
        <v>0</v>
      </c>
      <c r="T46" s="79">
        <f>Input_Capex!S20</f>
        <v>0</v>
      </c>
      <c r="U46" s="74">
        <f>Input_Capex!T20</f>
        <v>0</v>
      </c>
      <c r="V46" s="74">
        <f>Input_Capex!U20</f>
        <v>0</v>
      </c>
      <c r="W46" s="74">
        <f>Input_Capex!V20</f>
        <v>0</v>
      </c>
      <c r="X46" s="80">
        <f>Input_Capex!W20</f>
        <v>17.0241147788978</v>
      </c>
      <c r="Y46" s="79">
        <f>Input_Capex!X20</f>
        <v>16.914274994598138</v>
      </c>
      <c r="Z46" s="74">
        <f>Input_Capex!Y20</f>
        <v>16.494999848787391</v>
      </c>
      <c r="AA46" s="74">
        <f>Input_Capex!Z20</f>
        <v>14.261676793553869</v>
      </c>
      <c r="AB46" s="74">
        <f>Input_Capex!AA20</f>
        <v>20.398038259811997</v>
      </c>
      <c r="AC46" s="80">
        <f>Input_Capex!AB20</f>
        <v>20.493216034982446</v>
      </c>
    </row>
    <row r="47" spans="2:29" x14ac:dyDescent="0.2">
      <c r="D47" s="37" t="str">
        <f>Input_General!$E$22</f>
        <v>Capitalised corporate overheads</v>
      </c>
      <c r="E47" s="39" t="str">
        <f t="shared" si="9"/>
        <v>$Million</v>
      </c>
      <c r="F47" s="39" t="str">
        <f t="shared" si="10"/>
        <v>Real 2024</v>
      </c>
      <c r="G47" s="39" t="str">
        <f t="shared" si="11"/>
        <v>End Period</v>
      </c>
      <c r="H47" s="39" t="str">
        <f t="shared" si="12"/>
        <v>Input_Capex</v>
      </c>
      <c r="I47" s="60"/>
      <c r="J47" s="60"/>
      <c r="K47" s="60"/>
      <c r="L47" s="60"/>
      <c r="M47" s="60"/>
      <c r="N47" s="60"/>
      <c r="O47" s="79">
        <f>Input_Capex!N21*Input_CPI!T$15</f>
        <v>0</v>
      </c>
      <c r="P47" s="74">
        <f>Input_Capex!O21*Input_CPI!U$15</f>
        <v>0</v>
      </c>
      <c r="Q47" s="74">
        <f>Input_Capex!P21*Input_CPI!V$15</f>
        <v>0</v>
      </c>
      <c r="R47" s="74">
        <f>Input_Capex!Q21*Input_CPI!W$15</f>
        <v>0</v>
      </c>
      <c r="S47" s="80">
        <f>Input_Capex!R21*Input_CPI!X$15</f>
        <v>0</v>
      </c>
      <c r="T47" s="79">
        <f>Input_Capex!S21</f>
        <v>0</v>
      </c>
      <c r="U47" s="74">
        <f>Input_Capex!T21</f>
        <v>0</v>
      </c>
      <c r="V47" s="74">
        <f>Input_Capex!U21</f>
        <v>0</v>
      </c>
      <c r="W47" s="74">
        <f>Input_Capex!V21</f>
        <v>0</v>
      </c>
      <c r="X47" s="80">
        <f>Input_Capex!W21</f>
        <v>14.775889238427061</v>
      </c>
      <c r="Y47" s="79">
        <f>Input_Capex!X21</f>
        <v>11.085718127614321</v>
      </c>
      <c r="Z47" s="74">
        <f>Input_Capex!Y21</f>
        <v>10.810922661308087</v>
      </c>
      <c r="AA47" s="74">
        <f>Input_Capex!Z21</f>
        <v>9.3471892239524799</v>
      </c>
      <c r="AB47" s="74">
        <f>Input_Capex!AA21</f>
        <v>13.368997641151386</v>
      </c>
      <c r="AC47" s="80">
        <f>Input_Capex!AB21</f>
        <v>13.431377730625506</v>
      </c>
    </row>
    <row r="48" spans="2:29" x14ac:dyDescent="0.2">
      <c r="D48" s="37" t="str">
        <f>Input_General!$E$23</f>
        <v>Other/Balancing item</v>
      </c>
      <c r="E48" s="39" t="str">
        <f t="shared" si="9"/>
        <v>$Million</v>
      </c>
      <c r="F48" s="39" t="str">
        <f t="shared" si="10"/>
        <v>Real 2024</v>
      </c>
      <c r="G48" s="39" t="str">
        <f t="shared" si="11"/>
        <v>End Period</v>
      </c>
      <c r="H48" s="39" t="str">
        <f t="shared" si="12"/>
        <v>Input_Capex</v>
      </c>
      <c r="I48" s="60"/>
      <c r="J48" s="60"/>
      <c r="K48" s="60"/>
      <c r="L48" s="60"/>
      <c r="M48" s="60"/>
      <c r="N48" s="60"/>
      <c r="O48" s="79">
        <f>Input_Capex!N22*Input_CPI!T$15</f>
        <v>0</v>
      </c>
      <c r="P48" s="74">
        <f>Input_Capex!O22*Input_CPI!U$15</f>
        <v>0</v>
      </c>
      <c r="Q48" s="74">
        <f>Input_Capex!P22*Input_CPI!V$15</f>
        <v>0</v>
      </c>
      <c r="R48" s="74">
        <f>Input_Capex!Q22*Input_CPI!W$15</f>
        <v>0</v>
      </c>
      <c r="S48" s="80">
        <f>Input_Capex!R22*Input_CPI!X$15</f>
        <v>0</v>
      </c>
      <c r="T48" s="79">
        <f>Input_Capex!S22</f>
        <v>0</v>
      </c>
      <c r="U48" s="74">
        <f>Input_Capex!T22</f>
        <v>0</v>
      </c>
      <c r="V48" s="74">
        <f>Input_Capex!U22</f>
        <v>0</v>
      </c>
      <c r="W48" s="74">
        <f>Input_Capex!V22</f>
        <v>0</v>
      </c>
      <c r="X48" s="80">
        <f>Input_Capex!W22</f>
        <v>0</v>
      </c>
      <c r="Y48" s="79">
        <f>Input_Capex!X22</f>
        <v>0</v>
      </c>
      <c r="Z48" s="74">
        <f>Input_Capex!Y22</f>
        <v>0</v>
      </c>
      <c r="AA48" s="74">
        <f>Input_Capex!Z22</f>
        <v>0</v>
      </c>
      <c r="AB48" s="74">
        <f>Input_Capex!AA22</f>
        <v>0</v>
      </c>
      <c r="AC48" s="80">
        <f>Input_Capex!AB22</f>
        <v>0</v>
      </c>
    </row>
    <row r="49" spans="3:30" x14ac:dyDescent="0.2">
      <c r="D49" s="37"/>
      <c r="E49" s="39"/>
      <c r="F49" s="39"/>
      <c r="G49" s="39"/>
      <c r="H49" s="39"/>
      <c r="I49" s="60"/>
      <c r="J49" s="60"/>
      <c r="K49" s="60"/>
      <c r="L49" s="60"/>
      <c r="M49" s="60"/>
      <c r="N49" s="60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3:30" x14ac:dyDescent="0.2">
      <c r="D50" s="104" t="s">
        <v>72</v>
      </c>
      <c r="E50" s="125" t="str">
        <f t="shared" si="9"/>
        <v>$Million</v>
      </c>
      <c r="F50" s="125" t="str">
        <f t="shared" si="10"/>
        <v>Real 2024</v>
      </c>
      <c r="G50" s="125" t="str">
        <f t="shared" si="11"/>
        <v>End Period</v>
      </c>
      <c r="H50" s="125" t="s">
        <v>8</v>
      </c>
      <c r="I50" s="60"/>
      <c r="J50" s="60"/>
      <c r="K50" s="60"/>
      <c r="L50" s="60"/>
      <c r="M50" s="60"/>
      <c r="N50" s="60"/>
      <c r="O50" s="128">
        <f t="shared" ref="O50:AC50" si="13">SUM(O40:O48)</f>
        <v>0</v>
      </c>
      <c r="P50" s="129">
        <f t="shared" si="13"/>
        <v>0</v>
      </c>
      <c r="Q50" s="129">
        <f t="shared" si="13"/>
        <v>0</v>
      </c>
      <c r="R50" s="129">
        <f t="shared" si="13"/>
        <v>0</v>
      </c>
      <c r="S50" s="130">
        <f t="shared" si="13"/>
        <v>0</v>
      </c>
      <c r="T50" s="128">
        <f t="shared" si="13"/>
        <v>0</v>
      </c>
      <c r="U50" s="129">
        <f t="shared" si="13"/>
        <v>0</v>
      </c>
      <c r="V50" s="129">
        <f t="shared" si="13"/>
        <v>0</v>
      </c>
      <c r="W50" s="129">
        <f t="shared" si="13"/>
        <v>0</v>
      </c>
      <c r="X50" s="130">
        <f t="shared" si="13"/>
        <v>128.89581045225097</v>
      </c>
      <c r="Y50" s="128">
        <f t="shared" si="13"/>
        <v>106.10227890649801</v>
      </c>
      <c r="Z50" s="129">
        <f t="shared" si="13"/>
        <v>103.35611323930785</v>
      </c>
      <c r="AA50" s="129">
        <f t="shared" si="13"/>
        <v>88.135694241606842</v>
      </c>
      <c r="AB50" s="129">
        <f t="shared" si="13"/>
        <v>124.40257112667038</v>
      </c>
      <c r="AC50" s="130">
        <f t="shared" si="13"/>
        <v>123.12635510487118</v>
      </c>
      <c r="AD50" s="50"/>
    </row>
    <row r="52" spans="3:30" s="121" customFormat="1" ht="15.75" x14ac:dyDescent="0.2">
      <c r="C52" s="121" t="str">
        <f>$D$13</f>
        <v>Actual / Estimate</v>
      </c>
    </row>
    <row r="54" spans="3:30" x14ac:dyDescent="0.2">
      <c r="D54" s="60" t="s">
        <v>56</v>
      </c>
      <c r="E54" s="61" t="str">
        <f>E$4</f>
        <v>Unit</v>
      </c>
      <c r="F54" s="61" t="str">
        <f>F$4</f>
        <v>Basis</v>
      </c>
      <c r="G54" s="61" t="str">
        <f>G$4</f>
        <v>Timing</v>
      </c>
      <c r="H54" s="61" t="str">
        <f>H$4</f>
        <v>Source</v>
      </c>
      <c r="J54" s="62" t="str">
        <f>J$3</f>
        <v>FY10</v>
      </c>
      <c r="K54" s="62" t="str">
        <f>K$3</f>
        <v>FY11</v>
      </c>
      <c r="L54" s="62" t="str">
        <f>L$3</f>
        <v>FY12</v>
      </c>
      <c r="M54" s="62" t="str">
        <f>M$3</f>
        <v>FY13</v>
      </c>
      <c r="N54" s="62" t="str">
        <f>N$3</f>
        <v>FY14</v>
      </c>
      <c r="O54" s="62" t="str">
        <f t="shared" ref="O54:AC54" si="14">O$3</f>
        <v>FY15</v>
      </c>
      <c r="P54" s="62" t="str">
        <f t="shared" si="14"/>
        <v>FY16</v>
      </c>
      <c r="Q54" s="62" t="str">
        <f t="shared" si="14"/>
        <v>FY17</v>
      </c>
      <c r="R54" s="62" t="str">
        <f t="shared" si="14"/>
        <v>FY18</v>
      </c>
      <c r="S54" s="62" t="str">
        <f t="shared" si="14"/>
        <v>FY19</v>
      </c>
      <c r="T54" s="62" t="str">
        <f t="shared" si="14"/>
        <v>FY20</v>
      </c>
      <c r="U54" s="62" t="str">
        <f t="shared" si="14"/>
        <v>FY21</v>
      </c>
      <c r="V54" s="62" t="str">
        <f t="shared" si="14"/>
        <v>FY22</v>
      </c>
      <c r="W54" s="62" t="str">
        <f t="shared" si="14"/>
        <v>FY23</v>
      </c>
      <c r="X54" s="62" t="str">
        <f t="shared" si="14"/>
        <v>FY24</v>
      </c>
      <c r="Y54" s="62" t="str">
        <f t="shared" si="14"/>
        <v>FY25</v>
      </c>
      <c r="Z54" s="62" t="str">
        <f t="shared" si="14"/>
        <v>FY26</v>
      </c>
      <c r="AA54" s="62" t="str">
        <f t="shared" si="14"/>
        <v>FY27</v>
      </c>
      <c r="AB54" s="62" t="str">
        <f t="shared" si="14"/>
        <v>FY28</v>
      </c>
      <c r="AC54" s="62" t="str">
        <f t="shared" si="14"/>
        <v>FY29</v>
      </c>
    </row>
    <row r="56" spans="3:30" x14ac:dyDescent="0.2">
      <c r="D56" s="37" t="str">
        <f>Input_General!$E$15</f>
        <v>Replacement expenditure</v>
      </c>
      <c r="E56" s="39" t="str">
        <f t="shared" ref="E56:E66" si="15">Unit_Dollar_M</f>
        <v>$Million</v>
      </c>
      <c r="F56" s="39" t="str">
        <f t="shared" ref="F56:F66" si="16">Real_Input</f>
        <v>Real 2024</v>
      </c>
      <c r="G56" s="39" t="str">
        <f t="shared" ref="G56:G66" si="17">End_Period</f>
        <v>End Period</v>
      </c>
      <c r="H56" s="51" t="s">
        <v>80</v>
      </c>
      <c r="J56" s="79">
        <f>Input_Capex!I35*Input_CPI!O$20</f>
        <v>14.09484742604017</v>
      </c>
      <c r="K56" s="74">
        <f>Input_Capex!J35*Input_CPI!P$20</f>
        <v>35.442063454814082</v>
      </c>
      <c r="L56" s="74">
        <f>Input_Capex!K35*Input_CPI!Q$20</f>
        <v>51.540863208522914</v>
      </c>
      <c r="M56" s="74">
        <f>Input_Capex!L35*Input_CPI!R$20</f>
        <v>48.837497315023647</v>
      </c>
      <c r="N56" s="80">
        <f>Input_Capex!M35*Input_CPI!S$20</f>
        <v>57.49914489896733</v>
      </c>
      <c r="O56" s="79">
        <f>Input_Capex!N35*Input_CPI!T$20</f>
        <v>57.685651001597286</v>
      </c>
      <c r="P56" s="74">
        <f>Input_Capex!O35*Input_CPI!U$20</f>
        <v>54.436462515110378</v>
      </c>
      <c r="Q56" s="74">
        <f>Input_Capex!P35*Input_CPI!V$20</f>
        <v>35.693615366993974</v>
      </c>
      <c r="R56" s="74">
        <f>Input_Capex!Q35*Input_CPI!W$20</f>
        <v>23.115455106023774</v>
      </c>
      <c r="S56" s="80">
        <f>Input_Capex!R35*Input_CPI!X$20</f>
        <v>19.819156421345891</v>
      </c>
      <c r="T56" s="79">
        <f>Input_Capex!S35*Input_CPI!Y$20</f>
        <v>19.84351580929383</v>
      </c>
      <c r="U56" s="74">
        <f>Input_Capex!T35*Input_CPI!Z$20</f>
        <v>21.232780834616825</v>
      </c>
      <c r="V56" s="74">
        <f>Input_Capex!U35*Input_CPI!AA$20</f>
        <v>22.067189573587498</v>
      </c>
      <c r="W56" s="74">
        <f>Input_Capex!V35*Input_CPI!AB$20</f>
        <v>32.343789077535881</v>
      </c>
      <c r="X56" s="80">
        <f>Input_Capex!W35*Input_CPI!AC$20</f>
        <v>47.944172762622976</v>
      </c>
      <c r="Y56" s="79">
        <f>Input_Capex!X35*Input_CPI!AD$20</f>
        <v>0</v>
      </c>
      <c r="Z56" s="74">
        <f>Input_Capex!Y35*Input_CPI!AE$20</f>
        <v>0</v>
      </c>
      <c r="AA56" s="74">
        <f>Input_Capex!Z35*Input_CPI!AF$20</f>
        <v>0</v>
      </c>
      <c r="AB56" s="74">
        <f>Input_Capex!AA35*Input_CPI!AG$20</f>
        <v>0</v>
      </c>
      <c r="AC56" s="80">
        <f>Input_Capex!AB35*Input_CPI!AH$20</f>
        <v>0</v>
      </c>
    </row>
    <row r="57" spans="3:30" x14ac:dyDescent="0.2">
      <c r="D57" s="37" t="str">
        <f>Input_General!$E$16</f>
        <v>Connections</v>
      </c>
      <c r="E57" s="39" t="str">
        <f t="shared" si="15"/>
        <v>$Million</v>
      </c>
      <c r="F57" s="39" t="str">
        <f t="shared" si="16"/>
        <v>Real 2024</v>
      </c>
      <c r="G57" s="39" t="str">
        <f t="shared" si="17"/>
        <v>End Period</v>
      </c>
      <c r="H57" s="39" t="str">
        <f t="shared" ref="H57:H64" si="18">H56</f>
        <v>Input_Capex</v>
      </c>
      <c r="J57" s="79">
        <f>Input_Capex!I36*Input_CPI!O$20</f>
        <v>9.4714054003272299</v>
      </c>
      <c r="K57" s="74">
        <f>Input_Capex!J36*Input_CPI!P$20</f>
        <v>8.7072163775675584</v>
      </c>
      <c r="L57" s="74">
        <f>Input_Capex!K36*Input_CPI!Q$20</f>
        <v>7.6987707459704158</v>
      </c>
      <c r="M57" s="74">
        <f>Input_Capex!L36*Input_CPI!R$20</f>
        <v>8.8139430434377353</v>
      </c>
      <c r="N57" s="80">
        <f>Input_Capex!M36*Input_CPI!S$20</f>
        <v>19.22013943236027</v>
      </c>
      <c r="O57" s="79">
        <f>Input_Capex!N36*Input_CPI!T$20</f>
        <v>21.636924738654965</v>
      </c>
      <c r="P57" s="74">
        <f>Input_Capex!O36*Input_CPI!U$20</f>
        <v>17.673312304484806</v>
      </c>
      <c r="Q57" s="74">
        <f>Input_Capex!P36*Input_CPI!V$20</f>
        <v>14.767985059555224</v>
      </c>
      <c r="R57" s="74">
        <f>Input_Capex!Q36*Input_CPI!W$20</f>
        <v>12.632105013497837</v>
      </c>
      <c r="S57" s="80">
        <f>Input_Capex!R36*Input_CPI!X$20</f>
        <v>6.9555266404981584</v>
      </c>
      <c r="T57" s="79">
        <f>Input_Capex!S36*Input_CPI!Y$20</f>
        <v>4.9225088699287962</v>
      </c>
      <c r="U57" s="74">
        <f>Input_Capex!T36*Input_CPI!Z$20</f>
        <v>7.4724927934217327</v>
      </c>
      <c r="V57" s="74">
        <f>Input_Capex!U36*Input_CPI!AA$20</f>
        <v>5.7405302858104861</v>
      </c>
      <c r="W57" s="74">
        <f>Input_Capex!V36*Input_CPI!AB$20</f>
        <v>9.0780883406414041</v>
      </c>
      <c r="X57" s="80">
        <f>Input_Capex!W36*Input_CPI!AC$20</f>
        <v>7.5685323717673958</v>
      </c>
      <c r="Y57" s="79">
        <f>Input_Capex!X36*Input_CPI!AD$20</f>
        <v>0</v>
      </c>
      <c r="Z57" s="74">
        <f>Input_Capex!Y36*Input_CPI!AE$20</f>
        <v>0</v>
      </c>
      <c r="AA57" s="74">
        <f>Input_Capex!Z36*Input_CPI!AF$20</f>
        <v>0</v>
      </c>
      <c r="AB57" s="74">
        <f>Input_Capex!AA36*Input_CPI!AG$20</f>
        <v>0</v>
      </c>
      <c r="AC57" s="80">
        <f>Input_Capex!AB36*Input_CPI!AH$20</f>
        <v>0</v>
      </c>
    </row>
    <row r="58" spans="3:30" x14ac:dyDescent="0.2">
      <c r="D58" s="37" t="str">
        <f>Input_General!$E$17</f>
        <v>Augmentation expenditure</v>
      </c>
      <c r="E58" s="39" t="str">
        <f t="shared" si="15"/>
        <v>$Million</v>
      </c>
      <c r="F58" s="39" t="str">
        <f t="shared" si="16"/>
        <v>Real 2024</v>
      </c>
      <c r="G58" s="39" t="str">
        <f t="shared" si="17"/>
        <v>End Period</v>
      </c>
      <c r="H58" s="39" t="str">
        <f t="shared" si="18"/>
        <v>Input_Capex</v>
      </c>
      <c r="J58" s="79">
        <f>Input_Capex!I37*Input_CPI!O$20</f>
        <v>84.393931842289803</v>
      </c>
      <c r="K58" s="74">
        <f>Input_Capex!J37*Input_CPI!P$20</f>
        <v>74.630881435755114</v>
      </c>
      <c r="L58" s="74">
        <f>Input_Capex!K37*Input_CPI!Q$20</f>
        <v>44.061256576585706</v>
      </c>
      <c r="M58" s="74">
        <f>Input_Capex!L37*Input_CPI!R$20</f>
        <v>84.653208344740378</v>
      </c>
      <c r="N58" s="80">
        <f>Input_Capex!M37*Input_CPI!S$20</f>
        <v>39.37240422666283</v>
      </c>
      <c r="O58" s="79">
        <f>Input_Capex!N37*Input_CPI!T$20</f>
        <v>30.726272800625658</v>
      </c>
      <c r="P58" s="74">
        <f>Input_Capex!O37*Input_CPI!U$20</f>
        <v>22.514727377385729</v>
      </c>
      <c r="Q58" s="74">
        <f>Input_Capex!P37*Input_CPI!V$20</f>
        <v>16.213631971299371</v>
      </c>
      <c r="R58" s="74">
        <f>Input_Capex!Q37*Input_CPI!W$20</f>
        <v>21.828954273917216</v>
      </c>
      <c r="S58" s="80">
        <f>Input_Capex!R37*Input_CPI!X$20</f>
        <v>10.256574721269859</v>
      </c>
      <c r="T58" s="79">
        <f>Input_Capex!S37*Input_CPI!Y$20</f>
        <v>17.917896049110347</v>
      </c>
      <c r="U58" s="74">
        <f>Input_Capex!T37*Input_CPI!Z$20</f>
        <v>13.378193783298347</v>
      </c>
      <c r="V58" s="74">
        <f>Input_Capex!U37*Input_CPI!AA$20</f>
        <v>11.231766903129579</v>
      </c>
      <c r="W58" s="74">
        <f>Input_Capex!V37*Input_CPI!AB$20</f>
        <v>11.514247569781533</v>
      </c>
      <c r="X58" s="80">
        <f>Input_Capex!W37*Input_CPI!AC$20</f>
        <v>13.546480610193314</v>
      </c>
      <c r="Y58" s="79">
        <f>Input_Capex!X37*Input_CPI!AD$20</f>
        <v>0</v>
      </c>
      <c r="Z58" s="74">
        <f>Input_Capex!Y37*Input_CPI!AE$20</f>
        <v>0</v>
      </c>
      <c r="AA58" s="74">
        <f>Input_Capex!Z37*Input_CPI!AF$20</f>
        <v>0</v>
      </c>
      <c r="AB58" s="74">
        <f>Input_Capex!AA37*Input_CPI!AG$20</f>
        <v>0</v>
      </c>
      <c r="AC58" s="80">
        <f>Input_Capex!AB37*Input_CPI!AH$20</f>
        <v>0</v>
      </c>
    </row>
    <row r="59" spans="3:30" x14ac:dyDescent="0.2">
      <c r="D59" s="37" t="str">
        <f>Input_General!$E$18</f>
        <v>Non-network - IT</v>
      </c>
      <c r="E59" s="39" t="str">
        <f t="shared" si="15"/>
        <v>$Million</v>
      </c>
      <c r="F59" s="39" t="str">
        <f t="shared" si="16"/>
        <v>Real 2024</v>
      </c>
      <c r="G59" s="39" t="str">
        <f t="shared" si="17"/>
        <v>End Period</v>
      </c>
      <c r="H59" s="39" t="str">
        <f t="shared" si="18"/>
        <v>Input_Capex</v>
      </c>
      <c r="J59" s="79">
        <f>Input_Capex!I38*Input_CPI!O$20</f>
        <v>0</v>
      </c>
      <c r="K59" s="74">
        <f>Input_Capex!J38*Input_CPI!P$20</f>
        <v>0</v>
      </c>
      <c r="L59" s="74">
        <f>Input_Capex!K38*Input_CPI!Q$20</f>
        <v>0</v>
      </c>
      <c r="M59" s="74">
        <f>Input_Capex!L38*Input_CPI!R$20</f>
        <v>0</v>
      </c>
      <c r="N59" s="80">
        <f>Input_Capex!M38*Input_CPI!S$20</f>
        <v>0.80573017513884237</v>
      </c>
      <c r="O59" s="79">
        <f>Input_Capex!N38*Input_CPI!T$20</f>
        <v>0.54518083592510214</v>
      </c>
      <c r="P59" s="74">
        <f>Input_Capex!O38*Input_CPI!U$20</f>
        <v>1.1472560440146109</v>
      </c>
      <c r="Q59" s="74">
        <f>Input_Capex!P38*Input_CPI!V$20</f>
        <v>3.4572463874826105</v>
      </c>
      <c r="R59" s="74">
        <f>Input_Capex!Q38*Input_CPI!W$20</f>
        <v>3.6531476142359107</v>
      </c>
      <c r="S59" s="80">
        <f>Input_Capex!R38*Input_CPI!X$20</f>
        <v>1.9537993246422678</v>
      </c>
      <c r="T59" s="79">
        <f>Input_Capex!S38*Input_CPI!Y$20</f>
        <v>6.7767222655723494</v>
      </c>
      <c r="U59" s="74">
        <f>Input_Capex!T38*Input_CPI!Z$20</f>
        <v>1.8973152266708992</v>
      </c>
      <c r="V59" s="74">
        <f>Input_Capex!U38*Input_CPI!AA$20</f>
        <v>4.2411701716282337</v>
      </c>
      <c r="W59" s="74">
        <f>Input_Capex!V38*Input_CPI!AB$20</f>
        <v>18.229122314682645</v>
      </c>
      <c r="X59" s="80">
        <f>Input_Capex!W38*Input_CPI!AC$20</f>
        <v>19.548453124904182</v>
      </c>
      <c r="Y59" s="79">
        <f>Input_Capex!X38*Input_CPI!AD$20</f>
        <v>0</v>
      </c>
      <c r="Z59" s="74">
        <f>Input_Capex!Y38*Input_CPI!AE$20</f>
        <v>0</v>
      </c>
      <c r="AA59" s="74">
        <f>Input_Capex!Z38*Input_CPI!AF$20</f>
        <v>0</v>
      </c>
      <c r="AB59" s="74">
        <f>Input_Capex!AA38*Input_CPI!AG$20</f>
        <v>0</v>
      </c>
      <c r="AC59" s="80">
        <f>Input_Capex!AB38*Input_CPI!AH$20</f>
        <v>0</v>
      </c>
    </row>
    <row r="60" spans="3:30" x14ac:dyDescent="0.2">
      <c r="D60" s="37" t="str">
        <f>Input_General!$E$19</f>
        <v>Non-network - Other</v>
      </c>
      <c r="E60" s="39" t="str">
        <f t="shared" si="15"/>
        <v>$Million</v>
      </c>
      <c r="F60" s="39" t="str">
        <f t="shared" si="16"/>
        <v>Real 2024</v>
      </c>
      <c r="G60" s="39" t="str">
        <f t="shared" si="17"/>
        <v>End Period</v>
      </c>
      <c r="H60" s="39" t="str">
        <f t="shared" si="18"/>
        <v>Input_Capex</v>
      </c>
      <c r="J60" s="79">
        <f>Input_Capex!I39*Input_CPI!O$20</f>
        <v>3.4504268057086218</v>
      </c>
      <c r="K60" s="74">
        <f>Input_Capex!J39*Input_CPI!P$20</f>
        <v>1.5770491775310822</v>
      </c>
      <c r="L60" s="74">
        <f>Input_Capex!K39*Input_CPI!Q$20</f>
        <v>3.0933701258621866</v>
      </c>
      <c r="M60" s="74">
        <f>Input_Capex!L39*Input_CPI!R$20</f>
        <v>3.1113115356249521</v>
      </c>
      <c r="N60" s="80">
        <f>Input_Capex!M39*Input_CPI!S$20</f>
        <v>1.002484584938081</v>
      </c>
      <c r="O60" s="79">
        <f>Input_Capex!N39*Input_CPI!T$20</f>
        <v>0.88346439438558322</v>
      </c>
      <c r="P60" s="74">
        <f>Input_Capex!O39*Input_CPI!U$20</f>
        <v>0.46549313315379531</v>
      </c>
      <c r="Q60" s="74">
        <f>Input_Capex!P39*Input_CPI!V$20</f>
        <v>0.61865429386585791</v>
      </c>
      <c r="R60" s="74">
        <f>Input_Capex!Q39*Input_CPI!W$20</f>
        <v>1.4230765431427681</v>
      </c>
      <c r="S60" s="80">
        <f>Input_Capex!R39*Input_CPI!X$20</f>
        <v>1.171394301194685</v>
      </c>
      <c r="T60" s="79">
        <f>Input_Capex!S39*Input_CPI!Y$20</f>
        <v>18.91442741191198</v>
      </c>
      <c r="U60" s="74">
        <f>Input_Capex!T39*Input_CPI!Z$20</f>
        <v>7.5691111331083452</v>
      </c>
      <c r="V60" s="74">
        <f>Input_Capex!U39*Input_CPI!AA$20</f>
        <v>13.122448568617916</v>
      </c>
      <c r="W60" s="74">
        <f>Input_Capex!V39*Input_CPI!AB$20</f>
        <v>4.8065286706181922</v>
      </c>
      <c r="X60" s="80">
        <f>Input_Capex!W39*Input_CPI!AC$20</f>
        <v>8.4881675654382533</v>
      </c>
      <c r="Y60" s="79">
        <f>Input_Capex!X39*Input_CPI!AD$20</f>
        <v>0</v>
      </c>
      <c r="Z60" s="74">
        <f>Input_Capex!Y39*Input_CPI!AE$20</f>
        <v>0</v>
      </c>
      <c r="AA60" s="74">
        <f>Input_Capex!Z39*Input_CPI!AF$20</f>
        <v>0</v>
      </c>
      <c r="AB60" s="74">
        <f>Input_Capex!AA39*Input_CPI!AG$20</f>
        <v>0</v>
      </c>
      <c r="AC60" s="80">
        <f>Input_Capex!AB39*Input_CPI!AH$20</f>
        <v>0</v>
      </c>
    </row>
    <row r="61" spans="3:30" x14ac:dyDescent="0.2">
      <c r="D61" s="37" t="str">
        <f>Input_General!$E$20</f>
        <v>Export services</v>
      </c>
      <c r="E61" s="39" t="str">
        <f t="shared" si="15"/>
        <v>$Million</v>
      </c>
      <c r="F61" s="39" t="str">
        <f t="shared" si="16"/>
        <v>Real 2024</v>
      </c>
      <c r="G61" s="39" t="str">
        <f t="shared" si="17"/>
        <v>End Period</v>
      </c>
      <c r="H61" s="39" t="str">
        <f t="shared" si="18"/>
        <v>Input_Capex</v>
      </c>
      <c r="J61" s="79">
        <f>Input_Capex!I40*Input_CPI!O$20</f>
        <v>0</v>
      </c>
      <c r="K61" s="74">
        <f>Input_Capex!J40*Input_CPI!P$20</f>
        <v>0</v>
      </c>
      <c r="L61" s="74">
        <f>Input_Capex!K40*Input_CPI!Q$20</f>
        <v>0</v>
      </c>
      <c r="M61" s="74">
        <f>Input_Capex!L40*Input_CPI!R$20</f>
        <v>0</v>
      </c>
      <c r="N61" s="80">
        <f>Input_Capex!M40*Input_CPI!S$20</f>
        <v>0</v>
      </c>
      <c r="O61" s="79">
        <f>Input_Capex!N40*Input_CPI!T$20</f>
        <v>0</v>
      </c>
      <c r="P61" s="74">
        <f>Input_Capex!O40*Input_CPI!U$20</f>
        <v>0</v>
      </c>
      <c r="Q61" s="74">
        <f>Input_Capex!P40*Input_CPI!V$20</f>
        <v>0</v>
      </c>
      <c r="R61" s="74">
        <f>Input_Capex!Q40*Input_CPI!W$20</f>
        <v>0</v>
      </c>
      <c r="S61" s="80">
        <f>Input_Capex!R40*Input_CPI!X$20</f>
        <v>0</v>
      </c>
      <c r="T61" s="79">
        <f>Input_Capex!S40*Input_CPI!Y$20</f>
        <v>0</v>
      </c>
      <c r="U61" s="74">
        <f>Input_Capex!T40*Input_CPI!Z$20</f>
        <v>0</v>
      </c>
      <c r="V61" s="74">
        <f>Input_Capex!U40*Input_CPI!AA$20</f>
        <v>0</v>
      </c>
      <c r="W61" s="74">
        <f>Input_Capex!V40*Input_CPI!AB$20</f>
        <v>0</v>
      </c>
      <c r="X61" s="80">
        <f>Input_Capex!W40*Input_CPI!AC$20</f>
        <v>0</v>
      </c>
      <c r="Y61" s="79">
        <f>Input_Capex!X40*Input_CPI!AD$20</f>
        <v>0</v>
      </c>
      <c r="Z61" s="74">
        <f>Input_Capex!Y40*Input_CPI!AE$20</f>
        <v>0</v>
      </c>
      <c r="AA61" s="74">
        <f>Input_Capex!Z40*Input_CPI!AF$20</f>
        <v>0</v>
      </c>
      <c r="AB61" s="74">
        <f>Input_Capex!AA40*Input_CPI!AG$20</f>
        <v>0</v>
      </c>
      <c r="AC61" s="80">
        <f>Input_Capex!AB40*Input_CPI!AH$20</f>
        <v>0</v>
      </c>
    </row>
    <row r="62" spans="3:30" x14ac:dyDescent="0.2">
      <c r="D62" s="37" t="str">
        <f>Input_General!$E$21</f>
        <v>Capitalised network overheads</v>
      </c>
      <c r="E62" s="39" t="str">
        <f t="shared" si="15"/>
        <v>$Million</v>
      </c>
      <c r="F62" s="39" t="str">
        <f t="shared" si="16"/>
        <v>Real 2024</v>
      </c>
      <c r="G62" s="39" t="str">
        <f t="shared" si="17"/>
        <v>End Period</v>
      </c>
      <c r="H62" s="39" t="str">
        <f t="shared" si="18"/>
        <v>Input_Capex</v>
      </c>
      <c r="J62" s="79">
        <f>Input_Capex!I41*Input_CPI!O$20</f>
        <v>0.52335089283484937</v>
      </c>
      <c r="K62" s="74">
        <f>Input_Capex!J41*Input_CPI!P$20</f>
        <v>0.53817983457697283</v>
      </c>
      <c r="L62" s="74">
        <f>Input_Capex!K41*Input_CPI!Q$20</f>
        <v>0.40515604161035695</v>
      </c>
      <c r="M62" s="74">
        <f>Input_Capex!L41*Input_CPI!R$20</f>
        <v>2.252810530330164</v>
      </c>
      <c r="N62" s="80">
        <f>Input_Capex!M41*Input_CPI!S$20</f>
        <v>1.5596003480595517</v>
      </c>
      <c r="O62" s="79">
        <f>Input_Capex!N41*Input_CPI!T$20</f>
        <v>0.249083290321502</v>
      </c>
      <c r="P62" s="74">
        <f>Input_Capex!O41*Input_CPI!U$20</f>
        <v>0.17284574358874139</v>
      </c>
      <c r="Q62" s="74">
        <f>Input_Capex!P41*Input_CPI!V$20</f>
        <v>0.13467722323827144</v>
      </c>
      <c r="R62" s="74">
        <f>Input_Capex!Q41*Input_CPI!W$20</f>
        <v>0.31536286329115393</v>
      </c>
      <c r="S62" s="80">
        <f>Input_Capex!R41*Input_CPI!X$20</f>
        <v>9.3075456300567048</v>
      </c>
      <c r="T62" s="79">
        <f>Input_Capex!S41*Input_CPI!Y$20</f>
        <v>11.97041327781022</v>
      </c>
      <c r="U62" s="74">
        <f>Input_Capex!T41*Input_CPI!Z$20</f>
        <v>0.92335009655068312</v>
      </c>
      <c r="V62" s="74">
        <f>Input_Capex!U41*Input_CPI!AA$20</f>
        <v>13.616571480844327</v>
      </c>
      <c r="W62" s="74">
        <f>Input_Capex!V41*Input_CPI!AB$20</f>
        <v>17.060002414242302</v>
      </c>
      <c r="X62" s="80">
        <f>Input_Capex!W41*Input_CPI!AC$20</f>
        <v>17.0241147788978</v>
      </c>
      <c r="Y62" s="79">
        <f>Input_Capex!X41*Input_CPI!AD$20</f>
        <v>0</v>
      </c>
      <c r="Z62" s="74">
        <f>Input_Capex!Y41*Input_CPI!AE$20</f>
        <v>0</v>
      </c>
      <c r="AA62" s="74">
        <f>Input_Capex!Z41*Input_CPI!AF$20</f>
        <v>0</v>
      </c>
      <c r="AB62" s="74">
        <f>Input_Capex!AA41*Input_CPI!AG$20</f>
        <v>0</v>
      </c>
      <c r="AC62" s="80">
        <f>Input_Capex!AB41*Input_CPI!AH$20</f>
        <v>0</v>
      </c>
    </row>
    <row r="63" spans="3:30" x14ac:dyDescent="0.2">
      <c r="D63" s="37" t="str">
        <f>Input_General!$E$22</f>
        <v>Capitalised corporate overheads</v>
      </c>
      <c r="E63" s="39" t="str">
        <f t="shared" si="15"/>
        <v>$Million</v>
      </c>
      <c r="F63" s="39" t="str">
        <f t="shared" si="16"/>
        <v>Real 2024</v>
      </c>
      <c r="G63" s="39" t="str">
        <f t="shared" si="17"/>
        <v>End Period</v>
      </c>
      <c r="H63" s="39" t="str">
        <f t="shared" si="18"/>
        <v>Input_Capex</v>
      </c>
      <c r="J63" s="79">
        <f>Input_Capex!I42*Input_CPI!O$20</f>
        <v>0</v>
      </c>
      <c r="K63" s="74">
        <f>Input_Capex!J42*Input_CPI!P$20</f>
        <v>0</v>
      </c>
      <c r="L63" s="74">
        <f>Input_Capex!K42*Input_CPI!Q$20</f>
        <v>0</v>
      </c>
      <c r="M63" s="74">
        <f>Input_Capex!L42*Input_CPI!R$20</f>
        <v>0</v>
      </c>
      <c r="N63" s="80">
        <f>Input_Capex!M42*Input_CPI!S$20</f>
        <v>0</v>
      </c>
      <c r="O63" s="79">
        <f>Input_Capex!N42*Input_CPI!T$20</f>
        <v>0</v>
      </c>
      <c r="P63" s="74">
        <f>Input_Capex!O42*Input_CPI!U$20</f>
        <v>0</v>
      </c>
      <c r="Q63" s="74">
        <f>Input_Capex!P42*Input_CPI!V$20</f>
        <v>0</v>
      </c>
      <c r="R63" s="74">
        <f>Input_Capex!Q42*Input_CPI!W$20</f>
        <v>0</v>
      </c>
      <c r="S63" s="80">
        <f>Input_Capex!R42*Input_CPI!X$20</f>
        <v>3.5383873268758315</v>
      </c>
      <c r="T63" s="79">
        <f>Input_Capex!S42*Input_CPI!Y$20</f>
        <v>3.4442536147428173</v>
      </c>
      <c r="U63" s="74">
        <f>Input_Capex!T42*Input_CPI!Z$20</f>
        <v>3.8463492748499721</v>
      </c>
      <c r="V63" s="74">
        <f>Input_Capex!U42*Input_CPI!AA$20</f>
        <v>10.527054465493201</v>
      </c>
      <c r="W63" s="74">
        <f>Input_Capex!V42*Input_CPI!AB$20</f>
        <v>14.807037508499619</v>
      </c>
      <c r="X63" s="80">
        <f>Input_Capex!W42*Input_CPI!AC$20</f>
        <v>14.775889238427062</v>
      </c>
      <c r="Y63" s="79">
        <f>Input_Capex!X42*Input_CPI!AD$20</f>
        <v>0</v>
      </c>
      <c r="Z63" s="74">
        <f>Input_Capex!Y42*Input_CPI!AE$20</f>
        <v>0</v>
      </c>
      <c r="AA63" s="74">
        <f>Input_Capex!Z42*Input_CPI!AF$20</f>
        <v>0</v>
      </c>
      <c r="AB63" s="74">
        <f>Input_Capex!AA42*Input_CPI!AG$20</f>
        <v>0</v>
      </c>
      <c r="AC63" s="80">
        <f>Input_Capex!AB42*Input_CPI!AH$20</f>
        <v>0</v>
      </c>
    </row>
    <row r="64" spans="3:30" x14ac:dyDescent="0.2">
      <c r="D64" s="37" t="str">
        <f>Input_General!$E$23</f>
        <v>Other/Balancing item</v>
      </c>
      <c r="E64" s="39" t="str">
        <f t="shared" si="15"/>
        <v>$Million</v>
      </c>
      <c r="F64" s="39" t="str">
        <f t="shared" si="16"/>
        <v>Real 2024</v>
      </c>
      <c r="G64" s="39" t="str">
        <f t="shared" si="17"/>
        <v>End Period</v>
      </c>
      <c r="H64" s="39" t="str">
        <f t="shared" si="18"/>
        <v>Input_Capex</v>
      </c>
      <c r="J64" s="79">
        <f>Input_Capex!I43*Input_CPI!O$20</f>
        <v>-0.30579868186936943</v>
      </c>
      <c r="K64" s="74">
        <f>Input_Capex!J43*Input_CPI!P$20</f>
        <v>0.42051754787950485</v>
      </c>
      <c r="L64" s="74">
        <f>Input_Capex!K43*Input_CPI!Q$20</f>
        <v>-0.12281818222205611</v>
      </c>
      <c r="M64" s="74">
        <f>Input_Capex!L43*Input_CPI!R$20</f>
        <v>-0.32253603273759929</v>
      </c>
      <c r="N64" s="80">
        <f>Input_Capex!M43*Input_CPI!S$20</f>
        <v>0</v>
      </c>
      <c r="O64" s="79">
        <f>Input_Capex!N43*Input_CPI!T$20</f>
        <v>0</v>
      </c>
      <c r="P64" s="74">
        <f>Input_Capex!O43*Input_CPI!U$20</f>
        <v>0</v>
      </c>
      <c r="Q64" s="74">
        <f>Input_Capex!P43*Input_CPI!V$20</f>
        <v>0</v>
      </c>
      <c r="R64" s="74">
        <f>Input_Capex!Q43*Input_CPI!W$20</f>
        <v>0</v>
      </c>
      <c r="S64" s="80">
        <f>Input_Capex!R43*Input_CPI!X$20</f>
        <v>0.48954387941656807</v>
      </c>
      <c r="T64" s="79">
        <f>Input_Capex!S43*Input_CPI!Y$20</f>
        <v>-2.0798648257243886</v>
      </c>
      <c r="U64" s="74">
        <f>Input_Capex!T43*Input_CPI!Z$20</f>
        <v>0.39157263270837428</v>
      </c>
      <c r="V64" s="74">
        <f>Input_Capex!U43*Input_CPI!AA$20</f>
        <v>-0.22560471644169611</v>
      </c>
      <c r="W64" s="74">
        <f>Input_Capex!V43*Input_CPI!AB$20</f>
        <v>0.89329127655364149</v>
      </c>
      <c r="X64" s="80">
        <f>Input_Capex!W43*Input_CPI!AC$20</f>
        <v>0</v>
      </c>
      <c r="Y64" s="79">
        <f>Input_Capex!X43*Input_CPI!AD$20</f>
        <v>0</v>
      </c>
      <c r="Z64" s="74">
        <f>Input_Capex!Y43*Input_CPI!AE$20</f>
        <v>0</v>
      </c>
      <c r="AA64" s="74">
        <f>Input_Capex!Z43*Input_CPI!AF$20</f>
        <v>0</v>
      </c>
      <c r="AB64" s="74">
        <f>Input_Capex!AA43*Input_CPI!AG$20</f>
        <v>0</v>
      </c>
      <c r="AC64" s="80">
        <f>Input_Capex!AB43*Input_CPI!AH$20</f>
        <v>0</v>
      </c>
    </row>
    <row r="65" spans="3:30" x14ac:dyDescent="0.2">
      <c r="D65" s="37"/>
      <c r="E65" s="39"/>
      <c r="F65" s="39"/>
      <c r="G65" s="39"/>
      <c r="H65" s="39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3:30" x14ac:dyDescent="0.2">
      <c r="D66" s="104" t="s">
        <v>72</v>
      </c>
      <c r="E66" s="125" t="str">
        <f t="shared" si="15"/>
        <v>$Million</v>
      </c>
      <c r="F66" s="125" t="str">
        <f t="shared" si="16"/>
        <v>Real 2024</v>
      </c>
      <c r="G66" s="125" t="str">
        <f t="shared" si="17"/>
        <v>End Period</v>
      </c>
      <c r="H66" s="125" t="s">
        <v>8</v>
      </c>
      <c r="J66" s="128">
        <f>SUM(J56:J64)</f>
        <v>111.6281636853313</v>
      </c>
      <c r="K66" s="129">
        <f>SUM(K56:K64)</f>
        <v>121.31590782812431</v>
      </c>
      <c r="L66" s="129">
        <f>SUM(L56:L64)</f>
        <v>106.67659851632951</v>
      </c>
      <c r="M66" s="129">
        <f>SUM(M56:M64)</f>
        <v>147.34623473641929</v>
      </c>
      <c r="N66" s="130">
        <f>SUM(N56:N64)</f>
        <v>119.45950366612692</v>
      </c>
      <c r="O66" s="128">
        <f t="shared" ref="O66:AC66" si="19">SUM(O56:O64)</f>
        <v>111.72657706151011</v>
      </c>
      <c r="P66" s="129">
        <f t="shared" si="19"/>
        <v>96.410097117738061</v>
      </c>
      <c r="Q66" s="129">
        <f t="shared" si="19"/>
        <v>70.885810302435303</v>
      </c>
      <c r="R66" s="129">
        <f t="shared" si="19"/>
        <v>62.968101414108666</v>
      </c>
      <c r="S66" s="130">
        <f t="shared" si="19"/>
        <v>53.491928245299967</v>
      </c>
      <c r="T66" s="128">
        <f t="shared" si="19"/>
        <v>81.709872472645955</v>
      </c>
      <c r="U66" s="129">
        <f t="shared" si="19"/>
        <v>56.711165775225176</v>
      </c>
      <c r="V66" s="129">
        <f t="shared" si="19"/>
        <v>80.321126732669541</v>
      </c>
      <c r="W66" s="129">
        <f t="shared" si="19"/>
        <v>108.73210717255522</v>
      </c>
      <c r="X66" s="130">
        <f t="shared" si="19"/>
        <v>128.89581045225097</v>
      </c>
      <c r="Y66" s="128">
        <f t="shared" si="19"/>
        <v>0</v>
      </c>
      <c r="Z66" s="129">
        <f t="shared" si="19"/>
        <v>0</v>
      </c>
      <c r="AA66" s="129">
        <f t="shared" si="19"/>
        <v>0</v>
      </c>
      <c r="AB66" s="129">
        <f t="shared" si="19"/>
        <v>0</v>
      </c>
      <c r="AC66" s="130">
        <f t="shared" si="19"/>
        <v>0</v>
      </c>
      <c r="AD66" s="50"/>
    </row>
    <row r="68" spans="3:30" s="121" customFormat="1" ht="15.75" x14ac:dyDescent="0.2">
      <c r="C68" s="121" t="str">
        <f>$D$14</f>
        <v>Allowed</v>
      </c>
    </row>
    <row r="70" spans="3:30" x14ac:dyDescent="0.2">
      <c r="D70" s="60" t="s">
        <v>56</v>
      </c>
      <c r="E70" s="61" t="str">
        <f>E$4</f>
        <v>Unit</v>
      </c>
      <c r="F70" s="61" t="str">
        <f>F$4</f>
        <v>Basis</v>
      </c>
      <c r="G70" s="61" t="str">
        <f>G$4</f>
        <v>Timing</v>
      </c>
      <c r="H70" s="61" t="str">
        <f>H$4</f>
        <v>Source</v>
      </c>
      <c r="I70" s="60"/>
      <c r="J70" s="60"/>
      <c r="K70" s="60"/>
      <c r="L70" s="60"/>
      <c r="M70" s="60"/>
      <c r="N70" s="60"/>
      <c r="O70" s="62" t="str">
        <f t="shared" ref="O70:AC70" si="20">O$3</f>
        <v>FY15</v>
      </c>
      <c r="P70" s="62" t="str">
        <f t="shared" si="20"/>
        <v>FY16</v>
      </c>
      <c r="Q70" s="62" t="str">
        <f t="shared" si="20"/>
        <v>FY17</v>
      </c>
      <c r="R70" s="62" t="str">
        <f t="shared" si="20"/>
        <v>FY18</v>
      </c>
      <c r="S70" s="62" t="str">
        <f t="shared" si="20"/>
        <v>FY19</v>
      </c>
      <c r="T70" s="62" t="str">
        <f t="shared" si="20"/>
        <v>FY20</v>
      </c>
      <c r="U70" s="62" t="str">
        <f t="shared" si="20"/>
        <v>FY21</v>
      </c>
      <c r="V70" s="62" t="str">
        <f t="shared" si="20"/>
        <v>FY22</v>
      </c>
      <c r="W70" s="62" t="str">
        <f t="shared" si="20"/>
        <v>FY23</v>
      </c>
      <c r="X70" s="62" t="str">
        <f t="shared" si="20"/>
        <v>FY24</v>
      </c>
      <c r="Y70" s="62" t="str">
        <f t="shared" si="20"/>
        <v>FY25</v>
      </c>
      <c r="Z70" s="62" t="str">
        <f t="shared" si="20"/>
        <v>FY26</v>
      </c>
      <c r="AA70" s="62" t="str">
        <f t="shared" si="20"/>
        <v>FY27</v>
      </c>
      <c r="AB70" s="62" t="str">
        <f t="shared" si="20"/>
        <v>FY28</v>
      </c>
      <c r="AC70" s="62" t="str">
        <f t="shared" si="20"/>
        <v>FY29</v>
      </c>
    </row>
    <row r="72" spans="3:30" x14ac:dyDescent="0.2">
      <c r="D72" s="37" t="str">
        <f>Input_General!$E$15</f>
        <v>Replacement expenditure</v>
      </c>
      <c r="E72" s="39" t="str">
        <f t="shared" ref="E72:E82" si="21">Unit_Dollar_M</f>
        <v>$Million</v>
      </c>
      <c r="F72" s="39" t="str">
        <f t="shared" ref="F72:F82" si="22">Real_Input</f>
        <v>Real 2024</v>
      </c>
      <c r="G72" s="39" t="str">
        <f t="shared" ref="G72:G82" si="23">End_Period</f>
        <v>End Period</v>
      </c>
      <c r="H72" s="51" t="s">
        <v>80</v>
      </c>
      <c r="O72" s="79">
        <f>Input_Capex!N108*Input_CPI!T$15</f>
        <v>59.770253722271605</v>
      </c>
      <c r="P72" s="74">
        <f>Input_Capex!O108*Input_CPI!U$15</f>
        <v>46.579577046174514</v>
      </c>
      <c r="Q72" s="74">
        <f>Input_Capex!P108*Input_CPI!V$15</f>
        <v>33.10063841767294</v>
      </c>
      <c r="R72" s="74">
        <f>Input_Capex!Q108*Input_CPI!W$15</f>
        <v>28.500654823620472</v>
      </c>
      <c r="S72" s="80">
        <f>Input_Capex!R108*Input_CPI!X$15</f>
        <v>34.206128297351981</v>
      </c>
      <c r="T72" s="79">
        <f>Input_Capex!S108*Input_CPI!Y$16</f>
        <v>40.895231060745466</v>
      </c>
      <c r="U72" s="74">
        <f>Input_Capex!T108*Input_CPI!Z$16</f>
        <v>44.761043052917707</v>
      </c>
      <c r="V72" s="74">
        <f>Input_Capex!U108*Input_CPI!AA$16</f>
        <v>37.918881049656491</v>
      </c>
      <c r="W72" s="74">
        <f>Input_Capex!V108*Input_CPI!AB$16</f>
        <v>24.721493966268806</v>
      </c>
      <c r="X72" s="80">
        <f>Input_Capex!W108*Input_CPI!AC$16</f>
        <v>21.884806849312625</v>
      </c>
      <c r="Y72" s="79">
        <f>Input_Capex!X108</f>
        <v>0</v>
      </c>
      <c r="Z72" s="74">
        <f>Input_Capex!Y108</f>
        <v>0</v>
      </c>
      <c r="AA72" s="74">
        <f>Input_Capex!Z108</f>
        <v>0</v>
      </c>
      <c r="AB72" s="74">
        <f>Input_Capex!AA108</f>
        <v>0</v>
      </c>
      <c r="AC72" s="80">
        <f>Input_Capex!AB108</f>
        <v>0</v>
      </c>
    </row>
    <row r="73" spans="3:30" x14ac:dyDescent="0.2">
      <c r="D73" s="37" t="str">
        <f>Input_General!$E$16</f>
        <v>Connections</v>
      </c>
      <c r="E73" s="39" t="str">
        <f t="shared" si="21"/>
        <v>$Million</v>
      </c>
      <c r="F73" s="39" t="str">
        <f t="shared" si="22"/>
        <v>Real 2024</v>
      </c>
      <c r="G73" s="39" t="str">
        <f t="shared" si="23"/>
        <v>End Period</v>
      </c>
      <c r="H73" s="39" t="str">
        <f t="shared" ref="H73:H80" si="24">H72</f>
        <v>Input_Capex</v>
      </c>
      <c r="O73" s="79">
        <f>Input_Capex!N109*Input_CPI!T$15</f>
        <v>22.418824420708944</v>
      </c>
      <c r="P73" s="74">
        <f>Input_Capex!O109*Input_CPI!U$15</f>
        <v>15.122500142608407</v>
      </c>
      <c r="Q73" s="74">
        <f>Input_Capex!P109*Input_CPI!V$15</f>
        <v>13.695158884520184</v>
      </c>
      <c r="R73" s="74">
        <f>Input_Capex!Q109*Input_CPI!W$15</f>
        <v>15.575002224014492</v>
      </c>
      <c r="S73" s="80">
        <f>Input_Capex!R109*Input_CPI!X$15</f>
        <v>12.004629843088583</v>
      </c>
      <c r="T73" s="79">
        <f>Input_Capex!S109*Input_CPI!Y$16</f>
        <v>12.914456494249754</v>
      </c>
      <c r="U73" s="74">
        <f>Input_Capex!T109*Input_CPI!Z$16</f>
        <v>13.316398204758015</v>
      </c>
      <c r="V73" s="74">
        <f>Input_Capex!U109*Input_CPI!AA$16</f>
        <v>14.41206026880983</v>
      </c>
      <c r="W73" s="74">
        <f>Input_Capex!V109*Input_CPI!AB$16</f>
        <v>13.128463074897505</v>
      </c>
      <c r="X73" s="80">
        <f>Input_Capex!W109*Input_CPI!AC$16</f>
        <v>13.231271479475501</v>
      </c>
      <c r="Y73" s="79">
        <f>Input_Capex!X109</f>
        <v>0</v>
      </c>
      <c r="Z73" s="74">
        <f>Input_Capex!Y109</f>
        <v>0</v>
      </c>
      <c r="AA73" s="74">
        <f>Input_Capex!Z109</f>
        <v>0</v>
      </c>
      <c r="AB73" s="74">
        <f>Input_Capex!AA109</f>
        <v>0</v>
      </c>
      <c r="AC73" s="80">
        <f>Input_Capex!AB109</f>
        <v>0</v>
      </c>
    </row>
    <row r="74" spans="3:30" x14ac:dyDescent="0.2">
      <c r="D74" s="37" t="str">
        <f>Input_General!$E$17</f>
        <v>Augmentation expenditure</v>
      </c>
      <c r="E74" s="39" t="str">
        <f t="shared" si="21"/>
        <v>$Million</v>
      </c>
      <c r="F74" s="39" t="str">
        <f t="shared" si="22"/>
        <v>Real 2024</v>
      </c>
      <c r="G74" s="39" t="str">
        <f t="shared" si="23"/>
        <v>End Period</v>
      </c>
      <c r="H74" s="39" t="str">
        <f t="shared" si="24"/>
        <v>Input_Capex</v>
      </c>
      <c r="O74" s="79">
        <f>Input_Capex!N110*Input_CPI!T$15</f>
        <v>31.836636829881254</v>
      </c>
      <c r="P74" s="74">
        <f>Input_Capex!O110*Input_CPI!U$15</f>
        <v>19.265147478263291</v>
      </c>
      <c r="Q74" s="74">
        <f>Input_Capex!P110*Input_CPI!V$15</f>
        <v>15.035786198768582</v>
      </c>
      <c r="R74" s="74">
        <f>Input_Capex!Q110*Input_CPI!W$15</f>
        <v>26.914438330023742</v>
      </c>
      <c r="S74" s="80">
        <f>Input_Capex!R110*Input_CPI!X$15</f>
        <v>17.701949737339479</v>
      </c>
      <c r="T74" s="79">
        <f>Input_Capex!S110*Input_CPI!Y$16</f>
        <v>13.769199768494309</v>
      </c>
      <c r="U74" s="74">
        <f>Input_Capex!T110*Input_CPI!Z$16</f>
        <v>6.5664704774993794</v>
      </c>
      <c r="V74" s="74">
        <f>Input_Capex!U110*Input_CPI!AA$16</f>
        <v>6.9112105670570916</v>
      </c>
      <c r="W74" s="74">
        <f>Input_Capex!V110*Input_CPI!AB$16</f>
        <v>8.0924425991027693</v>
      </c>
      <c r="X74" s="80">
        <f>Input_Capex!W110*Input_CPI!AC$16</f>
        <v>7.9039721086578929</v>
      </c>
      <c r="Y74" s="79">
        <f>Input_Capex!X110</f>
        <v>0</v>
      </c>
      <c r="Z74" s="74">
        <f>Input_Capex!Y110</f>
        <v>0</v>
      </c>
      <c r="AA74" s="74">
        <f>Input_Capex!Z110</f>
        <v>0</v>
      </c>
      <c r="AB74" s="74">
        <f>Input_Capex!AA110</f>
        <v>0</v>
      </c>
      <c r="AC74" s="80">
        <f>Input_Capex!AB110</f>
        <v>0</v>
      </c>
    </row>
    <row r="75" spans="3:30" x14ac:dyDescent="0.2">
      <c r="D75" s="37" t="str">
        <f>Input_General!$E$18</f>
        <v>Non-network - IT</v>
      </c>
      <c r="E75" s="39" t="str">
        <f t="shared" si="21"/>
        <v>$Million</v>
      </c>
      <c r="F75" s="39" t="str">
        <f t="shared" si="22"/>
        <v>Real 2024</v>
      </c>
      <c r="G75" s="39" t="str">
        <f t="shared" si="23"/>
        <v>End Period</v>
      </c>
      <c r="H75" s="39" t="str">
        <f t="shared" si="24"/>
        <v>Input_Capex</v>
      </c>
      <c r="O75" s="79">
        <f>Input_Capex!N111*Input_CPI!T$15</f>
        <v>0.56488219031906572</v>
      </c>
      <c r="P75" s="74">
        <f>Input_Capex!O111*Input_CPI!U$15</f>
        <v>0.98167108634280764</v>
      </c>
      <c r="Q75" s="74">
        <f>Input_Capex!P111*Input_CPI!V$15</f>
        <v>3.2060933423597175</v>
      </c>
      <c r="R75" s="74">
        <f>Input_Capex!Q111*Input_CPI!W$15</f>
        <v>4.5042201719808626</v>
      </c>
      <c r="S75" s="80">
        <f>Input_Capex!R111*Input_CPI!X$15</f>
        <v>3.3720865280629644</v>
      </c>
      <c r="T75" s="79">
        <f>Input_Capex!S111*Input_CPI!Y$16</f>
        <v>7.9788753962991352</v>
      </c>
      <c r="U75" s="74">
        <f>Input_Capex!T111*Input_CPI!Z$16</f>
        <v>7.7823161086081214</v>
      </c>
      <c r="V75" s="74">
        <f>Input_Capex!U111*Input_CPI!AA$16</f>
        <v>7.4613733787211052</v>
      </c>
      <c r="W75" s="74">
        <f>Input_Capex!V111*Input_CPI!AB$16</f>
        <v>7.9804056025146171</v>
      </c>
      <c r="X75" s="80">
        <f>Input_Capex!W111*Input_CPI!AC$16</f>
        <v>7.5255189060282612</v>
      </c>
      <c r="Y75" s="79">
        <f>Input_Capex!X111</f>
        <v>0</v>
      </c>
      <c r="Z75" s="74">
        <f>Input_Capex!Y111</f>
        <v>0</v>
      </c>
      <c r="AA75" s="74">
        <f>Input_Capex!Z111</f>
        <v>0</v>
      </c>
      <c r="AB75" s="74">
        <f>Input_Capex!AA111</f>
        <v>0</v>
      </c>
      <c r="AC75" s="80">
        <f>Input_Capex!AB111</f>
        <v>0</v>
      </c>
    </row>
    <row r="76" spans="3:30" x14ac:dyDescent="0.2">
      <c r="D76" s="37" t="str">
        <f>Input_General!$E$19</f>
        <v>Non-network - Other</v>
      </c>
      <c r="E76" s="39" t="str">
        <f t="shared" si="21"/>
        <v>$Million</v>
      </c>
      <c r="F76" s="39" t="str">
        <f t="shared" si="22"/>
        <v>Real 2024</v>
      </c>
      <c r="G76" s="39" t="str">
        <f t="shared" si="23"/>
        <v>End Period</v>
      </c>
      <c r="H76" s="39" t="str">
        <f t="shared" si="24"/>
        <v>Input_Capex</v>
      </c>
      <c r="O76" s="79">
        <f>Input_Capex!N112*Input_CPI!T$15</f>
        <v>0.91539039761477592</v>
      </c>
      <c r="P76" s="74">
        <f>Input_Capex!O112*Input_CPI!U$15</f>
        <v>0.39830790353402917</v>
      </c>
      <c r="Q76" s="74">
        <f>Input_Capex!P112*Input_CPI!V$15</f>
        <v>0.57371190551155238</v>
      </c>
      <c r="R76" s="74">
        <f>Input_Capex!Q112*Input_CPI!W$15</f>
        <v>1.7546102016020313</v>
      </c>
      <c r="S76" s="80">
        <f>Input_Capex!R112*Input_CPI!X$15</f>
        <v>2.0217239776308977</v>
      </c>
      <c r="T76" s="79">
        <f>Input_Capex!S112*Input_CPI!Y$16</f>
        <v>25.100943914297545</v>
      </c>
      <c r="U76" s="74">
        <f>Input_Capex!T112*Input_CPI!Z$16</f>
        <v>6.2395928083562335</v>
      </c>
      <c r="V76" s="74">
        <f>Input_Capex!U112*Input_CPI!AA$16</f>
        <v>24.059791302971892</v>
      </c>
      <c r="W76" s="74">
        <f>Input_Capex!V112*Input_CPI!AB$16</f>
        <v>6.2515052232662232</v>
      </c>
      <c r="X76" s="80">
        <f>Input_Capex!W112*Input_CPI!AC$16</f>
        <v>6.0951249308649036</v>
      </c>
      <c r="Y76" s="79">
        <f>Input_Capex!X112</f>
        <v>0</v>
      </c>
      <c r="Z76" s="74">
        <f>Input_Capex!Y112</f>
        <v>0</v>
      </c>
      <c r="AA76" s="74">
        <f>Input_Capex!Z112</f>
        <v>0</v>
      </c>
      <c r="AB76" s="74">
        <f>Input_Capex!AA112</f>
        <v>0</v>
      </c>
      <c r="AC76" s="80">
        <f>Input_Capex!AB112</f>
        <v>0</v>
      </c>
    </row>
    <row r="77" spans="3:30" x14ac:dyDescent="0.2">
      <c r="D77" s="37" t="str">
        <f>Input_General!$E$20</f>
        <v>Export services</v>
      </c>
      <c r="E77" s="39" t="str">
        <f t="shared" si="21"/>
        <v>$Million</v>
      </c>
      <c r="F77" s="39" t="str">
        <f t="shared" si="22"/>
        <v>Real 2024</v>
      </c>
      <c r="G77" s="39" t="str">
        <f t="shared" si="23"/>
        <v>End Period</v>
      </c>
      <c r="H77" s="39" t="str">
        <f t="shared" si="24"/>
        <v>Input_Capex</v>
      </c>
      <c r="O77" s="79">
        <f>Input_Capex!N113*Input_CPI!T$15</f>
        <v>0</v>
      </c>
      <c r="P77" s="74">
        <f>Input_Capex!O113*Input_CPI!U$15</f>
        <v>0</v>
      </c>
      <c r="Q77" s="74">
        <f>Input_Capex!P113*Input_CPI!V$15</f>
        <v>0</v>
      </c>
      <c r="R77" s="74">
        <f>Input_Capex!Q113*Input_CPI!W$15</f>
        <v>0</v>
      </c>
      <c r="S77" s="80">
        <f>Input_Capex!R113*Input_CPI!X$15</f>
        <v>0</v>
      </c>
      <c r="T77" s="79">
        <f>Input_Capex!S113*Input_CPI!Y$16</f>
        <v>0</v>
      </c>
      <c r="U77" s="74">
        <f>Input_Capex!T113*Input_CPI!Z$16</f>
        <v>0</v>
      </c>
      <c r="V77" s="74">
        <f>Input_Capex!U113*Input_CPI!AA$16</f>
        <v>0</v>
      </c>
      <c r="W77" s="74">
        <f>Input_Capex!V113*Input_CPI!AB$16</f>
        <v>0</v>
      </c>
      <c r="X77" s="80">
        <f>Input_Capex!W113*Input_CPI!AC$16</f>
        <v>0</v>
      </c>
      <c r="Y77" s="79">
        <f>Input_Capex!X113</f>
        <v>0</v>
      </c>
      <c r="Z77" s="74">
        <f>Input_Capex!Y113</f>
        <v>0</v>
      </c>
      <c r="AA77" s="74">
        <f>Input_Capex!Z113</f>
        <v>0</v>
      </c>
      <c r="AB77" s="74">
        <f>Input_Capex!AA113</f>
        <v>0</v>
      </c>
      <c r="AC77" s="80">
        <f>Input_Capex!AB113</f>
        <v>0</v>
      </c>
    </row>
    <row r="78" spans="3:30" x14ac:dyDescent="0.2">
      <c r="D78" s="37" t="str">
        <f>Input_General!$E$21</f>
        <v>Capitalised network overheads</v>
      </c>
      <c r="E78" s="39" t="str">
        <f t="shared" si="21"/>
        <v>$Million</v>
      </c>
      <c r="F78" s="39" t="str">
        <f t="shared" si="22"/>
        <v>Real 2024</v>
      </c>
      <c r="G78" s="39" t="str">
        <f t="shared" si="23"/>
        <v>End Period</v>
      </c>
      <c r="H78" s="39" t="str">
        <f t="shared" si="24"/>
        <v>Input_Capex</v>
      </c>
      <c r="O78" s="79">
        <f>Input_Capex!N114*Input_CPI!T$15</f>
        <v>0.25808448378405541</v>
      </c>
      <c r="P78" s="74">
        <f>Input_Capex!O114*Input_CPI!U$15</f>
        <v>0.14789869250523577</v>
      </c>
      <c r="Q78" s="74">
        <f>Input_Capex!P114*Input_CPI!V$15</f>
        <v>0.12489354254734539</v>
      </c>
      <c r="R78" s="74">
        <f>Input_Capex!Q114*Input_CPI!W$15</f>
        <v>0.3888328423396496</v>
      </c>
      <c r="S78" s="80">
        <f>Input_Capex!R114*Input_CPI!X$15</f>
        <v>16.064008638242385</v>
      </c>
      <c r="T78" s="79">
        <f>Input_Capex!S114*Input_CPI!Y$16</f>
        <v>11.516223506848226</v>
      </c>
      <c r="U78" s="74">
        <f>Input_Capex!T114*Input_CPI!Z$16</f>
        <v>11.620285083026452</v>
      </c>
      <c r="V78" s="74">
        <f>Input_Capex!U114*Input_CPI!AA$16</f>
        <v>11.776658884873152</v>
      </c>
      <c r="W78" s="74">
        <f>Input_Capex!V114*Input_CPI!AB$16</f>
        <v>11.915398960704067</v>
      </c>
      <c r="X78" s="80">
        <f>Input_Capex!W114*Input_CPI!AC$16</f>
        <v>12.054490763071271</v>
      </c>
      <c r="Y78" s="79">
        <f>Input_Capex!X114</f>
        <v>0</v>
      </c>
      <c r="Z78" s="74">
        <f>Input_Capex!Y114</f>
        <v>0</v>
      </c>
      <c r="AA78" s="74">
        <f>Input_Capex!Z114</f>
        <v>0</v>
      </c>
      <c r="AB78" s="74">
        <f>Input_Capex!AA114</f>
        <v>0</v>
      </c>
      <c r="AC78" s="80">
        <f>Input_Capex!AB114</f>
        <v>0</v>
      </c>
    </row>
    <row r="79" spans="3:30" x14ac:dyDescent="0.2">
      <c r="D79" s="37" t="str">
        <f>Input_General!$E$22</f>
        <v>Capitalised corporate overheads</v>
      </c>
      <c r="E79" s="39" t="str">
        <f t="shared" si="21"/>
        <v>$Million</v>
      </c>
      <c r="F79" s="39" t="str">
        <f t="shared" si="22"/>
        <v>Real 2024</v>
      </c>
      <c r="G79" s="39" t="str">
        <f t="shared" si="23"/>
        <v>End Period</v>
      </c>
      <c r="H79" s="39" t="str">
        <f t="shared" si="24"/>
        <v>Input_Capex</v>
      </c>
      <c r="O79" s="79">
        <f>Input_Capex!N115*Input_CPI!T$15</f>
        <v>0</v>
      </c>
      <c r="P79" s="74">
        <f>Input_Capex!O115*Input_CPI!U$15</f>
        <v>0</v>
      </c>
      <c r="Q79" s="74">
        <f>Input_Capex!P115*Input_CPI!V$15</f>
        <v>0</v>
      </c>
      <c r="R79" s="74">
        <f>Input_Capex!Q115*Input_CPI!W$15</f>
        <v>0</v>
      </c>
      <c r="S79" s="80">
        <f>Input_Capex!R115*Input_CPI!X$15</f>
        <v>6.1069466477635146</v>
      </c>
      <c r="T79" s="79">
        <f>Input_Capex!S115*Input_CPI!Y$16</f>
        <v>3.8494386392754274</v>
      </c>
      <c r="U79" s="74">
        <f>Input_Capex!T115*Input_CPI!Z$16</f>
        <v>3.8842224945875574</v>
      </c>
      <c r="V79" s="74">
        <f>Input_Capex!U115*Input_CPI!AA$16</f>
        <v>3.9364923515108039</v>
      </c>
      <c r="W79" s="74">
        <f>Input_Capex!V115*Input_CPI!AB$16</f>
        <v>3.9828679197169894</v>
      </c>
      <c r="X79" s="80">
        <f>Input_Capex!W115*Input_CPI!AC$16</f>
        <v>4.029361056822256</v>
      </c>
      <c r="Y79" s="79">
        <f>Input_Capex!X115</f>
        <v>0</v>
      </c>
      <c r="Z79" s="74">
        <f>Input_Capex!Y115</f>
        <v>0</v>
      </c>
      <c r="AA79" s="74">
        <f>Input_Capex!Z115</f>
        <v>0</v>
      </c>
      <c r="AB79" s="74">
        <f>Input_Capex!AA115</f>
        <v>0</v>
      </c>
      <c r="AC79" s="80">
        <f>Input_Capex!AB115</f>
        <v>0</v>
      </c>
    </row>
    <row r="80" spans="3:30" x14ac:dyDescent="0.2">
      <c r="D80" s="37" t="str">
        <f>Input_General!$E$23</f>
        <v>Other/Balancing item</v>
      </c>
      <c r="E80" s="39" t="str">
        <f t="shared" si="21"/>
        <v>$Million</v>
      </c>
      <c r="F80" s="39" t="str">
        <f t="shared" si="22"/>
        <v>Real 2024</v>
      </c>
      <c r="G80" s="39" t="str">
        <f t="shared" si="23"/>
        <v>End Period</v>
      </c>
      <c r="H80" s="39" t="str">
        <f t="shared" si="24"/>
        <v>Input_Capex</v>
      </c>
      <c r="O80" s="79">
        <f>Input_Capex!N116*Input_CPI!T$15</f>
        <v>0</v>
      </c>
      <c r="P80" s="74">
        <f>Input_Capex!O116*Input_CPI!U$15</f>
        <v>0</v>
      </c>
      <c r="Q80" s="74">
        <f>Input_Capex!P116*Input_CPI!V$15</f>
        <v>0</v>
      </c>
      <c r="R80" s="74">
        <f>Input_Capex!Q116*Input_CPI!W$15</f>
        <v>0</v>
      </c>
      <c r="S80" s="80">
        <f>Input_Capex!R116*Input_CPI!X$15</f>
        <v>0.84490986349303854</v>
      </c>
      <c r="T80" s="79">
        <f>Input_Capex!S116*Input_CPI!Y$16</f>
        <v>0</v>
      </c>
      <c r="U80" s="74">
        <f>Input_Capex!T116*Input_CPI!Z$16</f>
        <v>0</v>
      </c>
      <c r="V80" s="74">
        <f>Input_Capex!U116*Input_CPI!AA$16</f>
        <v>0</v>
      </c>
      <c r="W80" s="74">
        <f>Input_Capex!V116*Input_CPI!AB$16</f>
        <v>0</v>
      </c>
      <c r="X80" s="80">
        <f>Input_Capex!W116*Input_CPI!AC$16</f>
        <v>0</v>
      </c>
      <c r="Y80" s="79">
        <f>Input_Capex!X116</f>
        <v>0</v>
      </c>
      <c r="Z80" s="74">
        <f>Input_Capex!Y116</f>
        <v>0</v>
      </c>
      <c r="AA80" s="74">
        <f>Input_Capex!Z116</f>
        <v>0</v>
      </c>
      <c r="AB80" s="74">
        <f>Input_Capex!AA116</f>
        <v>0</v>
      </c>
      <c r="AC80" s="80">
        <f>Input_Capex!AB116</f>
        <v>0</v>
      </c>
    </row>
    <row r="81" spans="2:30" x14ac:dyDescent="0.2">
      <c r="D81" s="37"/>
      <c r="E81" s="39"/>
      <c r="F81" s="39"/>
      <c r="G81" s="39"/>
      <c r="H81" s="39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2:30" x14ac:dyDescent="0.2">
      <c r="D82" s="104" t="s">
        <v>72</v>
      </c>
      <c r="E82" s="125" t="str">
        <f t="shared" si="21"/>
        <v>$Million</v>
      </c>
      <c r="F82" s="125" t="str">
        <f t="shared" si="22"/>
        <v>Real 2024</v>
      </c>
      <c r="G82" s="125" t="str">
        <f t="shared" si="23"/>
        <v>End Period</v>
      </c>
      <c r="H82" s="125" t="s">
        <v>8</v>
      </c>
      <c r="I82" s="69"/>
      <c r="J82" s="128"/>
      <c r="K82" s="129"/>
      <c r="L82" s="129"/>
      <c r="M82" s="129"/>
      <c r="N82" s="130"/>
      <c r="O82" s="128">
        <f t="shared" ref="O82:AC82" si="25">SUM(O72:O80)</f>
        <v>115.76407204457971</v>
      </c>
      <c r="P82" s="129">
        <f t="shared" si="25"/>
        <v>82.495102349428294</v>
      </c>
      <c r="Q82" s="129">
        <f t="shared" si="25"/>
        <v>65.73628229138032</v>
      </c>
      <c r="R82" s="129">
        <f t="shared" si="25"/>
        <v>77.637758593581253</v>
      </c>
      <c r="S82" s="130">
        <f t="shared" si="25"/>
        <v>92.322383532972836</v>
      </c>
      <c r="T82" s="128">
        <f t="shared" si="25"/>
        <v>116.02436878020985</v>
      </c>
      <c r="U82" s="129">
        <f t="shared" si="25"/>
        <v>94.170328229753466</v>
      </c>
      <c r="V82" s="129">
        <f t="shared" si="25"/>
        <v>106.47646780360037</v>
      </c>
      <c r="W82" s="129">
        <f t="shared" si="25"/>
        <v>76.072577346470979</v>
      </c>
      <c r="X82" s="130">
        <f t="shared" si="25"/>
        <v>72.724546094232707</v>
      </c>
      <c r="Y82" s="128">
        <f t="shared" si="25"/>
        <v>0</v>
      </c>
      <c r="Z82" s="129">
        <f t="shared" si="25"/>
        <v>0</v>
      </c>
      <c r="AA82" s="129">
        <f t="shared" si="25"/>
        <v>0</v>
      </c>
      <c r="AB82" s="129">
        <f t="shared" si="25"/>
        <v>0</v>
      </c>
      <c r="AC82" s="130">
        <f t="shared" si="25"/>
        <v>0</v>
      </c>
      <c r="AD82" s="50"/>
    </row>
    <row r="84" spans="2:30" s="6" customFormat="1" ht="18.75" x14ac:dyDescent="0.2">
      <c r="B84" s="6" t="s">
        <v>43</v>
      </c>
    </row>
  </sheetData>
  <hyperlinks>
    <hyperlink ref="B4" location="ToC!A1" display="ToC!A1" xr:uid="{33DE98D2-1C1F-46CF-80E7-7A19719EB5D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6305759-F4F5-494E-BD5F-A3434FB508F7}">
          <x14:formula1>
            <xm:f>LookupTab!$H$12:$H$13</xm:f>
          </x14:formula1>
          <xm:sqref>G24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7D13D-BC82-4AEC-A0B7-E13323BE38B7}">
  <sheetPr codeName="Sheet16">
    <tabColor theme="3" tint="0.79998168889431442"/>
  </sheetPr>
  <dimension ref="A1:X152"/>
  <sheetViews>
    <sheetView showGridLines="0" zoomScaleNormal="100" workbookViewId="0">
      <pane xSplit="4" ySplit="4" topLeftCell="E5" activePane="bottomRight" state="frozen"/>
      <selection activeCell="B5" sqref="B5"/>
      <selection pane="topRight" activeCell="B5" sqref="B5"/>
      <selection pane="bottomLeft" activeCell="B5" sqref="B5"/>
      <selection pane="bottomRight" activeCell="E5" sqref="E5"/>
    </sheetView>
  </sheetViews>
  <sheetFormatPr defaultRowHeight="12.75" x14ac:dyDescent="0.2"/>
  <cols>
    <col min="1" max="3" width="3.7109375" customWidth="1"/>
    <col min="4" max="4" width="37.7109375" customWidth="1"/>
    <col min="5" max="8" width="11.5703125" customWidth="1"/>
    <col min="9" max="9" width="3.5703125" customWidth="1"/>
  </cols>
  <sheetData>
    <row r="1" spans="1:24" ht="23.25" x14ac:dyDescent="0.35">
      <c r="A1" s="52">
        <f>IF(SUM(A5:A152)&lt;&gt;0,1,0)</f>
        <v>0</v>
      </c>
      <c r="B1" s="16" t="s">
        <v>264</v>
      </c>
    </row>
    <row r="2" spans="1:24" ht="15" x14ac:dyDescent="0.2">
      <c r="B2" s="34" t="str">
        <f>Model_Name</f>
        <v>Power and Water - Revised Proposal - Tables and Charts</v>
      </c>
    </row>
    <row r="3" spans="1:24" x14ac:dyDescent="0.2">
      <c r="B3" s="37" t="str">
        <f>"Model Checks:"&amp;IF(Model_Checks=0," OK"," Check")</f>
        <v>Model Checks: OK</v>
      </c>
      <c r="J3" s="39" t="str">
        <f>LookupTab!M$40</f>
        <v>FY15</v>
      </c>
      <c r="K3" s="39" t="str">
        <f>LookupTab!N$40</f>
        <v>FY16</v>
      </c>
      <c r="L3" s="39" t="str">
        <f>LookupTab!O$40</f>
        <v>FY17</v>
      </c>
      <c r="M3" s="39" t="str">
        <f>LookupTab!P$40</f>
        <v>FY18</v>
      </c>
      <c r="N3" s="39" t="str">
        <f>LookupTab!Q$40</f>
        <v>FY19</v>
      </c>
      <c r="O3" s="39" t="str">
        <f>LookupTab!R$40</f>
        <v>FY20</v>
      </c>
      <c r="P3" s="39" t="str">
        <f>LookupTab!S$40</f>
        <v>FY21</v>
      </c>
      <c r="Q3" s="39" t="str">
        <f>LookupTab!T$40</f>
        <v>FY22</v>
      </c>
      <c r="R3" s="39" t="str">
        <f>LookupTab!U$40</f>
        <v>FY23</v>
      </c>
      <c r="S3" s="39" t="str">
        <f>LookupTab!V$40</f>
        <v>FY24</v>
      </c>
      <c r="T3" s="39" t="str">
        <f>LookupTab!W$40</f>
        <v>FY25</v>
      </c>
      <c r="U3" s="39" t="str">
        <f>LookupTab!X$40</f>
        <v>FY26</v>
      </c>
      <c r="V3" s="39" t="str">
        <f>LookupTab!Y$40</f>
        <v>FY27</v>
      </c>
      <c r="W3" s="39" t="str">
        <f>LookupTab!Z$40</f>
        <v>FY28</v>
      </c>
      <c r="X3" s="39" t="str">
        <f>LookupTab!AA$40</f>
        <v>FY29</v>
      </c>
    </row>
    <row r="4" spans="1:24" ht="15" x14ac:dyDescent="0.2">
      <c r="B4" s="29" t="str">
        <f>ToC!$B$1</f>
        <v>Table of contents</v>
      </c>
      <c r="E4" s="48" t="s">
        <v>2</v>
      </c>
      <c r="F4" s="48" t="s">
        <v>3</v>
      </c>
      <c r="G4" s="48" t="s">
        <v>4</v>
      </c>
      <c r="H4" s="48" t="s">
        <v>1</v>
      </c>
      <c r="J4" s="41" t="str">
        <f>LookupTab!M$41</f>
        <v>Previous Period</v>
      </c>
      <c r="K4" s="41"/>
      <c r="L4" s="41"/>
      <c r="M4" s="41"/>
      <c r="N4" s="41"/>
      <c r="O4" s="42" t="str">
        <f>LookupTab!R$41</f>
        <v>Current Period</v>
      </c>
      <c r="P4" s="42"/>
      <c r="Q4" s="42"/>
      <c r="R4" s="42"/>
      <c r="S4" s="42"/>
      <c r="T4" s="43" t="str">
        <f>LookupTab!W$41</f>
        <v>Next Period</v>
      </c>
      <c r="U4" s="43"/>
      <c r="V4" s="43"/>
      <c r="W4" s="43"/>
      <c r="X4" s="43"/>
    </row>
    <row r="6" spans="1:24" s="6" customFormat="1" ht="18.75" x14ac:dyDescent="0.2">
      <c r="B6" s="6" t="s">
        <v>624</v>
      </c>
    </row>
    <row r="8" spans="1:24" s="121" customFormat="1" ht="15.75" x14ac:dyDescent="0.2">
      <c r="C8" s="121" t="str">
        <f>Nominal</f>
        <v>Nominal</v>
      </c>
    </row>
    <row r="10" spans="1:24" x14ac:dyDescent="0.2">
      <c r="D10" s="60" t="s">
        <v>56</v>
      </c>
      <c r="E10" s="61" t="str">
        <f>E$4</f>
        <v>Unit</v>
      </c>
      <c r="F10" s="61" t="str">
        <f>F$4</f>
        <v>Basis</v>
      </c>
      <c r="G10" s="61" t="str">
        <f>G$4</f>
        <v>Timing</v>
      </c>
      <c r="H10" s="61" t="str">
        <f>H$4</f>
        <v>Source</v>
      </c>
      <c r="I10" s="60"/>
      <c r="J10" s="62" t="str">
        <f>J$3</f>
        <v>FY15</v>
      </c>
      <c r="K10" s="62" t="str">
        <f t="shared" ref="K10:X10" si="0">K$3</f>
        <v>FY16</v>
      </c>
      <c r="L10" s="62" t="str">
        <f t="shared" si="0"/>
        <v>FY17</v>
      </c>
      <c r="M10" s="62" t="str">
        <f t="shared" si="0"/>
        <v>FY18</v>
      </c>
      <c r="N10" s="62" t="str">
        <f t="shared" si="0"/>
        <v>FY19</v>
      </c>
      <c r="O10" s="62" t="str">
        <f t="shared" si="0"/>
        <v>FY20</v>
      </c>
      <c r="P10" s="62" t="str">
        <f t="shared" si="0"/>
        <v>FY21</v>
      </c>
      <c r="Q10" s="62" t="str">
        <f t="shared" si="0"/>
        <v>FY22</v>
      </c>
      <c r="R10" s="62" t="str">
        <f t="shared" si="0"/>
        <v>FY23</v>
      </c>
      <c r="S10" s="62" t="str">
        <f t="shared" si="0"/>
        <v>FY24</v>
      </c>
      <c r="T10" s="62" t="str">
        <f t="shared" si="0"/>
        <v>FY25</v>
      </c>
      <c r="U10" s="62" t="str">
        <f t="shared" si="0"/>
        <v>FY26</v>
      </c>
      <c r="V10" s="62" t="str">
        <f t="shared" si="0"/>
        <v>FY27</v>
      </c>
      <c r="W10" s="62" t="str">
        <f t="shared" si="0"/>
        <v>FY28</v>
      </c>
      <c r="X10" s="62" t="str">
        <f t="shared" si="0"/>
        <v>FY29</v>
      </c>
    </row>
    <row r="12" spans="1:24" x14ac:dyDescent="0.2">
      <c r="D12" s="63" t="s">
        <v>173</v>
      </c>
      <c r="E12" s="39" t="str">
        <f>Unit_Dollar_M</f>
        <v>$Million</v>
      </c>
      <c r="F12" s="39" t="str">
        <f>Nominal</f>
        <v>Nominal</v>
      </c>
      <c r="G12" s="39" t="str">
        <f>Mid_Period</f>
        <v>Mid Period</v>
      </c>
      <c r="H12" s="39" t="s">
        <v>8</v>
      </c>
      <c r="J12" s="79">
        <f>J19*Input_CPI!T$19</f>
        <v>4.5995647568146421</v>
      </c>
      <c r="K12" s="74">
        <f>K19*Input_CPI!U$19</f>
        <v>5.0529714522824047</v>
      </c>
      <c r="L12" s="74">
        <f>L19*Input_CPI!V$19</f>
        <v>5.1383666698259773</v>
      </c>
      <c r="M12" s="74">
        <f>M19*Input_CPI!W$19</f>
        <v>5.2144144965394004</v>
      </c>
      <c r="N12" s="80">
        <f>N19*Input_CPI!X$19</f>
        <v>5.3187027864701877</v>
      </c>
      <c r="O12" s="79">
        <f>O19*Input_CPI!Y$19</f>
        <v>6.840268571525586</v>
      </c>
      <c r="P12" s="74">
        <f>P19*Input_CPI!Z$19</f>
        <v>7.2409556046685726</v>
      </c>
      <c r="Q12" s="74">
        <f>Q19*Input_CPI!AA$19</f>
        <v>7.9291900313721024</v>
      </c>
      <c r="R12" s="74">
        <f>R19*Input_CPI!AB$19</f>
        <v>8.7682225850755984</v>
      </c>
      <c r="S12" s="80">
        <f>S19*Input_CPI!AC$19</f>
        <v>9.5581675552190291</v>
      </c>
      <c r="T12" s="79">
        <f>T19*Input_CPI!AD$19</f>
        <v>13.913372693667043</v>
      </c>
      <c r="U12" s="74">
        <f>U19*Input_CPI!AE$19</f>
        <v>14.407532399339273</v>
      </c>
      <c r="V12" s="74">
        <f>V19*Input_CPI!AF$19</f>
        <v>14.918574912372927</v>
      </c>
      <c r="W12" s="74">
        <f>W19*Input_CPI!AG$19</f>
        <v>15.447028428188039</v>
      </c>
      <c r="X12" s="80">
        <f>X19*Input_CPI!AH$19</f>
        <v>15.993509429754496</v>
      </c>
    </row>
    <row r="13" spans="1:24" x14ac:dyDescent="0.2">
      <c r="D13" s="63" t="s">
        <v>60</v>
      </c>
      <c r="E13" s="39" t="str">
        <f>Unit_Dollar_M</f>
        <v>$Million</v>
      </c>
      <c r="F13" s="39" t="str">
        <f>Nominal</f>
        <v>Nominal</v>
      </c>
      <c r="G13" s="39" t="str">
        <f>Mid_Period</f>
        <v>Mid Period</v>
      </c>
      <c r="H13" s="39" t="str">
        <f>H12</f>
        <v>Calculated</v>
      </c>
      <c r="J13" s="79">
        <f>J20*Input_CPI!T$19</f>
        <v>4.4079180000000004</v>
      </c>
      <c r="K13" s="74">
        <f>K20*Input_CPI!U$19</f>
        <v>5.0871469999999999</v>
      </c>
      <c r="L13" s="74">
        <f>L20*Input_CPI!V$19</f>
        <v>5.1606550000000002</v>
      </c>
      <c r="M13" s="74">
        <f>M20*Input_CPI!W$19</f>
        <v>4.8802504999999989</v>
      </c>
      <c r="N13" s="80">
        <f>N20*Input_CPI!X$19</f>
        <v>5.1202839999999998</v>
      </c>
      <c r="O13" s="79">
        <f>O20*Input_CPI!Y$19</f>
        <v>5.1236693799999999</v>
      </c>
      <c r="P13" s="74">
        <f>P20*Input_CPI!Z$19</f>
        <v>5.9409829999999992</v>
      </c>
      <c r="Q13" s="74">
        <f>Q20*Input_CPI!AA$19</f>
        <v>6.2802395600000001</v>
      </c>
      <c r="R13" s="74">
        <f>R20*Input_CPI!AB$19</f>
        <v>6.6246690499999978</v>
      </c>
      <c r="S13" s="80">
        <f>S20*Input_CPI!AC$19</f>
        <v>7.4325060459316896</v>
      </c>
      <c r="T13" s="79" t="e">
        <f>NA()</f>
        <v>#N/A</v>
      </c>
      <c r="U13" s="74" t="e">
        <f>NA()</f>
        <v>#N/A</v>
      </c>
      <c r="V13" s="74" t="e">
        <f>NA()</f>
        <v>#N/A</v>
      </c>
      <c r="W13" s="74" t="e">
        <f>NA()</f>
        <v>#N/A</v>
      </c>
      <c r="X13" s="80" t="e">
        <f>NA()</f>
        <v>#N/A</v>
      </c>
    </row>
    <row r="15" spans="1:24" s="121" customFormat="1" ht="15.75" x14ac:dyDescent="0.2">
      <c r="C15" s="121" t="str">
        <f>Real_Input</f>
        <v>Real 2024</v>
      </c>
    </row>
    <row r="17" spans="2:24" x14ac:dyDescent="0.2">
      <c r="D17" s="60" t="s">
        <v>56</v>
      </c>
      <c r="E17" s="61" t="str">
        <f>E$4</f>
        <v>Unit</v>
      </c>
      <c r="F17" s="61" t="str">
        <f>F$4</f>
        <v>Basis</v>
      </c>
      <c r="G17" s="61" t="str">
        <f>G$4</f>
        <v>Timing</v>
      </c>
      <c r="H17" s="61" t="str">
        <f>H$4</f>
        <v>Source</v>
      </c>
      <c r="I17" s="60"/>
      <c r="J17" s="62" t="str">
        <f>J$3</f>
        <v>FY15</v>
      </c>
      <c r="K17" s="62" t="str">
        <f t="shared" ref="K17:X17" si="1">K$3</f>
        <v>FY16</v>
      </c>
      <c r="L17" s="62" t="str">
        <f t="shared" si="1"/>
        <v>FY17</v>
      </c>
      <c r="M17" s="62" t="str">
        <f t="shared" si="1"/>
        <v>FY18</v>
      </c>
      <c r="N17" s="62" t="str">
        <f t="shared" si="1"/>
        <v>FY19</v>
      </c>
      <c r="O17" s="62" t="str">
        <f t="shared" si="1"/>
        <v>FY20</v>
      </c>
      <c r="P17" s="62" t="str">
        <f t="shared" si="1"/>
        <v>FY21</v>
      </c>
      <c r="Q17" s="62" t="str">
        <f t="shared" si="1"/>
        <v>FY22</v>
      </c>
      <c r="R17" s="62" t="str">
        <f t="shared" si="1"/>
        <v>FY23</v>
      </c>
      <c r="S17" s="62" t="str">
        <f t="shared" si="1"/>
        <v>FY24</v>
      </c>
      <c r="T17" s="62" t="str">
        <f t="shared" si="1"/>
        <v>FY25</v>
      </c>
      <c r="U17" s="62" t="str">
        <f t="shared" si="1"/>
        <v>FY26</v>
      </c>
      <c r="V17" s="62" t="str">
        <f t="shared" si="1"/>
        <v>FY27</v>
      </c>
      <c r="W17" s="62" t="str">
        <f t="shared" si="1"/>
        <v>FY28</v>
      </c>
      <c r="X17" s="62" t="str">
        <f t="shared" si="1"/>
        <v>FY29</v>
      </c>
    </row>
    <row r="19" spans="2:24" x14ac:dyDescent="0.2">
      <c r="D19" s="63" t="s">
        <v>173</v>
      </c>
      <c r="E19" s="39" t="str">
        <f>Unit_Dollar_M</f>
        <v>$Million</v>
      </c>
      <c r="F19" s="39" t="str">
        <f>Real_Input</f>
        <v>Real 2024</v>
      </c>
      <c r="G19" s="39" t="str">
        <f>End_Period</f>
        <v>End Period</v>
      </c>
      <c r="H19" s="39" t="s">
        <v>177</v>
      </c>
      <c r="J19" s="79">
        <f>Input_AMI!J$10*Input_CPI!T$15</f>
        <v>5.9711184731447053</v>
      </c>
      <c r="K19" s="74">
        <f>Input_AMI!K$10*Input_CPI!U$15</f>
        <v>6.477670642877432</v>
      </c>
      <c r="L19" s="74">
        <f>Input_AMI!L$10*Input_CPI!V$15</f>
        <v>6.4912379821965436</v>
      </c>
      <c r="M19" s="74">
        <f>Input_AMI!M$10*Input_CPI!W$15</f>
        <v>6.4577864735718675</v>
      </c>
      <c r="N19" s="80">
        <f>Input_AMI!N$10*Input_CPI!X$15</f>
        <v>6.4682488379453824</v>
      </c>
      <c r="O19" s="79">
        <f>Input_AMI!O$10*Input_CPI!Y$16</f>
        <v>8.2676172039063509</v>
      </c>
      <c r="P19" s="74">
        <f>Input_AMI!P$10*Input_CPI!Z$16</f>
        <v>8.6033148123426901</v>
      </c>
      <c r="Q19" s="74">
        <f>Input_AMI!Q$10*Input_CPI!AA$16</f>
        <v>8.9733421049095163</v>
      </c>
      <c r="R19" s="74">
        <f>Input_AMI!R$10*Input_CPI!AB$16</f>
        <v>9.3536148200990592</v>
      </c>
      <c r="S19" s="80">
        <f>Input_AMI!S$10*Input_CPI!AC$16</f>
        <v>9.7286934079624903</v>
      </c>
      <c r="T19" s="79">
        <f>Input_AMI!T$10</f>
        <v>13.722597451201398</v>
      </c>
      <c r="U19" s="74">
        <f>Input_AMI!U$10</f>
        <v>13.822968549124994</v>
      </c>
      <c r="V19" s="74">
        <f>Input_AMI!V$10</f>
        <v>13.923450154849213</v>
      </c>
      <c r="W19" s="74">
        <f>Input_AMI!W$10</f>
        <v>14.024012197330261</v>
      </c>
      <c r="X19" s="80">
        <f>Input_AMI!X$10</f>
        <v>14.124689699839527</v>
      </c>
    </row>
    <row r="20" spans="2:24" x14ac:dyDescent="0.2">
      <c r="D20" s="63" t="s">
        <v>60</v>
      </c>
      <c r="E20" s="39" t="str">
        <f>Unit_Dollar_M</f>
        <v>$Million</v>
      </c>
      <c r="F20" s="39" t="str">
        <f>Real_Input</f>
        <v>Real 2024</v>
      </c>
      <c r="G20" s="39" t="str">
        <f>End_Period</f>
        <v>End Period</v>
      </c>
      <c r="H20" s="39" t="s">
        <v>177</v>
      </c>
      <c r="J20" s="79">
        <f>Input_AMI!J$11*Input_CPI!T$20</f>
        <v>5.7223241740235258</v>
      </c>
      <c r="K20" s="74">
        <f>Input_AMI!K$11*Input_CPI!U$20</f>
        <v>6.5214820802158577</v>
      </c>
      <c r="L20" s="74">
        <f>Input_AMI!L$11*Input_CPI!V$20</f>
        <v>6.5193945667071329</v>
      </c>
      <c r="M20" s="74">
        <f>Input_AMI!M$11*Input_CPI!W$20</f>
        <v>6.0439414027131901</v>
      </c>
      <c r="N20" s="80">
        <f>Input_AMI!N$11*Input_CPI!X$20</f>
        <v>6.2269452463483645</v>
      </c>
      <c r="O20" s="79">
        <f>Input_AMI!O$11*Input_CPI!Y$20</f>
        <v>6.1928178214453515</v>
      </c>
      <c r="P20" s="74">
        <f>Input_AMI!P$11*Input_CPI!Z$20</f>
        <v>7.0587571357048216</v>
      </c>
      <c r="Q20" s="74">
        <f>Input_AMI!Q$11*Input_CPI!AA$20</f>
        <v>7.1072502802552382</v>
      </c>
      <c r="R20" s="74">
        <f>Input_AMI!R$11*Input_CPI!AB$20</f>
        <v>7.0669513693461159</v>
      </c>
      <c r="S20" s="74">
        <f>Input_AMI!S$11*Input_CPI!AC$20</f>
        <v>7.5651082862859482</v>
      </c>
      <c r="T20" s="79" t="e">
        <f>NA()</f>
        <v>#N/A</v>
      </c>
      <c r="U20" s="74" t="e">
        <f>NA()</f>
        <v>#N/A</v>
      </c>
      <c r="V20" s="74" t="e">
        <f>NA()</f>
        <v>#N/A</v>
      </c>
      <c r="W20" s="74" t="e">
        <f>NA()</f>
        <v>#N/A</v>
      </c>
      <c r="X20" s="80" t="e">
        <f>NA()</f>
        <v>#N/A</v>
      </c>
    </row>
    <row r="22" spans="2:24" s="6" customFormat="1" ht="18.75" x14ac:dyDescent="0.2">
      <c r="B22" s="6" t="s">
        <v>625</v>
      </c>
    </row>
    <row r="24" spans="2:24" s="121" customFormat="1" ht="15.75" x14ac:dyDescent="0.2">
      <c r="C24" s="121" t="str">
        <f>Nominal&amp;" - Allowed"</f>
        <v>Nominal - Allowed</v>
      </c>
    </row>
    <row r="26" spans="2:24" x14ac:dyDescent="0.2">
      <c r="D26" s="60" t="s">
        <v>56</v>
      </c>
      <c r="E26" s="61" t="str">
        <f>E$4</f>
        <v>Unit</v>
      </c>
      <c r="F26" s="61" t="str">
        <f>F$4</f>
        <v>Basis</v>
      </c>
      <c r="G26" s="61" t="str">
        <f>G$4</f>
        <v>Timing</v>
      </c>
      <c r="H26" s="61" t="str">
        <f>H$4</f>
        <v>Source</v>
      </c>
      <c r="I26" s="60"/>
      <c r="J26" s="62" t="str">
        <f>J$3</f>
        <v>FY15</v>
      </c>
      <c r="K26" s="62" t="str">
        <f t="shared" ref="K26:X26" si="2">K$3</f>
        <v>FY16</v>
      </c>
      <c r="L26" s="62" t="str">
        <f t="shared" si="2"/>
        <v>FY17</v>
      </c>
      <c r="M26" s="62" t="str">
        <f t="shared" si="2"/>
        <v>FY18</v>
      </c>
      <c r="N26" s="62" t="str">
        <f t="shared" si="2"/>
        <v>FY19</v>
      </c>
      <c r="O26" s="62" t="str">
        <f t="shared" si="2"/>
        <v>FY20</v>
      </c>
      <c r="P26" s="62" t="str">
        <f t="shared" si="2"/>
        <v>FY21</v>
      </c>
      <c r="Q26" s="62" t="str">
        <f t="shared" si="2"/>
        <v>FY22</v>
      </c>
      <c r="R26" s="62" t="str">
        <f t="shared" si="2"/>
        <v>FY23</v>
      </c>
      <c r="S26" s="62" t="str">
        <f t="shared" si="2"/>
        <v>FY24</v>
      </c>
      <c r="T26" s="62" t="str">
        <f t="shared" si="2"/>
        <v>FY25</v>
      </c>
      <c r="U26" s="62" t="str">
        <f t="shared" si="2"/>
        <v>FY26</v>
      </c>
      <c r="V26" s="62" t="str">
        <f t="shared" si="2"/>
        <v>FY27</v>
      </c>
      <c r="W26" s="62" t="str">
        <f t="shared" si="2"/>
        <v>FY28</v>
      </c>
      <c r="X26" s="62" t="str">
        <f t="shared" si="2"/>
        <v>FY29</v>
      </c>
    </row>
    <row r="28" spans="2:24" x14ac:dyDescent="0.2">
      <c r="D28" s="63" t="s">
        <v>163</v>
      </c>
      <c r="E28" s="39" t="str">
        <f>Unit_Dollar_M</f>
        <v>$Million</v>
      </c>
      <c r="F28" s="39" t="str">
        <f>Nominal</f>
        <v>Nominal</v>
      </c>
      <c r="G28" s="39" t="str">
        <f>Mid_Period</f>
        <v>Mid Period</v>
      </c>
      <c r="H28" s="39" t="s">
        <v>8</v>
      </c>
      <c r="J28" s="79">
        <f>J40*Input_CPI!T$19</f>
        <v>1.0741178525779509</v>
      </c>
      <c r="K28" s="74">
        <f>K40*Input_CPI!U$19</f>
        <v>1.2244512172829953</v>
      </c>
      <c r="L28" s="74">
        <f>L40*Input_CPI!V$19</f>
        <v>1.2961341687253471</v>
      </c>
      <c r="M28" s="74">
        <f>M40*Input_CPI!W$19</f>
        <v>1.348171838148454</v>
      </c>
      <c r="N28" s="80">
        <f>N40*Input_CPI!X$19</f>
        <v>1.4174911365537786</v>
      </c>
      <c r="O28" s="79">
        <f>O40*Input_CPI!Y$19</f>
        <v>0.66806386424635833</v>
      </c>
      <c r="P28" s="74">
        <f>P40*Input_CPI!Z$19</f>
        <v>0.96992848756032901</v>
      </c>
      <c r="Q28" s="74">
        <f>Q40*Input_CPI!AA$19</f>
        <v>1.1377998810589269</v>
      </c>
      <c r="R28" s="74">
        <f>R40*Input_CPI!AB$19</f>
        <v>1.3321082400794175</v>
      </c>
      <c r="S28" s="80">
        <f>S40*Input_CPI!AC$19</f>
        <v>1.7339912185633979</v>
      </c>
      <c r="T28" s="79">
        <f>T40*Input_CPI!AD$19</f>
        <v>2.6837929510898255</v>
      </c>
      <c r="U28" s="74">
        <f>U40*Input_CPI!AE$19</f>
        <v>3.3524580911024171</v>
      </c>
      <c r="V28" s="74">
        <f>V40*Input_CPI!AF$19</f>
        <v>4.0394825379680723</v>
      </c>
      <c r="W28" s="74">
        <f>W40*Input_CPI!AG$19</f>
        <v>4.7426960483904619</v>
      </c>
      <c r="X28" s="80">
        <f>X40*Input_CPI!AH$19</f>
        <v>5.5575068769557712</v>
      </c>
    </row>
    <row r="29" spans="2:24" x14ac:dyDescent="0.2">
      <c r="D29" s="63" t="s">
        <v>595</v>
      </c>
      <c r="E29" s="39" t="str">
        <f>Unit_Dollar_M</f>
        <v>$Million</v>
      </c>
      <c r="F29" s="39" t="str">
        <f>Nominal</f>
        <v>Nominal</v>
      </c>
      <c r="G29" s="39" t="str">
        <f>Mid_Period</f>
        <v>Mid Period</v>
      </c>
      <c r="H29" s="39" t="str">
        <f>H28</f>
        <v>Calculated</v>
      </c>
      <c r="J29" s="79">
        <f>J41*Input_CPI!T$19</f>
        <v>0.76264709113138207</v>
      </c>
      <c r="K29" s="74">
        <f>K41*Input_CPI!U$19</f>
        <v>0.9168295758913747</v>
      </c>
      <c r="L29" s="74">
        <f>L41*Input_CPI!V$19</f>
        <v>0.835743022170509</v>
      </c>
      <c r="M29" s="74">
        <f>M41*Input_CPI!W$19</f>
        <v>0.92696706023889808</v>
      </c>
      <c r="N29" s="80">
        <f>N41*Input_CPI!X$19</f>
        <v>1.0431094238276288</v>
      </c>
      <c r="O29" s="79">
        <f>O41*Input_CPI!Y$19</f>
        <v>0.50140915851106871</v>
      </c>
      <c r="P29" s="74">
        <f>P41*Input_CPI!Z$19</f>
        <v>0.87943745161188513</v>
      </c>
      <c r="Q29" s="74">
        <f>Q41*Input_CPI!AA$19</f>
        <v>1.1366029993728937</v>
      </c>
      <c r="R29" s="74">
        <f>R41*Input_CPI!AB$19</f>
        <v>1.4435205868915129</v>
      </c>
      <c r="S29" s="80">
        <f>S41*Input_CPI!AC$19</f>
        <v>1.9871446777528239</v>
      </c>
      <c r="T29" s="79">
        <f>T41*Input_CPI!AD$19</f>
        <v>2.3256713209550681</v>
      </c>
      <c r="U29" s="74">
        <f>U41*Input_CPI!AE$19</f>
        <v>2.9942180192207739</v>
      </c>
      <c r="V29" s="74">
        <f>V41*Input_CPI!AF$19</f>
        <v>3.6926513889605688</v>
      </c>
      <c r="W29" s="74">
        <f>W41*Input_CPI!AG$19</f>
        <v>4.5603063629125238</v>
      </c>
      <c r="X29" s="80">
        <f>X41*Input_CPI!AH$19</f>
        <v>5.4382467606613636</v>
      </c>
    </row>
    <row r="30" spans="2:24" x14ac:dyDescent="0.2">
      <c r="D30" s="63" t="s">
        <v>190</v>
      </c>
      <c r="E30" s="39" t="str">
        <f>Unit_Dollar_M</f>
        <v>$Million</v>
      </c>
      <c r="F30" s="39" t="str">
        <f>Nominal</f>
        <v>Nominal</v>
      </c>
      <c r="G30" s="39" t="str">
        <f>Mid_Period</f>
        <v>Mid Period</v>
      </c>
      <c r="H30" s="39" t="str">
        <f>H29</f>
        <v>Calculated</v>
      </c>
      <c r="J30" s="79">
        <f>J42*Input_CPI!T$19</f>
        <v>2.7627998131053082</v>
      </c>
      <c r="K30" s="74">
        <f>K42*Input_CPI!U$19</f>
        <v>2.911690659108034</v>
      </c>
      <c r="L30" s="74">
        <f>L42*Input_CPI!V$19</f>
        <v>3.0064894789301224</v>
      </c>
      <c r="M30" s="74">
        <f>M42*Input_CPI!W$19</f>
        <v>2.9392755981520482</v>
      </c>
      <c r="N30" s="80">
        <f>N42*Input_CPI!X$19</f>
        <v>2.8581022260887794</v>
      </c>
      <c r="O30" s="79">
        <f>O42*Input_CPI!Y$19</f>
        <v>5.4364332623271974</v>
      </c>
      <c r="P30" s="74">
        <f>P42*Input_CPI!Z$19</f>
        <v>5.4562742105913458</v>
      </c>
      <c r="Q30" s="74">
        <f>Q42*Input_CPI!AA$19</f>
        <v>5.6616735402065288</v>
      </c>
      <c r="R30" s="74">
        <f>R42*Input_CPI!AB$19</f>
        <v>5.9228466551671852</v>
      </c>
      <c r="S30" s="80">
        <f>S42*Input_CPI!AC$19</f>
        <v>6.12877171466869</v>
      </c>
      <c r="T30" s="79">
        <f>T42*Input_CPI!AD$19</f>
        <v>6.6634432766566629</v>
      </c>
      <c r="U30" s="74">
        <f>U42*Input_CPI!AE$19</f>
        <v>6.9194391434992726</v>
      </c>
      <c r="V30" s="74">
        <f>V42*Input_CPI!AF$19</f>
        <v>7.1916606218764292</v>
      </c>
      <c r="W30" s="74">
        <f>W42*Input_CPI!AG$19</f>
        <v>7.477632855027454</v>
      </c>
      <c r="X30" s="80">
        <f>X42*Input_CPI!AH$19</f>
        <v>7.7585703003553377</v>
      </c>
    </row>
    <row r="31" spans="2:24" x14ac:dyDescent="0.2">
      <c r="D31" s="63" t="s">
        <v>168</v>
      </c>
      <c r="E31" s="39" t="str">
        <f>Unit_Dollar_M</f>
        <v>$Million</v>
      </c>
      <c r="F31" s="39" t="str">
        <f>Nominal</f>
        <v>Nominal</v>
      </c>
      <c r="G31" s="39" t="str">
        <f>Mid_Period</f>
        <v>Mid Period</v>
      </c>
      <c r="H31" s="39" t="str">
        <f>H30</f>
        <v>Calculated</v>
      </c>
      <c r="J31" s="79">
        <f>J43*Input_CPI!T$19</f>
        <v>0</v>
      </c>
      <c r="K31" s="74">
        <f>K43*Input_CPI!U$19</f>
        <v>0</v>
      </c>
      <c r="L31" s="74">
        <f>L43*Input_CPI!V$19</f>
        <v>0</v>
      </c>
      <c r="M31" s="74">
        <f>M43*Input_CPI!W$19</f>
        <v>0</v>
      </c>
      <c r="N31" s="80">
        <f>N43*Input_CPI!X$19</f>
        <v>0</v>
      </c>
      <c r="O31" s="79">
        <f>O43*Input_CPI!Y$19</f>
        <v>0</v>
      </c>
      <c r="P31" s="74">
        <f>P43*Input_CPI!Z$19</f>
        <v>0</v>
      </c>
      <c r="Q31" s="74">
        <f>Q43*Input_CPI!AA$19</f>
        <v>0</v>
      </c>
      <c r="R31" s="74">
        <f>R43*Input_CPI!AB$19</f>
        <v>0</v>
      </c>
      <c r="S31" s="80">
        <f>S43*Input_CPI!AC$19</f>
        <v>0</v>
      </c>
      <c r="T31" s="79">
        <f>T43*Input_CPI!AD$19</f>
        <v>0</v>
      </c>
      <c r="U31" s="74">
        <f>U43*Input_CPI!AE$19</f>
        <v>0</v>
      </c>
      <c r="V31" s="74">
        <f>V43*Input_CPI!AF$19</f>
        <v>0</v>
      </c>
      <c r="W31" s="74">
        <f>W43*Input_CPI!AG$19</f>
        <v>0</v>
      </c>
      <c r="X31" s="80">
        <f>X43*Input_CPI!AH$19</f>
        <v>0</v>
      </c>
    </row>
    <row r="32" spans="2:24" x14ac:dyDescent="0.2">
      <c r="D32" s="63" t="s">
        <v>596</v>
      </c>
      <c r="E32" s="39" t="str">
        <f>Unit_Dollar_M</f>
        <v>$Million</v>
      </c>
      <c r="F32" s="39" t="str">
        <f>Nominal</f>
        <v>Nominal</v>
      </c>
      <c r="G32" s="39" t="str">
        <f>Mid_Period</f>
        <v>Mid Period</v>
      </c>
      <c r="H32" s="39" t="str">
        <f>H31</f>
        <v>Calculated</v>
      </c>
      <c r="J32" s="79">
        <f>J44*Input_CPI!T$19</f>
        <v>0</v>
      </c>
      <c r="K32" s="74">
        <f>K44*Input_CPI!U$19</f>
        <v>0</v>
      </c>
      <c r="L32" s="74">
        <f>L44*Input_CPI!V$19</f>
        <v>0</v>
      </c>
      <c r="M32" s="74">
        <f>M44*Input_CPI!W$19</f>
        <v>0</v>
      </c>
      <c r="N32" s="80">
        <f>N44*Input_CPI!X$19</f>
        <v>0</v>
      </c>
      <c r="O32" s="79">
        <f>O44*Input_CPI!Y$19</f>
        <v>0</v>
      </c>
      <c r="P32" s="74">
        <f>P44*Input_CPI!Z$19</f>
        <v>0</v>
      </c>
      <c r="Q32" s="74">
        <f>Q44*Input_CPI!AA$19</f>
        <v>0</v>
      </c>
      <c r="R32" s="74">
        <f>R44*Input_CPI!AB$19</f>
        <v>0</v>
      </c>
      <c r="S32" s="80">
        <f>S44*Input_CPI!AC$19</f>
        <v>0</v>
      </c>
      <c r="T32" s="79">
        <f>T44*Input_CPI!AD$19</f>
        <v>0</v>
      </c>
      <c r="U32" s="74">
        <f>U44*Input_CPI!AE$19</f>
        <v>0</v>
      </c>
      <c r="V32" s="74">
        <f>V44*Input_CPI!AF$19</f>
        <v>0</v>
      </c>
      <c r="W32" s="74">
        <f>W44*Input_CPI!AG$19</f>
        <v>0</v>
      </c>
      <c r="X32" s="80">
        <f>X44*Input_CPI!AH$19</f>
        <v>0</v>
      </c>
    </row>
    <row r="33" spans="2:24" x14ac:dyDescent="0.2">
      <c r="E33" s="39"/>
      <c r="F33" s="39"/>
      <c r="G33" s="39"/>
      <c r="H33" s="51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</row>
    <row r="34" spans="2:24" x14ac:dyDescent="0.2">
      <c r="D34" s="104" t="s">
        <v>597</v>
      </c>
      <c r="E34" s="131" t="str">
        <f>Unit_Dollar_M</f>
        <v>$Million</v>
      </c>
      <c r="F34" s="131" t="str">
        <f>Nominal</f>
        <v>Nominal</v>
      </c>
      <c r="G34" s="131" t="str">
        <f>Mid_Period</f>
        <v>Mid Period</v>
      </c>
      <c r="H34" s="131" t="s">
        <v>8</v>
      </c>
      <c r="I34" s="69"/>
      <c r="J34" s="128">
        <f>SUM(J28:J32)</f>
        <v>4.5995647568146412</v>
      </c>
      <c r="K34" s="129">
        <f t="shared" ref="K34:X34" si="3">SUM(K28:K32)</f>
        <v>5.0529714522824039</v>
      </c>
      <c r="L34" s="129">
        <f t="shared" si="3"/>
        <v>5.1383666698259791</v>
      </c>
      <c r="M34" s="129">
        <f t="shared" si="3"/>
        <v>5.2144144965394004</v>
      </c>
      <c r="N34" s="130">
        <f t="shared" si="3"/>
        <v>5.3187027864701868</v>
      </c>
      <c r="O34" s="128">
        <f t="shared" si="3"/>
        <v>6.6059062850846244</v>
      </c>
      <c r="P34" s="129">
        <f t="shared" si="3"/>
        <v>7.3056401497635601</v>
      </c>
      <c r="Q34" s="129">
        <f t="shared" si="3"/>
        <v>7.9360764206383489</v>
      </c>
      <c r="R34" s="129">
        <f t="shared" si="3"/>
        <v>8.6984754821381145</v>
      </c>
      <c r="S34" s="130">
        <f t="shared" si="3"/>
        <v>9.8499076109849106</v>
      </c>
      <c r="T34" s="128">
        <f t="shared" si="3"/>
        <v>11.672907548701556</v>
      </c>
      <c r="U34" s="129">
        <f t="shared" si="3"/>
        <v>13.266115253822463</v>
      </c>
      <c r="V34" s="129">
        <f t="shared" si="3"/>
        <v>14.92379454880507</v>
      </c>
      <c r="W34" s="129">
        <f t="shared" si="3"/>
        <v>16.780635266330439</v>
      </c>
      <c r="X34" s="130">
        <f t="shared" si="3"/>
        <v>18.754323937972472</v>
      </c>
    </row>
    <row r="35" spans="2:24" x14ac:dyDescent="0.2">
      <c r="T35" s="81"/>
      <c r="U35" s="81"/>
      <c r="V35" s="81"/>
      <c r="W35" s="81"/>
      <c r="X35" s="81"/>
    </row>
    <row r="36" spans="2:24" s="121" customFormat="1" ht="15.75" x14ac:dyDescent="0.2">
      <c r="C36" s="121" t="str">
        <f>Real_Input&amp;" - Allowed"</f>
        <v>Real 2024 - Allowed</v>
      </c>
    </row>
    <row r="38" spans="2:24" x14ac:dyDescent="0.2">
      <c r="D38" s="60" t="s">
        <v>56</v>
      </c>
      <c r="E38" s="61" t="str">
        <f>E$4</f>
        <v>Unit</v>
      </c>
      <c r="F38" s="61" t="str">
        <f>F$4</f>
        <v>Basis</v>
      </c>
      <c r="G38" s="61" t="str">
        <f>G$4</f>
        <v>Timing</v>
      </c>
      <c r="H38" s="61" t="str">
        <f>H$4</f>
        <v>Source</v>
      </c>
      <c r="I38" s="60"/>
      <c r="J38" s="62" t="str">
        <f>J$3</f>
        <v>FY15</v>
      </c>
      <c r="K38" s="62" t="str">
        <f t="shared" ref="K38:X38" si="4">K$3</f>
        <v>FY16</v>
      </c>
      <c r="L38" s="62" t="str">
        <f t="shared" si="4"/>
        <v>FY17</v>
      </c>
      <c r="M38" s="62" t="str">
        <f t="shared" si="4"/>
        <v>FY18</v>
      </c>
      <c r="N38" s="62" t="str">
        <f t="shared" si="4"/>
        <v>FY19</v>
      </c>
      <c r="O38" s="62" t="str">
        <f t="shared" si="4"/>
        <v>FY20</v>
      </c>
      <c r="P38" s="62" t="str">
        <f t="shared" si="4"/>
        <v>FY21</v>
      </c>
      <c r="Q38" s="62" t="str">
        <f t="shared" si="4"/>
        <v>FY22</v>
      </c>
      <c r="R38" s="62" t="str">
        <f t="shared" si="4"/>
        <v>FY23</v>
      </c>
      <c r="S38" s="62" t="str">
        <f t="shared" si="4"/>
        <v>FY24</v>
      </c>
      <c r="T38" s="62" t="str">
        <f t="shared" si="4"/>
        <v>FY25</v>
      </c>
      <c r="U38" s="62" t="str">
        <f t="shared" si="4"/>
        <v>FY26</v>
      </c>
      <c r="V38" s="62" t="str">
        <f t="shared" si="4"/>
        <v>FY27</v>
      </c>
      <c r="W38" s="62" t="str">
        <f t="shared" si="4"/>
        <v>FY28</v>
      </c>
      <c r="X38" s="62" t="str">
        <f t="shared" si="4"/>
        <v>FY29</v>
      </c>
    </row>
    <row r="40" spans="2:24" x14ac:dyDescent="0.2">
      <c r="D40" s="63" t="str">
        <f>D28</f>
        <v>Return on capital</v>
      </c>
      <c r="E40" s="39" t="str">
        <f>Unit_Dollar_M</f>
        <v>$Million</v>
      </c>
      <c r="F40" s="39" t="str">
        <f>Real_Input</f>
        <v>Real 2024</v>
      </c>
      <c r="G40" s="39" t="str">
        <f>End_Period</f>
        <v>End Period</v>
      </c>
      <c r="H40" s="39" t="s">
        <v>177</v>
      </c>
      <c r="J40" s="79">
        <f>Input_AMI!J32*Input_CPI!T$15</f>
        <v>1.394411273884189</v>
      </c>
      <c r="K40" s="74">
        <f>Input_AMI!K32*Input_CPI!U$15</f>
        <v>1.5696886037713376</v>
      </c>
      <c r="L40" s="74">
        <f>Input_AMI!L32*Input_CPI!V$15</f>
        <v>1.6373910012026565</v>
      </c>
      <c r="M40" s="74">
        <f>Input_AMI!M32*Input_CPI!W$15</f>
        <v>1.669642078937831</v>
      </c>
      <c r="N40" s="80">
        <f>Input_AMI!N32*Input_CPI!X$15</f>
        <v>1.72385744511525</v>
      </c>
      <c r="O40" s="79">
        <f>Input_AMI!O32*Input_CPI!Y$16</f>
        <v>0.80746775358258893</v>
      </c>
      <c r="P40" s="74">
        <f>Input_AMI!P32*Input_CPI!Z$16</f>
        <v>1.1524169708430168</v>
      </c>
      <c r="Q40" s="74">
        <f>Input_AMI!Q32*Input_CPI!AA$16</f>
        <v>1.2876305826031953</v>
      </c>
      <c r="R40" s="74">
        <f>Input_AMI!R32*Input_CPI!AB$16</f>
        <v>1.421043689925384</v>
      </c>
      <c r="S40" s="80">
        <f>Input_AMI!S32*Input_CPI!AC$16</f>
        <v>1.7649270992630139</v>
      </c>
      <c r="T40" s="79">
        <f>Input_AMI!T32</f>
        <v>2.6469937319325036</v>
      </c>
      <c r="U40" s="74">
        <f>Input_AMI!U32</f>
        <v>3.2164371712739315</v>
      </c>
      <c r="V40" s="74">
        <f>Input_AMI!V32</f>
        <v>3.7700339408515418</v>
      </c>
      <c r="W40" s="74">
        <f>Input_AMI!W32</f>
        <v>4.3057878439251231</v>
      </c>
      <c r="X40" s="80">
        <f>Input_AMI!X32</f>
        <v>4.908119789874628</v>
      </c>
    </row>
    <row r="41" spans="2:24" x14ac:dyDescent="0.2">
      <c r="D41" s="63" t="str">
        <f t="shared" ref="D41:D46" si="5">D29</f>
        <v>Return of capital (regulatory depreciation)</v>
      </c>
      <c r="E41" s="39" t="str">
        <f>Unit_Dollar_M</f>
        <v>$Million</v>
      </c>
      <c r="F41" s="39" t="str">
        <f>Real_Input</f>
        <v>Real 2024</v>
      </c>
      <c r="G41" s="39" t="str">
        <f>End_Period</f>
        <v>End Period</v>
      </c>
      <c r="H41" s="39" t="str">
        <f>H40</f>
        <v>Input_AMI</v>
      </c>
      <c r="J41" s="79">
        <f>Input_AMI!J33*Input_CPI!T$15</f>
        <v>0.99006240266489309</v>
      </c>
      <c r="K41" s="74">
        <f>Input_AMI!K33*Input_CPI!U$15</f>
        <v>1.1753321949980029</v>
      </c>
      <c r="L41" s="74">
        <f>Input_AMI!L33*Input_CPI!V$15</f>
        <v>1.0557842982919445</v>
      </c>
      <c r="M41" s="74">
        <f>Input_AMI!M33*Input_CPI!W$15</f>
        <v>1.1480014385182091</v>
      </c>
      <c r="N41" s="80">
        <f>Input_AMI!N33*Input_CPI!X$15</f>
        <v>1.2685595697669574</v>
      </c>
      <c r="O41" s="79">
        <f>Input_AMI!O33*Input_CPI!Y$16</f>
        <v>0.60603745916627894</v>
      </c>
      <c r="P41" s="74">
        <f>Input_AMI!P33*Input_CPI!Z$16</f>
        <v>1.0449003787708968</v>
      </c>
      <c r="Q41" s="74">
        <f>Input_AMI!Q33*Input_CPI!AA$16</f>
        <v>1.2862760900528358</v>
      </c>
      <c r="R41" s="74">
        <f>Input_AMI!R33*Input_CPI!AB$16</f>
        <v>1.5398942515041245</v>
      </c>
      <c r="S41" s="80">
        <f>Input_AMI!S33*Input_CPI!AC$16</f>
        <v>2.0225970318511157</v>
      </c>
      <c r="T41" s="79">
        <f>Input_AMI!T33</f>
        <v>2.2937825388517505</v>
      </c>
      <c r="U41" s="74">
        <f>Input_AMI!U33</f>
        <v>2.8727321488314117</v>
      </c>
      <c r="V41" s="74">
        <f>Input_AMI!V33</f>
        <v>3.4463377269893192</v>
      </c>
      <c r="W41" s="74">
        <f>Input_AMI!W33</f>
        <v>4.1402003210108624</v>
      </c>
      <c r="X41" s="80">
        <f>Input_AMI!X33</f>
        <v>4.8027950552612602</v>
      </c>
    </row>
    <row r="42" spans="2:24" x14ac:dyDescent="0.2">
      <c r="D42" s="63" t="str">
        <f t="shared" si="5"/>
        <v>Operating expenditure</v>
      </c>
      <c r="E42" s="39" t="str">
        <f>Unit_Dollar_M</f>
        <v>$Million</v>
      </c>
      <c r="F42" s="39" t="str">
        <f>Real_Input</f>
        <v>Real 2024</v>
      </c>
      <c r="G42" s="39" t="str">
        <f>End_Period</f>
        <v>End Period</v>
      </c>
      <c r="H42" s="39" t="str">
        <f>H41</f>
        <v>Input_AMI</v>
      </c>
      <c r="J42" s="79">
        <f>Input_AMI!J34*Input_CPI!T$15</f>
        <v>3.586644796595623</v>
      </c>
      <c r="K42" s="74">
        <f>Input_AMI!K34*Input_CPI!U$15</f>
        <v>3.7326498441080913</v>
      </c>
      <c r="L42" s="74">
        <f>Input_AMI!L34*Input_CPI!V$15</f>
        <v>3.7980626827019437</v>
      </c>
      <c r="M42" s="74">
        <f>Input_AMI!M34*Input_CPI!W$15</f>
        <v>3.6401429561158278</v>
      </c>
      <c r="N42" s="80">
        <f>Input_AMI!N34*Input_CPI!X$15</f>
        <v>3.4758318230631748</v>
      </c>
      <c r="O42" s="79">
        <f>Input_AMI!O34*Input_CPI!Y$16</f>
        <v>6.5708456762364635</v>
      </c>
      <c r="P42" s="74">
        <f>Input_AMI!P34*Input_CPI!Z$16</f>
        <v>6.4828521674567758</v>
      </c>
      <c r="Q42" s="74">
        <f>Input_AMI!Q34*Input_CPI!AA$16</f>
        <v>6.4072286528105806</v>
      </c>
      <c r="R42" s="74">
        <f>Input_AMI!R34*Input_CPI!AB$16</f>
        <v>6.3182732547463356</v>
      </c>
      <c r="S42" s="80">
        <f>Input_AMI!S34*Input_CPI!AC$16</f>
        <v>6.2381142237716212</v>
      </c>
      <c r="T42" s="79">
        <f>Input_AMI!T34</f>
        <v>6.572076500624072</v>
      </c>
      <c r="U42" s="74">
        <f>Input_AMI!U34</f>
        <v>6.6386933589378012</v>
      </c>
      <c r="V42" s="74">
        <f>Input_AMI!V34</f>
        <v>6.7119499541636438</v>
      </c>
      <c r="W42" s="74">
        <f>Input_AMI!W34</f>
        <v>6.7887759029885801</v>
      </c>
      <c r="X42" s="80">
        <f>Input_AMI!X34</f>
        <v>6.8519919588775391</v>
      </c>
    </row>
    <row r="43" spans="2:24" x14ac:dyDescent="0.2">
      <c r="D43" s="63" t="str">
        <f t="shared" si="5"/>
        <v>Revenue adjustments</v>
      </c>
      <c r="E43" s="39" t="str">
        <f>Unit_Dollar_M</f>
        <v>$Million</v>
      </c>
      <c r="F43" s="39" t="str">
        <f>Real_Input</f>
        <v>Real 2024</v>
      </c>
      <c r="G43" s="39" t="str">
        <f>End_Period</f>
        <v>End Period</v>
      </c>
      <c r="H43" s="39" t="str">
        <f>H42</f>
        <v>Input_AMI</v>
      </c>
      <c r="J43" s="79">
        <f>Input_AMI!J35*Input_CPI!T$15</f>
        <v>0</v>
      </c>
      <c r="K43" s="74">
        <f>Input_AMI!K35*Input_CPI!U$15</f>
        <v>0</v>
      </c>
      <c r="L43" s="74">
        <f>Input_AMI!L35*Input_CPI!V$15</f>
        <v>0</v>
      </c>
      <c r="M43" s="74">
        <f>Input_AMI!M35*Input_CPI!W$15</f>
        <v>0</v>
      </c>
      <c r="N43" s="80">
        <f>Input_AMI!N35*Input_CPI!X$15</f>
        <v>0</v>
      </c>
      <c r="O43" s="79">
        <f>Input_AMI!O35*Input_CPI!Y$16</f>
        <v>0</v>
      </c>
      <c r="P43" s="74">
        <f>Input_AMI!P35*Input_CPI!Z$16</f>
        <v>0</v>
      </c>
      <c r="Q43" s="74">
        <f>Input_AMI!Q35*Input_CPI!AA$16</f>
        <v>0</v>
      </c>
      <c r="R43" s="74">
        <f>Input_AMI!R35*Input_CPI!AB$16</f>
        <v>0</v>
      </c>
      <c r="S43" s="80">
        <f>Input_AMI!S35*Input_CPI!AC$16</f>
        <v>0</v>
      </c>
      <c r="T43" s="79">
        <f>Input_AMI!T35</f>
        <v>0</v>
      </c>
      <c r="U43" s="74">
        <f>Input_AMI!U35</f>
        <v>0</v>
      </c>
      <c r="V43" s="74">
        <f>Input_AMI!V35</f>
        <v>0</v>
      </c>
      <c r="W43" s="74">
        <f>Input_AMI!W35</f>
        <v>0</v>
      </c>
      <c r="X43" s="80">
        <f>Input_AMI!X35</f>
        <v>0</v>
      </c>
    </row>
    <row r="44" spans="2:24" x14ac:dyDescent="0.2">
      <c r="D44" s="63" t="str">
        <f t="shared" si="5"/>
        <v>Net tax allowance</v>
      </c>
      <c r="E44" s="39" t="str">
        <f>Unit_Dollar_M</f>
        <v>$Million</v>
      </c>
      <c r="F44" s="39" t="str">
        <f>Real_Input</f>
        <v>Real 2024</v>
      </c>
      <c r="G44" s="39" t="str">
        <f>End_Period</f>
        <v>End Period</v>
      </c>
      <c r="H44" s="39" t="str">
        <f>H43</f>
        <v>Input_AMI</v>
      </c>
      <c r="J44" s="79">
        <f>Input_AMI!J36*Input_CPI!T$15</f>
        <v>0</v>
      </c>
      <c r="K44" s="74">
        <f>Input_AMI!K36*Input_CPI!U$15</f>
        <v>0</v>
      </c>
      <c r="L44" s="74">
        <f>Input_AMI!L36*Input_CPI!V$15</f>
        <v>0</v>
      </c>
      <c r="M44" s="74">
        <f>Input_AMI!M36*Input_CPI!W$15</f>
        <v>0</v>
      </c>
      <c r="N44" s="80">
        <f>Input_AMI!N36*Input_CPI!X$15</f>
        <v>0</v>
      </c>
      <c r="O44" s="79">
        <f>Input_AMI!O36*Input_CPI!Y$16</f>
        <v>0</v>
      </c>
      <c r="P44" s="74">
        <f>Input_AMI!P36*Input_CPI!Z$16</f>
        <v>0</v>
      </c>
      <c r="Q44" s="74">
        <f>Input_AMI!Q36*Input_CPI!AA$16</f>
        <v>0</v>
      </c>
      <c r="R44" s="74">
        <f>Input_AMI!R36*Input_CPI!AB$16</f>
        <v>0</v>
      </c>
      <c r="S44" s="80">
        <f>Input_AMI!S36*Input_CPI!AC$16</f>
        <v>0</v>
      </c>
      <c r="T44" s="79">
        <f>Input_AMI!T36</f>
        <v>0</v>
      </c>
      <c r="U44" s="74">
        <f>Input_AMI!U36</f>
        <v>0</v>
      </c>
      <c r="V44" s="74">
        <f>Input_AMI!V36</f>
        <v>0</v>
      </c>
      <c r="W44" s="74">
        <f>Input_AMI!W36</f>
        <v>0</v>
      </c>
      <c r="X44" s="80">
        <f>Input_AMI!X36</f>
        <v>0</v>
      </c>
    </row>
    <row r="45" spans="2:24" x14ac:dyDescent="0.2">
      <c r="E45" s="39"/>
      <c r="F45" s="39"/>
      <c r="G45" s="39"/>
      <c r="H45" s="51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</row>
    <row r="46" spans="2:24" x14ac:dyDescent="0.2">
      <c r="D46" s="104" t="str">
        <f t="shared" si="5"/>
        <v>Annual building block revenue</v>
      </c>
      <c r="E46" s="131" t="str">
        <f>Unit_Dollar_M</f>
        <v>$Million</v>
      </c>
      <c r="F46" s="131" t="str">
        <f>Real_Input</f>
        <v>Real 2024</v>
      </c>
      <c r="G46" s="131" t="str">
        <f>End_Period</f>
        <v>End Period</v>
      </c>
      <c r="H46" s="131" t="s">
        <v>8</v>
      </c>
      <c r="I46" s="69"/>
      <c r="J46" s="128">
        <f>SUM(J40:J44)</f>
        <v>5.9711184731447045</v>
      </c>
      <c r="K46" s="129">
        <f t="shared" ref="K46:X46" si="6">SUM(K40:K44)</f>
        <v>6.477670642877432</v>
      </c>
      <c r="L46" s="129">
        <f t="shared" si="6"/>
        <v>6.4912379821965445</v>
      </c>
      <c r="M46" s="129">
        <f t="shared" si="6"/>
        <v>6.4577864735718684</v>
      </c>
      <c r="N46" s="130">
        <f t="shared" si="6"/>
        <v>6.4682488379453815</v>
      </c>
      <c r="O46" s="128">
        <f t="shared" si="6"/>
        <v>7.9843508889853316</v>
      </c>
      <c r="P46" s="129">
        <f t="shared" si="6"/>
        <v>8.6801695170706896</v>
      </c>
      <c r="Q46" s="129">
        <f t="shared" si="6"/>
        <v>8.981135325466612</v>
      </c>
      <c r="R46" s="129">
        <f t="shared" si="6"/>
        <v>9.2792111961758437</v>
      </c>
      <c r="S46" s="130">
        <f t="shared" si="6"/>
        <v>10.02563835488575</v>
      </c>
      <c r="T46" s="128">
        <f t="shared" si="6"/>
        <v>11.512852771408326</v>
      </c>
      <c r="U46" s="129">
        <f t="shared" si="6"/>
        <v>12.727862679043145</v>
      </c>
      <c r="V46" s="129">
        <f t="shared" si="6"/>
        <v>13.928321622004503</v>
      </c>
      <c r="W46" s="129">
        <f t="shared" si="6"/>
        <v>15.234764067924566</v>
      </c>
      <c r="X46" s="130">
        <f t="shared" si="6"/>
        <v>16.56290680401343</v>
      </c>
    </row>
    <row r="48" spans="2:24" s="6" customFormat="1" ht="18.75" x14ac:dyDescent="0.2">
      <c r="B48" s="6" t="s">
        <v>626</v>
      </c>
    </row>
    <row r="50" spans="2:24" s="121" customFormat="1" ht="15.75" x14ac:dyDescent="0.2">
      <c r="C50" s="121" t="str">
        <f>Nominal</f>
        <v>Nominal</v>
      </c>
    </row>
    <row r="52" spans="2:24" x14ac:dyDescent="0.2">
      <c r="D52" s="60" t="s">
        <v>56</v>
      </c>
      <c r="E52" s="61" t="str">
        <f>E$4</f>
        <v>Unit</v>
      </c>
      <c r="F52" s="61" t="str">
        <f>F$4</f>
        <v>Basis</v>
      </c>
      <c r="G52" s="61" t="str">
        <f>G$4</f>
        <v>Timing</v>
      </c>
      <c r="H52" s="61" t="str">
        <f>H$4</f>
        <v>Source</v>
      </c>
      <c r="I52" s="60"/>
      <c r="J52" s="62" t="str">
        <f>J$3</f>
        <v>FY15</v>
      </c>
      <c r="K52" s="62" t="str">
        <f t="shared" ref="K52:X52" si="7">K$3</f>
        <v>FY16</v>
      </c>
      <c r="L52" s="62" t="str">
        <f t="shared" si="7"/>
        <v>FY17</v>
      </c>
      <c r="M52" s="62" t="str">
        <f t="shared" si="7"/>
        <v>FY18</v>
      </c>
      <c r="N52" s="62" t="str">
        <f t="shared" si="7"/>
        <v>FY19</v>
      </c>
      <c r="O52" s="62" t="str">
        <f t="shared" si="7"/>
        <v>FY20</v>
      </c>
      <c r="P52" s="62" t="str">
        <f t="shared" si="7"/>
        <v>FY21</v>
      </c>
      <c r="Q52" s="62" t="str">
        <f t="shared" si="7"/>
        <v>FY22</v>
      </c>
      <c r="R52" s="62" t="str">
        <f t="shared" si="7"/>
        <v>FY23</v>
      </c>
      <c r="S52" s="62" t="str">
        <f t="shared" si="7"/>
        <v>FY24</v>
      </c>
      <c r="T52" s="62" t="str">
        <f t="shared" si="7"/>
        <v>FY25</v>
      </c>
      <c r="U52" s="62" t="str">
        <f t="shared" si="7"/>
        <v>FY26</v>
      </c>
      <c r="V52" s="62" t="str">
        <f t="shared" si="7"/>
        <v>FY27</v>
      </c>
      <c r="W52" s="62" t="str">
        <f t="shared" si="7"/>
        <v>FY28</v>
      </c>
      <c r="X52" s="62" t="str">
        <f t="shared" si="7"/>
        <v>FY29</v>
      </c>
    </row>
    <row r="54" spans="2:24" x14ac:dyDescent="0.2">
      <c r="D54" s="63" t="s">
        <v>173</v>
      </c>
      <c r="E54" s="39" t="str">
        <f>Unit_Dollar_M</f>
        <v>$Million</v>
      </c>
      <c r="F54" s="39" t="str">
        <f>Nominal</f>
        <v>Nominal</v>
      </c>
      <c r="G54" s="39" t="str">
        <f>Mid_Period</f>
        <v>Mid Period</v>
      </c>
      <c r="H54" s="39" t="s">
        <v>8</v>
      </c>
      <c r="J54" s="79">
        <f>J61*Input_CPI!T$19</f>
        <v>2.7627998131053082</v>
      </c>
      <c r="K54" s="74">
        <f>K61*Input_CPI!U$19</f>
        <v>2.911690659108034</v>
      </c>
      <c r="L54" s="74">
        <f>L61*Input_CPI!V$19</f>
        <v>3.0064894789301224</v>
      </c>
      <c r="M54" s="74">
        <f>M61*Input_CPI!W$19</f>
        <v>2.9392755981520482</v>
      </c>
      <c r="N54" s="80">
        <f>N61*Input_CPI!X$19</f>
        <v>2.8581022260887794</v>
      </c>
      <c r="O54" s="79">
        <f>O61*Input_CPI!Y$19</f>
        <v>5.4294642946123233</v>
      </c>
      <c r="P54" s="74">
        <f>P61*Input_CPI!Z$19</f>
        <v>5.4461563151665269</v>
      </c>
      <c r="Q54" s="74">
        <f>Q61*Input_CPI!AA$19</f>
        <v>5.6498044793854758</v>
      </c>
      <c r="R54" s="74">
        <f>R61*Input_CPI!AB$19</f>
        <v>5.908950649388899</v>
      </c>
      <c r="S54" s="80">
        <f>S61*Input_CPI!AC$19</f>
        <v>6.1106834307982911</v>
      </c>
      <c r="T54" s="79">
        <f>T61*Input_CPI!AD$19</f>
        <v>6.6377445153585288</v>
      </c>
      <c r="U54" s="74">
        <f>U61*Input_CPI!AE$19</f>
        <v>6.8880800650615388</v>
      </c>
      <c r="V54" s="74">
        <f>V61*Input_CPI!AF$19</f>
        <v>7.1547293019420861</v>
      </c>
      <c r="W54" s="74">
        <f>W61*Input_CPI!AG$19</f>
        <v>7.4352309308715316</v>
      </c>
      <c r="X54" s="80">
        <f>X61*Input_CPI!AH$19</f>
        <v>7.7099582693540709</v>
      </c>
    </row>
    <row r="55" spans="2:24" x14ac:dyDescent="0.2">
      <c r="D55" s="63" t="s">
        <v>60</v>
      </c>
      <c r="E55" s="39" t="str">
        <f>Unit_Dollar_M</f>
        <v>$Million</v>
      </c>
      <c r="F55" s="39" t="str">
        <f>Nominal</f>
        <v>Nominal</v>
      </c>
      <c r="G55" s="39" t="str">
        <f>Mid_Period</f>
        <v>Mid Period</v>
      </c>
      <c r="H55" s="39" t="str">
        <f>H54</f>
        <v>Calculated</v>
      </c>
      <c r="J55" s="79">
        <f>J62*Input_CPI!T$19</f>
        <v>3.5866447965956234</v>
      </c>
      <c r="K55" s="74">
        <f>K62*Input_CPI!U$19</f>
        <v>3.7326498441080913</v>
      </c>
      <c r="L55" s="74">
        <f>L62*Input_CPI!V$19</f>
        <v>3.7980626827019441</v>
      </c>
      <c r="M55" s="74">
        <f>M62*Input_CPI!W$19</f>
        <v>3.6401429561158274</v>
      </c>
      <c r="N55" s="80">
        <f>N62*Input_CPI!X$19</f>
        <v>3.4758318230631753</v>
      </c>
      <c r="O55" s="79">
        <f>O62*Input_CPI!Y$19</f>
        <v>6.3250294457552698</v>
      </c>
      <c r="P55" s="74">
        <f>P62*Input_CPI!Z$19</f>
        <v>6.6140972828073483</v>
      </c>
      <c r="Q55" s="154">
        <f>Q62*Input_CPI!AA$19</f>
        <v>6.2454269999307384</v>
      </c>
      <c r="R55" s="74">
        <f>R62*Input_CPI!AB$19</f>
        <v>5.9189478129569837</v>
      </c>
      <c r="S55" s="80">
        <f>S62*Input_CPI!AC$19</f>
        <v>6.2671789616123492</v>
      </c>
      <c r="T55" s="79" t="e">
        <f>T62/Input_CPI!AD$20</f>
        <v>#N/A</v>
      </c>
      <c r="U55" s="74" t="e">
        <f>U62/Input_CPI!AE$20</f>
        <v>#N/A</v>
      </c>
      <c r="V55" s="74" t="e">
        <f>V62/Input_CPI!AF$20</f>
        <v>#N/A</v>
      </c>
      <c r="W55" s="74" t="e">
        <f>W62/Input_CPI!AG$20</f>
        <v>#N/A</v>
      </c>
      <c r="X55" s="80" t="e">
        <f>X62/Input_CPI!AH$20</f>
        <v>#N/A</v>
      </c>
    </row>
    <row r="57" spans="2:24" s="121" customFormat="1" ht="15.75" x14ac:dyDescent="0.2">
      <c r="C57" s="121" t="str">
        <f>Real_Input</f>
        <v>Real 2024</v>
      </c>
    </row>
    <row r="59" spans="2:24" x14ac:dyDescent="0.2">
      <c r="D59" s="60" t="s">
        <v>56</v>
      </c>
      <c r="E59" s="61" t="str">
        <f>E$4</f>
        <v>Unit</v>
      </c>
      <c r="F59" s="61" t="str">
        <f>F$4</f>
        <v>Basis</v>
      </c>
      <c r="G59" s="61" t="str">
        <f>G$4</f>
        <v>Timing</v>
      </c>
      <c r="H59" s="61" t="str">
        <f>H$4</f>
        <v>Source</v>
      </c>
      <c r="I59" s="60"/>
      <c r="J59" s="62" t="str">
        <f>J$3</f>
        <v>FY15</v>
      </c>
      <c r="K59" s="62" t="str">
        <f t="shared" ref="K59:X59" si="8">K$3</f>
        <v>FY16</v>
      </c>
      <c r="L59" s="62" t="str">
        <f t="shared" si="8"/>
        <v>FY17</v>
      </c>
      <c r="M59" s="62" t="str">
        <f t="shared" si="8"/>
        <v>FY18</v>
      </c>
      <c r="N59" s="62" t="str">
        <f t="shared" si="8"/>
        <v>FY19</v>
      </c>
      <c r="O59" s="62" t="str">
        <f t="shared" si="8"/>
        <v>FY20</v>
      </c>
      <c r="P59" s="62" t="str">
        <f t="shared" si="8"/>
        <v>FY21</v>
      </c>
      <c r="Q59" s="62" t="str">
        <f t="shared" si="8"/>
        <v>FY22</v>
      </c>
      <c r="R59" s="62" t="str">
        <f t="shared" si="8"/>
        <v>FY23</v>
      </c>
      <c r="S59" s="62" t="str">
        <f t="shared" si="8"/>
        <v>FY24</v>
      </c>
      <c r="T59" s="62" t="str">
        <f t="shared" si="8"/>
        <v>FY25</v>
      </c>
      <c r="U59" s="62" t="str">
        <f t="shared" si="8"/>
        <v>FY26</v>
      </c>
      <c r="V59" s="62" t="str">
        <f t="shared" si="8"/>
        <v>FY27</v>
      </c>
      <c r="W59" s="62" t="str">
        <f t="shared" si="8"/>
        <v>FY28</v>
      </c>
      <c r="X59" s="62" t="str">
        <f t="shared" si="8"/>
        <v>FY29</v>
      </c>
    </row>
    <row r="61" spans="2:24" x14ac:dyDescent="0.2">
      <c r="D61" s="63" t="s">
        <v>173</v>
      </c>
      <c r="E61" s="39" t="str">
        <f>Unit_Dollar_M</f>
        <v>$Million</v>
      </c>
      <c r="F61" s="39" t="str">
        <f>Real_Input</f>
        <v>Real 2024</v>
      </c>
      <c r="G61" s="39" t="str">
        <f>End_Period</f>
        <v>End Period</v>
      </c>
      <c r="H61" s="39" t="s">
        <v>177</v>
      </c>
      <c r="J61" s="79">
        <f>Input_AMI!J$49*Input_CPI!T$15</f>
        <v>3.586644796595623</v>
      </c>
      <c r="K61" s="74">
        <f>Input_AMI!K$49*Input_CPI!U$15</f>
        <v>3.7326498441080913</v>
      </c>
      <c r="L61" s="74">
        <f>Input_AMI!L$49*Input_CPI!V$15</f>
        <v>3.7980626827019437</v>
      </c>
      <c r="M61" s="74">
        <f>Input_AMI!M$49*Input_CPI!W$15</f>
        <v>3.6401429561158278</v>
      </c>
      <c r="N61" s="80">
        <f>Input_AMI!N$49*Input_CPI!X$15</f>
        <v>3.4758318230631748</v>
      </c>
      <c r="O61" s="79">
        <f>Input_AMI!O$49*Input_CPI!Y$16</f>
        <v>6.5624225044310744</v>
      </c>
      <c r="P61" s="74">
        <f>Input_AMI!P$49*Input_CPI!Z$16</f>
        <v>6.4708306271614653</v>
      </c>
      <c r="Q61" s="74">
        <f>Input_AMI!Q$49*Input_CPI!AA$16</f>
        <v>6.3937966196785849</v>
      </c>
      <c r="R61" s="74">
        <f>Input_AMI!R$49*Input_CPI!AB$16</f>
        <v>6.3034495109000979</v>
      </c>
      <c r="S61" s="80">
        <f>Input_AMI!S$49*Input_CPI!AC$16</f>
        <v>6.2197032295057575</v>
      </c>
      <c r="T61" s="79">
        <f>Input_AMI!T$49</f>
        <v>6.5467301116461263</v>
      </c>
      <c r="U61" s="74">
        <f>Input_AMI!U$49</f>
        <v>6.6086066277086415</v>
      </c>
      <c r="V61" s="74">
        <f>Input_AMI!V$49</f>
        <v>6.6774820914301767</v>
      </c>
      <c r="W61" s="74">
        <f>Input_AMI!W$49</f>
        <v>6.7502801428287933</v>
      </c>
      <c r="X61" s="80">
        <f>Input_AMI!X$49</f>
        <v>6.8090601772952892</v>
      </c>
    </row>
    <row r="62" spans="2:24" x14ac:dyDescent="0.2">
      <c r="D62" s="63" t="s">
        <v>60</v>
      </c>
      <c r="E62" s="39" t="str">
        <f>Unit_Dollar_M</f>
        <v>$Million</v>
      </c>
      <c r="F62" s="39" t="str">
        <f>Real_Input</f>
        <v>Real 2024</v>
      </c>
      <c r="G62" s="39" t="str">
        <f>End_Period</f>
        <v>End Period</v>
      </c>
      <c r="H62" s="39" t="s">
        <v>177</v>
      </c>
      <c r="J62" s="79">
        <f>Input_AMI!J$50*Input_CPI!T$20</f>
        <v>4.6561538175607682</v>
      </c>
      <c r="K62" s="74">
        <f>Input_AMI!K$50*Input_CPI!U$20</f>
        <v>4.7850807279741341</v>
      </c>
      <c r="L62" s="74">
        <f>Input_AMI!L$50*Input_CPI!V$20</f>
        <v>4.7980477706066713</v>
      </c>
      <c r="M62" s="74">
        <f>Input_AMI!M$50*Input_CPI!W$20</f>
        <v>4.5081314420772536</v>
      </c>
      <c r="N62" s="80">
        <f>Input_AMI!N$50*Input_CPI!X$20</f>
        <v>4.2270730388645648</v>
      </c>
      <c r="O62" s="79">
        <f>Input_AMI!O$50*Input_CPI!Y$20</f>
        <v>7.6448638988567703</v>
      </c>
      <c r="P62" s="74">
        <f>Input_AMI!P$50*Input_CPI!Z$20</f>
        <v>7.8585153990951069</v>
      </c>
      <c r="Q62" s="74">
        <f>Input_AMI!Q$50*Input_CPI!AA$20</f>
        <v>7.0678534427707991</v>
      </c>
      <c r="R62" s="74">
        <f>Input_AMI!R$50*Input_CPI!AB$20</f>
        <v>6.3141141144046387</v>
      </c>
      <c r="S62" s="80">
        <f>Input_AMI!S$50*Input_CPI!AC$20</f>
        <v>6.3789907739237242</v>
      </c>
      <c r="T62" s="79" t="e">
        <f>NA()</f>
        <v>#N/A</v>
      </c>
      <c r="U62" s="74" t="e">
        <f>NA()</f>
        <v>#N/A</v>
      </c>
      <c r="V62" s="74" t="e">
        <f>NA()</f>
        <v>#N/A</v>
      </c>
      <c r="W62" s="74" t="e">
        <f>NA()</f>
        <v>#N/A</v>
      </c>
      <c r="X62" s="80" t="e">
        <f>NA()</f>
        <v>#N/A</v>
      </c>
    </row>
    <row r="64" spans="2:24" s="6" customFormat="1" ht="18.75" x14ac:dyDescent="0.2">
      <c r="B64" s="6" t="s">
        <v>627</v>
      </c>
    </row>
    <row r="66" spans="3:24" s="121" customFormat="1" ht="15.75" x14ac:dyDescent="0.2">
      <c r="C66" s="121" t="str">
        <f>Nominal&amp;" - Allowed"</f>
        <v>Nominal - Allowed</v>
      </c>
    </row>
    <row r="68" spans="3:24" x14ac:dyDescent="0.2">
      <c r="D68" s="60" t="s">
        <v>56</v>
      </c>
      <c r="E68" s="61" t="str">
        <f>E$4</f>
        <v>Unit</v>
      </c>
      <c r="F68" s="61" t="str">
        <f>F$4</f>
        <v>Basis</v>
      </c>
      <c r="G68" s="61" t="str">
        <f>G$4</f>
        <v>Timing</v>
      </c>
      <c r="H68" s="61" t="str">
        <f>H$4</f>
        <v>Source</v>
      </c>
      <c r="I68" s="60"/>
      <c r="J68" s="62" t="str">
        <f>J$3</f>
        <v>FY15</v>
      </c>
      <c r="K68" s="62" t="str">
        <f t="shared" ref="K68:X68" si="9">K$3</f>
        <v>FY16</v>
      </c>
      <c r="L68" s="62" t="str">
        <f t="shared" si="9"/>
        <v>FY17</v>
      </c>
      <c r="M68" s="62" t="str">
        <f t="shared" si="9"/>
        <v>FY18</v>
      </c>
      <c r="N68" s="62" t="str">
        <f t="shared" si="9"/>
        <v>FY19</v>
      </c>
      <c r="O68" s="62" t="str">
        <f t="shared" si="9"/>
        <v>FY20</v>
      </c>
      <c r="P68" s="62" t="str">
        <f t="shared" si="9"/>
        <v>FY21</v>
      </c>
      <c r="Q68" s="62" t="str">
        <f t="shared" si="9"/>
        <v>FY22</v>
      </c>
      <c r="R68" s="62" t="str">
        <f t="shared" si="9"/>
        <v>FY23</v>
      </c>
      <c r="S68" s="62" t="str">
        <f t="shared" si="9"/>
        <v>FY24</v>
      </c>
      <c r="T68" s="62" t="str">
        <f t="shared" si="9"/>
        <v>FY25</v>
      </c>
      <c r="U68" s="62" t="str">
        <f t="shared" si="9"/>
        <v>FY26</v>
      </c>
      <c r="V68" s="62" t="str">
        <f t="shared" si="9"/>
        <v>FY27</v>
      </c>
      <c r="W68" s="62" t="str">
        <f t="shared" si="9"/>
        <v>FY28</v>
      </c>
      <c r="X68" s="62" t="str">
        <f t="shared" si="9"/>
        <v>FY29</v>
      </c>
    </row>
    <row r="70" spans="3:24" x14ac:dyDescent="0.2">
      <c r="D70" s="63" t="str">
        <f>Input_General!$E$80</f>
        <v>Mechanical Meters</v>
      </c>
      <c r="E70" s="39" t="str">
        <f t="shared" ref="E70:E80" si="10">Unit_Dollar_M</f>
        <v>$Million</v>
      </c>
      <c r="F70" s="39" t="str">
        <f t="shared" ref="F70:F80" si="11">Nominal</f>
        <v>Nominal</v>
      </c>
      <c r="G70" s="39" t="str">
        <f t="shared" ref="G70:G80" si="12">Mid_Period</f>
        <v>Mid Period</v>
      </c>
      <c r="H70" s="39" t="s">
        <v>8</v>
      </c>
      <c r="J70" s="79">
        <f>J88*Input_CPI!T$19</f>
        <v>2.0580546220427673</v>
      </c>
      <c r="K70" s="74">
        <f>K88*Input_CPI!U$19</f>
        <v>2.4414851769192407</v>
      </c>
      <c r="L70" s="74">
        <f>L88*Input_CPI!V$19</f>
        <v>3.8426733894900993</v>
      </c>
      <c r="M70" s="74">
        <f>M88*Input_CPI!W$19</f>
        <v>3.5460025159123827</v>
      </c>
      <c r="N70" s="80">
        <f>N88*Input_CPI!X$19</f>
        <v>1.5401820696822002</v>
      </c>
      <c r="O70" s="79">
        <f>O88*Input_CPI!Y$19</f>
        <v>0</v>
      </c>
      <c r="P70" s="74">
        <f>P88*Input_CPI!Z$19</f>
        <v>0</v>
      </c>
      <c r="Q70" s="74">
        <f>Q88*Input_CPI!AA$19</f>
        <v>0</v>
      </c>
      <c r="R70" s="74">
        <f>R88*Input_CPI!AB$19</f>
        <v>0</v>
      </c>
      <c r="S70" s="80">
        <f>S88*Input_CPI!AC$19</f>
        <v>0</v>
      </c>
      <c r="T70" s="79">
        <f>T88*Input_CPI!AD$19</f>
        <v>0</v>
      </c>
      <c r="U70" s="74">
        <f>U88*Input_CPI!AE$19</f>
        <v>0</v>
      </c>
      <c r="V70" s="74">
        <f>V88*Input_CPI!AF$19</f>
        <v>0</v>
      </c>
      <c r="W70" s="74">
        <f>W88*Input_CPI!AG$19</f>
        <v>0</v>
      </c>
      <c r="X70" s="80">
        <f>X88*Input_CPI!AH$19</f>
        <v>0</v>
      </c>
    </row>
    <row r="71" spans="3:24" x14ac:dyDescent="0.2">
      <c r="D71" s="63" t="str">
        <f>Input_General!$E$81</f>
        <v>Electronic Meters</v>
      </c>
      <c r="E71" s="39" t="str">
        <f t="shared" si="10"/>
        <v>$Million</v>
      </c>
      <c r="F71" s="39" t="str">
        <f t="shared" si="11"/>
        <v>Nominal</v>
      </c>
      <c r="G71" s="39" t="str">
        <f t="shared" si="12"/>
        <v>Mid Period</v>
      </c>
      <c r="H71" s="39" t="str">
        <f>H70</f>
        <v>Calculated</v>
      </c>
      <c r="J71" s="79">
        <f>J89*Input_CPI!T$19</f>
        <v>0</v>
      </c>
      <c r="K71" s="74">
        <f>K89*Input_CPI!U$19</f>
        <v>0</v>
      </c>
      <c r="L71" s="74">
        <f>L89*Input_CPI!V$19</f>
        <v>0</v>
      </c>
      <c r="M71" s="74">
        <f>M89*Input_CPI!W$19</f>
        <v>0</v>
      </c>
      <c r="N71" s="80">
        <f>N89*Input_CPI!X$19</f>
        <v>0</v>
      </c>
      <c r="O71" s="79">
        <f>O89*Input_CPI!Y$19</f>
        <v>3.0684363298268718</v>
      </c>
      <c r="P71" s="74">
        <f>P89*Input_CPI!Z$19</f>
        <v>3.3172561770085753</v>
      </c>
      <c r="Q71" s="74">
        <f>Q89*Input_CPI!AA$19</f>
        <v>3.7568617445875105</v>
      </c>
      <c r="R71" s="74">
        <f>R89*Input_CPI!AB$19</f>
        <v>3.5402814718968849</v>
      </c>
      <c r="S71" s="80">
        <f>S89*Input_CPI!AC$19</f>
        <v>3.9824967616905904</v>
      </c>
      <c r="T71" s="79">
        <f>T89*Input_CPI!AD$19</f>
        <v>11.353684513509672</v>
      </c>
      <c r="U71" s="74">
        <f>U89*Input_CPI!AE$19</f>
        <v>11.747752064870495</v>
      </c>
      <c r="V71" s="74">
        <f>V89*Input_CPI!AF$19</f>
        <v>12.055255083179755</v>
      </c>
      <c r="W71" s="74">
        <f>W89*Input_CPI!AG$19</f>
        <v>12.447301544449042</v>
      </c>
      <c r="X71" s="80">
        <f>X89*Input_CPI!AH$19</f>
        <v>8.5728179852433488</v>
      </c>
    </row>
    <row r="72" spans="3:24" x14ac:dyDescent="0.2">
      <c r="D72" s="63" t="str">
        <f>Input_General!$E$82</f>
        <v>Metering Communications</v>
      </c>
      <c r="E72" s="39" t="str">
        <f t="shared" si="10"/>
        <v>$Million</v>
      </c>
      <c r="F72" s="39" t="str">
        <f t="shared" si="11"/>
        <v>Nominal</v>
      </c>
      <c r="G72" s="39" t="str">
        <f t="shared" si="12"/>
        <v>Mid Period</v>
      </c>
      <c r="H72" s="39" t="str">
        <f t="shared" ref="H72:H80" si="13">H71</f>
        <v>Calculated</v>
      </c>
      <c r="J72" s="79">
        <f>J90*Input_CPI!T$19</f>
        <v>0</v>
      </c>
      <c r="K72" s="74">
        <f>K90*Input_CPI!U$19</f>
        <v>0</v>
      </c>
      <c r="L72" s="74">
        <f>L90*Input_CPI!V$19</f>
        <v>0</v>
      </c>
      <c r="M72" s="74">
        <f>M90*Input_CPI!W$19</f>
        <v>0</v>
      </c>
      <c r="N72" s="80">
        <f>N90*Input_CPI!X$19</f>
        <v>0</v>
      </c>
      <c r="O72" s="79">
        <f>O90*Input_CPI!Y$19</f>
        <v>2.8807743208482499</v>
      </c>
      <c r="P72" s="74">
        <f>P90*Input_CPI!Z$19</f>
        <v>0.17926999136688895</v>
      </c>
      <c r="Q72" s="74">
        <f>Q90*Input_CPI!AA$19</f>
        <v>0.20377598393022403</v>
      </c>
      <c r="R72" s="74">
        <f>R90*Input_CPI!AB$19</f>
        <v>4.9080955854132409</v>
      </c>
      <c r="S72" s="80">
        <f>S90*Input_CPI!AC$19</f>
        <v>0.21805420007990897</v>
      </c>
      <c r="T72" s="79">
        <f>T90*Input_CPI!AD$19</f>
        <v>0.258864059817493</v>
      </c>
      <c r="U72" s="74">
        <f>U90*Input_CPI!AE$19</f>
        <v>0.31461730879073435</v>
      </c>
      <c r="V72" s="74">
        <f>V90*Input_CPI!AF$19</f>
        <v>0.37280680187375559</v>
      </c>
      <c r="W72" s="74">
        <f>W90*Input_CPI!AG$19</f>
        <v>0.43378156926085143</v>
      </c>
      <c r="X72" s="80">
        <f>X90*Input_CPI!AH$19</f>
        <v>0.49765872705439779</v>
      </c>
    </row>
    <row r="73" spans="3:24" x14ac:dyDescent="0.2">
      <c r="D73" s="63" t="str">
        <f>Input_General!$E$83</f>
        <v>Dedicated CTs and VTs</v>
      </c>
      <c r="E73" s="39" t="str">
        <f t="shared" si="10"/>
        <v>$Million</v>
      </c>
      <c r="F73" s="39" t="str">
        <f t="shared" si="11"/>
        <v>Nominal</v>
      </c>
      <c r="G73" s="39" t="str">
        <f t="shared" si="12"/>
        <v>Mid Period</v>
      </c>
      <c r="H73" s="39" t="str">
        <f t="shared" si="13"/>
        <v>Calculated</v>
      </c>
      <c r="J73" s="79">
        <f>J91*Input_CPI!T$19</f>
        <v>0</v>
      </c>
      <c r="K73" s="74">
        <f>K91*Input_CPI!U$19</f>
        <v>0</v>
      </c>
      <c r="L73" s="74">
        <f>L91*Input_CPI!V$19</f>
        <v>0</v>
      </c>
      <c r="M73" s="74">
        <f>M91*Input_CPI!W$19</f>
        <v>0</v>
      </c>
      <c r="N73" s="80">
        <f>N91*Input_CPI!X$19</f>
        <v>0</v>
      </c>
      <c r="O73" s="79">
        <f>O91*Input_CPI!Y$19</f>
        <v>0.11638419872443208</v>
      </c>
      <c r="P73" s="74">
        <f>P91*Input_CPI!Z$19</f>
        <v>0.12419889546717142</v>
      </c>
      <c r="Q73" s="74">
        <f>Q91*Input_CPI!AA$19</f>
        <v>0.13054290734754323</v>
      </c>
      <c r="R73" s="74">
        <f>R91*Input_CPI!AB$19</f>
        <v>0.13312360131174827</v>
      </c>
      <c r="S73" s="80">
        <f>S91*Input_CPI!AC$19</f>
        <v>0.14787321469976256</v>
      </c>
      <c r="T73" s="79">
        <f>T91*Input_CPI!AD$19</f>
        <v>5.7893574725749797E-2</v>
      </c>
      <c r="U73" s="74">
        <f>U91*Input_CPI!AE$19</f>
        <v>5.9514468105156454E-2</v>
      </c>
      <c r="V73" s="74">
        <f>V91*Input_CPI!AF$19</f>
        <v>6.1180742951502227E-2</v>
      </c>
      <c r="W73" s="74">
        <f>W91*Input_CPI!AG$19</f>
        <v>6.2893669846534037E-2</v>
      </c>
      <c r="X73" s="80">
        <f>X91*Input_CPI!AH$19</f>
        <v>6.4654554945506745E-2</v>
      </c>
    </row>
    <row r="74" spans="3:24" x14ac:dyDescent="0.2">
      <c r="D74" s="63" t="str">
        <f>Input_General!$E$84</f>
        <v>Non Network Other</v>
      </c>
      <c r="E74" s="39" t="str">
        <f t="shared" si="10"/>
        <v>$Million</v>
      </c>
      <c r="F74" s="39" t="str">
        <f t="shared" si="11"/>
        <v>Nominal</v>
      </c>
      <c r="G74" s="39" t="str">
        <f t="shared" si="12"/>
        <v>Mid Period</v>
      </c>
      <c r="H74" s="39" t="str">
        <f t="shared" si="13"/>
        <v>Calculated</v>
      </c>
      <c r="J74" s="79">
        <f>J92*Input_CPI!T$19</f>
        <v>0</v>
      </c>
      <c r="K74" s="74">
        <f>K92*Input_CPI!U$19</f>
        <v>0</v>
      </c>
      <c r="L74" s="74">
        <f>L92*Input_CPI!V$19</f>
        <v>0</v>
      </c>
      <c r="M74" s="74">
        <f>M92*Input_CPI!W$19</f>
        <v>0</v>
      </c>
      <c r="N74" s="80">
        <f>N92*Input_CPI!X$19</f>
        <v>0</v>
      </c>
      <c r="O74" s="79">
        <f>O92*Input_CPI!Y$19</f>
        <v>0</v>
      </c>
      <c r="P74" s="74">
        <f>P92*Input_CPI!Z$19</f>
        <v>0</v>
      </c>
      <c r="Q74" s="74">
        <f>Q92*Input_CPI!AA$19</f>
        <v>0</v>
      </c>
      <c r="R74" s="74">
        <f>R92*Input_CPI!AB$19</f>
        <v>0</v>
      </c>
      <c r="S74" s="80">
        <f>S92*Input_CPI!AC$19</f>
        <v>0</v>
      </c>
      <c r="T74" s="79">
        <f>T92*Input_CPI!AD$19</f>
        <v>0.133884310222155</v>
      </c>
      <c r="U74" s="74">
        <f>U92*Input_CPI!AE$19</f>
        <v>0.13692163015036909</v>
      </c>
      <c r="V74" s="74">
        <f>V92*Input_CPI!AF$19</f>
        <v>0.22611295456516123</v>
      </c>
      <c r="W74" s="74">
        <f>W92*Input_CPI!AG$19</f>
        <v>2.282064470445853</v>
      </c>
      <c r="X74" s="80">
        <f>X92*Input_CPI!AH$19</f>
        <v>2.3519026895845134</v>
      </c>
    </row>
    <row r="75" spans="3:24" x14ac:dyDescent="0.2">
      <c r="D75" s="63" t="str">
        <f>Input_General!$E$85</f>
        <v>Non Network IT and Communications</v>
      </c>
      <c r="E75" s="39" t="str">
        <f t="shared" si="10"/>
        <v>$Million</v>
      </c>
      <c r="F75" s="39" t="str">
        <f t="shared" si="11"/>
        <v>Nominal</v>
      </c>
      <c r="G75" s="39" t="str">
        <f t="shared" si="12"/>
        <v>Mid Period</v>
      </c>
      <c r="H75" s="39" t="str">
        <f t="shared" si="13"/>
        <v>Calculated</v>
      </c>
      <c r="J75" s="79">
        <f>J93*Input_CPI!T$19</f>
        <v>0</v>
      </c>
      <c r="K75" s="74">
        <f>K93*Input_CPI!U$19</f>
        <v>0</v>
      </c>
      <c r="L75" s="74">
        <f>L93*Input_CPI!V$19</f>
        <v>0</v>
      </c>
      <c r="M75" s="74">
        <f>M93*Input_CPI!W$19</f>
        <v>0</v>
      </c>
      <c r="N75" s="80">
        <f>N93*Input_CPI!X$19</f>
        <v>0</v>
      </c>
      <c r="O75" s="79">
        <f>O93*Input_CPI!Y$19</f>
        <v>0.11572949961738666</v>
      </c>
      <c r="P75" s="74">
        <f>P93*Input_CPI!Z$19</f>
        <v>0</v>
      </c>
      <c r="Q75" s="74">
        <f>Q93*Input_CPI!AA$19</f>
        <v>0</v>
      </c>
      <c r="R75" s="74">
        <f>R93*Input_CPI!AB$19</f>
        <v>0</v>
      </c>
      <c r="S75" s="80">
        <f>S93*Input_CPI!AC$19</f>
        <v>0</v>
      </c>
      <c r="T75" s="79">
        <f>T93*Input_CPI!AD$19</f>
        <v>0.58811866717523031</v>
      </c>
      <c r="U75" s="74">
        <f>U93*Input_CPI!AE$19</f>
        <v>0.7645419807010011</v>
      </c>
      <c r="V75" s="74">
        <f>V93*Input_CPI!AF$19</f>
        <v>0.50298339966961991</v>
      </c>
      <c r="W75" s="74">
        <f>W93*Input_CPI!AG$19</f>
        <v>0.49863104031885075</v>
      </c>
      <c r="X75" s="80">
        <f>X93*Input_CPI!AH$19</f>
        <v>0.52362291213479484</v>
      </c>
    </row>
    <row r="76" spans="3:24" x14ac:dyDescent="0.2">
      <c r="D76" s="63" t="str">
        <f>Input_General!$E$86</f>
        <v>Fleet leases</v>
      </c>
      <c r="E76" s="39" t="str">
        <f t="shared" si="10"/>
        <v>$Million</v>
      </c>
      <c r="F76" s="39" t="str">
        <f t="shared" si="11"/>
        <v>Nominal</v>
      </c>
      <c r="G76" s="39" t="str">
        <f t="shared" si="12"/>
        <v>Mid Period</v>
      </c>
      <c r="H76" s="39" t="str">
        <f t="shared" si="13"/>
        <v>Calculated</v>
      </c>
      <c r="J76" s="79">
        <f>J94*Input_CPI!T$19</f>
        <v>0</v>
      </c>
      <c r="K76" s="74">
        <f>K94*Input_CPI!U$19</f>
        <v>0</v>
      </c>
      <c r="L76" s="74">
        <f>L94*Input_CPI!V$19</f>
        <v>0</v>
      </c>
      <c r="M76" s="74">
        <f>M94*Input_CPI!W$19</f>
        <v>0</v>
      </c>
      <c r="N76" s="80">
        <f>N94*Input_CPI!X$19</f>
        <v>0</v>
      </c>
      <c r="O76" s="79">
        <f>O94*Input_CPI!Y$19</f>
        <v>0.41171583623923941</v>
      </c>
      <c r="P76" s="74">
        <f>P94*Input_CPI!Z$19</f>
        <v>8.6699604270602706E-2</v>
      </c>
      <c r="Q76" s="74">
        <f>Q94*Input_CPI!AA$19</f>
        <v>3.7679819926663818E-2</v>
      </c>
      <c r="R76" s="74">
        <f>R94*Input_CPI!AB$19</f>
        <v>0.18963064704093657</v>
      </c>
      <c r="S76" s="80">
        <f>S94*Input_CPI!AC$19</f>
        <v>0.12959332258342574</v>
      </c>
      <c r="T76" s="79">
        <f>T94*Input_CPI!AD$19</f>
        <v>7.3626568316258412E-2</v>
      </c>
      <c r="U76" s="74">
        <f>U94*Input_CPI!AE$19</f>
        <v>0.15578803295940438</v>
      </c>
      <c r="V76" s="74">
        <f>V94*Input_CPI!AF$19</f>
        <v>0.1603971467505155</v>
      </c>
      <c r="W76" s="74">
        <f>W94*Input_CPI!AG$19</f>
        <v>0.14936301783584291</v>
      </c>
      <c r="X76" s="80">
        <f>X94*Input_CPI!AH$19</f>
        <v>0.11988604707783711</v>
      </c>
    </row>
    <row r="77" spans="3:24" x14ac:dyDescent="0.2">
      <c r="D77" s="63" t="str">
        <f>Input_General!$E$87</f>
        <v>Property leases</v>
      </c>
      <c r="E77" s="39" t="str">
        <f t="shared" si="10"/>
        <v>$Million</v>
      </c>
      <c r="F77" s="39" t="str">
        <f t="shared" si="11"/>
        <v>Nominal</v>
      </c>
      <c r="G77" s="39" t="str">
        <f t="shared" si="12"/>
        <v>Mid Period</v>
      </c>
      <c r="H77" s="39" t="str">
        <f t="shared" si="13"/>
        <v>Calculated</v>
      </c>
      <c r="J77" s="79">
        <f>J95*Input_CPI!T$19</f>
        <v>0</v>
      </c>
      <c r="K77" s="74">
        <f>K95*Input_CPI!U$19</f>
        <v>0</v>
      </c>
      <c r="L77" s="74">
        <f>L95*Input_CPI!V$19</f>
        <v>0</v>
      </c>
      <c r="M77" s="74">
        <f>M95*Input_CPI!W$19</f>
        <v>0</v>
      </c>
      <c r="N77" s="80">
        <f>N95*Input_CPI!X$19</f>
        <v>0</v>
      </c>
      <c r="O77" s="79">
        <f>O95*Input_CPI!Y$19</f>
        <v>0</v>
      </c>
      <c r="P77" s="74">
        <f>P95*Input_CPI!Z$19</f>
        <v>0</v>
      </c>
      <c r="Q77" s="74">
        <f>Q95*Input_CPI!AA$19</f>
        <v>0</v>
      </c>
      <c r="R77" s="74">
        <f>R95*Input_CPI!AB$19</f>
        <v>0</v>
      </c>
      <c r="S77" s="80">
        <f>S95*Input_CPI!AC$19</f>
        <v>0</v>
      </c>
      <c r="T77" s="79">
        <f>T95*Input_CPI!AD$19</f>
        <v>0</v>
      </c>
      <c r="U77" s="74">
        <f>U95*Input_CPI!AE$19</f>
        <v>0</v>
      </c>
      <c r="V77" s="74">
        <f>V95*Input_CPI!AF$19</f>
        <v>0.29392022733470624</v>
      </c>
      <c r="W77" s="74">
        <f>W95*Input_CPI!AG$19</f>
        <v>0</v>
      </c>
      <c r="X77" s="80">
        <f>X95*Input_CPI!AH$19</f>
        <v>4.0625157265762053E-2</v>
      </c>
    </row>
    <row r="78" spans="3:24" x14ac:dyDescent="0.2">
      <c r="D78" s="63" t="str">
        <f>Input_General!$E$88</f>
        <v>Buildings</v>
      </c>
      <c r="E78" s="39" t="str">
        <f t="shared" si="10"/>
        <v>$Million</v>
      </c>
      <c r="F78" s="39" t="str">
        <f t="shared" si="11"/>
        <v>Nominal</v>
      </c>
      <c r="G78" s="39" t="str">
        <f t="shared" si="12"/>
        <v>Mid Period</v>
      </c>
      <c r="H78" s="39" t="str">
        <f t="shared" si="13"/>
        <v>Calculated</v>
      </c>
      <c r="J78" s="79">
        <f>J96*Input_CPI!T$19</f>
        <v>0</v>
      </c>
      <c r="K78" s="74">
        <f>K96*Input_CPI!U$19</f>
        <v>0</v>
      </c>
      <c r="L78" s="74">
        <f>L96*Input_CPI!V$19</f>
        <v>0</v>
      </c>
      <c r="M78" s="74">
        <f>M96*Input_CPI!W$19</f>
        <v>0</v>
      </c>
      <c r="N78" s="80">
        <f>N96*Input_CPI!X$19</f>
        <v>0</v>
      </c>
      <c r="O78" s="79">
        <f>O96*Input_CPI!Y$19</f>
        <v>0</v>
      </c>
      <c r="P78" s="74">
        <f>P96*Input_CPI!Z$19</f>
        <v>0</v>
      </c>
      <c r="Q78" s="74">
        <f>Q96*Input_CPI!AA$19</f>
        <v>0</v>
      </c>
      <c r="R78" s="74">
        <f>R96*Input_CPI!AB$19</f>
        <v>0</v>
      </c>
      <c r="S78" s="80">
        <f>S96*Input_CPI!AC$19</f>
        <v>0</v>
      </c>
      <c r="T78" s="79">
        <f>T96*Input_CPI!AD$19</f>
        <v>0</v>
      </c>
      <c r="U78" s="74">
        <f>U96*Input_CPI!AE$19</f>
        <v>0</v>
      </c>
      <c r="V78" s="74">
        <f>V96*Input_CPI!AF$19</f>
        <v>0</v>
      </c>
      <c r="W78" s="74">
        <f>W96*Input_CPI!AG$19</f>
        <v>0</v>
      </c>
      <c r="X78" s="80">
        <f>X96*Input_CPI!AH$19</f>
        <v>0</v>
      </c>
    </row>
    <row r="79" spans="3:24" x14ac:dyDescent="0.2">
      <c r="D79" s="63" t="str">
        <f>Input_General!$E$89</f>
        <v>In-house software</v>
      </c>
      <c r="E79" s="39" t="str">
        <f t="shared" si="10"/>
        <v>$Million</v>
      </c>
      <c r="F79" s="39" t="str">
        <f t="shared" si="11"/>
        <v>Nominal</v>
      </c>
      <c r="G79" s="39" t="str">
        <f t="shared" si="12"/>
        <v>Mid Period</v>
      </c>
      <c r="H79" s="39" t="str">
        <f t="shared" si="13"/>
        <v>Calculated</v>
      </c>
      <c r="J79" s="79">
        <f>J97*Input_CPI!T$19</f>
        <v>0</v>
      </c>
      <c r="K79" s="74">
        <f>K97*Input_CPI!U$19</f>
        <v>0</v>
      </c>
      <c r="L79" s="74">
        <f>L97*Input_CPI!V$19</f>
        <v>0</v>
      </c>
      <c r="M79" s="74">
        <f>M97*Input_CPI!W$19</f>
        <v>0</v>
      </c>
      <c r="N79" s="80">
        <f>N97*Input_CPI!X$19</f>
        <v>0</v>
      </c>
      <c r="O79" s="79">
        <f>O97*Input_CPI!Y$19</f>
        <v>0</v>
      </c>
      <c r="P79" s="74">
        <f>P97*Input_CPI!Z$19</f>
        <v>0</v>
      </c>
      <c r="Q79" s="74">
        <f>Q97*Input_CPI!AA$19</f>
        <v>0</v>
      </c>
      <c r="R79" s="74">
        <f>R97*Input_CPI!AB$19</f>
        <v>0</v>
      </c>
      <c r="S79" s="80">
        <f>S97*Input_CPI!AC$19</f>
        <v>0</v>
      </c>
      <c r="T79" s="79">
        <f>T97*Input_CPI!AD$19</f>
        <v>0</v>
      </c>
      <c r="U79" s="74">
        <f>U97*Input_CPI!AE$19</f>
        <v>0</v>
      </c>
      <c r="V79" s="74">
        <f>V97*Input_CPI!AF$19</f>
        <v>0</v>
      </c>
      <c r="W79" s="74">
        <f>W97*Input_CPI!AG$19</f>
        <v>0</v>
      </c>
      <c r="X79" s="80">
        <f>X97*Input_CPI!AH$19</f>
        <v>0</v>
      </c>
    </row>
    <row r="80" spans="3:24" x14ac:dyDescent="0.2">
      <c r="D80" s="63" t="s">
        <v>171</v>
      </c>
      <c r="E80" s="39" t="str">
        <f t="shared" si="10"/>
        <v>$Million</v>
      </c>
      <c r="F80" s="39" t="str">
        <f t="shared" si="11"/>
        <v>Nominal</v>
      </c>
      <c r="G80" s="39" t="str">
        <f t="shared" si="12"/>
        <v>Mid Period</v>
      </c>
      <c r="H80" s="39" t="str">
        <f t="shared" si="13"/>
        <v>Calculated</v>
      </c>
      <c r="J80" s="79">
        <f>J98*Input_CPI!T$19</f>
        <v>0</v>
      </c>
      <c r="K80" s="74">
        <f>K98*Input_CPI!U$19</f>
        <v>0</v>
      </c>
      <c r="L80" s="74">
        <f>L98*Input_CPI!V$19</f>
        <v>0</v>
      </c>
      <c r="M80" s="74">
        <f>M98*Input_CPI!W$19</f>
        <v>0</v>
      </c>
      <c r="N80" s="80">
        <f>N98*Input_CPI!X$19</f>
        <v>0</v>
      </c>
      <c r="O80" s="79">
        <f>O98*Input_CPI!Y$19</f>
        <v>0</v>
      </c>
      <c r="P80" s="74">
        <f>P98*Input_CPI!Z$19</f>
        <v>0</v>
      </c>
      <c r="Q80" s="74">
        <f>Q98*Input_CPI!AA$19</f>
        <v>0</v>
      </c>
      <c r="R80" s="74">
        <f>R98*Input_CPI!AB$19</f>
        <v>0</v>
      </c>
      <c r="S80" s="80">
        <f>S98*Input_CPI!AC$19</f>
        <v>0</v>
      </c>
      <c r="T80" s="79">
        <f>T98*Input_CPI!AD$19</f>
        <v>0</v>
      </c>
      <c r="U80" s="74">
        <f>U98*Input_CPI!AE$19</f>
        <v>0</v>
      </c>
      <c r="V80" s="74">
        <f>V98*Input_CPI!AF$19</f>
        <v>0</v>
      </c>
      <c r="W80" s="74">
        <f>W98*Input_CPI!AG$19</f>
        <v>0</v>
      </c>
      <c r="X80" s="80">
        <f>X98*Input_CPI!AH$19</f>
        <v>0</v>
      </c>
    </row>
    <row r="81" spans="3:24" x14ac:dyDescent="0.2">
      <c r="E81" s="39"/>
      <c r="F81" s="39"/>
      <c r="G81" s="39"/>
      <c r="H81" s="51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</row>
    <row r="82" spans="3:24" x14ac:dyDescent="0.2">
      <c r="D82" s="104" t="s">
        <v>166</v>
      </c>
      <c r="E82" s="131" t="str">
        <f>Unit_Dollar_M</f>
        <v>$Million</v>
      </c>
      <c r="F82" s="131" t="str">
        <f>Nominal</f>
        <v>Nominal</v>
      </c>
      <c r="G82" s="131" t="str">
        <f>Mid_Period</f>
        <v>Mid Period</v>
      </c>
      <c r="H82" s="131" t="s">
        <v>8</v>
      </c>
      <c r="I82" s="69"/>
      <c r="J82" s="128">
        <f>SUM(J70:J80)</f>
        <v>2.0580546220427673</v>
      </c>
      <c r="K82" s="129">
        <f t="shared" ref="K82:X82" si="14">SUM(K70:K80)</f>
        <v>2.4414851769192407</v>
      </c>
      <c r="L82" s="129">
        <f t="shared" si="14"/>
        <v>3.8426733894900993</v>
      </c>
      <c r="M82" s="129">
        <f t="shared" si="14"/>
        <v>3.5460025159123827</v>
      </c>
      <c r="N82" s="130">
        <f t="shared" si="14"/>
        <v>1.5401820696822002</v>
      </c>
      <c r="O82" s="128">
        <f t="shared" si="14"/>
        <v>6.5930401852561804</v>
      </c>
      <c r="P82" s="129">
        <f t="shared" si="14"/>
        <v>3.7074246681132386</v>
      </c>
      <c r="Q82" s="129">
        <f t="shared" si="14"/>
        <v>4.1288604557919424</v>
      </c>
      <c r="R82" s="129">
        <f t="shared" si="14"/>
        <v>8.7711313056628093</v>
      </c>
      <c r="S82" s="130">
        <f t="shared" si="14"/>
        <v>4.4780174990536876</v>
      </c>
      <c r="T82" s="128">
        <f t="shared" si="14"/>
        <v>12.466071693766558</v>
      </c>
      <c r="U82" s="129">
        <f t="shared" si="14"/>
        <v>13.179135485577159</v>
      </c>
      <c r="V82" s="129">
        <f t="shared" si="14"/>
        <v>13.672656356325016</v>
      </c>
      <c r="W82" s="129">
        <f t="shared" si="14"/>
        <v>15.874035312156973</v>
      </c>
      <c r="X82" s="130">
        <f t="shared" si="14"/>
        <v>12.171168073306163</v>
      </c>
    </row>
    <row r="84" spans="3:24" s="121" customFormat="1" ht="15.75" x14ac:dyDescent="0.2">
      <c r="C84" s="121" t="str">
        <f>Real_Input&amp;" - Allowed"</f>
        <v>Real 2024 - Allowed</v>
      </c>
    </row>
    <row r="86" spans="3:24" x14ac:dyDescent="0.2">
      <c r="D86" s="60" t="s">
        <v>56</v>
      </c>
      <c r="E86" s="61" t="str">
        <f>E$4</f>
        <v>Unit</v>
      </c>
      <c r="F86" s="61" t="str">
        <f>F$4</f>
        <v>Basis</v>
      </c>
      <c r="G86" s="61" t="str">
        <f>G$4</f>
        <v>Timing</v>
      </c>
      <c r="H86" s="61" t="str">
        <f>H$4</f>
        <v>Source</v>
      </c>
      <c r="I86" s="60"/>
      <c r="J86" s="62" t="str">
        <f>J$3</f>
        <v>FY15</v>
      </c>
      <c r="K86" s="62" t="str">
        <f t="shared" ref="K86:X86" si="15">K$3</f>
        <v>FY16</v>
      </c>
      <c r="L86" s="62" t="str">
        <f t="shared" si="15"/>
        <v>FY17</v>
      </c>
      <c r="M86" s="62" t="str">
        <f t="shared" si="15"/>
        <v>FY18</v>
      </c>
      <c r="N86" s="62" t="str">
        <f t="shared" si="15"/>
        <v>FY19</v>
      </c>
      <c r="O86" s="62" t="str">
        <f t="shared" si="15"/>
        <v>FY20</v>
      </c>
      <c r="P86" s="62" t="str">
        <f t="shared" si="15"/>
        <v>FY21</v>
      </c>
      <c r="Q86" s="62" t="str">
        <f t="shared" si="15"/>
        <v>FY22</v>
      </c>
      <c r="R86" s="62" t="str">
        <f t="shared" si="15"/>
        <v>FY23</v>
      </c>
      <c r="S86" s="62" t="str">
        <f t="shared" si="15"/>
        <v>FY24</v>
      </c>
      <c r="T86" s="62" t="str">
        <f t="shared" si="15"/>
        <v>FY25</v>
      </c>
      <c r="U86" s="62" t="str">
        <f t="shared" si="15"/>
        <v>FY26</v>
      </c>
      <c r="V86" s="62" t="str">
        <f t="shared" si="15"/>
        <v>FY27</v>
      </c>
      <c r="W86" s="62" t="str">
        <f t="shared" si="15"/>
        <v>FY28</v>
      </c>
      <c r="X86" s="62" t="str">
        <f t="shared" si="15"/>
        <v>FY29</v>
      </c>
    </row>
    <row r="88" spans="3:24" x14ac:dyDescent="0.2">
      <c r="D88" s="63" t="str">
        <f>Input_General!$E$80</f>
        <v>Mechanical Meters</v>
      </c>
      <c r="E88" s="39" t="str">
        <f t="shared" ref="E88:E98" si="16">Unit_Dollar_M</f>
        <v>$Million</v>
      </c>
      <c r="F88" s="39" t="str">
        <f t="shared" ref="F88:F98" si="17">Real_Input</f>
        <v>Real 2024</v>
      </c>
      <c r="G88" s="39" t="str">
        <f t="shared" ref="G88:G98" si="18">End_Period</f>
        <v>End Period</v>
      </c>
      <c r="H88" s="39" t="s">
        <v>177</v>
      </c>
      <c r="J88" s="79">
        <f>Input_AMI!J64*(Input_CPI!$AC$10/Input_CPI!S$10)</f>
        <v>2.6717501811912512</v>
      </c>
      <c r="K88" s="74">
        <f>Input_AMI!K64*(Input_CPI!$AC$10/Input_CPI!T$10)</f>
        <v>3.1298686337138424</v>
      </c>
      <c r="L88" s="74">
        <f>Input_AMI!L64*(Input_CPI!$AC$10/Input_CPI!U$10)</f>
        <v>4.8544039500939</v>
      </c>
      <c r="M88" s="74">
        <f>Input_AMI!M64*(Input_CPI!$AC$10/Input_CPI!V$10)</f>
        <v>4.3915433070593393</v>
      </c>
      <c r="N88" s="80">
        <f>Input_AMI!N64*(Input_CPI!$AC$10/Input_CPI!W$10)</f>
        <v>1.8730659114452561</v>
      </c>
      <c r="O88" s="79">
        <f>Input_AMI!O64*Input_CPI!Y$16</f>
        <v>0</v>
      </c>
      <c r="P88" s="74">
        <f>Input_AMI!P64*Input_CPI!Z$16</f>
        <v>0</v>
      </c>
      <c r="Q88" s="74">
        <f>Input_AMI!Q64*Input_CPI!AA$16</f>
        <v>0</v>
      </c>
      <c r="R88" s="74">
        <f>Input_AMI!R64*Input_CPI!AB$16</f>
        <v>0</v>
      </c>
      <c r="S88" s="80">
        <f>Input_AMI!S64*Input_CPI!AC$16</f>
        <v>0</v>
      </c>
      <c r="T88" s="79">
        <f>Input_AMI!T64</f>
        <v>0</v>
      </c>
      <c r="U88" s="74">
        <f>Input_AMI!U64</f>
        <v>0</v>
      </c>
      <c r="V88" s="74">
        <f>Input_AMI!V64</f>
        <v>0</v>
      </c>
      <c r="W88" s="74">
        <f>Input_AMI!W64</f>
        <v>0</v>
      </c>
      <c r="X88" s="80">
        <f>Input_AMI!X64</f>
        <v>0</v>
      </c>
    </row>
    <row r="89" spans="3:24" x14ac:dyDescent="0.2">
      <c r="D89" s="63" t="str">
        <f>Input_General!$E$81</f>
        <v>Electronic Meters</v>
      </c>
      <c r="E89" s="39" t="str">
        <f t="shared" si="16"/>
        <v>$Million</v>
      </c>
      <c r="F89" s="39" t="str">
        <f t="shared" si="17"/>
        <v>Real 2024</v>
      </c>
      <c r="G89" s="39" t="str">
        <f t="shared" si="18"/>
        <v>End Period</v>
      </c>
      <c r="H89" s="39" t="str">
        <f>H$88</f>
        <v>Input_AMI</v>
      </c>
      <c r="J89" s="79">
        <f>Input_AMI!J65*(Input_CPI!$AC$10/Input_CPI!S$10)</f>
        <v>0</v>
      </c>
      <c r="K89" s="74">
        <f>Input_AMI!K65*(Input_CPI!$AC$10/Input_CPI!T$10)</f>
        <v>0</v>
      </c>
      <c r="L89" s="74">
        <f>Input_AMI!L65*(Input_CPI!$AC$10/Input_CPI!U$10)</f>
        <v>0</v>
      </c>
      <c r="M89" s="74">
        <f>Input_AMI!M65*(Input_CPI!$AC$10/Input_CPI!V$10)</f>
        <v>0</v>
      </c>
      <c r="N89" s="80">
        <f>Input_AMI!N65*(Input_CPI!$AC$10/Input_CPI!W$10)</f>
        <v>0</v>
      </c>
      <c r="O89" s="79">
        <f>Input_AMI!O65*Input_CPI!Y$16</f>
        <v>3.7087223585301321</v>
      </c>
      <c r="P89" s="74">
        <f>Input_AMI!P65*Input_CPI!Z$16</f>
        <v>3.9413857454936632</v>
      </c>
      <c r="Q89" s="74">
        <f>Input_AMI!Q65*Input_CPI!AA$16</f>
        <v>4.2515825124192821</v>
      </c>
      <c r="R89" s="74">
        <f>Input_AMI!R65*Input_CPI!AB$16</f>
        <v>3.776641037742464</v>
      </c>
      <c r="S89" s="80">
        <f>Input_AMI!S65*Input_CPI!AC$16</f>
        <v>4.0535478970062231</v>
      </c>
      <c r="T89" s="79">
        <f>Input_AMI!T65</f>
        <v>11.19800680950271</v>
      </c>
      <c r="U89" s="74">
        <f>Input_AMI!U65</f>
        <v>11.271104781487091</v>
      </c>
      <c r="V89" s="74">
        <f>Input_AMI!V65</f>
        <v>11.251124470034775</v>
      </c>
      <c r="W89" s="74">
        <f>Input_AMI!W65</f>
        <v>11.300627139693654</v>
      </c>
      <c r="X89" s="80">
        <f>Input_AMI!X65</f>
        <v>7.5710959140394554</v>
      </c>
    </row>
    <row r="90" spans="3:24" x14ac:dyDescent="0.2">
      <c r="D90" s="63" t="str">
        <f>Input_General!$E$82</f>
        <v>Metering Communications</v>
      </c>
      <c r="E90" s="39" t="str">
        <f t="shared" si="16"/>
        <v>$Million</v>
      </c>
      <c r="F90" s="39" t="str">
        <f t="shared" si="17"/>
        <v>Real 2024</v>
      </c>
      <c r="G90" s="39" t="str">
        <f t="shared" si="18"/>
        <v>End Period</v>
      </c>
      <c r="H90" s="39" t="str">
        <f t="shared" ref="H90:H98" si="19">H$88</f>
        <v>Input_AMI</v>
      </c>
      <c r="J90" s="79">
        <f>Input_AMI!J66*(Input_CPI!$AC$10/Input_CPI!S$10)</f>
        <v>0</v>
      </c>
      <c r="K90" s="74">
        <f>Input_AMI!K66*(Input_CPI!$AC$10/Input_CPI!T$10)</f>
        <v>0</v>
      </c>
      <c r="L90" s="74">
        <f>Input_AMI!L66*(Input_CPI!$AC$10/Input_CPI!U$10)</f>
        <v>0</v>
      </c>
      <c r="M90" s="74">
        <f>Input_AMI!M66*(Input_CPI!$AC$10/Input_CPI!V$10)</f>
        <v>0</v>
      </c>
      <c r="N90" s="80">
        <f>Input_AMI!N66*(Input_CPI!$AC$10/Input_CPI!W$10)</f>
        <v>0</v>
      </c>
      <c r="O90" s="79">
        <f>Input_AMI!O66*Input_CPI!Y$16</f>
        <v>3.4819011982602146</v>
      </c>
      <c r="P90" s="74">
        <f>Input_AMI!P66*Input_CPI!Z$16</f>
        <v>0.21299898194941297</v>
      </c>
      <c r="Q90" s="74">
        <f>Input_AMI!Q66*Input_CPI!AA$16</f>
        <v>0.23061013916121562</v>
      </c>
      <c r="R90" s="74">
        <f>Input_AMI!R66*Input_CPI!AB$16</f>
        <v>5.2357744298513662</v>
      </c>
      <c r="S90" s="80">
        <f>Input_AMI!S66*Input_CPI!AC$16</f>
        <v>0.22194447279150381</v>
      </c>
      <c r="T90" s="79">
        <f>Input_AMI!T66</f>
        <v>0.25531460744065831</v>
      </c>
      <c r="U90" s="74">
        <f>Input_AMI!U66</f>
        <v>0.30185218702850947</v>
      </c>
      <c r="V90" s="74">
        <f>Input_AMI!V66</f>
        <v>0.34793919350654301</v>
      </c>
      <c r="W90" s="74">
        <f>Input_AMI!W66</f>
        <v>0.39382060093773191</v>
      </c>
      <c r="X90" s="80">
        <f>Input_AMI!X66</f>
        <v>0.43950798459424822</v>
      </c>
    </row>
    <row r="91" spans="3:24" x14ac:dyDescent="0.2">
      <c r="D91" s="63" t="str">
        <f>Input_General!$E$83</f>
        <v>Dedicated CTs and VTs</v>
      </c>
      <c r="E91" s="39" t="str">
        <f t="shared" si="16"/>
        <v>$Million</v>
      </c>
      <c r="F91" s="39" t="str">
        <f t="shared" si="17"/>
        <v>Real 2024</v>
      </c>
      <c r="G91" s="39" t="str">
        <f t="shared" si="18"/>
        <v>End Period</v>
      </c>
      <c r="H91" s="39" t="str">
        <f t="shared" si="19"/>
        <v>Input_AMI</v>
      </c>
      <c r="J91" s="79">
        <f>Input_AMI!J67*(Input_CPI!$AC$10/Input_CPI!S$10)</f>
        <v>0</v>
      </c>
      <c r="K91" s="74">
        <f>Input_AMI!K67*(Input_CPI!$AC$10/Input_CPI!T$10)</f>
        <v>0</v>
      </c>
      <c r="L91" s="74">
        <f>Input_AMI!L67*(Input_CPI!$AC$10/Input_CPI!U$10)</f>
        <v>0</v>
      </c>
      <c r="M91" s="74">
        <f>Input_AMI!M67*(Input_CPI!$AC$10/Input_CPI!V$10)</f>
        <v>0</v>
      </c>
      <c r="N91" s="80">
        <f>Input_AMI!N67*(Input_CPI!$AC$10/Input_CPI!W$10)</f>
        <v>0</v>
      </c>
      <c r="O91" s="79">
        <f>Input_AMI!O67*Input_CPI!Y$16</f>
        <v>0.14066991574606641</v>
      </c>
      <c r="P91" s="74">
        <f>Input_AMI!P67*Input_CPI!Z$16</f>
        <v>0.14756646158145101</v>
      </c>
      <c r="Q91" s="74">
        <f>Input_AMI!Q67*Input_CPI!AA$16</f>
        <v>0.14773339551256867</v>
      </c>
      <c r="R91" s="74">
        <f>Input_AMI!R67*Input_CPI!AB$16</f>
        <v>0.14201132305354125</v>
      </c>
      <c r="S91" s="80">
        <f>Input_AMI!S67*Input_CPI!AC$16</f>
        <v>0.15051139883797898</v>
      </c>
      <c r="T91" s="79">
        <f>Input_AMI!T67</f>
        <v>5.7099758517510438E-2</v>
      </c>
      <c r="U91" s="74">
        <f>Input_AMI!U67</f>
        <v>5.7099758517510438E-2</v>
      </c>
      <c r="V91" s="74">
        <f>Input_AMI!V67</f>
        <v>5.7099758517510438E-2</v>
      </c>
      <c r="W91" s="74">
        <f>Input_AMI!W67</f>
        <v>5.7099758517510438E-2</v>
      </c>
      <c r="X91" s="80">
        <f>Input_AMI!X67</f>
        <v>5.7099758517510438E-2</v>
      </c>
    </row>
    <row r="92" spans="3:24" x14ac:dyDescent="0.2">
      <c r="D92" s="63" t="str">
        <f>Input_General!$E$84</f>
        <v>Non Network Other</v>
      </c>
      <c r="E92" s="39" t="str">
        <f t="shared" si="16"/>
        <v>$Million</v>
      </c>
      <c r="F92" s="39" t="str">
        <f t="shared" si="17"/>
        <v>Real 2024</v>
      </c>
      <c r="G92" s="39" t="str">
        <f t="shared" si="18"/>
        <v>End Period</v>
      </c>
      <c r="H92" s="39" t="str">
        <f t="shared" si="19"/>
        <v>Input_AMI</v>
      </c>
      <c r="J92" s="79">
        <f>Input_AMI!J68*(Input_CPI!$AC$10/Input_CPI!S$10)</f>
        <v>0</v>
      </c>
      <c r="K92" s="74">
        <f>Input_AMI!K68*(Input_CPI!$AC$10/Input_CPI!T$10)</f>
        <v>0</v>
      </c>
      <c r="L92" s="74">
        <f>Input_AMI!L68*(Input_CPI!$AC$10/Input_CPI!U$10)</f>
        <v>0</v>
      </c>
      <c r="M92" s="74">
        <f>Input_AMI!M68*(Input_CPI!$AC$10/Input_CPI!V$10)</f>
        <v>0</v>
      </c>
      <c r="N92" s="80">
        <f>Input_AMI!N68*(Input_CPI!$AC$10/Input_CPI!W$10)</f>
        <v>0</v>
      </c>
      <c r="O92" s="79">
        <f>Input_AMI!O68*Input_CPI!Y$16</f>
        <v>0</v>
      </c>
      <c r="P92" s="74">
        <f>Input_AMI!P68*Input_CPI!Z$16</f>
        <v>0</v>
      </c>
      <c r="Q92" s="74">
        <f>Input_AMI!Q68*Input_CPI!AA$16</f>
        <v>0</v>
      </c>
      <c r="R92" s="74">
        <f>Input_AMI!R68*Input_CPI!AB$16</f>
        <v>0</v>
      </c>
      <c r="S92" s="80">
        <f>Input_AMI!S68*Input_CPI!AC$16</f>
        <v>0</v>
      </c>
      <c r="T92" s="79">
        <f>Input_AMI!T68</f>
        <v>0.13204853594173174</v>
      </c>
      <c r="U92" s="74">
        <f>Input_AMI!U68</f>
        <v>0.13136624196314658</v>
      </c>
      <c r="V92" s="74">
        <f>Input_AMI!V68</f>
        <v>0.21103037459983151</v>
      </c>
      <c r="W92" s="74">
        <f>Input_AMI!W68</f>
        <v>2.0718353771024134</v>
      </c>
      <c r="X92" s="80">
        <f>Input_AMI!X68</f>
        <v>2.0770860729788678</v>
      </c>
    </row>
    <row r="93" spans="3:24" x14ac:dyDescent="0.2">
      <c r="D93" s="63" t="str">
        <f>Input_General!$E$85</f>
        <v>Non Network IT and Communications</v>
      </c>
      <c r="E93" s="39" t="str">
        <f t="shared" si="16"/>
        <v>$Million</v>
      </c>
      <c r="F93" s="39" t="str">
        <f t="shared" si="17"/>
        <v>Real 2024</v>
      </c>
      <c r="G93" s="39" t="str">
        <f t="shared" si="18"/>
        <v>End Period</v>
      </c>
      <c r="H93" s="39" t="str">
        <f t="shared" si="19"/>
        <v>Input_AMI</v>
      </c>
      <c r="J93" s="79">
        <f>Input_AMI!J69*(Input_CPI!$AC$10/Input_CPI!S$10)</f>
        <v>0</v>
      </c>
      <c r="K93" s="74">
        <f>Input_AMI!K69*(Input_CPI!$AC$10/Input_CPI!T$10)</f>
        <v>0</v>
      </c>
      <c r="L93" s="74">
        <f>Input_AMI!L69*(Input_CPI!$AC$10/Input_CPI!U$10)</f>
        <v>0</v>
      </c>
      <c r="M93" s="74">
        <f>Input_AMI!M69*(Input_CPI!$AC$10/Input_CPI!V$10)</f>
        <v>0</v>
      </c>
      <c r="N93" s="80">
        <f>Input_AMI!N69*(Input_CPI!$AC$10/Input_CPI!W$10)</f>
        <v>0</v>
      </c>
      <c r="O93" s="79">
        <f>Input_AMI!O69*Input_CPI!Y$16</f>
        <v>0.13987860155362036</v>
      </c>
      <c r="P93" s="74">
        <f>Input_AMI!P69*Input_CPI!Z$16</f>
        <v>0</v>
      </c>
      <c r="Q93" s="74">
        <f>Input_AMI!Q69*Input_CPI!AA$16</f>
        <v>0</v>
      </c>
      <c r="R93" s="74">
        <f>Input_AMI!R69*Input_CPI!AB$16</f>
        <v>0</v>
      </c>
      <c r="S93" s="80">
        <f>Input_AMI!S69*Input_CPI!AC$16</f>
        <v>0</v>
      </c>
      <c r="T93" s="79">
        <f>Input_AMI!T69</f>
        <v>0.58005459214473853</v>
      </c>
      <c r="U93" s="74">
        <f>Input_AMI!U69</f>
        <v>0.73352184543415111</v>
      </c>
      <c r="V93" s="74">
        <f>Input_AMI!V69</f>
        <v>0.46943252523458517</v>
      </c>
      <c r="W93" s="74">
        <f>Input_AMI!W69</f>
        <v>0.45269598770456249</v>
      </c>
      <c r="X93" s="80">
        <f>Input_AMI!X69</f>
        <v>0.46243829011478216</v>
      </c>
    </row>
    <row r="94" spans="3:24" x14ac:dyDescent="0.2">
      <c r="D94" s="63" t="str">
        <f>Input_General!$E$86</f>
        <v>Fleet leases</v>
      </c>
      <c r="E94" s="39" t="str">
        <f t="shared" si="16"/>
        <v>$Million</v>
      </c>
      <c r="F94" s="39" t="str">
        <f t="shared" si="17"/>
        <v>Real 2024</v>
      </c>
      <c r="G94" s="39" t="str">
        <f t="shared" si="18"/>
        <v>End Period</v>
      </c>
      <c r="H94" s="39" t="str">
        <f t="shared" si="19"/>
        <v>Input_AMI</v>
      </c>
      <c r="J94" s="79">
        <f>Input_AMI!J70*(Input_CPI!$AC$10/Input_CPI!S$10)</f>
        <v>0</v>
      </c>
      <c r="K94" s="74">
        <f>Input_AMI!K70*(Input_CPI!$AC$10/Input_CPI!T$10)</f>
        <v>0</v>
      </c>
      <c r="L94" s="74">
        <f>Input_AMI!L70*(Input_CPI!$AC$10/Input_CPI!U$10)</f>
        <v>0</v>
      </c>
      <c r="M94" s="74">
        <f>Input_AMI!M70*(Input_CPI!$AC$10/Input_CPI!V$10)</f>
        <v>0</v>
      </c>
      <c r="N94" s="80">
        <f>Input_AMI!N70*(Input_CPI!$AC$10/Input_CPI!W$10)</f>
        <v>0</v>
      </c>
      <c r="O94" s="79">
        <f>Input_AMI!O70*Input_CPI!Y$16</f>
        <v>0.49762796522082342</v>
      </c>
      <c r="P94" s="74">
        <f>Input_AMI!P70*Input_CPI!Z$16</f>
        <v>0.10301181644652091</v>
      </c>
      <c r="Q94" s="74">
        <f>Input_AMI!Q70*Input_CPI!AA$16</f>
        <v>4.2641671257162728E-2</v>
      </c>
      <c r="R94" s="74">
        <f>Input_AMI!R70*Input_CPI!AB$16</f>
        <v>0.2022909447492984</v>
      </c>
      <c r="S94" s="80">
        <f>Input_AMI!S70*Input_CPI!AC$16</f>
        <v>0.13190537787181941</v>
      </c>
      <c r="T94" s="79">
        <f>Input_AMI!T70</f>
        <v>7.2617026867775478E-2</v>
      </c>
      <c r="U94" s="74">
        <f>Input_AMI!U70</f>
        <v>0.14946716899464699</v>
      </c>
      <c r="V94" s="74">
        <f>Input_AMI!V70</f>
        <v>0.1496980570113727</v>
      </c>
      <c r="W94" s="74">
        <f>Input_AMI!W70</f>
        <v>0.13560334880574995</v>
      </c>
      <c r="X94" s="80">
        <f>Input_AMI!X70</f>
        <v>0.10587752623976761</v>
      </c>
    </row>
    <row r="95" spans="3:24" x14ac:dyDescent="0.2">
      <c r="D95" s="63" t="str">
        <f>Input_General!$E$87</f>
        <v>Property leases</v>
      </c>
      <c r="E95" s="39" t="str">
        <f t="shared" si="16"/>
        <v>$Million</v>
      </c>
      <c r="F95" s="39" t="str">
        <f t="shared" si="17"/>
        <v>Real 2024</v>
      </c>
      <c r="G95" s="39" t="str">
        <f t="shared" si="18"/>
        <v>End Period</v>
      </c>
      <c r="H95" s="39" t="str">
        <f t="shared" si="19"/>
        <v>Input_AMI</v>
      </c>
      <c r="J95" s="79">
        <f>Input_AMI!J71*(Input_CPI!$AC$10/Input_CPI!S$10)</f>
        <v>0</v>
      </c>
      <c r="K95" s="74">
        <f>Input_AMI!K71*(Input_CPI!$AC$10/Input_CPI!T$10)</f>
        <v>0</v>
      </c>
      <c r="L95" s="74">
        <f>Input_AMI!L71*(Input_CPI!$AC$10/Input_CPI!U$10)</f>
        <v>0</v>
      </c>
      <c r="M95" s="74">
        <f>Input_AMI!M71*(Input_CPI!$AC$10/Input_CPI!V$10)</f>
        <v>0</v>
      </c>
      <c r="N95" s="80">
        <f>Input_AMI!N71*(Input_CPI!$AC$10/Input_CPI!W$10)</f>
        <v>0</v>
      </c>
      <c r="O95" s="79">
        <f>Input_AMI!O71*Input_CPI!Y$16</f>
        <v>0</v>
      </c>
      <c r="P95" s="74">
        <f>Input_AMI!P71*Input_CPI!Z$16</f>
        <v>0</v>
      </c>
      <c r="Q95" s="74">
        <f>Input_AMI!Q71*Input_CPI!AA$16</f>
        <v>0</v>
      </c>
      <c r="R95" s="74">
        <f>Input_AMI!R71*Input_CPI!AB$16</f>
        <v>0</v>
      </c>
      <c r="S95" s="80">
        <f>Input_AMI!S71*Input_CPI!AC$16</f>
        <v>0</v>
      </c>
      <c r="T95" s="79">
        <f>Input_AMI!T71</f>
        <v>0</v>
      </c>
      <c r="U95" s="74">
        <f>Input_AMI!U71</f>
        <v>0</v>
      </c>
      <c r="V95" s="74">
        <f>Input_AMI!V71</f>
        <v>0.27431464860646015</v>
      </c>
      <c r="W95" s="74">
        <f>Input_AMI!W71</f>
        <v>0</v>
      </c>
      <c r="X95" s="80">
        <f>Input_AMI!X71</f>
        <v>3.5878163132760189E-2</v>
      </c>
    </row>
    <row r="96" spans="3:24" x14ac:dyDescent="0.2">
      <c r="D96" s="63" t="str">
        <f>Input_General!$E$88</f>
        <v>Buildings</v>
      </c>
      <c r="E96" s="39" t="str">
        <f t="shared" si="16"/>
        <v>$Million</v>
      </c>
      <c r="F96" s="39" t="str">
        <f t="shared" si="17"/>
        <v>Real 2024</v>
      </c>
      <c r="G96" s="39" t="str">
        <f t="shared" si="18"/>
        <v>End Period</v>
      </c>
      <c r="H96" s="39" t="str">
        <f t="shared" si="19"/>
        <v>Input_AMI</v>
      </c>
      <c r="J96" s="79">
        <f>Input_AMI!J72*(Input_CPI!$AC$10/Input_CPI!S$10)</f>
        <v>0</v>
      </c>
      <c r="K96" s="74">
        <f>Input_AMI!K72*(Input_CPI!$AC$10/Input_CPI!T$10)</f>
        <v>0</v>
      </c>
      <c r="L96" s="74">
        <f>Input_AMI!L72*(Input_CPI!$AC$10/Input_CPI!U$10)</f>
        <v>0</v>
      </c>
      <c r="M96" s="74">
        <f>Input_AMI!M72*(Input_CPI!$AC$10/Input_CPI!V$10)</f>
        <v>0</v>
      </c>
      <c r="N96" s="80">
        <f>Input_AMI!N72*(Input_CPI!$AC$10/Input_CPI!W$10)</f>
        <v>0</v>
      </c>
      <c r="O96" s="79">
        <f>Input_AMI!O72*Input_CPI!Y$16</f>
        <v>0</v>
      </c>
      <c r="P96" s="74">
        <f>Input_AMI!P72*Input_CPI!Z$16</f>
        <v>0</v>
      </c>
      <c r="Q96" s="74">
        <f>Input_AMI!Q72*Input_CPI!AA$16</f>
        <v>0</v>
      </c>
      <c r="R96" s="74">
        <f>Input_AMI!R72*Input_CPI!AB$16</f>
        <v>0</v>
      </c>
      <c r="S96" s="80">
        <f>Input_AMI!S72*Input_CPI!AC$16</f>
        <v>0</v>
      </c>
      <c r="T96" s="79">
        <f>Input_AMI!T72</f>
        <v>0</v>
      </c>
      <c r="U96" s="74">
        <f>Input_AMI!U72</f>
        <v>0</v>
      </c>
      <c r="V96" s="74">
        <f>Input_AMI!V72</f>
        <v>0</v>
      </c>
      <c r="W96" s="74">
        <f>Input_AMI!W72</f>
        <v>0</v>
      </c>
      <c r="X96" s="80">
        <f>Input_AMI!X72</f>
        <v>0</v>
      </c>
    </row>
    <row r="97" spans="3:24" x14ac:dyDescent="0.2">
      <c r="D97" s="63" t="str">
        <f>Input_General!$E$89</f>
        <v>In-house software</v>
      </c>
      <c r="E97" s="39" t="str">
        <f t="shared" si="16"/>
        <v>$Million</v>
      </c>
      <c r="F97" s="39" t="str">
        <f t="shared" si="17"/>
        <v>Real 2024</v>
      </c>
      <c r="G97" s="39" t="str">
        <f t="shared" si="18"/>
        <v>End Period</v>
      </c>
      <c r="H97" s="39" t="str">
        <f t="shared" si="19"/>
        <v>Input_AMI</v>
      </c>
      <c r="J97" s="79">
        <f>Input_AMI!J73*(Input_CPI!$AC$10/Input_CPI!S$10)</f>
        <v>0</v>
      </c>
      <c r="K97" s="74">
        <f>Input_AMI!K73*(Input_CPI!$AC$10/Input_CPI!T$10)</f>
        <v>0</v>
      </c>
      <c r="L97" s="74">
        <f>Input_AMI!L73*(Input_CPI!$AC$10/Input_CPI!U$10)</f>
        <v>0</v>
      </c>
      <c r="M97" s="74">
        <f>Input_AMI!M73*(Input_CPI!$AC$10/Input_CPI!V$10)</f>
        <v>0</v>
      </c>
      <c r="N97" s="80">
        <f>Input_AMI!N73*(Input_CPI!$AC$10/Input_CPI!W$10)</f>
        <v>0</v>
      </c>
      <c r="O97" s="79">
        <f>Input_AMI!O73*Input_CPI!Y$16</f>
        <v>0</v>
      </c>
      <c r="P97" s="74">
        <f>Input_AMI!P73*Input_CPI!Z$16</f>
        <v>0</v>
      </c>
      <c r="Q97" s="74">
        <f>Input_AMI!Q73*Input_CPI!AA$16</f>
        <v>0</v>
      </c>
      <c r="R97" s="74">
        <f>Input_AMI!R73*Input_CPI!AB$16</f>
        <v>0</v>
      </c>
      <c r="S97" s="80">
        <f>Input_AMI!S73*Input_CPI!AC$16</f>
        <v>0</v>
      </c>
      <c r="T97" s="79">
        <f>Input_AMI!T73</f>
        <v>0</v>
      </c>
      <c r="U97" s="74">
        <f>Input_AMI!U73</f>
        <v>0</v>
      </c>
      <c r="V97" s="74">
        <f>Input_AMI!V73</f>
        <v>0</v>
      </c>
      <c r="W97" s="74">
        <f>Input_AMI!W73</f>
        <v>0</v>
      </c>
      <c r="X97" s="80">
        <f>Input_AMI!X73</f>
        <v>0</v>
      </c>
    </row>
    <row r="98" spans="3:24" x14ac:dyDescent="0.2">
      <c r="D98" s="63" t="s">
        <v>171</v>
      </c>
      <c r="E98" s="39" t="str">
        <f t="shared" si="16"/>
        <v>$Million</v>
      </c>
      <c r="F98" s="39" t="str">
        <f t="shared" si="17"/>
        <v>Real 2024</v>
      </c>
      <c r="G98" s="39" t="str">
        <f t="shared" si="18"/>
        <v>End Period</v>
      </c>
      <c r="H98" s="39" t="str">
        <f t="shared" si="19"/>
        <v>Input_AMI</v>
      </c>
      <c r="J98" s="79">
        <f>Input_AMI!J74*(Input_CPI!$AC$10/Input_CPI!S$10)</f>
        <v>0</v>
      </c>
      <c r="K98" s="74">
        <f>Input_AMI!K74*(Input_CPI!$AC$10/Input_CPI!T$10)</f>
        <v>0</v>
      </c>
      <c r="L98" s="74">
        <f>Input_AMI!L74*(Input_CPI!$AC$10/Input_CPI!U$10)</f>
        <v>0</v>
      </c>
      <c r="M98" s="74">
        <f>Input_AMI!M74*(Input_CPI!$AC$10/Input_CPI!V$10)</f>
        <v>0</v>
      </c>
      <c r="N98" s="80">
        <f>Input_AMI!N74*(Input_CPI!$AC$10/Input_CPI!W$10)</f>
        <v>0</v>
      </c>
      <c r="O98" s="79">
        <f>Input_AMI!O74*Input_CPI!Y$16</f>
        <v>0</v>
      </c>
      <c r="P98" s="74">
        <f>Input_AMI!P74*Input_CPI!Z$16</f>
        <v>0</v>
      </c>
      <c r="Q98" s="74">
        <f>Input_AMI!Q74*Input_CPI!AA$16</f>
        <v>0</v>
      </c>
      <c r="R98" s="74">
        <f>Input_AMI!R74*Input_CPI!AB$16</f>
        <v>0</v>
      </c>
      <c r="S98" s="80">
        <f>Input_AMI!S74*Input_CPI!AC$16</f>
        <v>0</v>
      </c>
      <c r="T98" s="79">
        <f>Input_AMI!T74</f>
        <v>0</v>
      </c>
      <c r="U98" s="74">
        <f>Input_AMI!U74</f>
        <v>0</v>
      </c>
      <c r="V98" s="74">
        <f>Input_AMI!V74</f>
        <v>0</v>
      </c>
      <c r="W98" s="74">
        <f>Input_AMI!W74</f>
        <v>0</v>
      </c>
      <c r="X98" s="80">
        <f>Input_AMI!X74</f>
        <v>0</v>
      </c>
    </row>
    <row r="99" spans="3:24" x14ac:dyDescent="0.2">
      <c r="E99" s="39"/>
      <c r="F99" s="39"/>
      <c r="G99" s="39"/>
      <c r="H99" s="51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</row>
    <row r="100" spans="3:24" x14ac:dyDescent="0.2">
      <c r="D100" s="104" t="s">
        <v>166</v>
      </c>
      <c r="E100" s="131" t="str">
        <f>Unit_Dollar_M</f>
        <v>$Million</v>
      </c>
      <c r="F100" s="131" t="str">
        <f>Real_Input</f>
        <v>Real 2024</v>
      </c>
      <c r="G100" s="131" t="str">
        <f>End_Period</f>
        <v>End Period</v>
      </c>
      <c r="H100" s="131" t="s">
        <v>8</v>
      </c>
      <c r="I100" s="69"/>
      <c r="J100" s="128">
        <f>SUM(J88:J98)</f>
        <v>2.6717501811912512</v>
      </c>
      <c r="K100" s="129">
        <f t="shared" ref="K100:X100" si="20">SUM(K88:K98)</f>
        <v>3.1298686337138424</v>
      </c>
      <c r="L100" s="129">
        <f t="shared" si="20"/>
        <v>4.8544039500939</v>
      </c>
      <c r="M100" s="129">
        <f t="shared" si="20"/>
        <v>4.3915433070593393</v>
      </c>
      <c r="N100" s="130">
        <f t="shared" si="20"/>
        <v>1.8730659114452561</v>
      </c>
      <c r="O100" s="128">
        <f t="shared" si="20"/>
        <v>7.9688000393108576</v>
      </c>
      <c r="P100" s="129">
        <f t="shared" si="20"/>
        <v>4.4049630054710471</v>
      </c>
      <c r="Q100" s="129">
        <f t="shared" si="20"/>
        <v>4.672567718350229</v>
      </c>
      <c r="R100" s="129">
        <f t="shared" si="20"/>
        <v>9.3567177353966695</v>
      </c>
      <c r="S100" s="130">
        <f t="shared" si="20"/>
        <v>4.5579091465075257</v>
      </c>
      <c r="T100" s="128">
        <f t="shared" si="20"/>
        <v>12.295141330415124</v>
      </c>
      <c r="U100" s="129">
        <f t="shared" si="20"/>
        <v>12.644411983425057</v>
      </c>
      <c r="V100" s="129">
        <f t="shared" si="20"/>
        <v>12.760639027511077</v>
      </c>
      <c r="W100" s="129">
        <f t="shared" si="20"/>
        <v>14.411682212761622</v>
      </c>
      <c r="X100" s="130">
        <f t="shared" si="20"/>
        <v>10.748983709617393</v>
      </c>
    </row>
    <row r="102" spans="3:24" s="121" customFormat="1" ht="15.75" x14ac:dyDescent="0.2">
      <c r="C102" s="121" t="str">
        <f>Nominal&amp;" - Actual/Estimated/Proposed"</f>
        <v>Nominal - Actual/Estimated/Proposed</v>
      </c>
    </row>
    <row r="104" spans="3:24" x14ac:dyDescent="0.2">
      <c r="D104" s="60" t="s">
        <v>56</v>
      </c>
      <c r="E104" s="61" t="str">
        <f>E$4</f>
        <v>Unit</v>
      </c>
      <c r="F104" s="61" t="str">
        <f>F$4</f>
        <v>Basis</v>
      </c>
      <c r="G104" s="61" t="str">
        <f>G$4</f>
        <v>Timing</v>
      </c>
      <c r="H104" s="61" t="str">
        <f>H$4</f>
        <v>Source</v>
      </c>
      <c r="I104" s="60"/>
      <c r="J104" s="62" t="str">
        <f>J$3</f>
        <v>FY15</v>
      </c>
      <c r="K104" s="62" t="str">
        <f t="shared" ref="K104:X104" si="21">K$3</f>
        <v>FY16</v>
      </c>
      <c r="L104" s="62" t="str">
        <f t="shared" si="21"/>
        <v>FY17</v>
      </c>
      <c r="M104" s="62" t="str">
        <f t="shared" si="21"/>
        <v>FY18</v>
      </c>
      <c r="N104" s="62" t="str">
        <f t="shared" si="21"/>
        <v>FY19</v>
      </c>
      <c r="O104" s="62" t="str">
        <f t="shared" si="21"/>
        <v>FY20</v>
      </c>
      <c r="P104" s="62" t="str">
        <f t="shared" si="21"/>
        <v>FY21</v>
      </c>
      <c r="Q104" s="62" t="str">
        <f t="shared" si="21"/>
        <v>FY22</v>
      </c>
      <c r="R104" s="62" t="str">
        <f t="shared" si="21"/>
        <v>FY23</v>
      </c>
      <c r="S104" s="62" t="str">
        <f t="shared" si="21"/>
        <v>FY24</v>
      </c>
      <c r="T104" s="62" t="str">
        <f t="shared" si="21"/>
        <v>FY25</v>
      </c>
      <c r="U104" s="62" t="str">
        <f t="shared" si="21"/>
        <v>FY26</v>
      </c>
      <c r="V104" s="62" t="str">
        <f t="shared" si="21"/>
        <v>FY27</v>
      </c>
      <c r="W104" s="62" t="str">
        <f t="shared" si="21"/>
        <v>FY28</v>
      </c>
      <c r="X104" s="62" t="str">
        <f t="shared" si="21"/>
        <v>FY29</v>
      </c>
    </row>
    <row r="106" spans="3:24" x14ac:dyDescent="0.2">
      <c r="D106" s="63" t="str">
        <f>Input_General!$E$80</f>
        <v>Mechanical Meters</v>
      </c>
      <c r="E106" s="39" t="str">
        <f t="shared" ref="E106:E116" si="22">Unit_Dollar_M</f>
        <v>$Million</v>
      </c>
      <c r="F106" s="39" t="str">
        <f t="shared" ref="F106:F116" si="23">Nominal</f>
        <v>Nominal</v>
      </c>
      <c r="G106" s="39" t="str">
        <f t="shared" ref="G106:G116" si="24">Mid_Period</f>
        <v>Mid Period</v>
      </c>
      <c r="H106" s="39" t="s">
        <v>177</v>
      </c>
      <c r="J106" s="79">
        <f>Input_AMI!J85</f>
        <v>2.0282798854973003</v>
      </c>
      <c r="K106" s="74">
        <f>Input_AMI!K85</f>
        <v>3.1930329498501586</v>
      </c>
      <c r="L106" s="74">
        <f>Input_AMI!L85</f>
        <v>3.0742775003546075</v>
      </c>
      <c r="M106" s="74">
        <f>Input_AMI!M85</f>
        <v>0</v>
      </c>
      <c r="N106" s="80">
        <f>Input_AMI!N85</f>
        <v>0</v>
      </c>
      <c r="O106" s="79">
        <f>Input_AMI!O85</f>
        <v>0</v>
      </c>
      <c r="P106" s="74">
        <f>Input_AMI!P85</f>
        <v>0</v>
      </c>
      <c r="Q106" s="74">
        <f>Input_AMI!Q85</f>
        <v>0</v>
      </c>
      <c r="R106" s="74">
        <f>Input_AMI!R85</f>
        <v>0</v>
      </c>
      <c r="S106" s="80">
        <f>Input_AMI!S85</f>
        <v>0</v>
      </c>
      <c r="T106" s="79">
        <f>T124*Input_CPI!AD$19</f>
        <v>0</v>
      </c>
      <c r="U106" s="74">
        <f>U124*Input_CPI!AE$19</f>
        <v>0</v>
      </c>
      <c r="V106" s="74">
        <f>V124*Input_CPI!AF$19</f>
        <v>0</v>
      </c>
      <c r="W106" s="74">
        <f>W124*Input_CPI!AG$19</f>
        <v>0</v>
      </c>
      <c r="X106" s="80">
        <f>X124*Input_CPI!AH$19</f>
        <v>0</v>
      </c>
    </row>
    <row r="107" spans="3:24" x14ac:dyDescent="0.2">
      <c r="D107" s="63" t="str">
        <f>Input_General!$E$81</f>
        <v>Electronic Meters</v>
      </c>
      <c r="E107" s="39" t="str">
        <f t="shared" si="22"/>
        <v>$Million</v>
      </c>
      <c r="F107" s="39" t="str">
        <f t="shared" si="23"/>
        <v>Nominal</v>
      </c>
      <c r="G107" s="39" t="str">
        <f t="shared" si="24"/>
        <v>Mid Period</v>
      </c>
      <c r="H107" s="39" t="s">
        <v>177</v>
      </c>
      <c r="J107" s="79">
        <f>Input_AMI!J86</f>
        <v>0</v>
      </c>
      <c r="K107" s="74">
        <f>Input_AMI!K86</f>
        <v>0</v>
      </c>
      <c r="L107" s="74">
        <f>Input_AMI!L86</f>
        <v>0</v>
      </c>
      <c r="M107" s="74">
        <f>Input_AMI!M86</f>
        <v>3.8162423763728976</v>
      </c>
      <c r="N107" s="80">
        <f>Input_AMI!N86</f>
        <v>3.9363220000000001</v>
      </c>
      <c r="O107" s="79">
        <f>Input_AMI!O86</f>
        <v>1.59639347</v>
      </c>
      <c r="P107" s="74">
        <f>Input_AMI!P86</f>
        <v>1.65066114</v>
      </c>
      <c r="Q107" s="74">
        <f>Input_AMI!Q86</f>
        <v>2.182604</v>
      </c>
      <c r="R107" s="74">
        <f>Input_AMI!R86</f>
        <v>7.5339460000000003</v>
      </c>
      <c r="S107" s="80">
        <f>Input_AMI!S86</f>
        <v>10.16709816319835</v>
      </c>
      <c r="T107" s="79">
        <f>T125*Input_CPI!AD$19</f>
        <v>11.353684513509672</v>
      </c>
      <c r="U107" s="74">
        <f>U125*Input_CPI!AE$19</f>
        <v>11.747752064870495</v>
      </c>
      <c r="V107" s="74">
        <f>V125*Input_CPI!AF$19</f>
        <v>12.055255083179755</v>
      </c>
      <c r="W107" s="74">
        <f>W125*Input_CPI!AG$19</f>
        <v>12.447301544449042</v>
      </c>
      <c r="X107" s="80">
        <f>X125*Input_CPI!AH$19</f>
        <v>8.5728179852433488</v>
      </c>
    </row>
    <row r="108" spans="3:24" x14ac:dyDescent="0.2">
      <c r="D108" s="63" t="str">
        <f>Input_General!$E$82</f>
        <v>Metering Communications</v>
      </c>
      <c r="E108" s="39" t="str">
        <f t="shared" si="22"/>
        <v>$Million</v>
      </c>
      <c r="F108" s="39" t="str">
        <f t="shared" si="23"/>
        <v>Nominal</v>
      </c>
      <c r="G108" s="39" t="str">
        <f t="shared" si="24"/>
        <v>Mid Period</v>
      </c>
      <c r="H108" s="39" t="s">
        <v>177</v>
      </c>
      <c r="J108" s="79">
        <f>Input_AMI!J87</f>
        <v>0</v>
      </c>
      <c r="K108" s="74">
        <f>Input_AMI!K87</f>
        <v>0</v>
      </c>
      <c r="L108" s="74">
        <f>Input_AMI!L87</f>
        <v>0</v>
      </c>
      <c r="M108" s="74">
        <f>Input_AMI!M87</f>
        <v>0</v>
      </c>
      <c r="N108" s="80">
        <f>Input_AMI!N87</f>
        <v>0</v>
      </c>
      <c r="O108" s="79">
        <f>Input_AMI!O87</f>
        <v>0</v>
      </c>
      <c r="P108" s="74">
        <f>Input_AMI!P87</f>
        <v>0</v>
      </c>
      <c r="Q108" s="74">
        <f>Input_AMI!Q87</f>
        <v>0</v>
      </c>
      <c r="R108" s="74">
        <f>Input_AMI!R87</f>
        <v>0.405061</v>
      </c>
      <c r="S108" s="80">
        <f>Input_AMI!S87</f>
        <v>2.763013886901855</v>
      </c>
      <c r="T108" s="79">
        <f>T126*Input_CPI!AD$19</f>
        <v>0.258864059817493</v>
      </c>
      <c r="U108" s="74">
        <f>U126*Input_CPI!AE$19</f>
        <v>0.31461730879073435</v>
      </c>
      <c r="V108" s="74">
        <f>V126*Input_CPI!AF$19</f>
        <v>0.37280680187375559</v>
      </c>
      <c r="W108" s="74">
        <f>W126*Input_CPI!AG$19</f>
        <v>0.43378156926085143</v>
      </c>
      <c r="X108" s="80">
        <f>X126*Input_CPI!AH$19</f>
        <v>0.49765872705439779</v>
      </c>
    </row>
    <row r="109" spans="3:24" x14ac:dyDescent="0.2">
      <c r="D109" s="63" t="str">
        <f>Input_General!$E$83</f>
        <v>Dedicated CTs and VTs</v>
      </c>
      <c r="E109" s="39" t="str">
        <f t="shared" si="22"/>
        <v>$Million</v>
      </c>
      <c r="F109" s="39" t="str">
        <f t="shared" si="23"/>
        <v>Nominal</v>
      </c>
      <c r="G109" s="39" t="str">
        <f t="shared" si="24"/>
        <v>Mid Period</v>
      </c>
      <c r="H109" s="39" t="s">
        <v>177</v>
      </c>
      <c r="J109" s="79">
        <f>Input_AMI!J88</f>
        <v>0</v>
      </c>
      <c r="K109" s="74">
        <f>Input_AMI!K88</f>
        <v>0</v>
      </c>
      <c r="L109" s="74">
        <f>Input_AMI!L88</f>
        <v>0</v>
      </c>
      <c r="M109" s="74">
        <f>Input_AMI!M88</f>
        <v>0</v>
      </c>
      <c r="N109" s="80">
        <f>Input_AMI!N88</f>
        <v>0</v>
      </c>
      <c r="O109" s="79">
        <f>Input_AMI!O88</f>
        <v>0</v>
      </c>
      <c r="P109" s="74">
        <f>Input_AMI!P88</f>
        <v>0</v>
      </c>
      <c r="Q109" s="74">
        <f>Input_AMI!Q88</f>
        <v>0</v>
      </c>
      <c r="R109" s="74">
        <f>Input_AMI!R88</f>
        <v>0</v>
      </c>
      <c r="S109" s="80">
        <f>Input_AMI!S88</f>
        <v>0</v>
      </c>
      <c r="T109" s="79">
        <f>T127*Input_CPI!AD$19</f>
        <v>5.7893574725749797E-2</v>
      </c>
      <c r="U109" s="74">
        <f>U127*Input_CPI!AE$19</f>
        <v>5.9514468105156454E-2</v>
      </c>
      <c r="V109" s="74">
        <f>V127*Input_CPI!AF$19</f>
        <v>6.1180742951502227E-2</v>
      </c>
      <c r="W109" s="74">
        <f>W127*Input_CPI!AG$19</f>
        <v>6.2893669846534037E-2</v>
      </c>
      <c r="X109" s="80">
        <f>X127*Input_CPI!AH$19</f>
        <v>6.4654554945506745E-2</v>
      </c>
    </row>
    <row r="110" spans="3:24" x14ac:dyDescent="0.2">
      <c r="D110" s="63" t="str">
        <f>Input_General!$E$84</f>
        <v>Non Network Other</v>
      </c>
      <c r="E110" s="39" t="str">
        <f t="shared" si="22"/>
        <v>$Million</v>
      </c>
      <c r="F110" s="39" t="str">
        <f t="shared" si="23"/>
        <v>Nominal</v>
      </c>
      <c r="G110" s="39" t="str">
        <f t="shared" si="24"/>
        <v>Mid Period</v>
      </c>
      <c r="H110" s="39" t="s">
        <v>177</v>
      </c>
      <c r="J110" s="79">
        <f>Input_AMI!J89</f>
        <v>0</v>
      </c>
      <c r="K110" s="74">
        <f>Input_AMI!K89</f>
        <v>0</v>
      </c>
      <c r="L110" s="74">
        <f>Input_AMI!L89</f>
        <v>0</v>
      </c>
      <c r="M110" s="74">
        <f>Input_AMI!M89</f>
        <v>0</v>
      </c>
      <c r="N110" s="80">
        <f>Input_AMI!N89</f>
        <v>0</v>
      </c>
      <c r="O110" s="79">
        <f>Input_AMI!O89</f>
        <v>4.4837800000000004E-2</v>
      </c>
      <c r="P110" s="74">
        <f>Input_AMI!P89</f>
        <v>0.11227012</v>
      </c>
      <c r="Q110" s="74">
        <f>Input_AMI!Q89</f>
        <v>8.3256999999999998E-2</v>
      </c>
      <c r="R110" s="74">
        <f>Input_AMI!R89</f>
        <v>0.33388600000000002</v>
      </c>
      <c r="S110" s="80">
        <f>Input_AMI!S89</f>
        <v>0.12457740130916435</v>
      </c>
      <c r="T110" s="79">
        <f>T128*Input_CPI!AD$19</f>
        <v>0.133884310222155</v>
      </c>
      <c r="U110" s="74">
        <f>U128*Input_CPI!AE$19</f>
        <v>0.13692163015036909</v>
      </c>
      <c r="V110" s="74">
        <f>V128*Input_CPI!AF$19</f>
        <v>0.22611295456516123</v>
      </c>
      <c r="W110" s="74">
        <f>W128*Input_CPI!AG$19</f>
        <v>2.282064470445853</v>
      </c>
      <c r="X110" s="80">
        <f>X128*Input_CPI!AH$19</f>
        <v>2.3519026895845134</v>
      </c>
    </row>
    <row r="111" spans="3:24" x14ac:dyDescent="0.2">
      <c r="D111" s="63" t="str">
        <f>Input_General!$E$85</f>
        <v>Non Network IT and Communications</v>
      </c>
      <c r="E111" s="39" t="str">
        <f t="shared" si="22"/>
        <v>$Million</v>
      </c>
      <c r="F111" s="39" t="str">
        <f t="shared" si="23"/>
        <v>Nominal</v>
      </c>
      <c r="G111" s="39" t="str">
        <f t="shared" si="24"/>
        <v>Mid Period</v>
      </c>
      <c r="H111" s="39" t="s">
        <v>177</v>
      </c>
      <c r="J111" s="79">
        <f>Input_AMI!J90</f>
        <v>0</v>
      </c>
      <c r="K111" s="74">
        <f>Input_AMI!K90</f>
        <v>0</v>
      </c>
      <c r="L111" s="74">
        <f>Input_AMI!L90</f>
        <v>0</v>
      </c>
      <c r="M111" s="74">
        <f>Input_AMI!M90</f>
        <v>0</v>
      </c>
      <c r="N111" s="80">
        <f>Input_AMI!N90</f>
        <v>0</v>
      </c>
      <c r="O111" s="79">
        <f>Input_AMI!O90</f>
        <v>0.24360609</v>
      </c>
      <c r="P111" s="74">
        <f>Input_AMI!P90</f>
        <v>8.2099729999999996E-2</v>
      </c>
      <c r="Q111" s="74">
        <f>Input_AMI!Q90</f>
        <v>0.24063200000000001</v>
      </c>
      <c r="R111" s="74">
        <f>Input_AMI!R90</f>
        <v>0.82295700000000005</v>
      </c>
      <c r="S111" s="80">
        <f>Input_AMI!S90</f>
        <v>0.73089720675611025</v>
      </c>
      <c r="T111" s="79">
        <f>T129*Input_CPI!AD$19</f>
        <v>0.58811866717523031</v>
      </c>
      <c r="U111" s="74">
        <f>U129*Input_CPI!AE$19</f>
        <v>0.7645419807010011</v>
      </c>
      <c r="V111" s="74">
        <f>V129*Input_CPI!AF$19</f>
        <v>0.50298339966961991</v>
      </c>
      <c r="W111" s="74">
        <f>W129*Input_CPI!AG$19</f>
        <v>0.49863104031885075</v>
      </c>
      <c r="X111" s="80">
        <f>X129*Input_CPI!AH$19</f>
        <v>0.52362291213479484</v>
      </c>
    </row>
    <row r="112" spans="3:24" x14ac:dyDescent="0.2">
      <c r="D112" s="63" t="str">
        <f>Input_General!$E$86</f>
        <v>Fleet leases</v>
      </c>
      <c r="E112" s="39" t="str">
        <f t="shared" si="22"/>
        <v>$Million</v>
      </c>
      <c r="F112" s="39" t="str">
        <f t="shared" si="23"/>
        <v>Nominal</v>
      </c>
      <c r="G112" s="39" t="str">
        <f t="shared" si="24"/>
        <v>Mid Period</v>
      </c>
      <c r="H112" s="39" t="s">
        <v>177</v>
      </c>
      <c r="J112" s="79">
        <f>Input_AMI!J91</f>
        <v>0</v>
      </c>
      <c r="K112" s="74">
        <f>Input_AMI!K91</f>
        <v>0</v>
      </c>
      <c r="L112" s="74">
        <f>Input_AMI!L91</f>
        <v>0</v>
      </c>
      <c r="M112" s="74">
        <f>Input_AMI!M91</f>
        <v>0</v>
      </c>
      <c r="N112" s="80">
        <f>Input_AMI!N91</f>
        <v>0</v>
      </c>
      <c r="O112" s="79">
        <f>Input_AMI!O91</f>
        <v>0.54181505000000008</v>
      </c>
      <c r="P112" s="74">
        <f>Input_AMI!P91</f>
        <v>0.10036872999999999</v>
      </c>
      <c r="Q112" s="74">
        <f>Input_AMI!Q91</f>
        <v>0.11856</v>
      </c>
      <c r="R112" s="74">
        <f>Input_AMI!R91</f>
        <v>9.5598000000000002E-2</v>
      </c>
      <c r="S112" s="80">
        <f>Input_AMI!S91</f>
        <v>7.8842505788718209E-2</v>
      </c>
      <c r="T112" s="79">
        <f>T130*Input_CPI!AD$19</f>
        <v>7.3626568316258412E-2</v>
      </c>
      <c r="U112" s="74">
        <f>U130*Input_CPI!AE$19</f>
        <v>0.15578803295940438</v>
      </c>
      <c r="V112" s="74">
        <f>V130*Input_CPI!AF$19</f>
        <v>0.1603971467505155</v>
      </c>
      <c r="W112" s="74">
        <f>W130*Input_CPI!AG$19</f>
        <v>0.14936301783584291</v>
      </c>
      <c r="X112" s="80">
        <f>X130*Input_CPI!AH$19</f>
        <v>0.11988604707783711</v>
      </c>
    </row>
    <row r="113" spans="3:24" x14ac:dyDescent="0.2">
      <c r="D113" s="63" t="str">
        <f>Input_General!$E$87</f>
        <v>Property leases</v>
      </c>
      <c r="E113" s="39" t="str">
        <f t="shared" si="22"/>
        <v>$Million</v>
      </c>
      <c r="F113" s="39" t="str">
        <f t="shared" si="23"/>
        <v>Nominal</v>
      </c>
      <c r="G113" s="39" t="str">
        <f t="shared" si="24"/>
        <v>Mid Period</v>
      </c>
      <c r="H113" s="39" t="s">
        <v>177</v>
      </c>
      <c r="J113" s="79">
        <f>Input_AMI!J92</f>
        <v>0</v>
      </c>
      <c r="K113" s="74">
        <f>Input_AMI!K92</f>
        <v>0</v>
      </c>
      <c r="L113" s="74">
        <f>Input_AMI!L92</f>
        <v>0</v>
      </c>
      <c r="M113" s="74">
        <f>Input_AMI!M92</f>
        <v>0</v>
      </c>
      <c r="N113" s="80">
        <f>Input_AMI!N92</f>
        <v>0</v>
      </c>
      <c r="O113" s="79">
        <f>Input_AMI!O92</f>
        <v>0.12408016000000001</v>
      </c>
      <c r="P113" s="74">
        <f>Input_AMI!P92</f>
        <v>4.105996E-2</v>
      </c>
      <c r="Q113" s="74">
        <f>Input_AMI!Q92</f>
        <v>0.47113699999999997</v>
      </c>
      <c r="R113" s="74">
        <f>Input_AMI!R92</f>
        <v>3.8424E-2</v>
      </c>
      <c r="S113" s="80">
        <f>Input_AMI!S92</f>
        <v>0.19824820019954736</v>
      </c>
      <c r="T113" s="79">
        <f>T131*Input_CPI!AD$19</f>
        <v>0</v>
      </c>
      <c r="U113" s="74">
        <f>U131*Input_CPI!AE$19</f>
        <v>0</v>
      </c>
      <c r="V113" s="74">
        <f>V131*Input_CPI!AF$19</f>
        <v>0.29392022733470624</v>
      </c>
      <c r="W113" s="74">
        <f>W131*Input_CPI!AG$19</f>
        <v>0</v>
      </c>
      <c r="X113" s="80">
        <f>X131*Input_CPI!AH$19</f>
        <v>4.0625157265762053E-2</v>
      </c>
    </row>
    <row r="114" spans="3:24" x14ac:dyDescent="0.2">
      <c r="D114" s="63" t="str">
        <f>Input_General!$E$88</f>
        <v>Buildings</v>
      </c>
      <c r="E114" s="39" t="str">
        <f t="shared" si="22"/>
        <v>$Million</v>
      </c>
      <c r="F114" s="39" t="str">
        <f t="shared" si="23"/>
        <v>Nominal</v>
      </c>
      <c r="G114" s="39" t="str">
        <f t="shared" si="24"/>
        <v>Mid Period</v>
      </c>
      <c r="H114" s="39" t="s">
        <v>177</v>
      </c>
      <c r="J114" s="79">
        <f>Input_AMI!J93</f>
        <v>0</v>
      </c>
      <c r="K114" s="74">
        <f>Input_AMI!K93</f>
        <v>0</v>
      </c>
      <c r="L114" s="74">
        <f>Input_AMI!L93</f>
        <v>0</v>
      </c>
      <c r="M114" s="74">
        <f>Input_AMI!M93</f>
        <v>0</v>
      </c>
      <c r="N114" s="80">
        <f>Input_AMI!N93</f>
        <v>0</v>
      </c>
      <c r="O114" s="79">
        <f>Input_AMI!O93</f>
        <v>1.654197E-2</v>
      </c>
      <c r="P114" s="74">
        <f>Input_AMI!P93</f>
        <v>5.8798179999999999E-2</v>
      </c>
      <c r="Q114" s="74">
        <f>Input_AMI!Q93</f>
        <v>0.12519</v>
      </c>
      <c r="R114" s="74">
        <f>Input_AMI!R93</f>
        <v>7.7393000000000003E-2</v>
      </c>
      <c r="S114" s="80">
        <f>Input_AMI!S93</f>
        <v>0</v>
      </c>
      <c r="T114" s="79">
        <f>T132*Input_CPI!AD$19</f>
        <v>0</v>
      </c>
      <c r="U114" s="74">
        <f>U132*Input_CPI!AE$19</f>
        <v>0</v>
      </c>
      <c r="V114" s="74">
        <f>V132*Input_CPI!AF$19</f>
        <v>0</v>
      </c>
      <c r="W114" s="74">
        <f>W132*Input_CPI!AG$19</f>
        <v>0</v>
      </c>
      <c r="X114" s="80">
        <f>X132*Input_CPI!AH$19</f>
        <v>0</v>
      </c>
    </row>
    <row r="115" spans="3:24" x14ac:dyDescent="0.2">
      <c r="D115" s="63" t="str">
        <f>Input_General!$E$89</f>
        <v>In-house software</v>
      </c>
      <c r="E115" s="39" t="str">
        <f t="shared" si="22"/>
        <v>$Million</v>
      </c>
      <c r="F115" s="39" t="str">
        <f t="shared" si="23"/>
        <v>Nominal</v>
      </c>
      <c r="G115" s="39" t="str">
        <f t="shared" si="24"/>
        <v>Mid Period</v>
      </c>
      <c r="H115" s="39" t="s">
        <v>177</v>
      </c>
      <c r="J115" s="79">
        <f>Input_AMI!J94</f>
        <v>0</v>
      </c>
      <c r="K115" s="74">
        <f>Input_AMI!K94</f>
        <v>0</v>
      </c>
      <c r="L115" s="74">
        <f>Input_AMI!L94</f>
        <v>0</v>
      </c>
      <c r="M115" s="74">
        <f>Input_AMI!M94</f>
        <v>0</v>
      </c>
      <c r="N115" s="80">
        <f>Input_AMI!N94</f>
        <v>0</v>
      </c>
      <c r="O115" s="79">
        <f>Input_AMI!O94</f>
        <v>0</v>
      </c>
      <c r="P115" s="74">
        <f>Input_AMI!P94</f>
        <v>0</v>
      </c>
      <c r="Q115" s="74">
        <f>Input_AMI!Q94</f>
        <v>0</v>
      </c>
      <c r="R115" s="74">
        <f>Input_AMI!R94</f>
        <v>0</v>
      </c>
      <c r="S115" s="80">
        <f>Input_AMI!S94</f>
        <v>0</v>
      </c>
      <c r="T115" s="79">
        <f>T133*Input_CPI!AD$19</f>
        <v>0</v>
      </c>
      <c r="U115" s="74">
        <f>U133*Input_CPI!AE$19</f>
        <v>0</v>
      </c>
      <c r="V115" s="74">
        <f>V133*Input_CPI!AF$19</f>
        <v>0</v>
      </c>
      <c r="W115" s="74">
        <f>W133*Input_CPI!AG$19</f>
        <v>0</v>
      </c>
      <c r="X115" s="80">
        <f>X133*Input_CPI!AH$19</f>
        <v>0</v>
      </c>
    </row>
    <row r="116" spans="3:24" x14ac:dyDescent="0.2">
      <c r="D116" s="63" t="s">
        <v>171</v>
      </c>
      <c r="E116" s="39" t="str">
        <f t="shared" si="22"/>
        <v>$Million</v>
      </c>
      <c r="F116" s="39" t="str">
        <f t="shared" si="23"/>
        <v>Nominal</v>
      </c>
      <c r="G116" s="39" t="str">
        <f t="shared" si="24"/>
        <v>Mid Period</v>
      </c>
      <c r="H116" s="39" t="s">
        <v>177</v>
      </c>
      <c r="J116" s="79">
        <f>Input_AMI!J95</f>
        <v>0</v>
      </c>
      <c r="K116" s="74">
        <f>Input_AMI!K95</f>
        <v>0</v>
      </c>
      <c r="L116" s="74">
        <f>Input_AMI!L95</f>
        <v>0</v>
      </c>
      <c r="M116" s="74">
        <f>Input_AMI!M95</f>
        <v>0</v>
      </c>
      <c r="N116" s="80">
        <f>Input_AMI!N95</f>
        <v>0</v>
      </c>
      <c r="O116" s="79">
        <f>Input_AMI!O95</f>
        <v>0</v>
      </c>
      <c r="P116" s="74">
        <f>Input_AMI!P95</f>
        <v>0</v>
      </c>
      <c r="Q116" s="74">
        <f>Input_AMI!Q95</f>
        <v>0</v>
      </c>
      <c r="R116" s="74">
        <f>Input_AMI!R95</f>
        <v>0</v>
      </c>
      <c r="S116" s="80">
        <f>Input_AMI!S95</f>
        <v>0</v>
      </c>
      <c r="T116" s="79">
        <f>T134*Input_CPI!AD$19</f>
        <v>0</v>
      </c>
      <c r="U116" s="74">
        <f>U134*Input_CPI!AE$19</f>
        <v>0</v>
      </c>
      <c r="V116" s="74">
        <f>V134*Input_CPI!AF$19</f>
        <v>0</v>
      </c>
      <c r="W116" s="74">
        <f>W134*Input_CPI!AG$19</f>
        <v>0</v>
      </c>
      <c r="X116" s="80">
        <f>X134*Input_CPI!AH$19</f>
        <v>0</v>
      </c>
    </row>
    <row r="117" spans="3:24" x14ac:dyDescent="0.2">
      <c r="E117" s="39"/>
      <c r="F117" s="39"/>
      <c r="G117" s="39"/>
      <c r="H117" s="51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</row>
    <row r="118" spans="3:24" x14ac:dyDescent="0.2">
      <c r="D118" s="104" t="s">
        <v>166</v>
      </c>
      <c r="E118" s="131" t="str">
        <f>Unit_Dollar_M</f>
        <v>$Million</v>
      </c>
      <c r="F118" s="131" t="str">
        <f>Nominal</f>
        <v>Nominal</v>
      </c>
      <c r="G118" s="131" t="str">
        <f>Mid_Period</f>
        <v>Mid Period</v>
      </c>
      <c r="H118" s="131" t="s">
        <v>8</v>
      </c>
      <c r="I118" s="69"/>
      <c r="J118" s="128">
        <f>SUM(J106:J116)</f>
        <v>2.0282798854973003</v>
      </c>
      <c r="K118" s="129">
        <f t="shared" ref="K118:X118" si="25">SUM(K106:K116)</f>
        <v>3.1930329498501586</v>
      </c>
      <c r="L118" s="129">
        <f t="shared" si="25"/>
        <v>3.0742775003546075</v>
      </c>
      <c r="M118" s="129">
        <f t="shared" si="25"/>
        <v>3.8162423763728976</v>
      </c>
      <c r="N118" s="130">
        <f t="shared" si="25"/>
        <v>3.9363220000000001</v>
      </c>
      <c r="O118" s="128">
        <f t="shared" si="25"/>
        <v>2.5672745400000001</v>
      </c>
      <c r="P118" s="129">
        <f t="shared" si="25"/>
        <v>2.04525786</v>
      </c>
      <c r="Q118" s="129">
        <f t="shared" si="25"/>
        <v>3.2213800000000004</v>
      </c>
      <c r="R118" s="129">
        <f t="shared" si="25"/>
        <v>9.307265000000001</v>
      </c>
      <c r="S118" s="130">
        <f t="shared" si="25"/>
        <v>14.062677364153744</v>
      </c>
      <c r="T118" s="128">
        <f t="shared" si="25"/>
        <v>12.466071693766558</v>
      </c>
      <c r="U118" s="129">
        <f t="shared" si="25"/>
        <v>13.179135485577159</v>
      </c>
      <c r="V118" s="129">
        <f t="shared" si="25"/>
        <v>13.672656356325016</v>
      </c>
      <c r="W118" s="129">
        <f t="shared" si="25"/>
        <v>15.874035312156973</v>
      </c>
      <c r="X118" s="130">
        <f t="shared" si="25"/>
        <v>12.171168073306163</v>
      </c>
    </row>
    <row r="120" spans="3:24" s="121" customFormat="1" ht="15.75" x14ac:dyDescent="0.2">
      <c r="C120" s="121" t="str">
        <f>Real_Input&amp;" - Actual/Estimated/Proposed"</f>
        <v>Real 2024 - Actual/Estimated/Proposed</v>
      </c>
    </row>
    <row r="122" spans="3:24" x14ac:dyDescent="0.2">
      <c r="D122" s="60" t="s">
        <v>56</v>
      </c>
      <c r="E122" s="61" t="str">
        <f>E$4</f>
        <v>Unit</v>
      </c>
      <c r="F122" s="61" t="str">
        <f>F$4</f>
        <v>Basis</v>
      </c>
      <c r="G122" s="61" t="str">
        <f>G$4</f>
        <v>Timing</v>
      </c>
      <c r="H122" s="61" t="str">
        <f>H$4</f>
        <v>Source</v>
      </c>
      <c r="I122" s="60"/>
      <c r="J122" s="62" t="str">
        <f>J$3</f>
        <v>FY15</v>
      </c>
      <c r="K122" s="62" t="str">
        <f t="shared" ref="K122:X122" si="26">K$3</f>
        <v>FY16</v>
      </c>
      <c r="L122" s="62" t="str">
        <f t="shared" si="26"/>
        <v>FY17</v>
      </c>
      <c r="M122" s="62" t="str">
        <f t="shared" si="26"/>
        <v>FY18</v>
      </c>
      <c r="N122" s="62" t="str">
        <f t="shared" si="26"/>
        <v>FY19</v>
      </c>
      <c r="O122" s="62" t="str">
        <f t="shared" si="26"/>
        <v>FY20</v>
      </c>
      <c r="P122" s="62" t="str">
        <f t="shared" si="26"/>
        <v>FY21</v>
      </c>
      <c r="Q122" s="62" t="str">
        <f t="shared" si="26"/>
        <v>FY22</v>
      </c>
      <c r="R122" s="62" t="str">
        <f t="shared" si="26"/>
        <v>FY23</v>
      </c>
      <c r="S122" s="62" t="str">
        <f t="shared" si="26"/>
        <v>FY24</v>
      </c>
      <c r="T122" s="62" t="str">
        <f t="shared" si="26"/>
        <v>FY25</v>
      </c>
      <c r="U122" s="62" t="str">
        <f t="shared" si="26"/>
        <v>FY26</v>
      </c>
      <c r="V122" s="62" t="str">
        <f t="shared" si="26"/>
        <v>FY27</v>
      </c>
      <c r="W122" s="62" t="str">
        <f t="shared" si="26"/>
        <v>FY28</v>
      </c>
      <c r="X122" s="62" t="str">
        <f t="shared" si="26"/>
        <v>FY29</v>
      </c>
    </row>
    <row r="124" spans="3:24" x14ac:dyDescent="0.2">
      <c r="D124" s="63" t="str">
        <f>Input_General!$E$80</f>
        <v>Mechanical Meters</v>
      </c>
      <c r="E124" s="39" t="str">
        <f t="shared" ref="E124:E134" si="27">Unit_Dollar_M</f>
        <v>$Million</v>
      </c>
      <c r="F124" s="39" t="str">
        <f t="shared" ref="F124:F134" si="28">Real_Input</f>
        <v>Real 2024</v>
      </c>
      <c r="G124" s="39" t="str">
        <f t="shared" ref="G124:G134" si="29">End_Period</f>
        <v>End Period</v>
      </c>
      <c r="H124" s="39" t="s">
        <v>177</v>
      </c>
      <c r="J124" s="79">
        <f>J106*Input_CPI!T$20</f>
        <v>2.6330968544484881</v>
      </c>
      <c r="K124" s="74">
        <f>K106*Input_CPI!U$20</f>
        <v>4.0933173670795417</v>
      </c>
      <c r="L124" s="74">
        <f>L106*Input_CPI!V$20</f>
        <v>3.8836984902811396</v>
      </c>
      <c r="M124" s="74">
        <f>M106*Input_CPI!W$20</f>
        <v>0</v>
      </c>
      <c r="N124" s="80">
        <f>N106*Input_CPI!X$20</f>
        <v>0</v>
      </c>
      <c r="O124" s="79">
        <f>O106*Input_CPI!Y$20</f>
        <v>0</v>
      </c>
      <c r="P124" s="74">
        <f>P106*Input_CPI!Z$20</f>
        <v>0</v>
      </c>
      <c r="Q124" s="74">
        <f>Q106*Input_CPI!AA$20</f>
        <v>0</v>
      </c>
      <c r="R124" s="74">
        <f>R106*Input_CPI!AB$20</f>
        <v>0</v>
      </c>
      <c r="S124" s="80">
        <f>S106*Input_CPI!AC$20</f>
        <v>0</v>
      </c>
      <c r="T124" s="79">
        <f>Input_AMI!T64</f>
        <v>0</v>
      </c>
      <c r="U124" s="74">
        <f>Input_AMI!U64</f>
        <v>0</v>
      </c>
      <c r="V124" s="74">
        <f>Input_AMI!V64</f>
        <v>0</v>
      </c>
      <c r="W124" s="74">
        <f>Input_AMI!W64</f>
        <v>0</v>
      </c>
      <c r="X124" s="80">
        <f>Input_AMI!X64</f>
        <v>0</v>
      </c>
    </row>
    <row r="125" spans="3:24" x14ac:dyDescent="0.2">
      <c r="D125" s="63" t="str">
        <f>Input_General!$E$81</f>
        <v>Electronic Meters</v>
      </c>
      <c r="E125" s="39" t="str">
        <f t="shared" si="27"/>
        <v>$Million</v>
      </c>
      <c r="F125" s="39" t="str">
        <f t="shared" si="28"/>
        <v>Real 2024</v>
      </c>
      <c r="G125" s="39" t="str">
        <f t="shared" si="29"/>
        <v>End Period</v>
      </c>
      <c r="H125" s="39" t="s">
        <v>177</v>
      </c>
      <c r="J125" s="79">
        <f>J107*Input_CPI!T$20</f>
        <v>0</v>
      </c>
      <c r="K125" s="74">
        <f>K107*Input_CPI!U$20</f>
        <v>0</v>
      </c>
      <c r="L125" s="74">
        <f>L107*Input_CPI!V$20</f>
        <v>0</v>
      </c>
      <c r="M125" s="74">
        <f>M107*Input_CPI!W$20</f>
        <v>4.7262215948441026</v>
      </c>
      <c r="N125" s="80">
        <f>N107*Input_CPI!X$20</f>
        <v>4.7870902406969007</v>
      </c>
      <c r="O125" s="79">
        <f>O107*Input_CPI!Y$20</f>
        <v>1.9295105124552328</v>
      </c>
      <c r="P125" s="74">
        <f>P107*Input_CPI!Z$20</f>
        <v>1.9612269721367079</v>
      </c>
      <c r="Q125" s="74">
        <f>Q107*Input_CPI!AA$20</f>
        <v>2.4700192950420194</v>
      </c>
      <c r="R125" s="74">
        <f>R107*Input_CPI!AB$20</f>
        <v>8.0369343131608524</v>
      </c>
      <c r="S125" s="80">
        <f>S107*Input_CPI!AC$20</f>
        <v>10.348487856797014</v>
      </c>
      <c r="T125" s="79">
        <f>Input_AMI!T65</f>
        <v>11.19800680950271</v>
      </c>
      <c r="U125" s="74">
        <f>Input_AMI!U65</f>
        <v>11.271104781487091</v>
      </c>
      <c r="V125" s="74">
        <f>Input_AMI!V65</f>
        <v>11.251124470034775</v>
      </c>
      <c r="W125" s="74">
        <f>Input_AMI!W65</f>
        <v>11.300627139693654</v>
      </c>
      <c r="X125" s="80">
        <f>Input_AMI!X65</f>
        <v>7.5710959140394554</v>
      </c>
    </row>
    <row r="126" spans="3:24" x14ac:dyDescent="0.2">
      <c r="D126" s="63" t="str">
        <f>Input_General!$E$82</f>
        <v>Metering Communications</v>
      </c>
      <c r="E126" s="39" t="str">
        <f t="shared" si="27"/>
        <v>$Million</v>
      </c>
      <c r="F126" s="39" t="str">
        <f t="shared" si="28"/>
        <v>Real 2024</v>
      </c>
      <c r="G126" s="39" t="str">
        <f t="shared" si="29"/>
        <v>End Period</v>
      </c>
      <c r="H126" s="39" t="s">
        <v>177</v>
      </c>
      <c r="J126" s="79">
        <f>J108*Input_CPI!T$20</f>
        <v>0</v>
      </c>
      <c r="K126" s="74">
        <f>K108*Input_CPI!U$20</f>
        <v>0</v>
      </c>
      <c r="L126" s="74">
        <f>L108*Input_CPI!V$20</f>
        <v>0</v>
      </c>
      <c r="M126" s="74">
        <f>M108*Input_CPI!W$20</f>
        <v>0</v>
      </c>
      <c r="N126" s="80">
        <f>N108*Input_CPI!X$20</f>
        <v>0</v>
      </c>
      <c r="O126" s="79">
        <f>O108*Input_CPI!Y$20</f>
        <v>0</v>
      </c>
      <c r="P126" s="74">
        <f>P108*Input_CPI!Z$20</f>
        <v>0</v>
      </c>
      <c r="Q126" s="74">
        <f>Q108*Input_CPI!AA$20</f>
        <v>0</v>
      </c>
      <c r="R126" s="74">
        <f>R108*Input_CPI!AB$20</f>
        <v>0.43210405938976043</v>
      </c>
      <c r="S126" s="80">
        <f>S108*Input_CPI!AC$20</f>
        <v>2.8123084087318992</v>
      </c>
      <c r="T126" s="79">
        <f>Input_AMI!T66</f>
        <v>0.25531460744065831</v>
      </c>
      <c r="U126" s="74">
        <f>Input_AMI!U66</f>
        <v>0.30185218702850947</v>
      </c>
      <c r="V126" s="74">
        <f>Input_AMI!V66</f>
        <v>0.34793919350654301</v>
      </c>
      <c r="W126" s="74">
        <f>Input_AMI!W66</f>
        <v>0.39382060093773191</v>
      </c>
      <c r="X126" s="80">
        <f>Input_AMI!X66</f>
        <v>0.43950798459424822</v>
      </c>
    </row>
    <row r="127" spans="3:24" x14ac:dyDescent="0.2">
      <c r="D127" s="63" t="str">
        <f>Input_General!$E$83</f>
        <v>Dedicated CTs and VTs</v>
      </c>
      <c r="E127" s="39" t="str">
        <f t="shared" si="27"/>
        <v>$Million</v>
      </c>
      <c r="F127" s="39" t="str">
        <f t="shared" si="28"/>
        <v>Real 2024</v>
      </c>
      <c r="G127" s="39" t="str">
        <f t="shared" si="29"/>
        <v>End Period</v>
      </c>
      <c r="H127" s="39" t="s">
        <v>177</v>
      </c>
      <c r="J127" s="79">
        <f>J109*Input_CPI!T$20</f>
        <v>0</v>
      </c>
      <c r="K127" s="74">
        <f>K109*Input_CPI!U$20</f>
        <v>0</v>
      </c>
      <c r="L127" s="74">
        <f>L109*Input_CPI!V$20</f>
        <v>0</v>
      </c>
      <c r="M127" s="74">
        <f>M109*Input_CPI!W$20</f>
        <v>0</v>
      </c>
      <c r="N127" s="80">
        <f>N109*Input_CPI!X$20</f>
        <v>0</v>
      </c>
      <c r="O127" s="79">
        <f>O109*Input_CPI!Y$20</f>
        <v>0</v>
      </c>
      <c r="P127" s="74">
        <f>P109*Input_CPI!Z$20</f>
        <v>0</v>
      </c>
      <c r="Q127" s="74">
        <f>Q109*Input_CPI!AA$20</f>
        <v>0</v>
      </c>
      <c r="R127" s="74">
        <f>R109*Input_CPI!AB$20</f>
        <v>0</v>
      </c>
      <c r="S127" s="80">
        <f>S109*Input_CPI!AC$20</f>
        <v>0</v>
      </c>
      <c r="T127" s="79">
        <f>Input_AMI!T67</f>
        <v>5.7099758517510438E-2</v>
      </c>
      <c r="U127" s="74">
        <f>Input_AMI!U67</f>
        <v>5.7099758517510438E-2</v>
      </c>
      <c r="V127" s="74">
        <f>Input_AMI!V67</f>
        <v>5.7099758517510438E-2</v>
      </c>
      <c r="W127" s="74">
        <f>Input_AMI!W67</f>
        <v>5.7099758517510438E-2</v>
      </c>
      <c r="X127" s="80">
        <f>Input_AMI!X67</f>
        <v>5.7099758517510438E-2</v>
      </c>
    </row>
    <row r="128" spans="3:24" x14ac:dyDescent="0.2">
      <c r="D128" s="63" t="str">
        <f>Input_General!$E$84</f>
        <v>Non Network Other</v>
      </c>
      <c r="E128" s="39" t="str">
        <f t="shared" si="27"/>
        <v>$Million</v>
      </c>
      <c r="F128" s="39" t="str">
        <f t="shared" si="28"/>
        <v>Real 2024</v>
      </c>
      <c r="G128" s="39" t="str">
        <f t="shared" si="29"/>
        <v>End Period</v>
      </c>
      <c r="H128" s="39" t="s">
        <v>177</v>
      </c>
      <c r="J128" s="79">
        <f>J110*Input_CPI!T$20</f>
        <v>0</v>
      </c>
      <c r="K128" s="74">
        <f>K110*Input_CPI!U$20</f>
        <v>0</v>
      </c>
      <c r="L128" s="74">
        <f>L110*Input_CPI!V$20</f>
        <v>0</v>
      </c>
      <c r="M128" s="74">
        <f>M110*Input_CPI!W$20</f>
        <v>0</v>
      </c>
      <c r="N128" s="80">
        <f>N110*Input_CPI!X$20</f>
        <v>0</v>
      </c>
      <c r="O128" s="79">
        <f>O110*Input_CPI!Y$20</f>
        <v>5.419403679680878E-2</v>
      </c>
      <c r="P128" s="74">
        <f>P110*Input_CPI!Z$20</f>
        <v>0.1333933308135096</v>
      </c>
      <c r="Q128" s="74">
        <f>Q110*Input_CPI!AA$20</f>
        <v>9.4220663229478821E-2</v>
      </c>
      <c r="R128" s="74">
        <f>R110*Input_CPI!AB$20</f>
        <v>0.35617720781168655</v>
      </c>
      <c r="S128" s="80">
        <f>S110*Input_CPI!AC$20</f>
        <v>0.12679996828846049</v>
      </c>
      <c r="T128" s="79">
        <f>Input_AMI!T68</f>
        <v>0.13204853594173174</v>
      </c>
      <c r="U128" s="74">
        <f>Input_AMI!U68</f>
        <v>0.13136624196314658</v>
      </c>
      <c r="V128" s="74">
        <f>Input_AMI!V68</f>
        <v>0.21103037459983151</v>
      </c>
      <c r="W128" s="74">
        <f>Input_AMI!W68</f>
        <v>2.0718353771024134</v>
      </c>
      <c r="X128" s="80">
        <f>Input_AMI!X68</f>
        <v>2.0770860729788678</v>
      </c>
    </row>
    <row r="129" spans="2:24" x14ac:dyDescent="0.2">
      <c r="D129" s="63" t="str">
        <f>Input_General!$E$85</f>
        <v>Non Network IT and Communications</v>
      </c>
      <c r="E129" s="39" t="str">
        <f t="shared" si="27"/>
        <v>$Million</v>
      </c>
      <c r="F129" s="39" t="str">
        <f t="shared" si="28"/>
        <v>Real 2024</v>
      </c>
      <c r="G129" s="39" t="str">
        <f t="shared" si="29"/>
        <v>End Period</v>
      </c>
      <c r="H129" s="39" t="s">
        <v>177</v>
      </c>
      <c r="J129" s="79">
        <f>J111*Input_CPI!T$20</f>
        <v>0</v>
      </c>
      <c r="K129" s="74">
        <f>K111*Input_CPI!U$20</f>
        <v>0</v>
      </c>
      <c r="L129" s="74">
        <f>L111*Input_CPI!V$20</f>
        <v>0</v>
      </c>
      <c r="M129" s="74">
        <f>M111*Input_CPI!W$20</f>
        <v>0</v>
      </c>
      <c r="N129" s="80">
        <f>N111*Input_CPI!X$20</f>
        <v>0</v>
      </c>
      <c r="O129" s="79">
        <f>O111*Input_CPI!Y$20</f>
        <v>0.29443900917053711</v>
      </c>
      <c r="P129" s="74">
        <f>P111*Input_CPI!Z$20</f>
        <v>9.754649272299537E-2</v>
      </c>
      <c r="Q129" s="74">
        <f>Q111*Input_CPI!AA$20</f>
        <v>0.27231952429508571</v>
      </c>
      <c r="R129" s="74">
        <f>R111*Input_CPI!AB$20</f>
        <v>0.87790002099244091</v>
      </c>
      <c r="S129" s="80">
        <f>S111*Input_CPI!AC$20</f>
        <v>0.74393703564902858</v>
      </c>
      <c r="T129" s="79">
        <f>Input_AMI!T69</f>
        <v>0.58005459214473853</v>
      </c>
      <c r="U129" s="74">
        <f>Input_AMI!U69</f>
        <v>0.73352184543415111</v>
      </c>
      <c r="V129" s="74">
        <f>Input_AMI!V69</f>
        <v>0.46943252523458517</v>
      </c>
      <c r="W129" s="74">
        <f>Input_AMI!W69</f>
        <v>0.45269598770456249</v>
      </c>
      <c r="X129" s="80">
        <f>Input_AMI!X69</f>
        <v>0.46243829011478216</v>
      </c>
    </row>
    <row r="130" spans="2:24" x14ac:dyDescent="0.2">
      <c r="D130" s="63" t="str">
        <f>Input_General!$E$86</f>
        <v>Fleet leases</v>
      </c>
      <c r="E130" s="39" t="str">
        <f t="shared" si="27"/>
        <v>$Million</v>
      </c>
      <c r="F130" s="39" t="str">
        <f t="shared" si="28"/>
        <v>Real 2024</v>
      </c>
      <c r="G130" s="39" t="str">
        <f t="shared" si="29"/>
        <v>End Period</v>
      </c>
      <c r="H130" s="39" t="s">
        <v>177</v>
      </c>
      <c r="J130" s="79">
        <f>J112*Input_CPI!T$20</f>
        <v>0</v>
      </c>
      <c r="K130" s="74">
        <f>K112*Input_CPI!U$20</f>
        <v>0</v>
      </c>
      <c r="L130" s="74">
        <f>L112*Input_CPI!V$20</f>
        <v>0</v>
      </c>
      <c r="M130" s="74">
        <f>M112*Input_CPI!W$20</f>
        <v>0</v>
      </c>
      <c r="N130" s="80">
        <f>N112*Input_CPI!X$20</f>
        <v>0</v>
      </c>
      <c r="O130" s="79">
        <f>O112*Input_CPI!Y$20</f>
        <v>0.65487478771850516</v>
      </c>
      <c r="P130" s="74">
        <f>P112*Input_CPI!Z$20</f>
        <v>0.11925273798782635</v>
      </c>
      <c r="Q130" s="74">
        <f>Q112*Input_CPI!AA$20</f>
        <v>0.13417252402184812</v>
      </c>
      <c r="R130" s="74">
        <f>R112*Input_CPI!AB$20</f>
        <v>0.10198040262958497</v>
      </c>
      <c r="S130" s="80">
        <f>S112*Input_CPI!AC$20</f>
        <v>8.024912326580054E-2</v>
      </c>
      <c r="T130" s="79">
        <f>Input_AMI!T70</f>
        <v>7.2617026867775478E-2</v>
      </c>
      <c r="U130" s="74">
        <f>Input_AMI!U70</f>
        <v>0.14946716899464699</v>
      </c>
      <c r="V130" s="74">
        <f>Input_AMI!V70</f>
        <v>0.1496980570113727</v>
      </c>
      <c r="W130" s="74">
        <f>Input_AMI!W70</f>
        <v>0.13560334880574995</v>
      </c>
      <c r="X130" s="80">
        <f>Input_AMI!X70</f>
        <v>0.10587752623976761</v>
      </c>
    </row>
    <row r="131" spans="2:24" x14ac:dyDescent="0.2">
      <c r="D131" s="63" t="str">
        <f>Input_General!$E$87</f>
        <v>Property leases</v>
      </c>
      <c r="E131" s="39" t="str">
        <f t="shared" si="27"/>
        <v>$Million</v>
      </c>
      <c r="F131" s="39" t="str">
        <f t="shared" si="28"/>
        <v>Real 2024</v>
      </c>
      <c r="G131" s="39" t="str">
        <f t="shared" si="29"/>
        <v>End Period</v>
      </c>
      <c r="H131" s="39" t="s">
        <v>177</v>
      </c>
      <c r="J131" s="79">
        <f>J113*Input_CPI!T$20</f>
        <v>0</v>
      </c>
      <c r="K131" s="74">
        <f>K113*Input_CPI!U$20</f>
        <v>0</v>
      </c>
      <c r="L131" s="74">
        <f>L113*Input_CPI!V$20</f>
        <v>0</v>
      </c>
      <c r="M131" s="74">
        <f>M113*Input_CPI!W$20</f>
        <v>0</v>
      </c>
      <c r="N131" s="80">
        <f>N113*Input_CPI!X$20</f>
        <v>0</v>
      </c>
      <c r="O131" s="79">
        <f>O113*Input_CPI!Y$20</f>
        <v>0.1499717817732788</v>
      </c>
      <c r="P131" s="74">
        <f>P113*Input_CPI!Z$20</f>
        <v>4.8785240698678074E-2</v>
      </c>
      <c r="Q131" s="74">
        <f>Q113*Input_CPI!AA$20</f>
        <v>0.53317847882997182</v>
      </c>
      <c r="R131" s="74">
        <f>R113*Input_CPI!AB$20</f>
        <v>4.0989298841389701E-2</v>
      </c>
      <c r="S131" s="80">
        <f>S113*Input_CPI!AC$20</f>
        <v>0.20178511699856549</v>
      </c>
      <c r="T131" s="79">
        <f>Input_AMI!T71</f>
        <v>0</v>
      </c>
      <c r="U131" s="74">
        <f>Input_AMI!U71</f>
        <v>0</v>
      </c>
      <c r="V131" s="74">
        <f>Input_AMI!V71</f>
        <v>0.27431464860646015</v>
      </c>
      <c r="W131" s="74">
        <f>Input_AMI!W71</f>
        <v>0</v>
      </c>
      <c r="X131" s="80">
        <f>Input_AMI!X71</f>
        <v>3.5878163132760189E-2</v>
      </c>
    </row>
    <row r="132" spans="2:24" x14ac:dyDescent="0.2">
      <c r="D132" s="63" t="str">
        <f>Input_General!$E$88</f>
        <v>Buildings</v>
      </c>
      <c r="E132" s="39" t="str">
        <f t="shared" si="27"/>
        <v>$Million</v>
      </c>
      <c r="F132" s="39" t="str">
        <f t="shared" si="28"/>
        <v>Real 2024</v>
      </c>
      <c r="G132" s="39" t="str">
        <f t="shared" si="29"/>
        <v>End Period</v>
      </c>
      <c r="H132" s="39" t="s">
        <v>177</v>
      </c>
      <c r="J132" s="79">
        <f>J114*Input_CPI!T$20</f>
        <v>0</v>
      </c>
      <c r="K132" s="74">
        <f>K114*Input_CPI!U$20</f>
        <v>0</v>
      </c>
      <c r="L132" s="74">
        <f>L114*Input_CPI!V$20</f>
        <v>0</v>
      </c>
      <c r="M132" s="74">
        <f>M114*Input_CPI!W$20</f>
        <v>0</v>
      </c>
      <c r="N132" s="80">
        <f>N114*Input_CPI!X$20</f>
        <v>0</v>
      </c>
      <c r="O132" s="79">
        <f>O114*Input_CPI!Y$20</f>
        <v>1.999375818777252E-2</v>
      </c>
      <c r="P132" s="74">
        <f>P114*Input_CPI!Z$20</f>
        <v>6.9860841655573921E-2</v>
      </c>
      <c r="Q132" s="74">
        <f>Q114*Input_CPI!AA$20</f>
        <v>0.14167559279938569</v>
      </c>
      <c r="R132" s="74">
        <f>R114*Input_CPI!AB$20</f>
        <v>8.2559983479899887E-2</v>
      </c>
      <c r="S132" s="80">
        <f>S114*Input_CPI!AC$20</f>
        <v>0</v>
      </c>
      <c r="T132" s="79">
        <f>Input_AMI!T72</f>
        <v>0</v>
      </c>
      <c r="U132" s="74">
        <f>Input_AMI!U72</f>
        <v>0</v>
      </c>
      <c r="V132" s="74">
        <f>Input_AMI!V72</f>
        <v>0</v>
      </c>
      <c r="W132" s="74">
        <f>Input_AMI!W72</f>
        <v>0</v>
      </c>
      <c r="X132" s="80">
        <f>Input_AMI!X72</f>
        <v>0</v>
      </c>
    </row>
    <row r="133" spans="2:24" x14ac:dyDescent="0.2">
      <c r="D133" s="63" t="str">
        <f>Input_General!$E$89</f>
        <v>In-house software</v>
      </c>
      <c r="E133" s="39" t="str">
        <f t="shared" si="27"/>
        <v>$Million</v>
      </c>
      <c r="F133" s="39" t="str">
        <f t="shared" si="28"/>
        <v>Real 2024</v>
      </c>
      <c r="G133" s="39" t="str">
        <f t="shared" si="29"/>
        <v>End Period</v>
      </c>
      <c r="H133" s="39" t="s">
        <v>177</v>
      </c>
      <c r="J133" s="79">
        <f>J115*Input_CPI!T$20</f>
        <v>0</v>
      </c>
      <c r="K133" s="74">
        <f>K115*Input_CPI!U$20</f>
        <v>0</v>
      </c>
      <c r="L133" s="74">
        <f>L115*Input_CPI!V$20</f>
        <v>0</v>
      </c>
      <c r="M133" s="74">
        <f>M115*Input_CPI!W$20</f>
        <v>0</v>
      </c>
      <c r="N133" s="80">
        <f>N115*Input_CPI!X$20</f>
        <v>0</v>
      </c>
      <c r="O133" s="79">
        <f>O115*Input_CPI!Y$20</f>
        <v>0</v>
      </c>
      <c r="P133" s="74">
        <f>P115*Input_CPI!Z$20</f>
        <v>0</v>
      </c>
      <c r="Q133" s="74">
        <f>Q115*Input_CPI!AA$20</f>
        <v>0</v>
      </c>
      <c r="R133" s="74">
        <f>R115*Input_CPI!AB$20</f>
        <v>0</v>
      </c>
      <c r="S133" s="80">
        <f>S115*Input_CPI!AC$20</f>
        <v>0</v>
      </c>
      <c r="T133" s="79">
        <f>Input_AMI!T73</f>
        <v>0</v>
      </c>
      <c r="U133" s="74">
        <f>Input_AMI!U73</f>
        <v>0</v>
      </c>
      <c r="V133" s="74">
        <f>Input_AMI!V73</f>
        <v>0</v>
      </c>
      <c r="W133" s="74">
        <f>Input_AMI!W73</f>
        <v>0</v>
      </c>
      <c r="X133" s="80">
        <f>Input_AMI!X73</f>
        <v>0</v>
      </c>
    </row>
    <row r="134" spans="2:24" x14ac:dyDescent="0.2">
      <c r="D134" s="63" t="s">
        <v>171</v>
      </c>
      <c r="E134" s="39" t="str">
        <f t="shared" si="27"/>
        <v>$Million</v>
      </c>
      <c r="F134" s="39" t="str">
        <f t="shared" si="28"/>
        <v>Real 2024</v>
      </c>
      <c r="G134" s="39" t="str">
        <f t="shared" si="29"/>
        <v>End Period</v>
      </c>
      <c r="H134" s="39" t="s">
        <v>177</v>
      </c>
      <c r="J134" s="79">
        <f>J116*Input_CPI!T$20</f>
        <v>0</v>
      </c>
      <c r="K134" s="74">
        <f>K116*Input_CPI!U$20</f>
        <v>0</v>
      </c>
      <c r="L134" s="74">
        <f>L116*Input_CPI!V$20</f>
        <v>0</v>
      </c>
      <c r="M134" s="74">
        <f>M116*Input_CPI!W$20</f>
        <v>0</v>
      </c>
      <c r="N134" s="80">
        <f>N116*Input_CPI!X$20</f>
        <v>0</v>
      </c>
      <c r="O134" s="79">
        <f>O116*Input_CPI!Y$20</f>
        <v>0</v>
      </c>
      <c r="P134" s="74">
        <f>P116*Input_CPI!Z$20</f>
        <v>0</v>
      </c>
      <c r="Q134" s="74">
        <f>Q116*Input_CPI!AA$20</f>
        <v>0</v>
      </c>
      <c r="R134" s="74">
        <f>R116*Input_CPI!AB$20</f>
        <v>0</v>
      </c>
      <c r="S134" s="80">
        <f>S116*Input_CPI!AC$20</f>
        <v>0</v>
      </c>
      <c r="T134" s="79">
        <f>Input_AMI!T74</f>
        <v>0</v>
      </c>
      <c r="U134" s="74">
        <f>Input_AMI!U74</f>
        <v>0</v>
      </c>
      <c r="V134" s="74">
        <f>Input_AMI!V74</f>
        <v>0</v>
      </c>
      <c r="W134" s="74">
        <f>Input_AMI!W74</f>
        <v>0</v>
      </c>
      <c r="X134" s="80">
        <f>Input_AMI!X74</f>
        <v>0</v>
      </c>
    </row>
    <row r="135" spans="2:24" x14ac:dyDescent="0.2">
      <c r="E135" s="39"/>
      <c r="F135" s="39"/>
      <c r="G135" s="39"/>
      <c r="H135" s="51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</row>
    <row r="136" spans="2:24" x14ac:dyDescent="0.2">
      <c r="D136" s="104" t="s">
        <v>166</v>
      </c>
      <c r="E136" s="131" t="str">
        <f>Unit_Dollar_M</f>
        <v>$Million</v>
      </c>
      <c r="F136" s="131" t="str">
        <f>Real_Input</f>
        <v>Real 2024</v>
      </c>
      <c r="G136" s="131" t="str">
        <f>End_Period</f>
        <v>End Period</v>
      </c>
      <c r="H136" s="131" t="s">
        <v>8</v>
      </c>
      <c r="I136" s="69"/>
      <c r="J136" s="128">
        <f>SUM(J124:J134)</f>
        <v>2.6330968544484881</v>
      </c>
      <c r="K136" s="129">
        <f t="shared" ref="K136:X136" si="30">SUM(K124:K134)</f>
        <v>4.0933173670795417</v>
      </c>
      <c r="L136" s="129">
        <f t="shared" si="30"/>
        <v>3.8836984902811396</v>
      </c>
      <c r="M136" s="129">
        <f t="shared" si="30"/>
        <v>4.7262215948441026</v>
      </c>
      <c r="N136" s="130">
        <f t="shared" si="30"/>
        <v>4.7870902406969007</v>
      </c>
      <c r="O136" s="128">
        <f t="shared" si="30"/>
        <v>3.1029838861021348</v>
      </c>
      <c r="P136" s="129">
        <f t="shared" si="30"/>
        <v>2.4300656160152911</v>
      </c>
      <c r="Q136" s="129">
        <f t="shared" si="30"/>
        <v>3.6455860782177893</v>
      </c>
      <c r="R136" s="129">
        <f t="shared" si="30"/>
        <v>9.9286452863056152</v>
      </c>
      <c r="S136" s="130">
        <f t="shared" si="30"/>
        <v>14.31356750973077</v>
      </c>
      <c r="T136" s="128">
        <f t="shared" si="30"/>
        <v>12.295141330415124</v>
      </c>
      <c r="U136" s="129">
        <f t="shared" si="30"/>
        <v>12.644411983425057</v>
      </c>
      <c r="V136" s="129">
        <f t="shared" si="30"/>
        <v>12.760639027511077</v>
      </c>
      <c r="W136" s="129">
        <f t="shared" si="30"/>
        <v>14.411682212761622</v>
      </c>
      <c r="X136" s="130">
        <f t="shared" si="30"/>
        <v>10.748983709617393</v>
      </c>
    </row>
    <row r="138" spans="2:24" s="6" customFormat="1" ht="18.75" x14ac:dyDescent="0.2">
      <c r="B138" s="6" t="s">
        <v>179</v>
      </c>
    </row>
    <row r="140" spans="2:24" s="121" customFormat="1" ht="15.75" x14ac:dyDescent="0.2">
      <c r="C140" s="121" t="s">
        <v>619</v>
      </c>
      <c r="G140" s="31" t="s">
        <v>101</v>
      </c>
    </row>
    <row r="142" spans="2:24" x14ac:dyDescent="0.2">
      <c r="D142" s="60" t="s">
        <v>56</v>
      </c>
      <c r="E142" s="61" t="str">
        <f>E$4</f>
        <v>Unit</v>
      </c>
      <c r="F142" s="61" t="str">
        <f>F$4</f>
        <v>Basis</v>
      </c>
      <c r="G142" s="61" t="str">
        <f>G$4</f>
        <v>Timing</v>
      </c>
      <c r="H142" s="61" t="s">
        <v>1</v>
      </c>
      <c r="J142" s="41" t="str">
        <f>LookupTab!M$41</f>
        <v>Previous Period</v>
      </c>
      <c r="K142" s="41"/>
      <c r="L142" s="41"/>
      <c r="M142" s="41"/>
      <c r="N142" s="41"/>
      <c r="O142" s="42" t="str">
        <f>LookupTab!R$41</f>
        <v>Current Period</v>
      </c>
      <c r="P142" s="42"/>
      <c r="Q142" s="42"/>
      <c r="R142" s="42"/>
      <c r="S142" s="42"/>
      <c r="T142" s="43" t="str">
        <f>LookupTab!W$41</f>
        <v>Next Period</v>
      </c>
      <c r="U142" s="43"/>
      <c r="V142" s="43"/>
      <c r="W142" s="43"/>
      <c r="X142" s="43"/>
    </row>
    <row r="143" spans="2:24" x14ac:dyDescent="0.2">
      <c r="J143" s="62" t="str">
        <f>J$3</f>
        <v>FY15</v>
      </c>
      <c r="K143" s="62" t="str">
        <f t="shared" ref="K143:X143" si="31">K$3</f>
        <v>FY16</v>
      </c>
      <c r="L143" s="62" t="str">
        <f t="shared" si="31"/>
        <v>FY17</v>
      </c>
      <c r="M143" s="62" t="str">
        <f t="shared" si="31"/>
        <v>FY18</v>
      </c>
      <c r="N143" s="62" t="str">
        <f t="shared" si="31"/>
        <v>FY19</v>
      </c>
      <c r="O143" s="62" t="str">
        <f t="shared" si="31"/>
        <v>FY20</v>
      </c>
      <c r="P143" s="62" t="str">
        <f t="shared" si="31"/>
        <v>FY21</v>
      </c>
      <c r="Q143" s="62" t="str">
        <f t="shared" si="31"/>
        <v>FY22</v>
      </c>
      <c r="R143" s="62" t="str">
        <f t="shared" si="31"/>
        <v>FY23</v>
      </c>
      <c r="S143" s="62" t="str">
        <f t="shared" si="31"/>
        <v>FY24</v>
      </c>
      <c r="T143" s="62" t="str">
        <f t="shared" si="31"/>
        <v>FY25</v>
      </c>
      <c r="U143" s="62" t="str">
        <f t="shared" si="31"/>
        <v>FY26</v>
      </c>
      <c r="V143" s="62" t="str">
        <f t="shared" si="31"/>
        <v>FY27</v>
      </c>
      <c r="W143" s="62" t="str">
        <f t="shared" si="31"/>
        <v>FY28</v>
      </c>
      <c r="X143" s="62" t="str">
        <f t="shared" si="31"/>
        <v>FY29</v>
      </c>
    </row>
    <row r="144" spans="2:24" x14ac:dyDescent="0.2">
      <c r="D144" s="45" t="s">
        <v>163</v>
      </c>
      <c r="E144" s="39" t="str">
        <f t="shared" ref="E144:G148" si="32">IF($G$140=Nominal,E28,E40)</f>
        <v>$Million</v>
      </c>
      <c r="F144" s="39" t="str">
        <f t="shared" si="32"/>
        <v>Real 2024</v>
      </c>
      <c r="G144" s="39" t="str">
        <f t="shared" si="32"/>
        <v>End Period</v>
      </c>
      <c r="H144" s="51" t="s">
        <v>8</v>
      </c>
      <c r="J144" s="85">
        <f t="shared" ref="J144:X144" si="33">IF($G$140=Nominal,J28,J40)</f>
        <v>1.394411273884189</v>
      </c>
      <c r="K144" s="83">
        <f t="shared" si="33"/>
        <v>1.5696886037713376</v>
      </c>
      <c r="L144" s="83">
        <f t="shared" si="33"/>
        <v>1.6373910012026565</v>
      </c>
      <c r="M144" s="83">
        <f t="shared" si="33"/>
        <v>1.669642078937831</v>
      </c>
      <c r="N144" s="86">
        <f t="shared" si="33"/>
        <v>1.72385744511525</v>
      </c>
      <c r="O144" s="85">
        <f t="shared" si="33"/>
        <v>0.80746775358258893</v>
      </c>
      <c r="P144" s="83">
        <f t="shared" si="33"/>
        <v>1.1524169708430168</v>
      </c>
      <c r="Q144" s="83">
        <f t="shared" si="33"/>
        <v>1.2876305826031953</v>
      </c>
      <c r="R144" s="83">
        <f t="shared" si="33"/>
        <v>1.421043689925384</v>
      </c>
      <c r="S144" s="86">
        <f t="shared" si="33"/>
        <v>1.7649270992630139</v>
      </c>
      <c r="T144" s="85">
        <f t="shared" si="33"/>
        <v>2.6469937319325036</v>
      </c>
      <c r="U144" s="83">
        <f t="shared" si="33"/>
        <v>3.2164371712739315</v>
      </c>
      <c r="V144" s="83">
        <f t="shared" si="33"/>
        <v>3.7700339408515418</v>
      </c>
      <c r="W144" s="83">
        <f t="shared" si="33"/>
        <v>4.3057878439251231</v>
      </c>
      <c r="X144" s="86">
        <f t="shared" si="33"/>
        <v>4.908119789874628</v>
      </c>
    </row>
    <row r="145" spans="2:24" x14ac:dyDescent="0.2">
      <c r="D145" s="45" t="s">
        <v>180</v>
      </c>
      <c r="E145" s="39" t="str">
        <f t="shared" si="32"/>
        <v>$Million</v>
      </c>
      <c r="F145" s="39" t="str">
        <f t="shared" si="32"/>
        <v>Real 2024</v>
      </c>
      <c r="G145" s="39" t="str">
        <f t="shared" si="32"/>
        <v>End Period</v>
      </c>
      <c r="H145" s="39" t="str">
        <f t="shared" ref="H145:H150" si="34">H144</f>
        <v>Calculated</v>
      </c>
      <c r="J145" s="85">
        <f t="shared" ref="J145:X145" si="35">IF($G$140=Nominal,J29,J41)</f>
        <v>0.99006240266489309</v>
      </c>
      <c r="K145" s="83">
        <f t="shared" si="35"/>
        <v>1.1753321949980029</v>
      </c>
      <c r="L145" s="83">
        <f t="shared" si="35"/>
        <v>1.0557842982919445</v>
      </c>
      <c r="M145" s="83">
        <f t="shared" si="35"/>
        <v>1.1480014385182091</v>
      </c>
      <c r="N145" s="86">
        <f t="shared" si="35"/>
        <v>1.2685595697669574</v>
      </c>
      <c r="O145" s="85">
        <f t="shared" si="35"/>
        <v>0.60603745916627894</v>
      </c>
      <c r="P145" s="83">
        <f t="shared" si="35"/>
        <v>1.0449003787708968</v>
      </c>
      <c r="Q145" s="83">
        <f t="shared" si="35"/>
        <v>1.2862760900528358</v>
      </c>
      <c r="R145" s="83">
        <f t="shared" si="35"/>
        <v>1.5398942515041245</v>
      </c>
      <c r="S145" s="86">
        <f t="shared" si="35"/>
        <v>2.0225970318511157</v>
      </c>
      <c r="T145" s="85">
        <f t="shared" si="35"/>
        <v>2.2937825388517505</v>
      </c>
      <c r="U145" s="83">
        <f t="shared" si="35"/>
        <v>2.8727321488314117</v>
      </c>
      <c r="V145" s="83">
        <f t="shared" si="35"/>
        <v>3.4463377269893192</v>
      </c>
      <c r="W145" s="83">
        <f t="shared" si="35"/>
        <v>4.1402003210108624</v>
      </c>
      <c r="X145" s="86">
        <f t="shared" si="35"/>
        <v>4.8027950552612602</v>
      </c>
    </row>
    <row r="146" spans="2:24" x14ac:dyDescent="0.2">
      <c r="D146" s="45" t="s">
        <v>92</v>
      </c>
      <c r="E146" s="39" t="str">
        <f t="shared" si="32"/>
        <v>$Million</v>
      </c>
      <c r="F146" s="39" t="str">
        <f t="shared" si="32"/>
        <v>Real 2024</v>
      </c>
      <c r="G146" s="39" t="str">
        <f t="shared" si="32"/>
        <v>End Period</v>
      </c>
      <c r="H146" s="39" t="str">
        <f t="shared" si="34"/>
        <v>Calculated</v>
      </c>
      <c r="J146" s="85">
        <f t="shared" ref="J146:X146" si="36">IF($G$140=Nominal,J30,J42)</f>
        <v>3.586644796595623</v>
      </c>
      <c r="K146" s="83">
        <f t="shared" si="36"/>
        <v>3.7326498441080913</v>
      </c>
      <c r="L146" s="83">
        <f t="shared" si="36"/>
        <v>3.7980626827019437</v>
      </c>
      <c r="M146" s="83">
        <f t="shared" si="36"/>
        <v>3.6401429561158278</v>
      </c>
      <c r="N146" s="86">
        <f t="shared" si="36"/>
        <v>3.4758318230631748</v>
      </c>
      <c r="O146" s="85">
        <f t="shared" si="36"/>
        <v>6.5708456762364635</v>
      </c>
      <c r="P146" s="83">
        <f t="shared" si="36"/>
        <v>6.4828521674567758</v>
      </c>
      <c r="Q146" s="83">
        <f t="shared" si="36"/>
        <v>6.4072286528105806</v>
      </c>
      <c r="R146" s="83">
        <f t="shared" si="36"/>
        <v>6.3182732547463356</v>
      </c>
      <c r="S146" s="86">
        <f t="shared" si="36"/>
        <v>6.2381142237716212</v>
      </c>
      <c r="T146" s="85">
        <f t="shared" si="36"/>
        <v>6.572076500624072</v>
      </c>
      <c r="U146" s="83">
        <f t="shared" si="36"/>
        <v>6.6386933589378012</v>
      </c>
      <c r="V146" s="83">
        <f t="shared" si="36"/>
        <v>6.7119499541636438</v>
      </c>
      <c r="W146" s="83">
        <f t="shared" si="36"/>
        <v>6.7887759029885801</v>
      </c>
      <c r="X146" s="86">
        <f t="shared" si="36"/>
        <v>6.8519919588775391</v>
      </c>
    </row>
    <row r="147" spans="2:24" x14ac:dyDescent="0.2">
      <c r="D147" s="45" t="s">
        <v>181</v>
      </c>
      <c r="E147" s="39" t="str">
        <f t="shared" si="32"/>
        <v>$Million</v>
      </c>
      <c r="F147" s="39" t="str">
        <f t="shared" si="32"/>
        <v>Real 2024</v>
      </c>
      <c r="G147" s="39" t="str">
        <f t="shared" si="32"/>
        <v>End Period</v>
      </c>
      <c r="H147" s="39" t="str">
        <f t="shared" si="34"/>
        <v>Calculated</v>
      </c>
      <c r="J147" s="85">
        <f t="shared" ref="J147:X147" si="37">IF($G$140=Nominal,J31,J43)</f>
        <v>0</v>
      </c>
      <c r="K147" s="83">
        <f t="shared" si="37"/>
        <v>0</v>
      </c>
      <c r="L147" s="83">
        <f t="shared" si="37"/>
        <v>0</v>
      </c>
      <c r="M147" s="83">
        <f t="shared" si="37"/>
        <v>0</v>
      </c>
      <c r="N147" s="86">
        <f t="shared" si="37"/>
        <v>0</v>
      </c>
      <c r="O147" s="85">
        <f t="shared" si="37"/>
        <v>0</v>
      </c>
      <c r="P147" s="83">
        <f t="shared" si="37"/>
        <v>0</v>
      </c>
      <c r="Q147" s="83">
        <f t="shared" si="37"/>
        <v>0</v>
      </c>
      <c r="R147" s="83">
        <f t="shared" si="37"/>
        <v>0</v>
      </c>
      <c r="S147" s="86">
        <f t="shared" si="37"/>
        <v>0</v>
      </c>
      <c r="T147" s="85">
        <f t="shared" si="37"/>
        <v>0</v>
      </c>
      <c r="U147" s="83">
        <f t="shared" si="37"/>
        <v>0</v>
      </c>
      <c r="V147" s="83">
        <f t="shared" si="37"/>
        <v>0</v>
      </c>
      <c r="W147" s="83">
        <f t="shared" si="37"/>
        <v>0</v>
      </c>
      <c r="X147" s="86">
        <f t="shared" si="37"/>
        <v>0</v>
      </c>
    </row>
    <row r="148" spans="2:24" x14ac:dyDescent="0.2">
      <c r="D148" s="45" t="s">
        <v>182</v>
      </c>
      <c r="E148" s="39" t="str">
        <f t="shared" si="32"/>
        <v>$Million</v>
      </c>
      <c r="F148" s="39" t="str">
        <f t="shared" si="32"/>
        <v>Real 2024</v>
      </c>
      <c r="G148" s="39" t="str">
        <f t="shared" si="32"/>
        <v>End Period</v>
      </c>
      <c r="H148" s="39" t="str">
        <f t="shared" si="34"/>
        <v>Calculated</v>
      </c>
      <c r="J148" s="85">
        <f t="shared" ref="J148:X148" si="38">IF($G$140=Nominal,J32,J44)</f>
        <v>0</v>
      </c>
      <c r="K148" s="83">
        <f t="shared" si="38"/>
        <v>0</v>
      </c>
      <c r="L148" s="83">
        <f t="shared" si="38"/>
        <v>0</v>
      </c>
      <c r="M148" s="83">
        <f t="shared" si="38"/>
        <v>0</v>
      </c>
      <c r="N148" s="86">
        <f t="shared" si="38"/>
        <v>0</v>
      </c>
      <c r="O148" s="85">
        <f t="shared" si="38"/>
        <v>0</v>
      </c>
      <c r="P148" s="83">
        <f t="shared" si="38"/>
        <v>0</v>
      </c>
      <c r="Q148" s="83">
        <f t="shared" si="38"/>
        <v>0</v>
      </c>
      <c r="R148" s="83">
        <f t="shared" si="38"/>
        <v>0</v>
      </c>
      <c r="S148" s="86">
        <f t="shared" si="38"/>
        <v>0</v>
      </c>
      <c r="T148" s="85">
        <f t="shared" si="38"/>
        <v>0</v>
      </c>
      <c r="U148" s="83">
        <f t="shared" si="38"/>
        <v>0</v>
      </c>
      <c r="V148" s="83">
        <f t="shared" si="38"/>
        <v>0</v>
      </c>
      <c r="W148" s="83">
        <f t="shared" si="38"/>
        <v>0</v>
      </c>
      <c r="X148" s="86">
        <f t="shared" si="38"/>
        <v>0</v>
      </c>
    </row>
    <row r="149" spans="2:24" ht="15" x14ac:dyDescent="0.2">
      <c r="D149" s="135" t="str">
        <f>"Building block revenue ("&amp;E149&amp;", "&amp;F149&amp;")"</f>
        <v>Building block revenue ($Million, Real 2024)</v>
      </c>
      <c r="E149" s="48" t="str">
        <f>IF($G$140=Nominal,E34,E46)</f>
        <v>$Million</v>
      </c>
      <c r="F149" s="48" t="str">
        <f>IF($G$140=Nominal,F34,F46)</f>
        <v>Real 2024</v>
      </c>
      <c r="G149" s="48" t="str">
        <f>IF($G$140=Nominal,G34,G46)</f>
        <v>End Period</v>
      </c>
      <c r="H149" s="48" t="str">
        <f t="shared" si="34"/>
        <v>Calculated</v>
      </c>
      <c r="J149" s="132">
        <f t="shared" ref="J149:X149" si="39">IF($G$140=Nominal,J34,J46)</f>
        <v>5.9711184731447045</v>
      </c>
      <c r="K149" s="133">
        <f t="shared" si="39"/>
        <v>6.477670642877432</v>
      </c>
      <c r="L149" s="133">
        <f t="shared" si="39"/>
        <v>6.4912379821965445</v>
      </c>
      <c r="M149" s="133">
        <f t="shared" si="39"/>
        <v>6.4577864735718684</v>
      </c>
      <c r="N149" s="134">
        <f t="shared" si="39"/>
        <v>6.4682488379453815</v>
      </c>
      <c r="O149" s="132">
        <f t="shared" si="39"/>
        <v>7.9843508889853316</v>
      </c>
      <c r="P149" s="133">
        <f t="shared" si="39"/>
        <v>8.6801695170706896</v>
      </c>
      <c r="Q149" s="133">
        <f t="shared" si="39"/>
        <v>8.981135325466612</v>
      </c>
      <c r="R149" s="133">
        <f t="shared" si="39"/>
        <v>9.2792111961758437</v>
      </c>
      <c r="S149" s="134">
        <f t="shared" si="39"/>
        <v>10.02563835488575</v>
      </c>
      <c r="T149" s="132">
        <f t="shared" si="39"/>
        <v>11.512852771408326</v>
      </c>
      <c r="U149" s="133">
        <f t="shared" si="39"/>
        <v>12.727862679043145</v>
      </c>
      <c r="V149" s="133">
        <f t="shared" si="39"/>
        <v>13.928321622004503</v>
      </c>
      <c r="W149" s="133">
        <f t="shared" si="39"/>
        <v>15.234764067924566</v>
      </c>
      <c r="X149" s="134">
        <f t="shared" si="39"/>
        <v>16.56290680401343</v>
      </c>
    </row>
    <row r="150" spans="2:24" x14ac:dyDescent="0.2">
      <c r="D150" s="45" t="s">
        <v>60</v>
      </c>
      <c r="E150" s="39" t="str">
        <f>IF($G$140=Nominal,E34,E46)</f>
        <v>$Million</v>
      </c>
      <c r="F150" s="39" t="str">
        <f>IF($G$140=Nominal,F34,F46)</f>
        <v>Real 2024</v>
      </c>
      <c r="G150" s="39" t="str">
        <f>IF($G$140=Nominal,G34,G46)</f>
        <v>End Period</v>
      </c>
      <c r="H150" s="39" t="str">
        <f t="shared" si="34"/>
        <v>Calculated</v>
      </c>
      <c r="J150" s="85">
        <f t="shared" ref="J150:X150" si="40">IF($G$140=Nominal,J13,J20)</f>
        <v>5.7223241740235258</v>
      </c>
      <c r="K150" s="83">
        <f t="shared" si="40"/>
        <v>6.5214820802158577</v>
      </c>
      <c r="L150" s="83">
        <f t="shared" si="40"/>
        <v>6.5193945667071329</v>
      </c>
      <c r="M150" s="83">
        <f t="shared" si="40"/>
        <v>6.0439414027131901</v>
      </c>
      <c r="N150" s="86">
        <f t="shared" si="40"/>
        <v>6.2269452463483645</v>
      </c>
      <c r="O150" s="85">
        <f t="shared" si="40"/>
        <v>6.1928178214453515</v>
      </c>
      <c r="P150" s="83">
        <f t="shared" si="40"/>
        <v>7.0587571357048216</v>
      </c>
      <c r="Q150" s="83">
        <f t="shared" si="40"/>
        <v>7.1072502802552382</v>
      </c>
      <c r="R150" s="83">
        <f t="shared" si="40"/>
        <v>7.0669513693461159</v>
      </c>
      <c r="S150" s="86">
        <f t="shared" si="40"/>
        <v>7.5651082862859482</v>
      </c>
      <c r="T150" s="85" t="e">
        <f t="shared" si="40"/>
        <v>#N/A</v>
      </c>
      <c r="U150" s="83" t="e">
        <f t="shared" si="40"/>
        <v>#N/A</v>
      </c>
      <c r="V150" s="83" t="e">
        <f t="shared" si="40"/>
        <v>#N/A</v>
      </c>
      <c r="W150" s="83" t="e">
        <f t="shared" si="40"/>
        <v>#N/A</v>
      </c>
      <c r="X150" s="86" t="e">
        <f t="shared" si="40"/>
        <v>#N/A</v>
      </c>
    </row>
    <row r="152" spans="2:24" s="6" customFormat="1" ht="18.75" x14ac:dyDescent="0.2">
      <c r="B152" s="6" t="s">
        <v>43</v>
      </c>
    </row>
  </sheetData>
  <hyperlinks>
    <hyperlink ref="B4" location="ToC!A1" display="ToC!A1" xr:uid="{B326D5D5-6ED0-4154-8A9E-D5A1C1795521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0368474-6CB2-4191-9574-AD23B82C0978}">
          <x14:formula1>
            <xm:f>LookupTab!$H$12:$H$13</xm:f>
          </x14:formula1>
          <xm:sqref>G140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FA7B1-F5D1-4665-B06A-37AF5BF3D90C}">
  <sheetPr codeName="Sheet17">
    <tabColor theme="3" tint="0.79998168889431442"/>
  </sheetPr>
  <dimension ref="A1:X38"/>
  <sheetViews>
    <sheetView showGridLines="0" zoomScaleNormal="100" workbookViewId="0">
      <pane xSplit="4" ySplit="4" topLeftCell="E5" activePane="bottomRight" state="frozen"/>
      <selection activeCell="B5" sqref="B5"/>
      <selection pane="topRight" activeCell="B5" sqref="B5"/>
      <selection pane="bottomLeft" activeCell="B5" sqref="B5"/>
      <selection pane="bottomRight" activeCell="E5" sqref="E5"/>
    </sheetView>
  </sheetViews>
  <sheetFormatPr defaultRowHeight="12.75" x14ac:dyDescent="0.2"/>
  <cols>
    <col min="1" max="3" width="3.7109375" customWidth="1"/>
    <col min="4" max="4" width="25.42578125" customWidth="1"/>
    <col min="5" max="8" width="11.5703125" customWidth="1"/>
    <col min="9" max="9" width="2.5703125" customWidth="1"/>
  </cols>
  <sheetData>
    <row r="1" spans="1:24" ht="23.25" x14ac:dyDescent="0.35">
      <c r="A1" s="52">
        <f>IF(SUM(A5:A38)&lt;&gt;0,1,0)</f>
        <v>0</v>
      </c>
      <c r="B1" s="16" t="s">
        <v>265</v>
      </c>
    </row>
    <row r="2" spans="1:24" ht="15" x14ac:dyDescent="0.2">
      <c r="B2" s="34" t="str">
        <f>Model_Name</f>
        <v>Power and Water - Revised Proposal - Tables and Charts</v>
      </c>
    </row>
    <row r="3" spans="1:24" x14ac:dyDescent="0.2">
      <c r="B3" s="37" t="str">
        <f>"Model Checks:"&amp;IF(Model_Checks=0," OK"," Check")</f>
        <v>Model Checks: OK</v>
      </c>
      <c r="J3" s="39" t="str">
        <f>LookupTab!M$40</f>
        <v>FY15</v>
      </c>
      <c r="K3" s="39" t="str">
        <f>LookupTab!N$40</f>
        <v>FY16</v>
      </c>
      <c r="L3" s="39" t="str">
        <f>LookupTab!O$40</f>
        <v>FY17</v>
      </c>
      <c r="M3" s="39" t="str">
        <f>LookupTab!P$40</f>
        <v>FY18</v>
      </c>
      <c r="N3" s="39" t="str">
        <f>LookupTab!Q$40</f>
        <v>FY19</v>
      </c>
      <c r="O3" s="39" t="str">
        <f>LookupTab!R$40</f>
        <v>FY20</v>
      </c>
      <c r="P3" s="39" t="str">
        <f>LookupTab!S$40</f>
        <v>FY21</v>
      </c>
      <c r="Q3" s="39" t="str">
        <f>LookupTab!T$40</f>
        <v>FY22</v>
      </c>
      <c r="R3" s="39" t="str">
        <f>LookupTab!U$40</f>
        <v>FY23</v>
      </c>
      <c r="S3" s="39" t="str">
        <f>LookupTab!V$40</f>
        <v>FY24</v>
      </c>
      <c r="T3" s="39" t="str">
        <f>LookupTab!W$40</f>
        <v>FY25</v>
      </c>
      <c r="U3" s="39" t="str">
        <f>LookupTab!X$40</f>
        <v>FY26</v>
      </c>
      <c r="V3" s="39" t="str">
        <f>LookupTab!Y$40</f>
        <v>FY27</v>
      </c>
      <c r="W3" s="39" t="str">
        <f>LookupTab!Z$40</f>
        <v>FY28</v>
      </c>
      <c r="X3" s="39" t="str">
        <f>LookupTab!AA$40</f>
        <v>FY29</v>
      </c>
    </row>
    <row r="4" spans="1:24" ht="15" x14ac:dyDescent="0.2">
      <c r="B4" s="29" t="str">
        <f>ToC!$B$1</f>
        <v>Table of contents</v>
      </c>
      <c r="E4" s="48" t="s">
        <v>2</v>
      </c>
      <c r="F4" s="48" t="s">
        <v>3</v>
      </c>
      <c r="G4" s="48" t="s">
        <v>4</v>
      </c>
      <c r="H4" s="48" t="s">
        <v>1</v>
      </c>
      <c r="J4" s="41" t="str">
        <f>LookupTab!M$41</f>
        <v>Previous Period</v>
      </c>
      <c r="K4" s="41"/>
      <c r="L4" s="41"/>
      <c r="M4" s="41"/>
      <c r="N4" s="41"/>
      <c r="O4" s="42" t="str">
        <f>LookupTab!R$41</f>
        <v>Current Period</v>
      </c>
      <c r="P4" s="42"/>
      <c r="Q4" s="42"/>
      <c r="R4" s="42"/>
      <c r="S4" s="42"/>
      <c r="T4" s="43" t="str">
        <f>LookupTab!W$41</f>
        <v>Next Period</v>
      </c>
      <c r="U4" s="43"/>
      <c r="V4" s="43"/>
      <c r="W4" s="43"/>
      <c r="X4" s="43"/>
    </row>
    <row r="6" spans="1:24" s="6" customFormat="1" ht="18.75" x14ac:dyDescent="0.2">
      <c r="B6" s="6" t="s">
        <v>196</v>
      </c>
    </row>
    <row r="8" spans="1:24" s="121" customFormat="1" ht="15.75" x14ac:dyDescent="0.2">
      <c r="C8" s="121" t="str">
        <f>Nominal</f>
        <v>Nominal</v>
      </c>
    </row>
    <row r="10" spans="1:24" x14ac:dyDescent="0.2">
      <c r="D10" s="60" t="s">
        <v>56</v>
      </c>
      <c r="E10" s="61" t="str">
        <f>E$4</f>
        <v>Unit</v>
      </c>
      <c r="F10" s="61" t="str">
        <f>F$4</f>
        <v>Basis</v>
      </c>
      <c r="G10" s="61" t="str">
        <f>G$4</f>
        <v>Timing</v>
      </c>
      <c r="H10" s="61" t="str">
        <f>H$4</f>
        <v>Source</v>
      </c>
      <c r="I10" s="60"/>
      <c r="J10" s="62" t="str">
        <f>J$3</f>
        <v>FY15</v>
      </c>
      <c r="K10" s="62" t="str">
        <f t="shared" ref="K10:X10" si="0">K$3</f>
        <v>FY16</v>
      </c>
      <c r="L10" s="62" t="str">
        <f t="shared" si="0"/>
        <v>FY17</v>
      </c>
      <c r="M10" s="62" t="str">
        <f t="shared" si="0"/>
        <v>FY18</v>
      </c>
      <c r="N10" s="62" t="str">
        <f t="shared" si="0"/>
        <v>FY19</v>
      </c>
      <c r="O10" s="62" t="str">
        <f t="shared" si="0"/>
        <v>FY20</v>
      </c>
      <c r="P10" s="62" t="str">
        <f t="shared" si="0"/>
        <v>FY21</v>
      </c>
      <c r="Q10" s="62" t="str">
        <f t="shared" si="0"/>
        <v>FY22</v>
      </c>
      <c r="R10" s="62" t="str">
        <f t="shared" si="0"/>
        <v>FY23</v>
      </c>
      <c r="S10" s="62" t="str">
        <f t="shared" si="0"/>
        <v>FY24</v>
      </c>
      <c r="T10" s="62" t="str">
        <f t="shared" si="0"/>
        <v>FY25</v>
      </c>
      <c r="U10" s="62" t="str">
        <f t="shared" si="0"/>
        <v>FY26</v>
      </c>
      <c r="V10" s="62" t="str">
        <f t="shared" si="0"/>
        <v>FY27</v>
      </c>
      <c r="W10" s="62" t="str">
        <f t="shared" si="0"/>
        <v>FY28</v>
      </c>
      <c r="X10" s="62" t="str">
        <f t="shared" si="0"/>
        <v>FY29</v>
      </c>
    </row>
    <row r="12" spans="1:24" x14ac:dyDescent="0.2">
      <c r="D12" s="63" t="s">
        <v>266</v>
      </c>
      <c r="E12" s="39" t="str">
        <f>Unit_Dollar_M</f>
        <v>$Million</v>
      </c>
      <c r="F12" s="39" t="str">
        <f>Nominal</f>
        <v>Nominal</v>
      </c>
      <c r="G12" s="39" t="str">
        <f>End_Period</f>
        <v>End Period</v>
      </c>
      <c r="H12" s="51" t="s">
        <v>198</v>
      </c>
      <c r="J12" s="88"/>
      <c r="K12" s="89"/>
      <c r="L12" s="89"/>
      <c r="M12" s="89"/>
      <c r="N12" s="90"/>
      <c r="O12" s="79">
        <f>Input_ACS!O12</f>
        <v>4.0410751238995939</v>
      </c>
      <c r="P12" s="74">
        <f>Input_ACS!P12</f>
        <v>4.0433466572027035</v>
      </c>
      <c r="Q12" s="74">
        <f>Input_ACS!Q12</f>
        <v>4.046390845961402</v>
      </c>
      <c r="R12" s="74">
        <f>Input_ACS!R12</f>
        <v>4.0524755121737632</v>
      </c>
      <c r="S12" s="80">
        <f>Input_ACS!S12</f>
        <v>4.0587153890559771</v>
      </c>
      <c r="T12" s="79">
        <f>Input_ACS!T12</f>
        <v>0</v>
      </c>
      <c r="U12" s="74">
        <f>Input_ACS!U12</f>
        <v>0</v>
      </c>
      <c r="V12" s="74">
        <f>Input_ACS!V12</f>
        <v>0</v>
      </c>
      <c r="W12" s="74">
        <f>Input_ACS!W12</f>
        <v>0</v>
      </c>
      <c r="X12" s="80">
        <f>Input_ACS!X12</f>
        <v>0</v>
      </c>
    </row>
    <row r="13" spans="1:24" x14ac:dyDescent="0.2">
      <c r="D13" s="63" t="s">
        <v>268</v>
      </c>
      <c r="E13" s="39" t="str">
        <f>Unit_Dollar_M</f>
        <v>$Million</v>
      </c>
      <c r="F13" s="39" t="str">
        <f>Nominal</f>
        <v>Nominal</v>
      </c>
      <c r="G13" s="39" t="str">
        <f>Mid_Period</f>
        <v>Mid Period</v>
      </c>
      <c r="H13" s="39" t="str">
        <f>H12</f>
        <v>Input_ACS</v>
      </c>
      <c r="J13" s="88"/>
      <c r="K13" s="89"/>
      <c r="L13" s="89"/>
      <c r="M13" s="89"/>
      <c r="N13" s="90"/>
      <c r="O13" s="79">
        <f>IF(ISBLANK(Input_ACS!O$19),NA(),Input_ACS!O$19)</f>
        <v>1.813423</v>
      </c>
      <c r="P13" s="74">
        <f>IF(ISBLANK(Input_ACS!P$19),NA(),Input_ACS!P$19)</f>
        <v>1.2675540000000001</v>
      </c>
      <c r="Q13" s="74">
        <f>IF(ISBLANK(Input_ACS!Q$19),NA(),Input_ACS!Q$19)</f>
        <v>2.399184</v>
      </c>
      <c r="R13" s="74">
        <f>IF(ISBLANK(Input_ACS!R$19),NA(),Input_ACS!R$19)</f>
        <v>3.0576235500000002</v>
      </c>
      <c r="S13" s="80" t="e">
        <f>IF(ISBLANK(Input_ACS!S$19),NA(),Input_ACS!S$19)</f>
        <v>#N/A</v>
      </c>
      <c r="T13" s="79" t="e">
        <f>IF(ISBLANK(Input_ACS!T$19),NA(),Input_ACS!T$19)</f>
        <v>#N/A</v>
      </c>
      <c r="U13" s="74" t="e">
        <f>IF(ISBLANK(Input_ACS!U$19),NA(),Input_ACS!U$19)</f>
        <v>#N/A</v>
      </c>
      <c r="V13" s="74" t="e">
        <f>IF(ISBLANK(Input_ACS!V$19),NA(),Input_ACS!V$19)</f>
        <v>#N/A</v>
      </c>
      <c r="W13" s="74" t="e">
        <f>IF(ISBLANK(Input_ACS!W$19),NA(),Input_ACS!W$19)</f>
        <v>#N/A</v>
      </c>
      <c r="X13" s="80" t="e">
        <f>IF(ISBLANK(Input_ACS!X$19),NA(),Input_ACS!X$19)</f>
        <v>#N/A</v>
      </c>
    </row>
    <row r="15" spans="1:24" s="121" customFormat="1" ht="15.75" x14ac:dyDescent="0.2">
      <c r="C15" s="121" t="str">
        <f>Real_Input</f>
        <v>Real 2024</v>
      </c>
    </row>
    <row r="17" spans="2:24" x14ac:dyDescent="0.2">
      <c r="D17" s="60" t="s">
        <v>56</v>
      </c>
      <c r="E17" s="61" t="str">
        <f>E$4</f>
        <v>Unit</v>
      </c>
      <c r="F17" s="61" t="str">
        <f>F$4</f>
        <v>Basis</v>
      </c>
      <c r="G17" s="61" t="str">
        <f>G$4</f>
        <v>Timing</v>
      </c>
      <c r="H17" s="61" t="str">
        <f>H$4</f>
        <v>Source</v>
      </c>
      <c r="I17" s="60"/>
      <c r="J17" s="62" t="str">
        <f>J$3</f>
        <v>FY15</v>
      </c>
      <c r="K17" s="62" t="str">
        <f t="shared" ref="K17:X17" si="1">K$3</f>
        <v>FY16</v>
      </c>
      <c r="L17" s="62" t="str">
        <f t="shared" si="1"/>
        <v>FY17</v>
      </c>
      <c r="M17" s="62" t="str">
        <f t="shared" si="1"/>
        <v>FY18</v>
      </c>
      <c r="N17" s="62" t="str">
        <f t="shared" si="1"/>
        <v>FY19</v>
      </c>
      <c r="O17" s="62" t="str">
        <f t="shared" si="1"/>
        <v>FY20</v>
      </c>
      <c r="P17" s="62" t="str">
        <f t="shared" si="1"/>
        <v>FY21</v>
      </c>
      <c r="Q17" s="62" t="str">
        <f t="shared" si="1"/>
        <v>FY22</v>
      </c>
      <c r="R17" s="62" t="str">
        <f t="shared" si="1"/>
        <v>FY23</v>
      </c>
      <c r="S17" s="62" t="str">
        <f t="shared" si="1"/>
        <v>FY24</v>
      </c>
      <c r="T17" s="62" t="str">
        <f t="shared" si="1"/>
        <v>FY25</v>
      </c>
      <c r="U17" s="62" t="str">
        <f t="shared" si="1"/>
        <v>FY26</v>
      </c>
      <c r="V17" s="62" t="str">
        <f t="shared" si="1"/>
        <v>FY27</v>
      </c>
      <c r="W17" s="62" t="str">
        <f t="shared" si="1"/>
        <v>FY28</v>
      </c>
      <c r="X17" s="62" t="str">
        <f t="shared" si="1"/>
        <v>FY29</v>
      </c>
    </row>
    <row r="19" spans="2:24" x14ac:dyDescent="0.2">
      <c r="D19" s="63" t="str">
        <f>$D$12</f>
        <v>Revenue - Allowed / Proposed</v>
      </c>
      <c r="E19" s="39" t="str">
        <f>Unit_Dollar_M</f>
        <v>$Million</v>
      </c>
      <c r="F19" s="39" t="str">
        <f>Real_Input</f>
        <v>Real 2024</v>
      </c>
      <c r="G19" s="39" t="str">
        <f>End_Period</f>
        <v>End Period</v>
      </c>
      <c r="H19" s="51" t="s">
        <v>8</v>
      </c>
      <c r="J19" s="88"/>
      <c r="K19" s="89"/>
      <c r="L19" s="89"/>
      <c r="M19" s="89"/>
      <c r="N19" s="90"/>
      <c r="O19" s="79">
        <f>O12*Input_CPI!Y$21</f>
        <v>4.8928518081444858</v>
      </c>
      <c r="P19" s="74">
        <f>P12*Input_CPI!Z$21</f>
        <v>4.7142835370239853</v>
      </c>
      <c r="Q19" s="74">
        <f>Q12*Input_CPI!AA$21</f>
        <v>4.4447148653831947</v>
      </c>
      <c r="R19" s="74">
        <f>R12*Input_CPI!AB$21</f>
        <v>4.1983646306120193</v>
      </c>
      <c r="S19" s="80">
        <f>S12*Input_CPI!AC$21</f>
        <v>4.0587153890559771</v>
      </c>
      <c r="T19" s="79">
        <f>T12*Input_CPI!AD$21</f>
        <v>0</v>
      </c>
      <c r="U19" s="74">
        <f>U12*Input_CPI!AE$21</f>
        <v>0</v>
      </c>
      <c r="V19" s="74">
        <f>V12*Input_CPI!AF$21</f>
        <v>0</v>
      </c>
      <c r="W19" s="74">
        <f>W12*Input_CPI!AG$21</f>
        <v>0</v>
      </c>
      <c r="X19" s="80">
        <f>X12*Input_CPI!AH$21</f>
        <v>0</v>
      </c>
    </row>
    <row r="20" spans="2:24" x14ac:dyDescent="0.2">
      <c r="D20" s="63" t="str">
        <f>$D$13</f>
        <v>Expenditure - Actual / Estimate</v>
      </c>
      <c r="E20" s="39" t="str">
        <f>Unit_Dollar_M</f>
        <v>$Million</v>
      </c>
      <c r="F20" s="39" t="str">
        <f>Real_Input</f>
        <v>Real 2024</v>
      </c>
      <c r="G20" s="39" t="str">
        <f>End_Period</f>
        <v>End Period</v>
      </c>
      <c r="H20" s="39" t="str">
        <f>H19</f>
        <v>Calculated</v>
      </c>
      <c r="J20" s="88"/>
      <c r="K20" s="89"/>
      <c r="L20" s="89"/>
      <c r="M20" s="89"/>
      <c r="N20" s="90"/>
      <c r="O20" s="79">
        <f>O13*Input_CPI!Y$20</f>
        <v>2.1918272705212867</v>
      </c>
      <c r="P20" s="74">
        <f>P13*Input_CPI!Z$20</f>
        <v>1.5060396305445058</v>
      </c>
      <c r="Q20" s="74">
        <f>Q13*Input_CPI!AA$20</f>
        <v>2.715119541774913</v>
      </c>
      <c r="R20" s="74">
        <f>R13*Input_CPI!AB$20</f>
        <v>3.2617594585524903</v>
      </c>
      <c r="S20" s="80" t="e">
        <f>S13*Input_CPI!AC$20</f>
        <v>#N/A</v>
      </c>
      <c r="T20" s="79" t="e">
        <f>T13*Input_CPI!AD$20</f>
        <v>#N/A</v>
      </c>
      <c r="U20" s="74" t="e">
        <f>U13*Input_CPI!AE$20</f>
        <v>#N/A</v>
      </c>
      <c r="V20" s="74" t="e">
        <f>V13*Input_CPI!AF$20</f>
        <v>#N/A</v>
      </c>
      <c r="W20" s="74" t="e">
        <f>W13*Input_CPI!AG$20</f>
        <v>#N/A</v>
      </c>
      <c r="X20" s="80" t="e">
        <f>X13*Input_CPI!AH$20</f>
        <v>#N/A</v>
      </c>
    </row>
    <row r="22" spans="2:24" s="6" customFormat="1" ht="18.75" x14ac:dyDescent="0.2">
      <c r="B22" s="6" t="s">
        <v>197</v>
      </c>
    </row>
    <row r="24" spans="2:24" s="121" customFormat="1" ht="15.75" x14ac:dyDescent="0.2">
      <c r="C24" s="121" t="str">
        <f>Nominal</f>
        <v>Nominal</v>
      </c>
    </row>
    <row r="26" spans="2:24" x14ac:dyDescent="0.2">
      <c r="D26" s="60" t="s">
        <v>56</v>
      </c>
      <c r="E26" s="61" t="str">
        <f>E$4</f>
        <v>Unit</v>
      </c>
      <c r="F26" s="61" t="str">
        <f>F$4</f>
        <v>Basis</v>
      </c>
      <c r="G26" s="61" t="str">
        <f>G$4</f>
        <v>Timing</v>
      </c>
      <c r="H26" s="61" t="str">
        <f>H$4</f>
        <v>Source</v>
      </c>
      <c r="I26" s="60"/>
      <c r="J26" s="62" t="str">
        <f>J$3</f>
        <v>FY15</v>
      </c>
      <c r="K26" s="62" t="str">
        <f t="shared" ref="K26:X26" si="2">K$3</f>
        <v>FY16</v>
      </c>
      <c r="L26" s="62" t="str">
        <f t="shared" si="2"/>
        <v>FY17</v>
      </c>
      <c r="M26" s="62" t="str">
        <f t="shared" si="2"/>
        <v>FY18</v>
      </c>
      <c r="N26" s="62" t="str">
        <f t="shared" si="2"/>
        <v>FY19</v>
      </c>
      <c r="O26" s="62" t="str">
        <f t="shared" si="2"/>
        <v>FY20</v>
      </c>
      <c r="P26" s="62" t="str">
        <f t="shared" si="2"/>
        <v>FY21</v>
      </c>
      <c r="Q26" s="62" t="str">
        <f t="shared" si="2"/>
        <v>FY22</v>
      </c>
      <c r="R26" s="62" t="str">
        <f t="shared" si="2"/>
        <v>FY23</v>
      </c>
      <c r="S26" s="62" t="str">
        <f t="shared" si="2"/>
        <v>FY24</v>
      </c>
      <c r="T26" s="62" t="str">
        <f t="shared" si="2"/>
        <v>FY25</v>
      </c>
      <c r="U26" s="62" t="str">
        <f t="shared" si="2"/>
        <v>FY26</v>
      </c>
      <c r="V26" s="62" t="str">
        <f t="shared" si="2"/>
        <v>FY27</v>
      </c>
      <c r="W26" s="62" t="str">
        <f t="shared" si="2"/>
        <v>FY28</v>
      </c>
      <c r="X26" s="62" t="str">
        <f t="shared" si="2"/>
        <v>FY29</v>
      </c>
    </row>
    <row r="28" spans="2:24" x14ac:dyDescent="0.2">
      <c r="D28" s="63" t="str">
        <f>$D$12</f>
        <v>Revenue - Allowed / Proposed</v>
      </c>
      <c r="E28" s="39" t="str">
        <f>Unit_Dollar_M</f>
        <v>$Million</v>
      </c>
      <c r="F28" s="39" t="str">
        <f>Nominal</f>
        <v>Nominal</v>
      </c>
      <c r="G28" s="39" t="str">
        <f>End_Period</f>
        <v>End Period</v>
      </c>
      <c r="H28" s="51" t="s">
        <v>198</v>
      </c>
      <c r="J28" s="88"/>
      <c r="K28" s="89"/>
      <c r="L28" s="89"/>
      <c r="M28" s="89"/>
      <c r="N28" s="90"/>
      <c r="O28" s="79">
        <f>Input_ACS!O13</f>
        <v>2.3076835580779269</v>
      </c>
      <c r="P28" s="74">
        <f>Input_ACS!P13</f>
        <v>2.3771338523419794</v>
      </c>
      <c r="Q28" s="74">
        <f>Input_ACS!Q13</f>
        <v>2.4547103605078293</v>
      </c>
      <c r="R28" s="74">
        <f>Input_ACS!R13</f>
        <v>2.5386815686045763</v>
      </c>
      <c r="S28" s="80">
        <f>Input_ACS!S13</f>
        <v>2.6253130892315442</v>
      </c>
      <c r="T28" s="79">
        <f>Input_ACS!T13</f>
        <v>0</v>
      </c>
      <c r="U28" s="74">
        <f>Input_ACS!U13</f>
        <v>0</v>
      </c>
      <c r="V28" s="74">
        <f>Input_ACS!V13</f>
        <v>0</v>
      </c>
      <c r="W28" s="74">
        <f>Input_ACS!W13</f>
        <v>0</v>
      </c>
      <c r="X28" s="80">
        <f>Input_ACS!X13</f>
        <v>0</v>
      </c>
    </row>
    <row r="29" spans="2:24" x14ac:dyDescent="0.2">
      <c r="D29" s="63" t="str">
        <f>$D$13</f>
        <v>Expenditure - Actual / Estimate</v>
      </c>
      <c r="E29" s="39" t="str">
        <f>Unit_Dollar_M</f>
        <v>$Million</v>
      </c>
      <c r="F29" s="39" t="str">
        <f>Nominal</f>
        <v>Nominal</v>
      </c>
      <c r="G29" s="39" t="str">
        <f>Mid_Period</f>
        <v>Mid Period</v>
      </c>
      <c r="H29" s="39" t="str">
        <f>H28</f>
        <v>Input_ACS</v>
      </c>
      <c r="J29" s="88"/>
      <c r="K29" s="89"/>
      <c r="L29" s="89"/>
      <c r="M29" s="89"/>
      <c r="N29" s="90"/>
      <c r="O29" s="79">
        <f>IF(ISBLANK(Input_ACS!O$20),NA(),Input_ACS!O$20)</f>
        <v>1.87618</v>
      </c>
      <c r="P29" s="74">
        <f>IF(ISBLANK(Input_ACS!P$20),NA(),Input_ACS!P$20)</f>
        <v>2.3038509999999999</v>
      </c>
      <c r="Q29" s="74">
        <f>IF(ISBLANK(Input_ACS!Q$20),NA(),Input_ACS!Q$20)</f>
        <v>4.7253749999999997</v>
      </c>
      <c r="R29" s="74">
        <f>IF(ISBLANK(Input_ACS!R$20),NA(),Input_ACS!R$20)</f>
        <v>4.5808826799999993</v>
      </c>
      <c r="S29" s="80" t="e">
        <f>IF(ISBLANK(Input_ACS!S$20),NA(),Input_ACS!S$20)</f>
        <v>#N/A</v>
      </c>
      <c r="T29" s="79" t="e">
        <f>IF(ISBLANK(Input_ACS!T$20),NA(),Input_ACS!T$20)</f>
        <v>#N/A</v>
      </c>
      <c r="U29" s="74" t="e">
        <f>IF(ISBLANK(Input_ACS!U$20),NA(),Input_ACS!U$20)</f>
        <v>#N/A</v>
      </c>
      <c r="V29" s="74" t="e">
        <f>IF(ISBLANK(Input_ACS!V$20),NA(),Input_ACS!V$20)</f>
        <v>#N/A</v>
      </c>
      <c r="W29" s="74" t="e">
        <f>IF(ISBLANK(Input_ACS!W$20),NA(),Input_ACS!W$20)</f>
        <v>#N/A</v>
      </c>
      <c r="X29" s="80" t="e">
        <f>IF(ISBLANK(Input_ACS!X$20),NA(),Input_ACS!X$20)</f>
        <v>#N/A</v>
      </c>
    </row>
    <row r="31" spans="2:24" s="121" customFormat="1" ht="15.75" x14ac:dyDescent="0.2">
      <c r="C31" s="121" t="str">
        <f>Real_Input</f>
        <v>Real 2024</v>
      </c>
    </row>
    <row r="33" spans="2:24" x14ac:dyDescent="0.2">
      <c r="D33" s="60" t="s">
        <v>56</v>
      </c>
      <c r="E33" s="61" t="str">
        <f>E$4</f>
        <v>Unit</v>
      </c>
      <c r="F33" s="61" t="str">
        <f>F$4</f>
        <v>Basis</v>
      </c>
      <c r="G33" s="61" t="str">
        <f>G$4</f>
        <v>Timing</v>
      </c>
      <c r="H33" s="61" t="str">
        <f>H$4</f>
        <v>Source</v>
      </c>
      <c r="I33" s="60"/>
      <c r="J33" s="62" t="str">
        <f>J$3</f>
        <v>FY15</v>
      </c>
      <c r="K33" s="62" t="str">
        <f t="shared" ref="K33:X33" si="3">K$3</f>
        <v>FY16</v>
      </c>
      <c r="L33" s="62" t="str">
        <f t="shared" si="3"/>
        <v>FY17</v>
      </c>
      <c r="M33" s="62" t="str">
        <f t="shared" si="3"/>
        <v>FY18</v>
      </c>
      <c r="N33" s="62" t="str">
        <f t="shared" si="3"/>
        <v>FY19</v>
      </c>
      <c r="O33" s="62" t="str">
        <f t="shared" si="3"/>
        <v>FY20</v>
      </c>
      <c r="P33" s="62" t="str">
        <f t="shared" si="3"/>
        <v>FY21</v>
      </c>
      <c r="Q33" s="62" t="str">
        <f t="shared" si="3"/>
        <v>FY22</v>
      </c>
      <c r="R33" s="62" t="str">
        <f t="shared" si="3"/>
        <v>FY23</v>
      </c>
      <c r="S33" s="62" t="str">
        <f t="shared" si="3"/>
        <v>FY24</v>
      </c>
      <c r="T33" s="62" t="str">
        <f t="shared" si="3"/>
        <v>FY25</v>
      </c>
      <c r="U33" s="62" t="str">
        <f t="shared" si="3"/>
        <v>FY26</v>
      </c>
      <c r="V33" s="62" t="str">
        <f t="shared" si="3"/>
        <v>FY27</v>
      </c>
      <c r="W33" s="62" t="str">
        <f t="shared" si="3"/>
        <v>FY28</v>
      </c>
      <c r="X33" s="62" t="str">
        <f t="shared" si="3"/>
        <v>FY29</v>
      </c>
    </row>
    <row r="35" spans="2:24" x14ac:dyDescent="0.2">
      <c r="D35" s="63" t="str">
        <f>$D$12</f>
        <v>Revenue - Allowed / Proposed</v>
      </c>
      <c r="E35" s="39" t="str">
        <f>Unit_Dollar_M</f>
        <v>$Million</v>
      </c>
      <c r="F35" s="39" t="str">
        <f>Real_Input</f>
        <v>Real 2024</v>
      </c>
      <c r="G35" s="39" t="str">
        <f>End_Period</f>
        <v>End Period</v>
      </c>
      <c r="H35" s="51" t="s">
        <v>8</v>
      </c>
      <c r="J35" s="88"/>
      <c r="K35" s="89"/>
      <c r="L35" s="89"/>
      <c r="M35" s="89"/>
      <c r="N35" s="90"/>
      <c r="O35" s="79">
        <f>O28*Input_CPI!Y$21</f>
        <v>2.7940964529437018</v>
      </c>
      <c r="P35" s="74">
        <f>P28*Input_CPI!Z$21</f>
        <v>2.7715859992947394</v>
      </c>
      <c r="Q35" s="74">
        <f>Q28*Input_CPI!AA$21</f>
        <v>2.6963504132204048</v>
      </c>
      <c r="R35" s="74">
        <f>R28*Input_CPI!AB$21</f>
        <v>2.6300741050743413</v>
      </c>
      <c r="S35" s="80">
        <f>S28*Input_CPI!AC$21</f>
        <v>2.6253130892315442</v>
      </c>
      <c r="T35" s="79">
        <f>T28*Input_CPI!AD$21</f>
        <v>0</v>
      </c>
      <c r="U35" s="74">
        <f>U28*Input_CPI!AE$21</f>
        <v>0</v>
      </c>
      <c r="V35" s="74">
        <f>V28*Input_CPI!AF$21</f>
        <v>0</v>
      </c>
      <c r="W35" s="74">
        <f>W28*Input_CPI!AG$21</f>
        <v>0</v>
      </c>
      <c r="X35" s="80">
        <f>X28*Input_CPI!AH$21</f>
        <v>0</v>
      </c>
    </row>
    <row r="36" spans="2:24" x14ac:dyDescent="0.2">
      <c r="D36" s="63" t="str">
        <f>$D$13</f>
        <v>Expenditure - Actual / Estimate</v>
      </c>
      <c r="E36" s="39" t="str">
        <f>Unit_Dollar_M</f>
        <v>$Million</v>
      </c>
      <c r="F36" s="39" t="str">
        <f>Real_Input</f>
        <v>Real 2024</v>
      </c>
      <c r="G36" s="39" t="str">
        <f>End_Period</f>
        <v>End Period</v>
      </c>
      <c r="H36" s="39" t="str">
        <f>H35</f>
        <v>Calculated</v>
      </c>
      <c r="J36" s="88"/>
      <c r="K36" s="89"/>
      <c r="L36" s="89"/>
      <c r="M36" s="89"/>
      <c r="N36" s="90"/>
      <c r="O36" s="79">
        <f>O29*Input_CPI!Y$20</f>
        <v>2.2676796800341825</v>
      </c>
      <c r="P36" s="74">
        <f>P29*Input_CPI!Z$20</f>
        <v>2.7373121057324501</v>
      </c>
      <c r="Q36" s="74">
        <f>Q29*Input_CPI!AA$20</f>
        <v>5.3476340308682575</v>
      </c>
      <c r="R36" s="74">
        <f>R29*Input_CPI!AB$20</f>
        <v>4.8867158319765283</v>
      </c>
      <c r="S36" s="80" t="e">
        <f>S29*Input_CPI!AC$20</f>
        <v>#N/A</v>
      </c>
      <c r="T36" s="79" t="e">
        <f>T29*Input_CPI!AD$20</f>
        <v>#N/A</v>
      </c>
      <c r="U36" s="74" t="e">
        <f>U29*Input_CPI!AE$20</f>
        <v>#N/A</v>
      </c>
      <c r="V36" s="74" t="e">
        <f>V29*Input_CPI!AF$20</f>
        <v>#N/A</v>
      </c>
      <c r="W36" s="74" t="e">
        <f>W29*Input_CPI!AG$20</f>
        <v>#N/A</v>
      </c>
      <c r="X36" s="80" t="e">
        <f>X29*Input_CPI!AH$20</f>
        <v>#N/A</v>
      </c>
    </row>
    <row r="38" spans="2:24" s="6" customFormat="1" ht="18.75" x14ac:dyDescent="0.2">
      <c r="B38" s="6" t="s">
        <v>43</v>
      </c>
    </row>
  </sheetData>
  <hyperlinks>
    <hyperlink ref="B4" location="ToC!A1" display="ToC!A1" xr:uid="{50876DD2-0DF3-432C-B4C3-B0CD5825CBEE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0E09-E8D0-4E07-A670-6DDC0C966E86}">
  <sheetPr codeName="Sheet18">
    <tabColor theme="0" tint="-0.249977111117893"/>
  </sheetPr>
  <dimension ref="A1"/>
  <sheetViews>
    <sheetView showGridLines="0" zoomScaleNormal="100"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26A86-4D44-4101-8A0B-4A4C58C6AB99}">
  <sheetPr>
    <tabColor theme="3"/>
  </sheetPr>
  <dimension ref="A1:R34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x14ac:dyDescent="0.2"/>
  <cols>
    <col min="1" max="3" width="3.7109375" customWidth="1"/>
    <col min="4" max="4" width="43" bestFit="1" customWidth="1"/>
    <col min="5" max="20" width="13.5703125" customWidth="1"/>
  </cols>
  <sheetData>
    <row r="1" spans="1:9" ht="23.25" x14ac:dyDescent="0.35">
      <c r="A1" s="52">
        <f>IF(SUM(A5:A33)&lt;&gt;0,1,0)</f>
        <v>0</v>
      </c>
      <c r="B1" s="16" t="s">
        <v>808</v>
      </c>
    </row>
    <row r="2" spans="1:9" ht="15" x14ac:dyDescent="0.2">
      <c r="B2" s="34" t="str">
        <f>Model_Name</f>
        <v>Power and Water - Revised Proposal - Tables and Charts</v>
      </c>
    </row>
    <row r="3" spans="1:9" x14ac:dyDescent="0.2">
      <c r="B3" s="37" t="str">
        <f>"Model Checks:"&amp;IF(Model_Checks=0," OK"," Check")</f>
        <v>Model Checks: OK</v>
      </c>
    </row>
    <row r="4" spans="1:9" x14ac:dyDescent="0.2">
      <c r="B4" s="29" t="str">
        <f>ToC!$B$1</f>
        <v>Table of contents</v>
      </c>
    </row>
    <row r="5" spans="1:9" x14ac:dyDescent="0.2">
      <c r="B5" t="s">
        <v>237</v>
      </c>
    </row>
    <row r="6" spans="1:9" s="6" customFormat="1" ht="18.75" x14ac:dyDescent="0.2">
      <c r="B6" s="6" t="s">
        <v>393</v>
      </c>
    </row>
    <row r="8" spans="1:9" s="6" customFormat="1" ht="18.75" x14ac:dyDescent="0.2">
      <c r="B8" s="6" t="s">
        <v>786</v>
      </c>
    </row>
    <row r="10" spans="1:9" s="121" customFormat="1" ht="15.75" x14ac:dyDescent="0.2">
      <c r="C10" s="121" t="s">
        <v>809</v>
      </c>
    </row>
    <row r="12" spans="1:9" s="121" customFormat="1" ht="15.75" x14ac:dyDescent="0.2">
      <c r="C12" s="121" t="s">
        <v>810</v>
      </c>
    </row>
    <row r="14" spans="1:9" x14ac:dyDescent="0.2">
      <c r="D14" s="60" t="s">
        <v>161</v>
      </c>
      <c r="I14" s="61" t="s">
        <v>189</v>
      </c>
    </row>
    <row r="16" spans="1:9" x14ac:dyDescent="0.2">
      <c r="D16" s="45" t="s">
        <v>815</v>
      </c>
      <c r="I16" s="74">
        <f>'2'!$F$57</f>
        <v>1016.3687869621042</v>
      </c>
    </row>
    <row r="17" spans="2:18" x14ac:dyDescent="0.2">
      <c r="D17" s="45"/>
    </row>
    <row r="18" spans="2:18" x14ac:dyDescent="0.2">
      <c r="D18" s="45" t="s">
        <v>814</v>
      </c>
      <c r="I18" s="359">
        <f>'2'!F57/'2'!E57-1</f>
        <v>-6.8471200668790422E-2</v>
      </c>
    </row>
    <row r="20" spans="2:18" s="121" customFormat="1" ht="15.75" x14ac:dyDescent="0.2">
      <c r="C20" s="121" t="s">
        <v>811</v>
      </c>
    </row>
    <row r="22" spans="2:18" s="121" customFormat="1" ht="15.75" x14ac:dyDescent="0.2">
      <c r="C22" s="121" t="s">
        <v>812</v>
      </c>
    </row>
    <row r="24" spans="2:18" s="121" customFormat="1" ht="15.75" x14ac:dyDescent="0.2">
      <c r="C24" s="121" t="s">
        <v>813</v>
      </c>
    </row>
    <row r="26" spans="2:18" s="6" customFormat="1" ht="18.75" x14ac:dyDescent="0.2">
      <c r="B26" s="6" t="s">
        <v>1219</v>
      </c>
    </row>
    <row r="28" spans="2:18" s="6" customFormat="1" ht="18.75" x14ac:dyDescent="0.2">
      <c r="B28" s="6" t="s">
        <v>807</v>
      </c>
    </row>
    <row r="30" spans="2:18" x14ac:dyDescent="0.2">
      <c r="D30" s="60" t="s">
        <v>161</v>
      </c>
      <c r="I30" s="61" t="s">
        <v>189</v>
      </c>
      <c r="P30" s="61" t="s">
        <v>783</v>
      </c>
      <c r="Q30" s="61" t="s">
        <v>784</v>
      </c>
      <c r="R30" s="61" t="s">
        <v>782</v>
      </c>
    </row>
    <row r="32" spans="2:18" x14ac:dyDescent="0.2">
      <c r="D32" s="45" t="s">
        <v>1067</v>
      </c>
      <c r="I32" s="74">
        <f>R32-P32</f>
        <v>-57.963544034013694</v>
      </c>
      <c r="J32" s="63" t="s">
        <v>1068</v>
      </c>
      <c r="P32" s="68">
        <v>986.80876933791842</v>
      </c>
      <c r="Q32" s="47"/>
      <c r="R32" s="74">
        <f>SUM(Opex!T20:X20)+SUM(Capex!Y20:AC20)</f>
        <v>928.84522530390473</v>
      </c>
    </row>
    <row r="34" spans="2:2" s="6" customFormat="1" ht="18.75" x14ac:dyDescent="0.2">
      <c r="B34" s="6" t="s">
        <v>43</v>
      </c>
    </row>
  </sheetData>
  <hyperlinks>
    <hyperlink ref="B4" location="ToC!A1" display="ToC!A1" xr:uid="{42995B28-A043-47FA-98F2-DD5B17E4CDBF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8C837-77DE-4A4B-B689-CFC85BC6111B}">
  <sheetPr codeName="Sheet32">
    <tabColor theme="3"/>
  </sheetPr>
  <dimension ref="A1:AD387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x14ac:dyDescent="0.2"/>
  <cols>
    <col min="1" max="3" width="3.7109375" customWidth="1"/>
    <col min="4" max="4" width="43" bestFit="1" customWidth="1"/>
    <col min="5" max="15" width="13.5703125" customWidth="1"/>
    <col min="16" max="16" width="21" customWidth="1"/>
    <col min="17" max="20" width="13.5703125" customWidth="1"/>
  </cols>
  <sheetData>
    <row r="1" spans="1:18" ht="23.25" x14ac:dyDescent="0.35">
      <c r="A1" s="52">
        <f>IF(SUM(A5:A387)&lt;&gt;0,1,0)</f>
        <v>0</v>
      </c>
      <c r="B1" s="16" t="s">
        <v>1220</v>
      </c>
    </row>
    <row r="2" spans="1:18" ht="15" x14ac:dyDescent="0.2">
      <c r="B2" s="34" t="str">
        <f>Model_Name</f>
        <v>Power and Water - Revised Proposal - Tables and Charts</v>
      </c>
    </row>
    <row r="3" spans="1:18" x14ac:dyDescent="0.2">
      <c r="B3" s="37" t="str">
        <f>"Model Checks:"&amp;IF(Model_Checks=0," OK"," Check")</f>
        <v>Model Checks: OK</v>
      </c>
    </row>
    <row r="4" spans="1:18" x14ac:dyDescent="0.2">
      <c r="B4" s="29" t="str">
        <f>ToC!$B$1</f>
        <v>Table of contents</v>
      </c>
    </row>
    <row r="5" spans="1:18" x14ac:dyDescent="0.2">
      <c r="B5" t="s">
        <v>237</v>
      </c>
    </row>
    <row r="6" spans="1:18" s="6" customFormat="1" ht="18.75" x14ac:dyDescent="0.2">
      <c r="B6" s="6" t="s">
        <v>1218</v>
      </c>
    </row>
    <row r="8" spans="1:18" s="6" customFormat="1" ht="18.75" x14ac:dyDescent="0.2">
      <c r="B8" s="6" t="s">
        <v>863</v>
      </c>
    </row>
    <row r="10" spans="1:18" s="121" customFormat="1" ht="15.75" x14ac:dyDescent="0.2">
      <c r="C10" s="121" t="s">
        <v>160</v>
      </c>
    </row>
    <row r="12" spans="1:18" x14ac:dyDescent="0.2">
      <c r="D12" s="60" t="s">
        <v>863</v>
      </c>
      <c r="I12" s="61" t="s">
        <v>189</v>
      </c>
    </row>
    <row r="13" spans="1:18" x14ac:dyDescent="0.2">
      <c r="P13" s="61" t="s">
        <v>783</v>
      </c>
      <c r="Q13" s="61" t="s">
        <v>784</v>
      </c>
      <c r="R13" s="61" t="s">
        <v>782</v>
      </c>
    </row>
    <row r="14" spans="1:18" x14ac:dyDescent="0.2">
      <c r="D14" s="45" t="s">
        <v>1302</v>
      </c>
      <c r="I14" s="68">
        <v>959.80973154988317</v>
      </c>
      <c r="J14" s="63" t="s">
        <v>1304</v>
      </c>
      <c r="O14" s="87" t="s">
        <v>1157</v>
      </c>
      <c r="P14" s="68">
        <v>1091.0760758999672</v>
      </c>
      <c r="Q14" s="68">
        <v>1016.3687869621042</v>
      </c>
      <c r="R14" s="68">
        <v>1048.4254779106041</v>
      </c>
    </row>
    <row r="15" spans="1:18" x14ac:dyDescent="0.2">
      <c r="D15" s="45" t="s">
        <v>1133</v>
      </c>
      <c r="I15" s="68">
        <v>1045.5019123395625</v>
      </c>
      <c r="J15" s="63" t="s">
        <v>1305</v>
      </c>
      <c r="O15" s="87" t="s">
        <v>1156</v>
      </c>
      <c r="P15" s="68">
        <v>996.2139347914956</v>
      </c>
      <c r="Q15" s="68">
        <v>932.30434185665092</v>
      </c>
      <c r="R15" s="68">
        <v>961.21413209881723</v>
      </c>
    </row>
    <row r="16" spans="1:18" x14ac:dyDescent="0.2">
      <c r="D16" s="45" t="s">
        <v>859</v>
      </c>
      <c r="I16" s="74">
        <f>R16-Q16</f>
        <v>31.548220959057744</v>
      </c>
      <c r="J16" s="63" t="s">
        <v>1305</v>
      </c>
      <c r="O16" s="87" t="s">
        <v>1313</v>
      </c>
      <c r="P16" s="68">
        <v>1087.1683120103235</v>
      </c>
      <c r="Q16" s="68">
        <v>1013.9536913805048</v>
      </c>
      <c r="R16" s="68">
        <v>1045.5019123395625</v>
      </c>
    </row>
    <row r="17" spans="3:18" x14ac:dyDescent="0.2">
      <c r="D17" s="45" t="s">
        <v>860</v>
      </c>
      <c r="I17" s="74">
        <f>R16-P16</f>
        <v>-41.666399670760939</v>
      </c>
      <c r="J17" s="63" t="str">
        <f>J16</f>
        <v>◄ Unsmoothed, Nominal</v>
      </c>
      <c r="O17" s="87" t="s">
        <v>1303</v>
      </c>
      <c r="P17" s="68">
        <v>994.38000715988437</v>
      </c>
      <c r="Q17" s="68">
        <v>931.14465682378932</v>
      </c>
      <c r="R17" s="68">
        <v>959.80973154988317</v>
      </c>
    </row>
    <row r="19" spans="3:18" x14ac:dyDescent="0.2">
      <c r="D19" s="45" t="s">
        <v>967</v>
      </c>
      <c r="I19" s="74">
        <f>Q20-P20</f>
        <v>-46.725627000840063</v>
      </c>
      <c r="J19" s="63" t="str">
        <f>"◄ "&amp;Unit_Dollar_M&amp;", "&amp;Real_Input</f>
        <v>◄ $Million, Real 2024</v>
      </c>
      <c r="P19" s="61" t="s">
        <v>783</v>
      </c>
      <c r="Q19" s="61" t="s">
        <v>784</v>
      </c>
      <c r="R19" s="61" t="s">
        <v>782</v>
      </c>
    </row>
    <row r="20" spans="3:18" x14ac:dyDescent="0.2">
      <c r="D20" s="45" t="s">
        <v>861</v>
      </c>
      <c r="I20" s="74">
        <f>R20-Q20</f>
        <v>16.450807472939225</v>
      </c>
      <c r="J20" s="63" t="str">
        <f>"◄ "&amp;Unit_Dollar_M&amp;", "&amp;Real_Input</f>
        <v>◄ $Million, Real 2024</v>
      </c>
      <c r="P20" s="68">
        <v>52.229632554929232</v>
      </c>
      <c r="Q20" s="68">
        <v>5.5040055540891721</v>
      </c>
      <c r="R20" s="68">
        <v>21.954813027028397</v>
      </c>
    </row>
    <row r="22" spans="3:18" x14ac:dyDescent="0.2">
      <c r="D22" s="45" t="s">
        <v>862</v>
      </c>
      <c r="I22" s="74">
        <f>Summary!F23</f>
        <v>76.101534300963493</v>
      </c>
      <c r="J22" s="63" t="str">
        <f>Summary!$G$23</f>
        <v>◄ Direct escalated costs ($millions, June 2024)</v>
      </c>
    </row>
    <row r="23" spans="3:18" x14ac:dyDescent="0.2">
      <c r="D23" s="45" t="s">
        <v>1308</v>
      </c>
      <c r="I23" s="74">
        <f>'3'!I127</f>
        <v>134.76474195289251</v>
      </c>
      <c r="J23" s="63" t="str">
        <f>Summary!$G$23</f>
        <v>◄ Direct escalated costs ($millions, June 2024)</v>
      </c>
    </row>
    <row r="24" spans="3:18" x14ac:dyDescent="0.2">
      <c r="D24" s="45" t="s">
        <v>1307</v>
      </c>
      <c r="I24" s="74">
        <f>I22</f>
        <v>76.101534300963493</v>
      </c>
      <c r="J24" s="63" t="str">
        <f>Summary!$G$23</f>
        <v>◄ Direct escalated costs ($millions, June 2024)</v>
      </c>
    </row>
    <row r="26" spans="3:18" x14ac:dyDescent="0.2">
      <c r="D26" s="45" t="s">
        <v>1284</v>
      </c>
      <c r="I26" s="461">
        <f>P72/P71-1</f>
        <v>0.13640009420878529</v>
      </c>
      <c r="J26" s="63" t="str">
        <f>"◄ "&amp;Real_Input</f>
        <v>◄ Real 2024</v>
      </c>
    </row>
    <row r="27" spans="3:18" x14ac:dyDescent="0.2">
      <c r="D27" s="45" t="s">
        <v>1285</v>
      </c>
      <c r="I27" s="461">
        <f>P72/P70-1</f>
        <v>-0.23023697897327788</v>
      </c>
      <c r="J27" s="63" t="str">
        <f>"◄ "&amp;Real_Input</f>
        <v>◄ Real 2024</v>
      </c>
    </row>
    <row r="28" spans="3:18" x14ac:dyDescent="0.2">
      <c r="D28" s="45" t="s">
        <v>1301</v>
      </c>
      <c r="I28" s="461">
        <f>SUM(P65:T65)/P70-1</f>
        <v>-0.1815196453252198</v>
      </c>
      <c r="J28" s="63" t="str">
        <f>"◄ "&amp;Real_Input</f>
        <v>◄ Real 2024</v>
      </c>
    </row>
    <row r="31" spans="3:18" s="121" customFormat="1" ht="15.75" x14ac:dyDescent="0.2">
      <c r="C31" s="121" t="s">
        <v>1298</v>
      </c>
    </row>
    <row r="36" spans="10:10" x14ac:dyDescent="0.2">
      <c r="J36" s="63" t="s">
        <v>1299</v>
      </c>
    </row>
    <row r="55" spans="3:30" s="121" customFormat="1" ht="15.75" x14ac:dyDescent="0.2">
      <c r="C55" s="121" t="s">
        <v>1300</v>
      </c>
    </row>
    <row r="57" spans="3:30" x14ac:dyDescent="0.2">
      <c r="P57" s="41" t="str">
        <f>LookupTab!M$41</f>
        <v>Previous Period</v>
      </c>
      <c r="Q57" s="41"/>
      <c r="R57" s="41"/>
      <c r="S57" s="41"/>
      <c r="T57" s="41"/>
      <c r="U57" s="42" t="str">
        <f>LookupTab!R$41</f>
        <v>Current Period</v>
      </c>
      <c r="V57" s="42"/>
      <c r="W57" s="42"/>
      <c r="X57" s="42"/>
      <c r="Y57" s="42"/>
      <c r="Z57" s="43" t="str">
        <f>LookupTab!W$41</f>
        <v>Next Period</v>
      </c>
      <c r="AA57" s="43"/>
      <c r="AB57" s="43"/>
      <c r="AC57" s="43"/>
      <c r="AD57" s="43"/>
    </row>
    <row r="58" spans="3:30" x14ac:dyDescent="0.2">
      <c r="O58" s="100"/>
      <c r="P58" s="429" t="str">
        <f>LookupTab!M$43</f>
        <v>2014/15</v>
      </c>
      <c r="Q58" s="429" t="str">
        <f>LookupTab!N$43</f>
        <v>2015/16</v>
      </c>
      <c r="R58" s="429" t="str">
        <f>LookupTab!O$43</f>
        <v>2016/17</v>
      </c>
      <c r="S58" s="429" t="str">
        <f>LookupTab!P$43</f>
        <v>2017/18</v>
      </c>
      <c r="T58" s="429" t="str">
        <f>LookupTab!Q$43</f>
        <v>2018/19</v>
      </c>
      <c r="U58" s="429" t="str">
        <f>LookupTab!R$43</f>
        <v>2019/20</v>
      </c>
      <c r="V58" s="429" t="str">
        <f>LookupTab!S$43</f>
        <v>2020/21</v>
      </c>
      <c r="W58" s="429" t="str">
        <f>LookupTab!T$43</f>
        <v>2021/22</v>
      </c>
      <c r="X58" s="429" t="str">
        <f>LookupTab!U$43</f>
        <v>2022/23</v>
      </c>
      <c r="Y58" s="429" t="str">
        <f>LookupTab!V$43</f>
        <v>2023/24</v>
      </c>
      <c r="Z58" s="429" t="str">
        <f>LookupTab!W$43</f>
        <v>2024/25</v>
      </c>
      <c r="AA58" s="429" t="str">
        <f>LookupTab!X$43</f>
        <v>2025/26</v>
      </c>
      <c r="AB58" s="429" t="str">
        <f>LookupTab!Y$43</f>
        <v>2026/27</v>
      </c>
      <c r="AC58" s="429" t="str">
        <f>LookupTab!Z$43</f>
        <v>2027/28</v>
      </c>
      <c r="AD58" s="429" t="str">
        <f>LookupTab!AA$43</f>
        <v>2028/29</v>
      </c>
    </row>
    <row r="59" spans="3:30" x14ac:dyDescent="0.2">
      <c r="O59" s="108" t="str">
        <f>Revenue!D54</f>
        <v>Return on Capital</v>
      </c>
      <c r="P59" s="168">
        <f>Revenue!J42/Revenue!J$48*P$68</f>
        <v>52.091491163879013</v>
      </c>
      <c r="Q59" s="168">
        <f>Revenue!K42/Revenue!K$48*Q$68</f>
        <v>58.455867328202025</v>
      </c>
      <c r="R59" s="168">
        <f>Revenue!L42/Revenue!L$48*R$68</f>
        <v>62.501837672456418</v>
      </c>
      <c r="S59" s="168">
        <f>Revenue!M42/Revenue!M$48*S$68</f>
        <v>62.150735115629118</v>
      </c>
      <c r="T59" s="168">
        <f>Revenue!N42/Revenue!N$48*T$68</f>
        <v>62.553039235931216</v>
      </c>
      <c r="U59" s="168">
        <f>Revenue!O42/Revenue!O$48*U$68</f>
        <v>57.535462137025839</v>
      </c>
      <c r="V59" s="168">
        <f>Revenue!P42/Revenue!P$48*V$68</f>
        <v>57.96527281361611</v>
      </c>
      <c r="W59" s="168">
        <f>Revenue!Q42/Revenue!Q$48*W$68</f>
        <v>57.490294430579233</v>
      </c>
      <c r="X59" s="168">
        <f>Revenue!R42/Revenue!R$48*X$68</f>
        <v>57.008132258279403</v>
      </c>
      <c r="Y59" s="168">
        <f>Revenue!S42/Revenue!S$48*Y$68</f>
        <v>58.69361860730104</v>
      </c>
      <c r="Z59" s="168">
        <f>Revenue!T42/Revenue!T$48*Z$68</f>
        <v>65.752163196004688</v>
      </c>
      <c r="AA59" s="168">
        <f>Revenue!U42/Revenue!U$48*AA$68</f>
        <v>71.926485388228372</v>
      </c>
      <c r="AB59" s="168">
        <f>Revenue!V42/Revenue!V$48*AB$68</f>
        <v>78.23542173913188</v>
      </c>
      <c r="AC59" s="168">
        <f>Revenue!W42/Revenue!W$48*AC$68</f>
        <v>82.997733438235841</v>
      </c>
      <c r="AD59" s="168">
        <f>Revenue!X42/Revenue!X$48*AD$68</f>
        <v>86.929043004069399</v>
      </c>
    </row>
    <row r="60" spans="3:30" x14ac:dyDescent="0.2">
      <c r="O60" s="108" t="str">
        <f>Revenue!D55</f>
        <v>Regulatory depreciation</v>
      </c>
      <c r="P60" s="168">
        <f>Revenue!J43/Revenue!J$48*P$68</f>
        <v>36.986094322406139</v>
      </c>
      <c r="Q60" s="168">
        <f>Revenue!K43/Revenue!K$48*Q$68</f>
        <v>43.769867916666264</v>
      </c>
      <c r="R60" s="168">
        <f>Revenue!L43/Revenue!L$48*R$68</f>
        <v>40.300978068465731</v>
      </c>
      <c r="S60" s="168">
        <f>Revenue!M43/Revenue!M$48*S$68</f>
        <v>42.733190674672194</v>
      </c>
      <c r="T60" s="168">
        <f>Revenue!N43/Revenue!N$48*T$68</f>
        <v>46.031797330807336</v>
      </c>
      <c r="U60" s="168">
        <f>Revenue!O43/Revenue!O$48*U$68</f>
        <v>22.637037380387834</v>
      </c>
      <c r="V60" s="168">
        <f>Revenue!P43/Revenue!P$48*V$68</f>
        <v>27.408559594287976</v>
      </c>
      <c r="W60" s="168">
        <f>Revenue!Q43/Revenue!Q$48*W$68</f>
        <v>30.024256606021279</v>
      </c>
      <c r="X60" s="168">
        <f>Revenue!R43/Revenue!R$48*X$68</f>
        <v>33.354665199722888</v>
      </c>
      <c r="Y60" s="168">
        <f>Revenue!S43/Revenue!S$48*Y$68</f>
        <v>35.170185988031086</v>
      </c>
      <c r="Z60" s="168">
        <f>Revenue!T43/Revenue!T$48*Z$68</f>
        <v>32.854767987838791</v>
      </c>
      <c r="AA60" s="168">
        <f>Revenue!U43/Revenue!U$48*AA$68</f>
        <v>34.468599159846043</v>
      </c>
      <c r="AB60" s="168">
        <f>Revenue!V43/Revenue!V$48*AB$68</f>
        <v>37.524016132422069</v>
      </c>
      <c r="AC60" s="168">
        <f>Revenue!W43/Revenue!W$48*AC$68</f>
        <v>43.149914244505304</v>
      </c>
      <c r="AD60" s="168">
        <f>Revenue!X43/Revenue!X$48*AD$68</f>
        <v>45.461268251503476</v>
      </c>
    </row>
    <row r="61" spans="3:30" x14ac:dyDescent="0.2">
      <c r="O61" s="108" t="str">
        <f>Revenue!D56</f>
        <v>Opex</v>
      </c>
      <c r="P61" s="168">
        <f>Revenue!J44/Revenue!J$48*P$68</f>
        <v>133.98749653637034</v>
      </c>
      <c r="Q61" s="168">
        <f>Revenue!K44/Revenue!K$48*Q$68</f>
        <v>139.00545850022741</v>
      </c>
      <c r="R61" s="168">
        <f>Revenue!L44/Revenue!L$48*R$68</f>
        <v>144.97813722543503</v>
      </c>
      <c r="S61" s="168">
        <f>Revenue!M44/Revenue!M$48*S$68</f>
        <v>135.5006342392272</v>
      </c>
      <c r="T61" s="168">
        <f>Revenue!N44/Revenue!N$48*T$68</f>
        <v>126.12634822076778</v>
      </c>
      <c r="U61" s="168">
        <f>Revenue!O44/Revenue!O$48*U$68</f>
        <v>84.610602331797864</v>
      </c>
      <c r="V61" s="168">
        <f>Revenue!P44/Revenue!P$48*V$68</f>
        <v>81.782996873120183</v>
      </c>
      <c r="W61" s="168">
        <f>Revenue!Q44/Revenue!Q$48*W$68</f>
        <v>80.6120041408102</v>
      </c>
      <c r="X61" s="168">
        <f>Revenue!R44/Revenue!R$48*X$68</f>
        <v>78.303398973844253</v>
      </c>
      <c r="Y61" s="168">
        <f>Revenue!S44/Revenue!S$48*Y$68</f>
        <v>76.200687151293948</v>
      </c>
      <c r="Z61" s="168">
        <f>Revenue!T44/Revenue!T$48*Z$68</f>
        <v>71.139656673210766</v>
      </c>
      <c r="AA61" s="168">
        <f>Revenue!U44/Revenue!U$48*AA$68</f>
        <v>75.158470473246041</v>
      </c>
      <c r="AB61" s="168">
        <f>Revenue!V44/Revenue!V$48*AB$68</f>
        <v>78.417262217815775</v>
      </c>
      <c r="AC61" s="168">
        <f>Revenue!W44/Revenue!W$48*AC$68</f>
        <v>81.51878951674351</v>
      </c>
      <c r="AD61" s="168">
        <f>Revenue!X44/Revenue!X$48*AD$68</f>
        <v>81.119270462846416</v>
      </c>
    </row>
    <row r="62" spans="3:30" x14ac:dyDescent="0.2">
      <c r="O62" s="108" t="str">
        <f>Revenue!D57</f>
        <v>Rev. Adjustments</v>
      </c>
      <c r="P62" s="168">
        <f>Revenue!J45/Revenue!J$48*P$68</f>
        <v>9.5658212229658623</v>
      </c>
      <c r="Q62" s="168">
        <f>Revenue!K45/Revenue!K$48*Q$68</f>
        <v>11.134653517453202</v>
      </c>
      <c r="R62" s="168">
        <f>Revenue!L45/Revenue!L$48*R$68</f>
        <v>12.700301697301962</v>
      </c>
      <c r="S62" s="168">
        <f>Revenue!M45/Revenue!M$48*S$68</f>
        <v>13.57156991788427</v>
      </c>
      <c r="T62" s="168">
        <f>Revenue!N45/Revenue!N$48*T$68</f>
        <v>14.569032228191102</v>
      </c>
      <c r="U62" s="168">
        <f>Revenue!O45/Revenue!O$48*U$68</f>
        <v>5.5916567329829664E-2</v>
      </c>
      <c r="V62" s="168">
        <f>Revenue!P45/Revenue!P$48*V$68</f>
        <v>5.9428969754847023E-2</v>
      </c>
      <c r="W62" s="168">
        <f>Revenue!Q45/Revenue!Q$48*W$68</f>
        <v>6.176637311809547E-2</v>
      </c>
      <c r="X62" s="168">
        <f>Revenue!R45/Revenue!R$48*X$68</f>
        <v>6.4079459836314273E-2</v>
      </c>
      <c r="Y62" s="168">
        <f>Revenue!S45/Revenue!S$48*Y$68</f>
        <v>6.4546496388057331E-2</v>
      </c>
      <c r="Z62" s="168">
        <f>Revenue!T45/Revenue!T$48*Z$68</f>
        <v>-1.0203156467238463</v>
      </c>
      <c r="AA62" s="168">
        <f>Revenue!U45/Revenue!U$48*AA$68</f>
        <v>-1.0635860687084293</v>
      </c>
      <c r="AB62" s="168">
        <f>Revenue!V45/Revenue!V$48*AB$68</f>
        <v>-1.1028624127715689</v>
      </c>
      <c r="AC62" s="168">
        <f>Revenue!W45/Revenue!W$48*AC$68</f>
        <v>-1.1313759354614097</v>
      </c>
      <c r="AD62" s="168">
        <f>Revenue!X45/Revenue!X$48*AD$68</f>
        <v>-1.1205897231658948</v>
      </c>
    </row>
    <row r="63" spans="3:30" x14ac:dyDescent="0.2">
      <c r="O63" s="108" t="str">
        <f>Revenue!D58</f>
        <v>Tax Allowance</v>
      </c>
      <c r="P63" s="168">
        <f>Revenue!J46/Revenue!J$48*P$68</f>
        <v>0</v>
      </c>
      <c r="Q63" s="168">
        <f>Revenue!K46/Revenue!K$48*Q$68</f>
        <v>0</v>
      </c>
      <c r="R63" s="168">
        <f>Revenue!L46/Revenue!L$48*R$68</f>
        <v>0</v>
      </c>
      <c r="S63" s="168">
        <f>Revenue!M46/Revenue!M$48*S$68</f>
        <v>0</v>
      </c>
      <c r="T63" s="168">
        <f>Revenue!N46/Revenue!N$48*T$68</f>
        <v>0</v>
      </c>
      <c r="U63" s="168">
        <f>Revenue!O46/Revenue!O$48*U$68</f>
        <v>2.126526075575609</v>
      </c>
      <c r="V63" s="168">
        <f>Revenue!P46/Revenue!P$48*V$68</f>
        <v>1.2153078805612716</v>
      </c>
      <c r="W63" s="168">
        <f>Revenue!Q46/Revenue!Q$48*W$68</f>
        <v>1.2434564977394187</v>
      </c>
      <c r="X63" s="168">
        <f>Revenue!R46/Revenue!R$48*X$68</f>
        <v>0.92763979501349203</v>
      </c>
      <c r="Y63" s="168">
        <f>Revenue!S46/Revenue!S$48*Y$68</f>
        <v>1.225456600549131</v>
      </c>
      <c r="Z63" s="168">
        <f>Revenue!T46/Revenue!T$48*Z$68</f>
        <v>0</v>
      </c>
      <c r="AA63" s="168">
        <f>Revenue!U46/Revenue!U$48*AA$68</f>
        <v>0</v>
      </c>
      <c r="AB63" s="168">
        <f>Revenue!V46/Revenue!V$48*AB$68</f>
        <v>0</v>
      </c>
      <c r="AC63" s="168">
        <f>Revenue!W46/Revenue!W$48*AC$68</f>
        <v>0</v>
      </c>
      <c r="AD63" s="168">
        <f>Revenue!X46/Revenue!X$48*AD$68</f>
        <v>0</v>
      </c>
    </row>
    <row r="64" spans="3:30" x14ac:dyDescent="0.2">
      <c r="O64" s="108" t="s">
        <v>72</v>
      </c>
      <c r="P64" s="168">
        <f t="shared" ref="P64:AD64" si="0">SUM(P59:P63)</f>
        <v>232.63090324562137</v>
      </c>
      <c r="Q64" s="168">
        <f t="shared" si="0"/>
        <v>252.36584726254893</v>
      </c>
      <c r="R64" s="168">
        <f t="shared" si="0"/>
        <v>260.48125466365912</v>
      </c>
      <c r="S64" s="168">
        <f t="shared" si="0"/>
        <v>253.95612994741276</v>
      </c>
      <c r="T64" s="168">
        <f t="shared" si="0"/>
        <v>249.28021701569745</v>
      </c>
      <c r="U64" s="168">
        <f t="shared" si="0"/>
        <v>166.96554449211698</v>
      </c>
      <c r="V64" s="168">
        <f t="shared" si="0"/>
        <v>168.43156613134039</v>
      </c>
      <c r="W64" s="168">
        <f t="shared" si="0"/>
        <v>169.43177804826823</v>
      </c>
      <c r="X64" s="168">
        <f t="shared" si="0"/>
        <v>169.65791568669636</v>
      </c>
      <c r="Y64" s="168">
        <f t="shared" si="0"/>
        <v>171.35449484356326</v>
      </c>
      <c r="Z64" s="168">
        <f t="shared" si="0"/>
        <v>168.72627221033039</v>
      </c>
      <c r="AA64" s="168">
        <f t="shared" si="0"/>
        <v>180.48996895261203</v>
      </c>
      <c r="AB64" s="168">
        <f t="shared" si="0"/>
        <v>193.07383767659815</v>
      </c>
      <c r="AC64" s="168">
        <f t="shared" si="0"/>
        <v>206.53506126402323</v>
      </c>
      <c r="AD64" s="168">
        <f t="shared" si="0"/>
        <v>212.38899199525338</v>
      </c>
    </row>
    <row r="65" spans="2:30" x14ac:dyDescent="0.2">
      <c r="O65" s="108" t="s">
        <v>637</v>
      </c>
      <c r="P65" s="168">
        <f>Input_Revenue!J$38*Input_CPI!T$21</f>
        <v>191.6240062267936</v>
      </c>
      <c r="Q65" s="168">
        <f>Input_Revenue!K$38*Input_CPI!U$21</f>
        <v>208.38126089728502</v>
      </c>
      <c r="R65" s="168">
        <f>Input_Revenue!L$38*Input_CPI!V$21</f>
        <v>207.88306591526987</v>
      </c>
      <c r="S65" s="168">
        <f>Input_Revenue!M$38*Input_CPI!W$21</f>
        <v>206.66586457250716</v>
      </c>
      <c r="T65" s="168">
        <f>Input_Revenue!N$38*Input_CPI!X$21</f>
        <v>207.49396821103809</v>
      </c>
      <c r="U65" s="168" t="e">
        <f>NA()</f>
        <v>#N/A</v>
      </c>
      <c r="V65" s="168" t="e">
        <f>NA()</f>
        <v>#N/A</v>
      </c>
      <c r="W65" s="168" t="e">
        <f>NA()</f>
        <v>#N/A</v>
      </c>
      <c r="X65" s="168" t="e">
        <f>NA()</f>
        <v>#N/A</v>
      </c>
      <c r="Y65" s="168" t="e">
        <f>NA()</f>
        <v>#N/A</v>
      </c>
      <c r="Z65" s="168" t="e">
        <f>NA()</f>
        <v>#N/A</v>
      </c>
      <c r="AA65" s="168" t="e">
        <f>NA()</f>
        <v>#N/A</v>
      </c>
      <c r="AB65" s="168" t="e">
        <f>NA()</f>
        <v>#N/A</v>
      </c>
      <c r="AC65" s="168" t="e">
        <f>NA()</f>
        <v>#N/A</v>
      </c>
      <c r="AD65" s="168" t="e">
        <f>NA()</f>
        <v>#N/A</v>
      </c>
    </row>
    <row r="66" spans="2:30" x14ac:dyDescent="0.2">
      <c r="O66" s="108" t="s">
        <v>1211</v>
      </c>
      <c r="P66" s="168" t="e">
        <f>NA()</f>
        <v>#N/A</v>
      </c>
      <c r="Q66" s="168" t="e">
        <f>NA()</f>
        <v>#N/A</v>
      </c>
      <c r="R66" s="168" t="e">
        <f>NA()</f>
        <v>#N/A</v>
      </c>
      <c r="S66" s="168" t="e">
        <f>NA()</f>
        <v>#N/A</v>
      </c>
      <c r="T66" s="168" t="e">
        <f>NA()</f>
        <v>#N/A</v>
      </c>
      <c r="U66" s="168">
        <f>Revenue!O14/Input_CPI!Y$14</f>
        <v>137.89919148426418</v>
      </c>
      <c r="V66" s="168">
        <f>Revenue!P14/Input_CPI!Z$14</f>
        <v>144.46038396631681</v>
      </c>
      <c r="W66" s="168">
        <f>Revenue!Q14/Input_CPI!AA$14</f>
        <v>154.24773387580836</v>
      </c>
      <c r="X66" s="168">
        <f>Revenue!R14/Input_CPI!AB$14</f>
        <v>163.76246687905055</v>
      </c>
      <c r="Y66" s="168">
        <f>Revenue!S14/Input_CPI!AC$14</f>
        <v>171.35449484356332</v>
      </c>
      <c r="Z66" s="168" t="e">
        <f>NA()</f>
        <v>#N/A</v>
      </c>
      <c r="AA66" s="168" t="e">
        <f>NA()</f>
        <v>#N/A</v>
      </c>
      <c r="AB66" s="168" t="e">
        <f>NA()</f>
        <v>#N/A</v>
      </c>
      <c r="AC66" s="168" t="e">
        <f>NA()</f>
        <v>#N/A</v>
      </c>
      <c r="AD66" s="168" t="e">
        <f>NA()</f>
        <v>#N/A</v>
      </c>
    </row>
    <row r="67" spans="2:30" x14ac:dyDescent="0.2">
      <c r="O67" s="10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</row>
    <row r="68" spans="2:30" x14ac:dyDescent="0.2">
      <c r="O68" s="108" t="str">
        <f>"Smoothed Revenue ("&amp;Real_Input&amp;")"</f>
        <v>Smoothed Revenue (Real 2024)</v>
      </c>
      <c r="P68" s="287">
        <f>Revenue!J22</f>
        <v>232.63090324562134</v>
      </c>
      <c r="Q68" s="287">
        <f>Revenue!K22</f>
        <v>252.36584726254893</v>
      </c>
      <c r="R68" s="287">
        <f>Revenue!L22</f>
        <v>260.48125466365912</v>
      </c>
      <c r="S68" s="287">
        <f>Revenue!M22</f>
        <v>253.95612994741279</v>
      </c>
      <c r="T68" s="287">
        <f>Revenue!N22</f>
        <v>249.28021701569745</v>
      </c>
      <c r="U68" s="287">
        <f>Revenue!O22</f>
        <v>166.96554449211695</v>
      </c>
      <c r="V68" s="287">
        <f>Revenue!P22</f>
        <v>168.43156613134033</v>
      </c>
      <c r="W68" s="287">
        <f>Revenue!Q22</f>
        <v>169.43177804826823</v>
      </c>
      <c r="X68" s="287">
        <f>Revenue!R22</f>
        <v>169.65791568669636</v>
      </c>
      <c r="Y68" s="287">
        <f>Revenue!S22</f>
        <v>171.35449484356329</v>
      </c>
      <c r="Z68" s="287">
        <f>Revenue!T20</f>
        <v>168.72627221033039</v>
      </c>
      <c r="AA68" s="287">
        <f>Revenue!U20</f>
        <v>180.489968952612</v>
      </c>
      <c r="AB68" s="287">
        <f>Revenue!V20</f>
        <v>193.07383767659815</v>
      </c>
      <c r="AC68" s="287">
        <f>Revenue!W20</f>
        <v>206.53506126402323</v>
      </c>
      <c r="AD68" s="287">
        <f>Revenue!X20</f>
        <v>212.38899199525338</v>
      </c>
    </row>
    <row r="70" spans="2:30" x14ac:dyDescent="0.2">
      <c r="O70" s="108" t="s">
        <v>1212</v>
      </c>
      <c r="P70" s="168">
        <f>SUM(P68:T68)</f>
        <v>1248.7143521349396</v>
      </c>
      <c r="Q70" s="155" t="str">
        <f>O70&amp;" "&amp;TEXT(P70,"$0,000")&amp;"M"</f>
        <v>2014-19 Revenue: $1,249M</v>
      </c>
    </row>
    <row r="71" spans="2:30" x14ac:dyDescent="0.2">
      <c r="O71" s="108" t="s">
        <v>1213</v>
      </c>
      <c r="P71" s="168">
        <f>SUM(U68:Y68)</f>
        <v>845.84129920198518</v>
      </c>
      <c r="Q71" s="155" t="str">
        <f>O71&amp;" "&amp;TEXT(P71,"$000")&amp;"M"</f>
        <v>2019-24 Revenue: $846M</v>
      </c>
    </row>
    <row r="72" spans="2:30" x14ac:dyDescent="0.2">
      <c r="O72" s="108" t="s">
        <v>1214</v>
      </c>
      <c r="P72" s="168">
        <f>SUM(Z68:AD68)</f>
        <v>961.21413209881723</v>
      </c>
      <c r="Q72" s="155" t="str">
        <f>O72&amp;" "&amp;TEXT(P72,"$000")&amp;"M"</f>
        <v>2024-29 Revenue: $961M</v>
      </c>
    </row>
    <row r="78" spans="2:30" s="6" customFormat="1" ht="18.75" x14ac:dyDescent="0.2">
      <c r="B78" s="6" t="s">
        <v>829</v>
      </c>
    </row>
    <row r="80" spans="2:30" s="121" customFormat="1" ht="15.75" x14ac:dyDescent="0.2">
      <c r="C80" s="121" t="s">
        <v>160</v>
      </c>
    </row>
    <row r="82" spans="4:22" x14ac:dyDescent="0.2">
      <c r="D82" s="60" t="s">
        <v>829</v>
      </c>
    </row>
    <row r="84" spans="4:22" x14ac:dyDescent="0.2">
      <c r="D84" s="45" t="s">
        <v>869</v>
      </c>
    </row>
    <row r="85" spans="4:22" x14ac:dyDescent="0.2">
      <c r="D85" s="45" t="s">
        <v>870</v>
      </c>
      <c r="I85" s="74">
        <f>Q86</f>
        <v>1.1227499165908248</v>
      </c>
      <c r="J85" s="63" t="str">
        <f>Summary!$G$23</f>
        <v>◄ Direct escalated costs ($millions, June 2024)</v>
      </c>
      <c r="P85" s="61" t="s">
        <v>783</v>
      </c>
      <c r="Q85" s="61" t="s">
        <v>784</v>
      </c>
      <c r="R85" s="61" t="s">
        <v>782</v>
      </c>
      <c r="T85" s="61" t="s">
        <v>783</v>
      </c>
      <c r="U85" s="61" t="s">
        <v>784</v>
      </c>
      <c r="V85" s="61" t="s">
        <v>782</v>
      </c>
    </row>
    <row r="86" spans="4:22" x14ac:dyDescent="0.2">
      <c r="D86" s="45" t="s">
        <v>871</v>
      </c>
      <c r="I86" s="74">
        <f>R86-P86</f>
        <v>-9.5075011950859221</v>
      </c>
      <c r="J86" s="63" t="str">
        <f>Summary!$G$23</f>
        <v>◄ Direct escalated costs ($millions, June 2024)</v>
      </c>
      <c r="O86" s="87" t="s">
        <v>787</v>
      </c>
      <c r="P86" s="68">
        <v>13.220311417501028</v>
      </c>
      <c r="Q86" s="68">
        <v>1.1227499165908248</v>
      </c>
      <c r="R86" s="74">
        <f>Input_Capex_Projects!$Q$59</f>
        <v>3.7128102224151069</v>
      </c>
      <c r="T86" s="68">
        <v>17.760771039791376</v>
      </c>
      <c r="U86" s="68">
        <v>1.6121592955203303</v>
      </c>
      <c r="V86" s="74">
        <f>Input_Capex_Projects!$AB$59</f>
        <v>5.1155211056546781</v>
      </c>
    </row>
    <row r="87" spans="4:22" x14ac:dyDescent="0.2">
      <c r="D87" s="45" t="s">
        <v>864</v>
      </c>
      <c r="I87" s="74">
        <f>R86</f>
        <v>3.7128102224151069</v>
      </c>
      <c r="J87" s="63" t="str">
        <f>Summary!$G$23</f>
        <v>◄ Direct escalated costs ($millions, June 2024)</v>
      </c>
    </row>
    <row r="89" spans="4:22" x14ac:dyDescent="0.2">
      <c r="D89" s="45" t="s">
        <v>866</v>
      </c>
    </row>
    <row r="90" spans="4:22" x14ac:dyDescent="0.2">
      <c r="D90" s="45" t="s">
        <v>865</v>
      </c>
      <c r="I90" s="74">
        <f>Q91-P91</f>
        <v>-21.559214701125139</v>
      </c>
      <c r="J90" s="63" t="str">
        <f>Summary!$G$23</f>
        <v>◄ Direct escalated costs ($millions, June 2024)</v>
      </c>
      <c r="P90" s="61" t="s">
        <v>783</v>
      </c>
      <c r="Q90" s="61" t="s">
        <v>784</v>
      </c>
      <c r="R90" s="61" t="s">
        <v>782</v>
      </c>
      <c r="T90" s="61" t="s">
        <v>783</v>
      </c>
      <c r="U90" s="61" t="s">
        <v>784</v>
      </c>
      <c r="V90" s="61" t="s">
        <v>782</v>
      </c>
    </row>
    <row r="91" spans="4:22" x14ac:dyDescent="0.2">
      <c r="D91" s="45" t="s">
        <v>868</v>
      </c>
      <c r="I91" s="74">
        <f>R91-P91</f>
        <v>-5.7508628875651766</v>
      </c>
      <c r="J91" s="63" t="str">
        <f>Summary!$G$23</f>
        <v>◄ Direct escalated costs ($millions, June 2024)</v>
      </c>
      <c r="O91" s="87" t="s">
        <v>344</v>
      </c>
      <c r="P91" s="68">
        <v>21.559214701125139</v>
      </c>
      <c r="Q91" s="68">
        <v>0</v>
      </c>
      <c r="R91" s="74">
        <f>Input_Capex_Projects!$Q$115</f>
        <v>15.808351813559963</v>
      </c>
      <c r="T91" s="68">
        <v>28.963635122656367</v>
      </c>
      <c r="U91" s="68">
        <v>0</v>
      </c>
      <c r="V91" s="74">
        <f>Input_Capex_Projects!$AB$115</f>
        <v>21.745046143085368</v>
      </c>
    </row>
    <row r="92" spans="4:22" x14ac:dyDescent="0.2">
      <c r="D92" s="45" t="s">
        <v>1312</v>
      </c>
      <c r="I92" s="74">
        <f>R91</f>
        <v>15.808351813559963</v>
      </c>
      <c r="J92" s="63" t="str">
        <f>Summary!$G$23</f>
        <v>◄ Direct escalated costs ($millions, June 2024)</v>
      </c>
    </row>
    <row r="94" spans="4:22" x14ac:dyDescent="0.2">
      <c r="D94" s="45" t="s">
        <v>867</v>
      </c>
      <c r="P94" s="370" t="s">
        <v>340</v>
      </c>
      <c r="Q94" s="209"/>
      <c r="R94" s="209"/>
      <c r="T94" s="370" t="s">
        <v>1118</v>
      </c>
      <c r="U94" s="209"/>
      <c r="V94" s="209"/>
    </row>
    <row r="95" spans="4:22" x14ac:dyDescent="0.2">
      <c r="D95" s="45" t="s">
        <v>865</v>
      </c>
      <c r="I95" s="74">
        <f>Q96-P96</f>
        <v>-89.84128028695541</v>
      </c>
      <c r="J95" s="63" t="str">
        <f>Summary!$G$23</f>
        <v>◄ Direct escalated costs ($millions, June 2024)</v>
      </c>
      <c r="P95" s="61" t="s">
        <v>783</v>
      </c>
      <c r="Q95" s="61" t="s">
        <v>784</v>
      </c>
      <c r="R95" s="61" t="s">
        <v>782</v>
      </c>
      <c r="T95" s="61" t="s">
        <v>783</v>
      </c>
      <c r="U95" s="61" t="s">
        <v>784</v>
      </c>
      <c r="V95" s="61" t="s">
        <v>782</v>
      </c>
    </row>
    <row r="96" spans="4:22" x14ac:dyDescent="0.2">
      <c r="D96" s="45" t="s">
        <v>864</v>
      </c>
      <c r="I96" s="74">
        <f>R96</f>
        <v>76.101534300963493</v>
      </c>
      <c r="J96" s="63" t="str">
        <f>Summary!$G$23</f>
        <v>◄ Direct escalated costs ($millions, June 2024)</v>
      </c>
      <c r="O96" s="87" t="s">
        <v>320</v>
      </c>
      <c r="P96" s="68">
        <v>89.84128028695541</v>
      </c>
      <c r="Q96" s="68">
        <v>0</v>
      </c>
      <c r="R96" s="74">
        <f>Input_Capex_Projects!$Q$90</f>
        <v>76.101534300963493</v>
      </c>
      <c r="T96" s="68">
        <v>120.6968851721615</v>
      </c>
      <c r="U96" s="68">
        <v>0</v>
      </c>
      <c r="V96" s="74">
        <f>Input_Capex_Projects!$AB$90</f>
        <v>104.95453726657993</v>
      </c>
    </row>
    <row r="97" spans="3:25" x14ac:dyDescent="0.2">
      <c r="O97" s="396" t="s">
        <v>359</v>
      </c>
      <c r="P97" s="397">
        <v>5.6274851761686877</v>
      </c>
      <c r="Q97" s="397">
        <v>11.173046103182211</v>
      </c>
      <c r="R97" s="398">
        <f>Input_Capex_Projects!$Q$91</f>
        <v>5.5865230515911097</v>
      </c>
      <c r="S97" s="399"/>
      <c r="T97" s="397">
        <v>7.5602209802289853</v>
      </c>
      <c r="U97" s="397">
        <v>16.043403671956778</v>
      </c>
      <c r="V97" s="398">
        <f>Input_Capex_Projects!$AB$91</f>
        <v>7.6866948875746992</v>
      </c>
    </row>
    <row r="99" spans="3:25" s="121" customFormat="1" ht="15.75" x14ac:dyDescent="0.2">
      <c r="C99" s="121" t="s">
        <v>1267</v>
      </c>
    </row>
    <row r="101" spans="3:25" x14ac:dyDescent="0.2">
      <c r="P101" s="42" t="str">
        <f>LookupTab!$R$41</f>
        <v>Current Period</v>
      </c>
      <c r="Q101" s="42"/>
      <c r="R101" s="42"/>
      <c r="S101" s="42"/>
      <c r="T101" s="42"/>
      <c r="U101" s="43" t="str">
        <f>LookupTab!$W$41</f>
        <v>Next Period</v>
      </c>
      <c r="V101" s="43"/>
      <c r="W101" s="43"/>
      <c r="X101" s="43"/>
      <c r="Y101" s="43"/>
    </row>
    <row r="102" spans="3:25" ht="15" x14ac:dyDescent="0.2">
      <c r="P102" s="208" t="str">
        <f>LookupTab!R$42</f>
        <v>Actual</v>
      </c>
      <c r="Q102" s="208"/>
      <c r="R102" s="208"/>
      <c r="S102" s="208"/>
      <c r="T102" s="208" t="str">
        <f>LookupTab!V$42</f>
        <v>Estimate</v>
      </c>
      <c r="U102" s="208" t="str">
        <f>LookupTab!W$42</f>
        <v>Forecast</v>
      </c>
      <c r="V102" s="208"/>
      <c r="W102" s="208"/>
      <c r="X102" s="208"/>
      <c r="Y102" s="208"/>
    </row>
    <row r="103" spans="3:25" ht="15" x14ac:dyDescent="0.2">
      <c r="P103" s="167" t="str">
        <f>LookupTab!R$40</f>
        <v>FY20</v>
      </c>
      <c r="Q103" s="167" t="str">
        <f>LookupTab!S$40</f>
        <v>FY21</v>
      </c>
      <c r="R103" s="167" t="str">
        <f>LookupTab!T$40</f>
        <v>FY22</v>
      </c>
      <c r="S103" s="167" t="str">
        <f>LookupTab!U$40</f>
        <v>FY23</v>
      </c>
      <c r="T103" s="167" t="str">
        <f>LookupTab!V$40</f>
        <v>FY24</v>
      </c>
      <c r="U103" s="167" t="str">
        <f>LookupTab!W$40</f>
        <v>FY25</v>
      </c>
      <c r="V103" s="167" t="str">
        <f>LookupTab!X$40</f>
        <v>FY26</v>
      </c>
      <c r="W103" s="167" t="str">
        <f>LookupTab!Y$40</f>
        <v>FY27</v>
      </c>
      <c r="X103" s="167" t="str">
        <f>LookupTab!Z$40</f>
        <v>FY28</v>
      </c>
      <c r="Y103" s="167" t="str">
        <f>LookupTab!AA$40</f>
        <v>FY29</v>
      </c>
    </row>
    <row r="104" spans="3:25" x14ac:dyDescent="0.2">
      <c r="O104" s="108" t="s">
        <v>1288</v>
      </c>
      <c r="P104" s="168">
        <f>Capex!T$66</f>
        <v>81.709872472645955</v>
      </c>
      <c r="Q104" s="168">
        <f>Capex!U$66</f>
        <v>56.711165775225176</v>
      </c>
      <c r="R104" s="168">
        <f>Capex!V$66</f>
        <v>80.321126732669541</v>
      </c>
      <c r="S104" s="168">
        <f>Capex!W$66</f>
        <v>108.73210717255522</v>
      </c>
      <c r="T104" s="168" t="e">
        <f>NA()</f>
        <v>#N/A</v>
      </c>
      <c r="U104" s="168" t="e">
        <f>NA()</f>
        <v>#N/A</v>
      </c>
      <c r="V104" s="168" t="e">
        <f>NA()</f>
        <v>#N/A</v>
      </c>
      <c r="W104" s="168" t="e">
        <f>NA()</f>
        <v>#N/A</v>
      </c>
      <c r="X104" s="168" t="e">
        <f>NA()</f>
        <v>#N/A</v>
      </c>
      <c r="Y104" s="168" t="e">
        <f>NA()</f>
        <v>#N/A</v>
      </c>
    </row>
    <row r="105" spans="3:25" x14ac:dyDescent="0.2">
      <c r="O105" s="108" t="s">
        <v>1286</v>
      </c>
      <c r="P105" s="168" t="e">
        <f>NA()</f>
        <v>#N/A</v>
      </c>
      <c r="Q105" s="168" t="e">
        <f>NA()</f>
        <v>#N/A</v>
      </c>
      <c r="R105" s="168" t="e">
        <f>NA()</f>
        <v>#N/A</v>
      </c>
      <c r="S105" s="168" t="e">
        <f>NA()</f>
        <v>#N/A</v>
      </c>
      <c r="T105" s="57">
        <v>121.39478273678213</v>
      </c>
      <c r="U105" s="168" t="e">
        <f>NA()</f>
        <v>#N/A</v>
      </c>
      <c r="V105" s="168" t="e">
        <f>NA()</f>
        <v>#N/A</v>
      </c>
      <c r="W105" s="168" t="e">
        <f>NA()</f>
        <v>#N/A</v>
      </c>
      <c r="X105" s="168" t="e">
        <f>NA()</f>
        <v>#N/A</v>
      </c>
      <c r="Y105" s="168" t="e">
        <f>NA()</f>
        <v>#N/A</v>
      </c>
    </row>
    <row r="106" spans="3:25" x14ac:dyDescent="0.2">
      <c r="O106" s="108" t="s">
        <v>644</v>
      </c>
      <c r="P106" s="168" t="e">
        <f>NA()</f>
        <v>#N/A</v>
      </c>
      <c r="Q106" s="168" t="e">
        <f>NA()</f>
        <v>#N/A</v>
      </c>
      <c r="R106" s="168" t="e">
        <f>NA()</f>
        <v>#N/A</v>
      </c>
      <c r="S106" s="168" t="e">
        <f>NA()</f>
        <v>#N/A</v>
      </c>
      <c r="T106" s="168" t="e">
        <f>NA()</f>
        <v>#N/A</v>
      </c>
      <c r="U106" s="57">
        <v>106.63424035303686</v>
      </c>
      <c r="V106" s="57">
        <v>102.59260308244785</v>
      </c>
      <c r="W106" s="57">
        <v>94.118047319932344</v>
      </c>
      <c r="X106" s="57">
        <v>67.980482363956284</v>
      </c>
      <c r="Y106" s="57">
        <v>68.621534057770063</v>
      </c>
    </row>
    <row r="107" spans="3:25" x14ac:dyDescent="0.2">
      <c r="N107" s="174"/>
      <c r="O107" s="108" t="s">
        <v>1287</v>
      </c>
      <c r="P107" s="168" t="e">
        <f>NA()</f>
        <v>#N/A</v>
      </c>
      <c r="Q107" s="168" t="e">
        <f>NA()</f>
        <v>#N/A</v>
      </c>
      <c r="R107" s="168" t="e">
        <f>NA()</f>
        <v>#N/A</v>
      </c>
      <c r="S107" s="168" t="e">
        <f>NA()</f>
        <v>#N/A</v>
      </c>
      <c r="T107" s="168">
        <f>Capex!X$50</f>
        <v>128.89581045225097</v>
      </c>
      <c r="U107" s="168" t="e">
        <f>NA()</f>
        <v>#N/A</v>
      </c>
      <c r="V107" s="168" t="e">
        <f>NA()</f>
        <v>#N/A</v>
      </c>
      <c r="W107" s="168" t="e">
        <f>NA()</f>
        <v>#N/A</v>
      </c>
      <c r="X107" s="168" t="e">
        <f>NA()</f>
        <v>#N/A</v>
      </c>
      <c r="Y107" s="168" t="e">
        <f>NA()</f>
        <v>#N/A</v>
      </c>
    </row>
    <row r="108" spans="3:25" x14ac:dyDescent="0.2">
      <c r="O108" s="108" t="s">
        <v>643</v>
      </c>
      <c r="P108" s="168" t="e">
        <f>NA()</f>
        <v>#N/A</v>
      </c>
      <c r="Q108" s="168" t="e">
        <f>NA()</f>
        <v>#N/A</v>
      </c>
      <c r="R108" s="168" t="e">
        <f>NA()</f>
        <v>#N/A</v>
      </c>
      <c r="S108" s="168" t="e">
        <f>NA()</f>
        <v>#N/A</v>
      </c>
      <c r="T108" s="168" t="e">
        <f>NA()</f>
        <v>#N/A</v>
      </c>
      <c r="U108" s="168">
        <f>Capex!Y$50</f>
        <v>106.10227890649801</v>
      </c>
      <c r="V108" s="168">
        <f>Capex!Z$50</f>
        <v>103.35611323930785</v>
      </c>
      <c r="W108" s="168">
        <f>Capex!AA$50</f>
        <v>88.135694241606842</v>
      </c>
      <c r="X108" s="168">
        <f>Capex!AB$50</f>
        <v>124.40257112667038</v>
      </c>
      <c r="Y108" s="168">
        <f>Capex!AC$50</f>
        <v>123.12635510487118</v>
      </c>
    </row>
    <row r="109" spans="3:25" x14ac:dyDescent="0.2">
      <c r="O109" s="108" t="s">
        <v>649</v>
      </c>
      <c r="P109" s="168" t="e">
        <f>NA()</f>
        <v>#N/A</v>
      </c>
      <c r="Q109" s="168" t="e">
        <f>NA()</f>
        <v>#N/A</v>
      </c>
      <c r="R109" s="168" t="e">
        <f>NA()</f>
        <v>#N/A</v>
      </c>
      <c r="S109" s="168" t="e">
        <f>NA()</f>
        <v>#N/A</v>
      </c>
      <c r="T109" s="57">
        <v>121.16854600607334</v>
      </c>
      <c r="U109" s="57">
        <v>107.25731742779362</v>
      </c>
      <c r="V109" s="57">
        <v>104.32940597347731</v>
      </c>
      <c r="W109" s="57">
        <v>92.798496020427223</v>
      </c>
      <c r="X109" s="57">
        <v>122.42378313379528</v>
      </c>
      <c r="Y109" s="57">
        <v>147.99819385288083</v>
      </c>
    </row>
    <row r="110" spans="3:25" x14ac:dyDescent="0.2">
      <c r="O110" s="108" t="s">
        <v>1158</v>
      </c>
      <c r="P110" s="168">
        <f>Capex!T$22</f>
        <v>116.02436878020985</v>
      </c>
      <c r="Q110" s="168">
        <f>Capex!U$22</f>
        <v>94.170328229753466</v>
      </c>
      <c r="R110" s="168">
        <f>Capex!V$22</f>
        <v>106.47646780360037</v>
      </c>
      <c r="S110" s="168">
        <f>Capex!W$22</f>
        <v>76.072577346470979</v>
      </c>
      <c r="T110" s="168">
        <f>Capex!X$22</f>
        <v>72.724546094232707</v>
      </c>
      <c r="U110" s="168" t="e">
        <f>NA()</f>
        <v>#N/A</v>
      </c>
      <c r="V110" s="168" t="e">
        <f>NA()</f>
        <v>#N/A</v>
      </c>
      <c r="W110" s="168" t="e">
        <f>NA()</f>
        <v>#N/A</v>
      </c>
      <c r="X110" s="168" t="e">
        <f>NA()</f>
        <v>#N/A</v>
      </c>
      <c r="Y110" s="168" t="e">
        <f>NA()</f>
        <v>#N/A</v>
      </c>
    </row>
    <row r="112" spans="3:25" x14ac:dyDescent="0.2">
      <c r="O112" s="108" t="s">
        <v>295</v>
      </c>
      <c r="P112" s="63" t="s">
        <v>355</v>
      </c>
    </row>
    <row r="113" spans="3:19" x14ac:dyDescent="0.2">
      <c r="O113" s="108" t="s">
        <v>295</v>
      </c>
      <c r="P113" s="63" t="str">
        <f>Real_Input&amp;", "&amp;Unit_Dollar_M</f>
        <v>Real 2024, $Million</v>
      </c>
    </row>
    <row r="114" spans="3:19" x14ac:dyDescent="0.2">
      <c r="O114" s="108" t="s">
        <v>780</v>
      </c>
      <c r="P114" s="168">
        <f>SUM(U108:Y108)</f>
        <v>545.12301261895436</v>
      </c>
      <c r="R114" s="108" t="s">
        <v>781</v>
      </c>
      <c r="S114" s="168">
        <f>SUM(U109:Y109)</f>
        <v>574.80719640837424</v>
      </c>
    </row>
    <row r="115" spans="3:19" x14ac:dyDescent="0.2">
      <c r="O115" s="108" t="s">
        <v>650</v>
      </c>
      <c r="P115" s="168">
        <f>SUM(U106:Y106)</f>
        <v>439.94690717714343</v>
      </c>
      <c r="R115" s="108" t="s">
        <v>780</v>
      </c>
      <c r="S115" s="168">
        <f>SUM(U108:Y108)</f>
        <v>545.12301261895436</v>
      </c>
    </row>
    <row r="116" spans="3:19" x14ac:dyDescent="0.2">
      <c r="O116" s="108" t="s">
        <v>638</v>
      </c>
      <c r="P116" s="287">
        <f>P114-P115</f>
        <v>105.17610544181093</v>
      </c>
      <c r="R116" s="108" t="s">
        <v>638</v>
      </c>
      <c r="S116" s="287">
        <f>S115-S114</f>
        <v>-29.684183789419876</v>
      </c>
    </row>
    <row r="123" spans="3:19" s="121" customFormat="1" ht="15.75" x14ac:dyDescent="0.2">
      <c r="C123" s="121" t="s">
        <v>1265</v>
      </c>
    </row>
    <row r="124" spans="3:19" ht="13.5" thickBot="1" x14ac:dyDescent="0.25"/>
    <row r="125" spans="3:19" ht="15" x14ac:dyDescent="0.2">
      <c r="D125" s="158" t="s">
        <v>1180</v>
      </c>
      <c r="E125" s="216" t="s">
        <v>199</v>
      </c>
      <c r="F125" s="216" t="s">
        <v>200</v>
      </c>
      <c r="G125" s="216" t="s">
        <v>201</v>
      </c>
      <c r="H125" s="216" t="s">
        <v>202</v>
      </c>
      <c r="I125" s="216" t="s">
        <v>203</v>
      </c>
      <c r="J125" s="216" t="s">
        <v>72</v>
      </c>
    </row>
    <row r="126" spans="3:19" ht="15" x14ac:dyDescent="0.2">
      <c r="D126" s="221" t="s">
        <v>1181</v>
      </c>
      <c r="E126" s="330">
        <v>47.482378411260413</v>
      </c>
      <c r="F126" s="330">
        <v>43.716079596462826</v>
      </c>
      <c r="G126" s="330">
        <v>30.173874312226513</v>
      </c>
      <c r="H126" s="330">
        <v>27.224724818316563</v>
      </c>
      <c r="I126" s="330">
        <v>26.947576970723329</v>
      </c>
      <c r="J126" s="330">
        <f t="shared" ref="J126:J138" si="1">SUM(E126:I126)</f>
        <v>175.54463410898967</v>
      </c>
    </row>
    <row r="127" spans="3:19" ht="15" x14ac:dyDescent="0.2">
      <c r="D127" s="224" t="s">
        <v>1207</v>
      </c>
      <c r="E127" s="331">
        <v>9.4855153762789328</v>
      </c>
      <c r="F127" s="331">
        <v>6.0246979087984371</v>
      </c>
      <c r="G127" s="331">
        <v>7.2162069931347013</v>
      </c>
      <c r="H127" s="331">
        <v>5.3517768869779863</v>
      </c>
      <c r="I127" s="331">
        <v>4.9208958491892503</v>
      </c>
      <c r="J127" s="331">
        <f t="shared" si="1"/>
        <v>32.999093014379312</v>
      </c>
    </row>
    <row r="128" spans="3:19" ht="15" x14ac:dyDescent="0.2">
      <c r="D128" s="221" t="s">
        <v>46</v>
      </c>
      <c r="E128" s="330">
        <v>1.3622191727759292</v>
      </c>
      <c r="F128" s="330">
        <v>1.3785412716487917</v>
      </c>
      <c r="G128" s="330">
        <v>1.3918320498372652</v>
      </c>
      <c r="H128" s="330">
        <v>1.4052575348391252</v>
      </c>
      <c r="I128" s="330">
        <v>1.4198473181663556</v>
      </c>
      <c r="J128" s="330">
        <f t="shared" si="1"/>
        <v>6.9576973472674668</v>
      </c>
    </row>
    <row r="129" spans="1:10" ht="15" x14ac:dyDescent="0.2">
      <c r="D129" s="224" t="s">
        <v>150</v>
      </c>
      <c r="E129" s="331">
        <v>1.0535866213908429</v>
      </c>
      <c r="F129" s="331">
        <v>0.81010538250851938</v>
      </c>
      <c r="G129" s="331">
        <v>8.3761757984608121</v>
      </c>
      <c r="H129" s="331">
        <v>40.86890632069904</v>
      </c>
      <c r="I129" s="331">
        <v>41.645552116547741</v>
      </c>
      <c r="J129" s="331">
        <f t="shared" si="1"/>
        <v>92.754326239606954</v>
      </c>
    </row>
    <row r="130" spans="1:10" ht="15" x14ac:dyDescent="0.2">
      <c r="D130" s="221" t="s">
        <v>298</v>
      </c>
      <c r="E130" s="330">
        <v>15.195574283853276</v>
      </c>
      <c r="F130" s="330">
        <v>18.547632452429632</v>
      </c>
      <c r="G130" s="330">
        <v>11.249363944702427</v>
      </c>
      <c r="H130" s="330">
        <v>9.7453969219687053</v>
      </c>
      <c r="I130" s="330">
        <v>9.2801447622374109</v>
      </c>
      <c r="J130" s="330">
        <f t="shared" si="1"/>
        <v>64.018112365191456</v>
      </c>
    </row>
    <row r="131" spans="1:10" ht="15" x14ac:dyDescent="0.2">
      <c r="D131" s="224" t="s">
        <v>1208</v>
      </c>
      <c r="E131" s="331">
        <v>1.6455858269383534</v>
      </c>
      <c r="F131" s="331">
        <v>3.3870989422088069</v>
      </c>
      <c r="G131" s="331">
        <v>3.3923311317423392</v>
      </c>
      <c r="H131" s="331">
        <v>3.0729287400658318</v>
      </c>
      <c r="I131" s="331">
        <v>2.3993072160431805</v>
      </c>
      <c r="J131" s="331">
        <f t="shared" si="1"/>
        <v>13.89725185699851</v>
      </c>
    </row>
    <row r="132" spans="1:10" ht="15" x14ac:dyDescent="0.2">
      <c r="D132" s="221" t="s">
        <v>1209</v>
      </c>
      <c r="E132" s="330">
        <v>1.8193548057971289</v>
      </c>
      <c r="F132" s="330">
        <v>2.0755472378166147</v>
      </c>
      <c r="G132" s="330">
        <v>1.6789340936427759</v>
      </c>
      <c r="H132" s="330">
        <v>1.4909435150811587</v>
      </c>
      <c r="I132" s="330">
        <v>1.567896495382548</v>
      </c>
      <c r="J132" s="330">
        <f t="shared" si="1"/>
        <v>8.6326761477202272</v>
      </c>
    </row>
    <row r="133" spans="1:10" ht="15" x14ac:dyDescent="0.2">
      <c r="D133" s="224" t="s">
        <v>207</v>
      </c>
      <c r="E133" s="331">
        <v>5.8071285990685041E-2</v>
      </c>
      <c r="F133" s="331">
        <v>0.11048793733875202</v>
      </c>
      <c r="G133" s="331">
        <v>1.0481099003536483</v>
      </c>
      <c r="H133" s="331">
        <v>1.4756004877586051</v>
      </c>
      <c r="I133" s="331">
        <v>1.0205406109734163</v>
      </c>
      <c r="J133" s="331">
        <f t="shared" si="1"/>
        <v>3.7128102224151069</v>
      </c>
    </row>
    <row r="134" spans="1:10" ht="15" x14ac:dyDescent="0.2">
      <c r="D134" s="221" t="s">
        <v>1184</v>
      </c>
      <c r="E134" s="330">
        <v>27.999993122212455</v>
      </c>
      <c r="F134" s="330">
        <v>27.305922510095474</v>
      </c>
      <c r="G134" s="330">
        <v>23.608866017506347</v>
      </c>
      <c r="H134" s="330">
        <v>33.767035900963393</v>
      </c>
      <c r="I134" s="330">
        <v>33.924593765607931</v>
      </c>
      <c r="J134" s="330">
        <f t="shared" si="1"/>
        <v>146.60641131638559</v>
      </c>
    </row>
    <row r="135" spans="1:10" ht="15" x14ac:dyDescent="0.2">
      <c r="D135" s="160" t="s">
        <v>1185</v>
      </c>
      <c r="E135" s="332">
        <f>SUM(E126:E134)</f>
        <v>106.10227890649803</v>
      </c>
      <c r="F135" s="332">
        <f>SUM(F126:F134)</f>
        <v>103.35611323930785</v>
      </c>
      <c r="G135" s="332">
        <f>SUM(G126:G134)</f>
        <v>88.135694241606814</v>
      </c>
      <c r="H135" s="332">
        <f>SUM(H126:H134)</f>
        <v>124.4025711266704</v>
      </c>
      <c r="I135" s="332">
        <f>SUM(I126:I134)</f>
        <v>123.12635510487115</v>
      </c>
      <c r="J135" s="332">
        <f t="shared" si="1"/>
        <v>545.12301261895425</v>
      </c>
    </row>
    <row r="136" spans="1:10" ht="15" x14ac:dyDescent="0.2">
      <c r="D136" s="428" t="s">
        <v>1186</v>
      </c>
      <c r="E136" s="330">
        <v>-5.0067711613536634</v>
      </c>
      <c r="F136" s="330">
        <v>-0.25859711553521764</v>
      </c>
      <c r="G136" s="330">
        <v>-0.2612331022926942</v>
      </c>
      <c r="H136" s="330">
        <v>-0.2639008916099414</v>
      </c>
      <c r="I136" s="330">
        <v>-0.26685950222830457</v>
      </c>
      <c r="J136" s="330">
        <f t="shared" si="1"/>
        <v>-6.0573617730198208</v>
      </c>
    </row>
    <row r="137" spans="1:10" ht="15" x14ac:dyDescent="0.2">
      <c r="D137" s="427" t="s">
        <v>1187</v>
      </c>
      <c r="E137" s="331">
        <v>-0.16685881033486344</v>
      </c>
      <c r="F137" s="331">
        <v>-0.16685881033486344</v>
      </c>
      <c r="G137" s="331">
        <v>-0.16685881033486344</v>
      </c>
      <c r="H137" s="331">
        <v>-0.16685881033486344</v>
      </c>
      <c r="I137" s="331">
        <v>-0.16685881033486344</v>
      </c>
      <c r="J137" s="331">
        <f t="shared" si="1"/>
        <v>-0.83429405167431714</v>
      </c>
    </row>
    <row r="138" spans="1:10" ht="15.75" thickBot="1" x14ac:dyDescent="0.25">
      <c r="D138" s="329" t="s">
        <v>1188</v>
      </c>
      <c r="E138" s="333">
        <f>SUM(E135:E137)</f>
        <v>100.9286489348095</v>
      </c>
      <c r="F138" s="333">
        <f>SUM(F135:F137)</f>
        <v>102.93065731343776</v>
      </c>
      <c r="G138" s="333">
        <f>SUM(G135:G137)</f>
        <v>87.707602328979263</v>
      </c>
      <c r="H138" s="333">
        <f>SUM(H135:H137)</f>
        <v>123.9718114247256</v>
      </c>
      <c r="I138" s="333">
        <f>SUM(I135:I137)</f>
        <v>122.69263679230799</v>
      </c>
      <c r="J138" s="333">
        <f t="shared" si="1"/>
        <v>538.23135679426014</v>
      </c>
    </row>
    <row r="140" spans="1:10" x14ac:dyDescent="0.2">
      <c r="A140" s="52">
        <f>IF(SUM(E140:J140)=0,0,1)</f>
        <v>0</v>
      </c>
      <c r="D140" t="s">
        <v>1206</v>
      </c>
      <c r="E140" s="49">
        <f>IF(ROUND(E135-Capex!Y20,4)=0,0,1)</f>
        <v>0</v>
      </c>
      <c r="F140" s="49">
        <f>IF(ROUND(F135-Capex!Z20,4)=0,0,1)</f>
        <v>0</v>
      </c>
      <c r="G140" s="49">
        <f>IF(ROUND(G135-Capex!AA20,4)=0,0,1)</f>
        <v>0</v>
      </c>
      <c r="H140" s="49">
        <f>IF(ROUND(H135-Capex!AB20,4)=0,0,1)</f>
        <v>0</v>
      </c>
      <c r="I140" s="49">
        <f>IF(ROUND(I135-Capex!AC20,4)=0,0,1)</f>
        <v>0</v>
      </c>
      <c r="J140" s="47"/>
    </row>
    <row r="141" spans="1:10" x14ac:dyDescent="0.2">
      <c r="A141" s="52">
        <f>IF(SUM(E141:J141)=0,0,1)</f>
        <v>0</v>
      </c>
      <c r="D141" t="s">
        <v>1210</v>
      </c>
      <c r="E141" s="47"/>
      <c r="F141" s="47"/>
      <c r="G141" s="47"/>
      <c r="H141" s="47"/>
      <c r="I141" s="47"/>
      <c r="J141" s="49">
        <f>IF(ROUND(J138-Summary!F26,4)=0,0,1)</f>
        <v>0</v>
      </c>
    </row>
    <row r="143" spans="1:10" s="121" customFormat="1" ht="15.75" x14ac:dyDescent="0.2">
      <c r="C143" s="121" t="s">
        <v>1266</v>
      </c>
    </row>
    <row r="145" spans="1:30" x14ac:dyDescent="0.2">
      <c r="P145" s="41" t="str">
        <f>LookupTab!M$41</f>
        <v>Previous Period</v>
      </c>
      <c r="Q145" s="41"/>
      <c r="R145" s="41"/>
      <c r="S145" s="41"/>
      <c r="T145" s="41"/>
      <c r="U145" s="42" t="str">
        <f>LookupTab!R$41</f>
        <v>Current Period</v>
      </c>
      <c r="V145" s="42"/>
      <c r="W145" s="42"/>
      <c r="X145" s="42"/>
      <c r="Y145" s="42"/>
      <c r="Z145" s="43" t="str">
        <f>LookupTab!W$41</f>
        <v>Next Period</v>
      </c>
      <c r="AA145" s="43"/>
      <c r="AB145" s="43"/>
      <c r="AC145" s="43"/>
      <c r="AD145" s="43"/>
    </row>
    <row r="146" spans="1:30" x14ac:dyDescent="0.2">
      <c r="O146" s="100"/>
      <c r="P146" s="429" t="str">
        <f>LookupTab!M$43</f>
        <v>2014/15</v>
      </c>
      <c r="Q146" s="429" t="str">
        <f>LookupTab!N$43</f>
        <v>2015/16</v>
      </c>
      <c r="R146" s="429" t="str">
        <f>LookupTab!O$43</f>
        <v>2016/17</v>
      </c>
      <c r="S146" s="429" t="str">
        <f>LookupTab!P$43</f>
        <v>2017/18</v>
      </c>
      <c r="T146" s="429" t="str">
        <f>LookupTab!Q$43</f>
        <v>2018/19</v>
      </c>
      <c r="U146" s="429" t="str">
        <f>LookupTab!R$43</f>
        <v>2019/20</v>
      </c>
      <c r="V146" s="429" t="str">
        <f>LookupTab!S$43</f>
        <v>2020/21</v>
      </c>
      <c r="W146" s="429" t="str">
        <f>LookupTab!T$43</f>
        <v>2021/22</v>
      </c>
      <c r="X146" s="429" t="str">
        <f>LookupTab!U$43</f>
        <v>2022/23</v>
      </c>
      <c r="Y146" s="429" t="str">
        <f>LookupTab!V$43</f>
        <v>2023/24</v>
      </c>
      <c r="Z146" s="429" t="str">
        <f>LookupTab!W$43</f>
        <v>2024/25</v>
      </c>
      <c r="AA146" s="429" t="str">
        <f>LookupTab!X$43</f>
        <v>2025/26</v>
      </c>
      <c r="AB146" s="429" t="str">
        <f>LookupTab!Y$43</f>
        <v>2026/27</v>
      </c>
      <c r="AC146" s="429" t="str">
        <f>LookupTab!Z$43</f>
        <v>2027/28</v>
      </c>
      <c r="AD146" s="429" t="str">
        <f>LookupTab!AA$43</f>
        <v>2028/29</v>
      </c>
    </row>
    <row r="147" spans="1:30" x14ac:dyDescent="0.2">
      <c r="O147" s="108" t="s">
        <v>1181</v>
      </c>
      <c r="P147" s="168">
        <f>Capex!O56</f>
        <v>57.685651001597286</v>
      </c>
      <c r="Q147" s="168">
        <f>Capex!P56</f>
        <v>54.436462515110378</v>
      </c>
      <c r="R147" s="168">
        <f>Capex!Q56</f>
        <v>35.693615366993974</v>
      </c>
      <c r="S147" s="168">
        <f>Capex!R56</f>
        <v>23.115455106023774</v>
      </c>
      <c r="T147" s="168">
        <f>Capex!S56</f>
        <v>19.819156421345891</v>
      </c>
      <c r="U147" s="168">
        <f>Capex!T56</f>
        <v>19.84351580929383</v>
      </c>
      <c r="V147" s="168">
        <f>Capex!U56</f>
        <v>21.232780834616825</v>
      </c>
      <c r="W147" s="168">
        <f>Capex!V56</f>
        <v>22.067189573587498</v>
      </c>
      <c r="X147" s="420">
        <f>Capex!W56</f>
        <v>32.343789077535881</v>
      </c>
      <c r="Y147" s="421">
        <f>Capex!X40</f>
        <v>47.944172762622976</v>
      </c>
      <c r="Z147" s="168">
        <f>Capex!Y40</f>
        <v>47.482378411260413</v>
      </c>
      <c r="AA147" s="168">
        <f>Capex!Z40</f>
        <v>43.716079596462826</v>
      </c>
      <c r="AB147" s="168">
        <f>Capex!AA40</f>
        <v>30.173874312226513</v>
      </c>
      <c r="AC147" s="168">
        <f>Capex!AB40</f>
        <v>27.224724818316563</v>
      </c>
      <c r="AD147" s="168">
        <f>Capex!AC40</f>
        <v>26.947576970723329</v>
      </c>
    </row>
    <row r="148" spans="1:30" x14ac:dyDescent="0.2">
      <c r="O148" s="108" t="s">
        <v>1182</v>
      </c>
      <c r="P148" s="168">
        <f>Capex!O57+Capex!O58+Capex!O61</f>
        <v>52.36319753928062</v>
      </c>
      <c r="Q148" s="168">
        <f>Capex!P57+Capex!P58+Capex!P61</f>
        <v>40.188039681870535</v>
      </c>
      <c r="R148" s="168">
        <f>Capex!Q57+Capex!Q58+Capex!Q61</f>
        <v>30.981617030854594</v>
      </c>
      <c r="S148" s="168">
        <f>Capex!R57+Capex!R58+Capex!R61</f>
        <v>34.461059287415054</v>
      </c>
      <c r="T148" s="168">
        <f>Capex!S57+Capex!S58+Capex!S61</f>
        <v>17.212101361768017</v>
      </c>
      <c r="U148" s="168">
        <f>Capex!T57+Capex!T58+Capex!T61</f>
        <v>22.840404919039145</v>
      </c>
      <c r="V148" s="168">
        <f>Capex!U57+Capex!U58+Capex!U61</f>
        <v>20.850686576720079</v>
      </c>
      <c r="W148" s="168">
        <f>Capex!V57+Capex!V58+Capex!V61</f>
        <v>16.972297188940065</v>
      </c>
      <c r="X148" s="422">
        <f>Capex!W57+Capex!W58+Capex!W61</f>
        <v>20.592335910422939</v>
      </c>
      <c r="Y148" s="423">
        <f>Capex!X41+Capex!X42+Capex!X45</f>
        <v>21.11501298196071</v>
      </c>
      <c r="Z148" s="168">
        <f>Capex!Y41+Capex!Y42+Capex!Y45</f>
        <v>10.905805835045548</v>
      </c>
      <c r="AA148" s="168">
        <f>Capex!Z41+Capex!Z42+Capex!Z45</f>
        <v>7.5137271177859812</v>
      </c>
      <c r="AB148" s="168">
        <f>Capex!AA41+Capex!AA42+Capex!AA45</f>
        <v>9.6561489433256149</v>
      </c>
      <c r="AC148" s="168">
        <f>Capex!AB41+Capex!AB42+Capex!AB45</f>
        <v>8.232634909575717</v>
      </c>
      <c r="AD148" s="168">
        <f>Capex!AC41+Capex!AC42+Capex!AC45</f>
        <v>7.3612837783290219</v>
      </c>
    </row>
    <row r="149" spans="1:30" x14ac:dyDescent="0.2">
      <c r="O149" s="108" t="s">
        <v>298</v>
      </c>
      <c r="P149" s="168">
        <f>Capex!O59</f>
        <v>0.54518083592510214</v>
      </c>
      <c r="Q149" s="168">
        <f>Capex!P59</f>
        <v>1.1472560440146109</v>
      </c>
      <c r="R149" s="168">
        <f>Capex!Q59</f>
        <v>3.4572463874826105</v>
      </c>
      <c r="S149" s="168">
        <f>Capex!R59</f>
        <v>3.6531476142359107</v>
      </c>
      <c r="T149" s="168">
        <f>Capex!S59</f>
        <v>1.9537993246422678</v>
      </c>
      <c r="U149" s="168">
        <f>Capex!T59</f>
        <v>6.7767222655723494</v>
      </c>
      <c r="V149" s="168">
        <f>Capex!U59</f>
        <v>1.8973152266708992</v>
      </c>
      <c r="W149" s="168">
        <f>Capex!V59</f>
        <v>4.2411701716282337</v>
      </c>
      <c r="X149" s="422">
        <f>Capex!W59</f>
        <v>18.229122314682645</v>
      </c>
      <c r="Y149" s="423">
        <f>Capex!X43</f>
        <v>19.548453124904182</v>
      </c>
      <c r="Z149" s="168">
        <f>Capex!Y43</f>
        <v>15.195574283853276</v>
      </c>
      <c r="AA149" s="168">
        <f>Capex!Z43</f>
        <v>18.547632452429632</v>
      </c>
      <c r="AB149" s="168">
        <f>Capex!AA43</f>
        <v>11.249363944702427</v>
      </c>
      <c r="AC149" s="168">
        <f>Capex!AB43</f>
        <v>9.7453969219687053</v>
      </c>
      <c r="AD149" s="168">
        <f>Capex!AC43</f>
        <v>9.2801447622374109</v>
      </c>
    </row>
    <row r="150" spans="1:30" x14ac:dyDescent="0.2">
      <c r="O150" s="108" t="s">
        <v>1183</v>
      </c>
      <c r="P150" s="168">
        <f>Capex!O60</f>
        <v>0.88346439438558322</v>
      </c>
      <c r="Q150" s="168">
        <f>Capex!P60</f>
        <v>0.46549313315379531</v>
      </c>
      <c r="R150" s="168">
        <f>Capex!Q60</f>
        <v>0.61865429386585791</v>
      </c>
      <c r="S150" s="168">
        <f>Capex!R60</f>
        <v>1.4230765431427681</v>
      </c>
      <c r="T150" s="168">
        <f>Capex!S60</f>
        <v>1.171394301194685</v>
      </c>
      <c r="U150" s="168">
        <f>Capex!T60</f>
        <v>18.91442741191198</v>
      </c>
      <c r="V150" s="168">
        <f>Capex!U60</f>
        <v>7.5691111331083452</v>
      </c>
      <c r="W150" s="168">
        <f>Capex!V60</f>
        <v>13.122448568617916</v>
      </c>
      <c r="X150" s="422">
        <f>Capex!W60</f>
        <v>4.8065286706181922</v>
      </c>
      <c r="Y150" s="423">
        <f>Capex!X44</f>
        <v>8.4881675654382533</v>
      </c>
      <c r="Z150" s="168">
        <f>Capex!Y44</f>
        <v>4.5185272541263259</v>
      </c>
      <c r="AA150" s="168">
        <f>Capex!Z44</f>
        <v>6.2727515625339398</v>
      </c>
      <c r="AB150" s="168">
        <f>Capex!AA44</f>
        <v>13.447441023845927</v>
      </c>
      <c r="AC150" s="168">
        <f>Capex!AB44</f>
        <v>45.432778575846022</v>
      </c>
      <c r="AD150" s="168">
        <f>Capex!AC44</f>
        <v>45.612755827973473</v>
      </c>
    </row>
    <row r="151" spans="1:30" x14ac:dyDescent="0.2">
      <c r="O151" s="108" t="s">
        <v>1184</v>
      </c>
      <c r="P151" s="168">
        <f>Capex!O62+Capex!O63+Capex!O64</f>
        <v>0.249083290321502</v>
      </c>
      <c r="Q151" s="168">
        <f>Capex!P62+Capex!P63+Capex!P64</f>
        <v>0.17284574358874139</v>
      </c>
      <c r="R151" s="168">
        <f>Capex!Q62+Capex!Q63+Capex!Q64</f>
        <v>0.13467722323827144</v>
      </c>
      <c r="S151" s="168">
        <f>Capex!R62+Capex!R63+Capex!R64</f>
        <v>0.31536286329115393</v>
      </c>
      <c r="T151" s="168">
        <f>Capex!S62+Capex!S63+Capex!S64</f>
        <v>13.335476836349104</v>
      </c>
      <c r="U151" s="168">
        <f>Capex!T62+Capex!T63+Capex!T64</f>
        <v>13.334802066828647</v>
      </c>
      <c r="V151" s="168">
        <f>Capex!U62+Capex!U63+Capex!U64</f>
        <v>5.1612720041090299</v>
      </c>
      <c r="W151" s="168">
        <f>Capex!V62+Capex!V63+Capex!V64</f>
        <v>23.918021229895832</v>
      </c>
      <c r="X151" s="422">
        <f>Capex!W62+Capex!W63+Capex!W64</f>
        <v>32.760331199295564</v>
      </c>
      <c r="Y151" s="423">
        <f>Capex!X46+Capex!X47</f>
        <v>31.800004017324859</v>
      </c>
      <c r="Z151" s="168">
        <f>Capex!Y46+Capex!Y47</f>
        <v>27.999993122212459</v>
      </c>
      <c r="AA151" s="168">
        <f>Capex!Z46+Capex!Z47</f>
        <v>27.305922510095478</v>
      </c>
      <c r="AB151" s="168">
        <f>Capex!AA46+Capex!AA47</f>
        <v>23.608866017506351</v>
      </c>
      <c r="AC151" s="168">
        <f>Capex!AB46+Capex!AB47</f>
        <v>33.767035900963386</v>
      </c>
      <c r="AD151" s="168">
        <f>Capex!AC46+Capex!AC47</f>
        <v>33.924593765607952</v>
      </c>
    </row>
    <row r="152" spans="1:30" x14ac:dyDescent="0.2">
      <c r="O152" s="108" t="s">
        <v>1185</v>
      </c>
      <c r="P152" s="168">
        <f t="shared" ref="P152:AD152" si="2">SUM(P147:P151)</f>
        <v>111.72657706151011</v>
      </c>
      <c r="Q152" s="168">
        <f t="shared" si="2"/>
        <v>96.410097117738061</v>
      </c>
      <c r="R152" s="168">
        <f t="shared" si="2"/>
        <v>70.885810302435303</v>
      </c>
      <c r="S152" s="168">
        <f t="shared" si="2"/>
        <v>62.968101414108666</v>
      </c>
      <c r="T152" s="168">
        <f t="shared" si="2"/>
        <v>53.491928245299967</v>
      </c>
      <c r="U152" s="168">
        <f t="shared" si="2"/>
        <v>81.709872472645941</v>
      </c>
      <c r="V152" s="168">
        <f t="shared" si="2"/>
        <v>56.711165775225176</v>
      </c>
      <c r="W152" s="168">
        <f t="shared" si="2"/>
        <v>80.321126732669541</v>
      </c>
      <c r="X152" s="422">
        <f t="shared" si="2"/>
        <v>108.73210717255522</v>
      </c>
      <c r="Y152" s="423">
        <f t="shared" si="2"/>
        <v>128.89581045225097</v>
      </c>
      <c r="Z152" s="168">
        <f t="shared" si="2"/>
        <v>106.10227890649801</v>
      </c>
      <c r="AA152" s="168">
        <f t="shared" si="2"/>
        <v>103.35611323930786</v>
      </c>
      <c r="AB152" s="168">
        <f t="shared" si="2"/>
        <v>88.135694241606842</v>
      </c>
      <c r="AC152" s="168">
        <f t="shared" si="2"/>
        <v>124.40257112667038</v>
      </c>
      <c r="AD152" s="168">
        <f t="shared" si="2"/>
        <v>123.12635510487119</v>
      </c>
    </row>
    <row r="153" spans="1:30" x14ac:dyDescent="0.2">
      <c r="O153" s="108" t="s">
        <v>188</v>
      </c>
      <c r="P153" s="168">
        <f>Capex!O22</f>
        <v>108.40276781177975</v>
      </c>
      <c r="Q153" s="168">
        <f>Capex!P22</f>
        <v>77.249333646023871</v>
      </c>
      <c r="R153" s="168">
        <f>Capex!Q22</f>
        <v>61.556187685743751</v>
      </c>
      <c r="S153" s="168">
        <f>Capex!R22</f>
        <v>72.700862794512062</v>
      </c>
      <c r="T153" s="168">
        <f>Capex!S22</f>
        <v>86.451709318768124</v>
      </c>
      <c r="U153" s="168">
        <f>Capex!T22</f>
        <v>116.02436878020985</v>
      </c>
      <c r="V153" s="168">
        <f>Capex!U22</f>
        <v>94.170328229753466</v>
      </c>
      <c r="W153" s="168">
        <f>Capex!V22</f>
        <v>106.47646780360037</v>
      </c>
      <c r="X153" s="422">
        <f>Capex!W22</f>
        <v>76.072577346470979</v>
      </c>
      <c r="Y153" s="423">
        <f>Capex!X22</f>
        <v>72.724546094232707</v>
      </c>
      <c r="Z153" s="168" t="e">
        <f>NA()</f>
        <v>#N/A</v>
      </c>
      <c r="AA153" s="168" t="e">
        <f>NA()</f>
        <v>#N/A</v>
      </c>
      <c r="AB153" s="168" t="e">
        <f>NA()</f>
        <v>#N/A</v>
      </c>
      <c r="AC153" s="168" t="e">
        <f>NA()</f>
        <v>#N/A</v>
      </c>
      <c r="AD153" s="168" t="e">
        <f>NA()</f>
        <v>#N/A</v>
      </c>
    </row>
    <row r="155" spans="1:30" x14ac:dyDescent="0.2">
      <c r="A155" s="52">
        <f>IF(SUM(P155:AD155)=0,0,1)</f>
        <v>0</v>
      </c>
      <c r="O155" s="108" t="s">
        <v>83</v>
      </c>
      <c r="P155" s="49">
        <f>IF(ROUND(P152-Capex!O21,4)=0,0,1)</f>
        <v>0</v>
      </c>
      <c r="Q155" s="49">
        <f>IF(ROUND(Q152-Capex!P21,4)=0,0,1)</f>
        <v>0</v>
      </c>
      <c r="R155" s="49">
        <f>IF(ROUND(R152-Capex!Q21,4)=0,0,1)</f>
        <v>0</v>
      </c>
      <c r="S155" s="49">
        <f>IF(ROUND(S152-Capex!R21,4)=0,0,1)</f>
        <v>0</v>
      </c>
      <c r="T155" s="49">
        <f>IF(ROUND(T152-Capex!S21,4)=0,0,1)</f>
        <v>0</v>
      </c>
      <c r="U155" s="49">
        <f>IF(ROUND(U152-Capex!T21,4)=0,0,1)</f>
        <v>0</v>
      </c>
      <c r="V155" s="49">
        <f>IF(ROUND(V152-Capex!U21,4)=0,0,1)</f>
        <v>0</v>
      </c>
      <c r="W155" s="49">
        <f>IF(ROUND(W152-Capex!V21,4)=0,0,1)</f>
        <v>0</v>
      </c>
      <c r="X155" s="49">
        <f>IF(ROUND(X152-Capex!W21,4)=0,0,1)</f>
        <v>0</v>
      </c>
      <c r="Y155" s="49">
        <f>IF(ROUND(Y152-Capex!X20,4)=0,0,1)</f>
        <v>0</v>
      </c>
      <c r="Z155" s="49">
        <f>IF(ROUND(Z152-Capex!Y20,4)=0,0,1)</f>
        <v>0</v>
      </c>
      <c r="AA155" s="49">
        <f>IF(ROUND(AA152-Capex!Z20,4)=0,0,1)</f>
        <v>0</v>
      </c>
      <c r="AB155" s="49">
        <f>IF(ROUND(AB152-Capex!AA20,4)=0,0,1)</f>
        <v>0</v>
      </c>
      <c r="AC155" s="49">
        <f>IF(ROUND(AC152-Capex!AB20,4)=0,0,1)</f>
        <v>0</v>
      </c>
      <c r="AD155" s="49">
        <f>IF(ROUND(AD152-Capex!AC20,4)=0,0,1)</f>
        <v>0</v>
      </c>
    </row>
    <row r="157" spans="1:30" x14ac:dyDescent="0.2">
      <c r="O157" s="108" t="s">
        <v>295</v>
      </c>
      <c r="P157" s="63" t="s">
        <v>1202</v>
      </c>
    </row>
    <row r="159" spans="1:30" x14ac:dyDescent="0.2">
      <c r="O159" s="108" t="s">
        <v>1215</v>
      </c>
      <c r="P159" s="168">
        <f>SUM(P152:T152)</f>
        <v>395.48251414109211</v>
      </c>
      <c r="Q159" s="155" t="str">
        <f>O159&amp;" "&amp;TEXT(P159,"$000")&amp;"M"</f>
        <v>2014-19 Capex: $395M</v>
      </c>
    </row>
    <row r="160" spans="1:30" x14ac:dyDescent="0.2">
      <c r="O160" s="108" t="s">
        <v>1216</v>
      </c>
      <c r="P160" s="168">
        <f>SUM(U152:Y152)</f>
        <v>456.37008260534685</v>
      </c>
      <c r="Q160" s="155" t="str">
        <f>O160&amp;" "&amp;TEXT(P160,"$000")&amp;"M"</f>
        <v>2019-24 Capex: $456M</v>
      </c>
    </row>
    <row r="161" spans="2:17" x14ac:dyDescent="0.2">
      <c r="O161" s="108" t="s">
        <v>1217</v>
      </c>
      <c r="P161" s="168">
        <f>SUM(Z152:AD152)</f>
        <v>545.12301261895436</v>
      </c>
      <c r="Q161" s="155" t="str">
        <f>O161&amp;" "&amp;TEXT(P161,"$000")&amp;"M"</f>
        <v>2024-29 Capex: $545M</v>
      </c>
    </row>
    <row r="166" spans="2:17" s="6" customFormat="1" ht="18.75" x14ac:dyDescent="0.2">
      <c r="B166" s="6" t="s">
        <v>872</v>
      </c>
    </row>
    <row r="168" spans="2:17" s="121" customFormat="1" ht="15.75" x14ac:dyDescent="0.2">
      <c r="C168" s="121" t="s">
        <v>160</v>
      </c>
    </row>
    <row r="170" spans="2:17" x14ac:dyDescent="0.2">
      <c r="D170" s="60" t="s">
        <v>872</v>
      </c>
    </row>
    <row r="172" spans="2:17" x14ac:dyDescent="0.2">
      <c r="D172" s="45" t="s">
        <v>873</v>
      </c>
      <c r="I172" s="74">
        <f>Q20-P20</f>
        <v>-46.725627000840063</v>
      </c>
      <c r="J172" s="63" t="str">
        <f>"◄ "&amp;Unit_Dollar_M&amp;", "&amp;Real_Input</f>
        <v>◄ $Million, Real 2024</v>
      </c>
    </row>
    <row r="173" spans="2:17" x14ac:dyDescent="0.2">
      <c r="D173" s="45" t="s">
        <v>874</v>
      </c>
      <c r="I173" s="74">
        <f>P20</f>
        <v>52.229632554929232</v>
      </c>
      <c r="J173" s="63" t="str">
        <f>"◄ "&amp;Unit_Dollar_M&amp;", "&amp;Real_Input</f>
        <v>◄ $Million, Real 2024</v>
      </c>
    </row>
    <row r="174" spans="2:17" x14ac:dyDescent="0.2">
      <c r="D174" s="45" t="s">
        <v>875</v>
      </c>
      <c r="I174" s="74">
        <f>R20</f>
        <v>21.954813027028397</v>
      </c>
      <c r="J174" s="63" t="str">
        <f>"◄ "&amp;Unit_Dollar_M&amp;", "&amp;Real_Input</f>
        <v>◄ $Million, Real 2024</v>
      </c>
    </row>
    <row r="175" spans="2:17" x14ac:dyDescent="0.2">
      <c r="D175" s="45"/>
    </row>
    <row r="176" spans="2:17" x14ac:dyDescent="0.2">
      <c r="D176" s="45" t="s">
        <v>312</v>
      </c>
    </row>
    <row r="177" spans="4:18" x14ac:dyDescent="0.2">
      <c r="D177" s="45" t="s">
        <v>876</v>
      </c>
      <c r="I177" s="74">
        <f>R178</f>
        <v>4.9574141291557492</v>
      </c>
      <c r="J177" s="63" t="str">
        <f>"◄ "&amp;Unit_Dollar_M&amp;", "&amp;Real_Input</f>
        <v>◄ $Million, Real 2024</v>
      </c>
      <c r="P177" s="61" t="s">
        <v>783</v>
      </c>
      <c r="Q177" s="61" t="s">
        <v>784</v>
      </c>
      <c r="R177" s="61" t="s">
        <v>782</v>
      </c>
    </row>
    <row r="178" spans="4:18" x14ac:dyDescent="0.2">
      <c r="D178" s="45" t="s">
        <v>877</v>
      </c>
      <c r="I178" s="74">
        <f>Q178</f>
        <v>4.4055662202271577</v>
      </c>
      <c r="J178" s="63" t="str">
        <f>"◄ "&amp;Unit_Dollar_M&amp;", "&amp;Real_Input</f>
        <v>◄ $Million, Real 2024</v>
      </c>
      <c r="P178" s="68">
        <v>4.4424918619881923</v>
      </c>
      <c r="Q178" s="68">
        <v>4.4055662202271577</v>
      </c>
      <c r="R178" s="68">
        <v>4.9574141291557492</v>
      </c>
    </row>
    <row r="179" spans="4:18" x14ac:dyDescent="0.2">
      <c r="D179" s="45"/>
    </row>
    <row r="180" spans="4:18" x14ac:dyDescent="0.2">
      <c r="D180" s="45" t="s">
        <v>837</v>
      </c>
    </row>
    <row r="181" spans="4:18" x14ac:dyDescent="0.2">
      <c r="D181" s="45" t="s">
        <v>876</v>
      </c>
      <c r="I181" s="74">
        <f>R182</f>
        <v>4.8682464452438818</v>
      </c>
      <c r="J181" s="63" t="str">
        <f>"◄ "&amp;Unit_Dollar_M&amp;", "&amp;Real_Input</f>
        <v>◄ $Million, Real 2024</v>
      </c>
      <c r="P181" s="61" t="s">
        <v>783</v>
      </c>
      <c r="Q181" s="61" t="s">
        <v>784</v>
      </c>
      <c r="R181" s="61" t="s">
        <v>782</v>
      </c>
    </row>
    <row r="182" spans="4:18" x14ac:dyDescent="0.2">
      <c r="D182" s="45" t="s">
        <v>878</v>
      </c>
      <c r="I182" s="74">
        <f>Q182-P182</f>
        <v>-4.8838777260767881</v>
      </c>
      <c r="J182" s="63" t="str">
        <f>"◄ "&amp;Unit_Dollar_M&amp;", "&amp;Real_Input</f>
        <v>◄ $Million, Real 2024</v>
      </c>
      <c r="P182" s="68">
        <v>4.8838777260767881</v>
      </c>
      <c r="Q182" s="68">
        <v>0</v>
      </c>
      <c r="R182" s="68">
        <v>4.8682464452438818</v>
      </c>
    </row>
    <row r="183" spans="4:18" x14ac:dyDescent="0.2">
      <c r="D183" s="45"/>
    </row>
    <row r="184" spans="4:18" x14ac:dyDescent="0.2">
      <c r="D184" s="45" t="s">
        <v>351</v>
      </c>
    </row>
    <row r="185" spans="4:18" x14ac:dyDescent="0.2">
      <c r="D185" s="45" t="s">
        <v>876</v>
      </c>
      <c r="I185" s="74">
        <f>R186</f>
        <v>3.2903790416145275</v>
      </c>
      <c r="J185" s="63" t="str">
        <f>"◄ "&amp;Unit_Dollar_M&amp;", "&amp;Real_Input</f>
        <v>◄ $Million, Real 2024</v>
      </c>
      <c r="P185" s="61" t="s">
        <v>783</v>
      </c>
      <c r="Q185" s="61" t="s">
        <v>784</v>
      </c>
      <c r="R185" s="61" t="s">
        <v>782</v>
      </c>
    </row>
    <row r="186" spans="4:18" x14ac:dyDescent="0.2">
      <c r="D186" s="45" t="s">
        <v>878</v>
      </c>
      <c r="I186" s="74">
        <f>Q186-P186</f>
        <v>-3.9553454709028801</v>
      </c>
      <c r="J186" s="63" t="str">
        <f>"◄ "&amp;Unit_Dollar_M&amp;", "&amp;Real_Input</f>
        <v>◄ $Million, Real 2024</v>
      </c>
      <c r="P186" s="68">
        <v>3.9553454709028801</v>
      </c>
      <c r="Q186" s="68">
        <v>0</v>
      </c>
      <c r="R186" s="68">
        <v>3.2903790416145275</v>
      </c>
    </row>
    <row r="187" spans="4:18" x14ac:dyDescent="0.2">
      <c r="D187" s="45"/>
    </row>
    <row r="188" spans="4:18" x14ac:dyDescent="0.2">
      <c r="D188" s="45" t="s">
        <v>879</v>
      </c>
    </row>
    <row r="189" spans="4:18" x14ac:dyDescent="0.2">
      <c r="D189" s="45" t="s">
        <v>876</v>
      </c>
      <c r="I189" s="74">
        <f>R190</f>
        <v>3.8949208838826337</v>
      </c>
      <c r="J189" s="63" t="str">
        <f>"◄ "&amp;Unit_Dollar_M&amp;", "&amp;Real_Input</f>
        <v>◄ $Million, Real 2024</v>
      </c>
      <c r="P189" s="61" t="s">
        <v>783</v>
      </c>
      <c r="Q189" s="61" t="s">
        <v>784</v>
      </c>
      <c r="R189" s="61" t="s">
        <v>782</v>
      </c>
    </row>
    <row r="190" spans="4:18" x14ac:dyDescent="0.2">
      <c r="D190" s="45" t="s">
        <v>880</v>
      </c>
      <c r="I190" s="74">
        <f>P190</f>
        <v>18.834209607870498</v>
      </c>
      <c r="J190" s="63" t="str">
        <f>"◄ "&amp;Unit_Dollar_M&amp;", "&amp;Real_Input</f>
        <v>◄ $Million, Real 2024</v>
      </c>
      <c r="P190" s="68">
        <v>18.834209607870498</v>
      </c>
      <c r="Q190" s="68">
        <v>0</v>
      </c>
      <c r="R190" s="68">
        <v>3.8949208838826337</v>
      </c>
    </row>
    <row r="192" spans="4:18" x14ac:dyDescent="0.2">
      <c r="D192" s="45" t="s">
        <v>353</v>
      </c>
    </row>
    <row r="193" spans="3:20" x14ac:dyDescent="0.2">
      <c r="D193" s="45" t="s">
        <v>876</v>
      </c>
      <c r="I193" s="74">
        <f>R194</f>
        <v>4.9438525271316029</v>
      </c>
      <c r="J193" s="63" t="str">
        <f>"◄ "&amp;Unit_Dollar_M&amp;", "&amp;Real_Input</f>
        <v>◄ $Million, Real 2024</v>
      </c>
      <c r="P193" s="61" t="s">
        <v>783</v>
      </c>
      <c r="Q193" s="61" t="s">
        <v>784</v>
      </c>
      <c r="R193" s="61" t="s">
        <v>782</v>
      </c>
    </row>
    <row r="194" spans="3:20" x14ac:dyDescent="0.2">
      <c r="D194" s="45" t="s">
        <v>881</v>
      </c>
      <c r="I194" s="74">
        <f>Q194-P194</f>
        <v>-13.050596098537259</v>
      </c>
      <c r="P194" s="68">
        <v>14.149035432399273</v>
      </c>
      <c r="Q194" s="68">
        <v>1.0984393338620144</v>
      </c>
      <c r="R194" s="68">
        <v>4.9438525271316029</v>
      </c>
    </row>
    <row r="196" spans="3:20" x14ac:dyDescent="0.2">
      <c r="D196" s="45" t="s">
        <v>1289</v>
      </c>
      <c r="I196" s="74">
        <f>SUM(R210:R212)</f>
        <v>6.2872885612559148</v>
      </c>
      <c r="J196" s="63" t="str">
        <f>"◄ "&amp;Unit_Dollar_M&amp;", "&amp;Real_Input</f>
        <v>◄ $Million, Real 2024</v>
      </c>
    </row>
    <row r="197" spans="3:20" x14ac:dyDescent="0.2">
      <c r="D197" s="45" t="s">
        <v>1290</v>
      </c>
      <c r="I197" s="74">
        <f>J231</f>
        <v>0.34112817601510415</v>
      </c>
      <c r="J197" s="63" t="str">
        <f>"◄ "&amp;Unit_Dollar_M&amp;", "&amp;Real_Input</f>
        <v>◄ $Million, Real 2024</v>
      </c>
    </row>
    <row r="199" spans="3:20" x14ac:dyDescent="0.2">
      <c r="D199" s="45" t="s">
        <v>1159</v>
      </c>
      <c r="I199" s="68">
        <v>11.410718647189759</v>
      </c>
      <c r="J199" s="63" t="s">
        <v>1161</v>
      </c>
    </row>
    <row r="200" spans="3:20" x14ac:dyDescent="0.2">
      <c r="D200" s="45" t="s">
        <v>1160</v>
      </c>
      <c r="I200" s="74">
        <f>Input_Capex_Projects!Q111</f>
        <v>11.419197365909154</v>
      </c>
      <c r="J200" s="63" t="s">
        <v>1161</v>
      </c>
    </row>
    <row r="202" spans="3:20" s="121" customFormat="1" ht="15.75" x14ac:dyDescent="0.2">
      <c r="C202" s="121" t="s">
        <v>1268</v>
      </c>
    </row>
    <row r="204" spans="3:20" x14ac:dyDescent="0.2">
      <c r="O204" s="100" t="s">
        <v>235</v>
      </c>
      <c r="P204" s="103" t="s">
        <v>641</v>
      </c>
      <c r="Q204" s="103" t="s">
        <v>642</v>
      </c>
      <c r="R204" s="99" t="s">
        <v>234</v>
      </c>
      <c r="S204" s="99" t="s">
        <v>236</v>
      </c>
      <c r="T204" s="97"/>
    </row>
    <row r="205" spans="3:20" x14ac:dyDescent="0.2">
      <c r="O205" s="97"/>
      <c r="P205" s="97"/>
      <c r="Q205" s="97"/>
      <c r="R205" s="97"/>
      <c r="S205" s="97"/>
      <c r="T205" s="97"/>
    </row>
    <row r="206" spans="3:20" x14ac:dyDescent="0.2">
      <c r="O206" s="63" t="s">
        <v>296</v>
      </c>
      <c r="P206" s="33">
        <v>361.42627289784787</v>
      </c>
      <c r="Q206" s="33">
        <v>361.42627289784787</v>
      </c>
      <c r="R206" s="98">
        <f t="shared" ref="R206:R212" si="3">P206-Q206</f>
        <v>0</v>
      </c>
      <c r="S206" s="97"/>
      <c r="T206" s="97"/>
    </row>
    <row r="207" spans="3:20" x14ac:dyDescent="0.2">
      <c r="O207" s="63" t="s">
        <v>297</v>
      </c>
      <c r="P207" s="33">
        <v>0</v>
      </c>
      <c r="Q207" s="33">
        <v>0</v>
      </c>
      <c r="R207" s="98">
        <f t="shared" si="3"/>
        <v>0</v>
      </c>
      <c r="S207" s="97"/>
      <c r="T207" s="97"/>
    </row>
    <row r="208" spans="3:20" x14ac:dyDescent="0.2">
      <c r="O208" s="63" t="s">
        <v>251</v>
      </c>
      <c r="P208" s="98">
        <f>SUM(P206:P207)</f>
        <v>361.42627289784787</v>
      </c>
      <c r="Q208" s="98">
        <f>SUM(Q206:Q207)</f>
        <v>361.42627289784787</v>
      </c>
      <c r="R208" s="98">
        <f t="shared" si="3"/>
        <v>0</v>
      </c>
      <c r="S208" s="32">
        <v>2</v>
      </c>
      <c r="T208" s="97"/>
    </row>
    <row r="209" spans="15:20" x14ac:dyDescent="0.2">
      <c r="O209" s="63" t="s">
        <v>238</v>
      </c>
      <c r="P209" s="33">
        <v>21.954812148863972</v>
      </c>
      <c r="Q209" s="33">
        <v>5.5040055540891721</v>
      </c>
      <c r="R209" s="98">
        <f t="shared" si="3"/>
        <v>16.4508065947748</v>
      </c>
      <c r="S209" s="32">
        <v>5</v>
      </c>
      <c r="T209" s="97"/>
    </row>
    <row r="210" spans="15:20" x14ac:dyDescent="0.2">
      <c r="O210" s="63" t="s">
        <v>209</v>
      </c>
      <c r="P210" s="33">
        <v>2.127319408449142</v>
      </c>
      <c r="Q210" s="33">
        <v>0.3933429784525509</v>
      </c>
      <c r="R210" s="98">
        <f t="shared" si="3"/>
        <v>1.7339764299965912</v>
      </c>
      <c r="S210" s="32">
        <v>3</v>
      </c>
      <c r="T210" s="97"/>
    </row>
    <row r="211" spans="15:20" x14ac:dyDescent="0.2">
      <c r="O211" s="63" t="s">
        <v>208</v>
      </c>
      <c r="P211" s="33">
        <v>7.4160218384690957</v>
      </c>
      <c r="Q211" s="33">
        <v>2.7077361646556692</v>
      </c>
      <c r="R211" s="98">
        <f t="shared" si="3"/>
        <v>4.7082856738134264</v>
      </c>
      <c r="S211" s="32">
        <v>4</v>
      </c>
      <c r="T211" s="97"/>
    </row>
    <row r="212" spans="15:20" x14ac:dyDescent="0.2">
      <c r="O212" s="63" t="s">
        <v>210</v>
      </c>
      <c r="P212" s="33">
        <v>-9.202213070903202</v>
      </c>
      <c r="Q212" s="33">
        <v>-9.0472395283490989</v>
      </c>
      <c r="R212" s="98">
        <f t="shared" si="3"/>
        <v>-0.15497354255410301</v>
      </c>
      <c r="S212" s="32">
        <v>1</v>
      </c>
      <c r="T212" s="97"/>
    </row>
    <row r="213" spans="15:20" x14ac:dyDescent="0.2">
      <c r="O213" s="63"/>
      <c r="P213" s="98"/>
      <c r="Q213" s="98"/>
      <c r="R213" s="98"/>
      <c r="S213" s="97"/>
      <c r="T213" s="97"/>
    </row>
    <row r="214" spans="15:20" x14ac:dyDescent="0.2">
      <c r="O214" s="100" t="s">
        <v>235</v>
      </c>
      <c r="P214" s="103" t="str">
        <f>P204</f>
        <v>Revised Proposal</v>
      </c>
      <c r="Q214" s="103" t="str">
        <f>Q204</f>
        <v>Draft Decision</v>
      </c>
      <c r="R214" s="99" t="str">
        <f>R204</f>
        <v>Change</v>
      </c>
      <c r="S214" s="99" t="s">
        <v>233</v>
      </c>
      <c r="T214" s="99" t="s">
        <v>232</v>
      </c>
    </row>
    <row r="215" spans="15:20" x14ac:dyDescent="0.2">
      <c r="O215" s="97"/>
      <c r="P215" s="97"/>
      <c r="Q215" s="97"/>
      <c r="R215" s="97"/>
      <c r="S215" s="97"/>
      <c r="T215" s="97"/>
    </row>
    <row r="216" spans="15:20" x14ac:dyDescent="0.2">
      <c r="O216" s="63" t="str">
        <f t="shared" ref="O216:Q220" si="4">INDEX(O$208:O$212,$T216)</f>
        <v>Trend - Productivity</v>
      </c>
      <c r="P216" s="98">
        <f t="shared" si="4"/>
        <v>-9.202213070903202</v>
      </c>
      <c r="Q216" s="98">
        <f t="shared" si="4"/>
        <v>-9.0472395283490989</v>
      </c>
      <c r="R216" s="98">
        <f>P216-Q216</f>
        <v>-0.15497354255410301</v>
      </c>
      <c r="S216" s="109">
        <f>N(S215)+1</f>
        <v>1</v>
      </c>
      <c r="T216" s="109">
        <f>MATCH(S216,$S$208:$S$212,0)</f>
        <v>5</v>
      </c>
    </row>
    <row r="217" spans="15:20" x14ac:dyDescent="0.2">
      <c r="O217" s="63" t="str">
        <f t="shared" si="4"/>
        <v>Adjusted Base Year</v>
      </c>
      <c r="P217" s="98">
        <f t="shared" si="4"/>
        <v>361.42627289784787</v>
      </c>
      <c r="Q217" s="98">
        <f t="shared" si="4"/>
        <v>361.42627289784787</v>
      </c>
      <c r="R217" s="98">
        <f>P217-Q217</f>
        <v>0</v>
      </c>
      <c r="S217" s="109">
        <f>N(S216)+1</f>
        <v>2</v>
      </c>
      <c r="T217" s="109">
        <f>MATCH(S217,$S$208:$S$212,0)</f>
        <v>1</v>
      </c>
    </row>
    <row r="218" spans="15:20" x14ac:dyDescent="0.2">
      <c r="O218" s="63" t="str">
        <f t="shared" si="4"/>
        <v>Trend - Price</v>
      </c>
      <c r="P218" s="98">
        <f t="shared" si="4"/>
        <v>2.127319408449142</v>
      </c>
      <c r="Q218" s="98">
        <f t="shared" si="4"/>
        <v>0.3933429784525509</v>
      </c>
      <c r="R218" s="98">
        <f>P218-Q218</f>
        <v>1.7339764299965912</v>
      </c>
      <c r="S218" s="109">
        <f>N(S217)+1</f>
        <v>3</v>
      </c>
      <c r="T218" s="109">
        <f>MATCH(S218,$S$208:$S$212,0)</f>
        <v>3</v>
      </c>
    </row>
    <row r="219" spans="15:20" x14ac:dyDescent="0.2">
      <c r="O219" s="63" t="str">
        <f t="shared" si="4"/>
        <v>Trend - Output</v>
      </c>
      <c r="P219" s="98">
        <f t="shared" si="4"/>
        <v>7.4160218384690957</v>
      </c>
      <c r="Q219" s="98">
        <f t="shared" si="4"/>
        <v>2.7077361646556692</v>
      </c>
      <c r="R219" s="98">
        <f>P219-Q219</f>
        <v>4.7082856738134264</v>
      </c>
      <c r="S219" s="109">
        <f>N(S218)+1</f>
        <v>4</v>
      </c>
      <c r="T219" s="109">
        <f>MATCH(S219,$S$208:$S$212,0)</f>
        <v>4</v>
      </c>
    </row>
    <row r="220" spans="15:20" x14ac:dyDescent="0.2">
      <c r="O220" s="63" t="str">
        <f t="shared" si="4"/>
        <v>Step Changes</v>
      </c>
      <c r="P220" s="98">
        <f t="shared" si="4"/>
        <v>21.954812148863972</v>
      </c>
      <c r="Q220" s="98">
        <f t="shared" si="4"/>
        <v>5.5040055540891721</v>
      </c>
      <c r="R220" s="98">
        <f>P220-Q220</f>
        <v>16.4508065947748</v>
      </c>
      <c r="S220" s="109">
        <f>N(S219)+1</f>
        <v>5</v>
      </c>
      <c r="T220" s="109">
        <f>MATCH(S220,$S$208:$S$212,0)</f>
        <v>2</v>
      </c>
    </row>
    <row r="221" spans="15:20" x14ac:dyDescent="0.2">
      <c r="O221" s="63" t="s">
        <v>72</v>
      </c>
      <c r="P221" s="97"/>
      <c r="Q221" s="97"/>
      <c r="R221" s="98">
        <f>SUM(R216:R220)</f>
        <v>22.738095156030717</v>
      </c>
      <c r="S221" s="63" t="str">
        <f>IF(R221&gt;0,"Increase","Decrease")</f>
        <v>Increase</v>
      </c>
      <c r="T221" s="97"/>
    </row>
    <row r="222" spans="15:20" x14ac:dyDescent="0.2">
      <c r="O222" s="97"/>
      <c r="P222" s="97"/>
      <c r="Q222" s="97"/>
      <c r="R222" s="97"/>
      <c r="S222" s="97"/>
      <c r="T222" s="97"/>
    </row>
    <row r="223" spans="15:20" x14ac:dyDescent="0.2">
      <c r="O223" s="63" t="s">
        <v>72</v>
      </c>
      <c r="P223" s="98">
        <f>SUM(P208:P212)</f>
        <v>383.72221322272685</v>
      </c>
      <c r="Q223" s="98">
        <f>SUM(Q208:Q212)</f>
        <v>360.98411806669617</v>
      </c>
      <c r="R223" s="98">
        <f>P223-Q223</f>
        <v>22.738095156030681</v>
      </c>
      <c r="S223" s="97"/>
      <c r="T223" s="97"/>
    </row>
    <row r="224" spans="15:20" x14ac:dyDescent="0.2">
      <c r="O224" s="63" t="s">
        <v>158</v>
      </c>
      <c r="P224" s="33">
        <v>383.72221322272685</v>
      </c>
      <c r="Q224" s="33">
        <v>360.98411806669628</v>
      </c>
      <c r="R224" s="98">
        <f>P224-Q224</f>
        <v>22.738095156030568</v>
      </c>
      <c r="S224" s="97"/>
      <c r="T224" s="97"/>
    </row>
    <row r="225" spans="1:20" x14ac:dyDescent="0.2">
      <c r="A225" s="102">
        <f>IF(SUM(P225:Q225)=0,0,1)</f>
        <v>0</v>
      </c>
      <c r="O225" s="63" t="s">
        <v>83</v>
      </c>
      <c r="P225" s="102">
        <f>IF(ROUND(P223-P224,3)=0,0,1)</f>
        <v>0</v>
      </c>
      <c r="Q225" s="102">
        <f>IF(ROUND(Q223-Q224,3)=0,0,1)</f>
        <v>0</v>
      </c>
      <c r="R225" s="98"/>
      <c r="S225" s="97"/>
      <c r="T225" s="97"/>
    </row>
    <row r="226" spans="1:20" x14ac:dyDescent="0.2">
      <c r="R226" s="97"/>
      <c r="S226" s="97"/>
      <c r="T226" s="97"/>
    </row>
    <row r="227" spans="1:20" s="121" customFormat="1" ht="15.75" x14ac:dyDescent="0.2">
      <c r="C227" s="121" t="s">
        <v>1269</v>
      </c>
    </row>
    <row r="228" spans="1:20" ht="13.5" thickBot="1" x14ac:dyDescent="0.25"/>
    <row r="229" spans="1:20" ht="15.75" thickBot="1" x14ac:dyDescent="0.25">
      <c r="D229" s="158" t="s">
        <v>1180</v>
      </c>
      <c r="E229" s="216" t="s">
        <v>199</v>
      </c>
      <c r="F229" s="216" t="s">
        <v>200</v>
      </c>
      <c r="G229" s="216" t="s">
        <v>201</v>
      </c>
      <c r="H229" s="216" t="s">
        <v>202</v>
      </c>
      <c r="I229" s="216" t="s">
        <v>203</v>
      </c>
      <c r="J229" s="216" t="s">
        <v>72</v>
      </c>
    </row>
    <row r="230" spans="1:20" ht="15" x14ac:dyDescent="0.2">
      <c r="D230" s="424" t="s">
        <v>251</v>
      </c>
      <c r="E230" s="425">
        <v>72.285254579569568</v>
      </c>
      <c r="F230" s="425">
        <v>72.285254579569568</v>
      </c>
      <c r="G230" s="425">
        <v>72.285254579569568</v>
      </c>
      <c r="H230" s="425">
        <v>72.285254579569568</v>
      </c>
      <c r="I230" s="425">
        <v>72.285254579569568</v>
      </c>
      <c r="J230" s="425">
        <f>SUM(E230:I230)</f>
        <v>361.42627289784787</v>
      </c>
    </row>
    <row r="231" spans="1:20" ht="15" x14ac:dyDescent="0.2">
      <c r="D231" s="160" t="s">
        <v>1189</v>
      </c>
      <c r="E231" s="331">
        <v>-0.45491327027087891</v>
      </c>
      <c r="F231" s="331">
        <v>-6.9201528617099939E-2</v>
      </c>
      <c r="G231" s="331">
        <v>0.10615453263328334</v>
      </c>
      <c r="H231" s="331">
        <v>0.26938705861053336</v>
      </c>
      <c r="I231" s="331">
        <v>0.4897013836592663</v>
      </c>
      <c r="J231" s="331">
        <f>SUM(E231:I231)</f>
        <v>0.34112817601510415</v>
      </c>
    </row>
    <row r="232" spans="1:20" ht="15" x14ac:dyDescent="0.2">
      <c r="D232" s="221" t="s">
        <v>238</v>
      </c>
      <c r="E232" s="330"/>
      <c r="F232" s="330"/>
      <c r="G232" s="330"/>
      <c r="H232" s="330"/>
      <c r="I232" s="330"/>
      <c r="J232" s="330"/>
    </row>
    <row r="233" spans="1:20" ht="15" x14ac:dyDescent="0.2">
      <c r="D233" s="427" t="s">
        <v>312</v>
      </c>
      <c r="E233" s="331">
        <v>0.99148282583114977</v>
      </c>
      <c r="F233" s="331">
        <v>0.99148282583114977</v>
      </c>
      <c r="G233" s="331">
        <v>0.99148282583114977</v>
      </c>
      <c r="H233" s="331">
        <v>0.99148282583114977</v>
      </c>
      <c r="I233" s="331">
        <v>0.99148282583114977</v>
      </c>
      <c r="J233" s="331">
        <f>SUM(E233:I233)</f>
        <v>4.9574141291557492</v>
      </c>
    </row>
    <row r="234" spans="1:20" ht="15" x14ac:dyDescent="0.2">
      <c r="D234" s="428" t="s">
        <v>657</v>
      </c>
      <c r="E234" s="330">
        <v>0.70166213540537614</v>
      </c>
      <c r="F234" s="330">
        <v>0.86368521259943609</v>
      </c>
      <c r="G234" s="330">
        <v>0.98445571820924294</v>
      </c>
      <c r="H234" s="330">
        <v>1.1049455207239343</v>
      </c>
      <c r="I234" s="330">
        <v>1.2134978583058924</v>
      </c>
      <c r="J234" s="330">
        <f>SUM(E234:I234)</f>
        <v>4.8682464452438818</v>
      </c>
    </row>
    <row r="235" spans="1:20" ht="15" x14ac:dyDescent="0.2">
      <c r="D235" s="427" t="s">
        <v>351</v>
      </c>
      <c r="E235" s="331">
        <v>0.65807580832290546</v>
      </c>
      <c r="F235" s="331">
        <v>0.65807580832290546</v>
      </c>
      <c r="G235" s="331">
        <v>0.65807580832290546</v>
      </c>
      <c r="H235" s="331">
        <v>0.65807580832290546</v>
      </c>
      <c r="I235" s="331">
        <v>0.65807580832290546</v>
      </c>
      <c r="J235" s="331">
        <f>SUM(E235:I235)</f>
        <v>3.2903790416145275</v>
      </c>
    </row>
    <row r="236" spans="1:20" ht="15" x14ac:dyDescent="0.2">
      <c r="D236" s="428" t="s">
        <v>352</v>
      </c>
      <c r="E236" s="330">
        <v>0.604141633624108</v>
      </c>
      <c r="F236" s="330">
        <v>1.0643514660142745</v>
      </c>
      <c r="G236" s="330">
        <v>0.66891330582394937</v>
      </c>
      <c r="H236" s="330">
        <v>0.77875723921015083</v>
      </c>
      <c r="I236" s="330">
        <v>0.77875723921015083</v>
      </c>
      <c r="J236" s="330">
        <f>SUM(E236:I236)</f>
        <v>3.8949208838826337</v>
      </c>
    </row>
    <row r="237" spans="1:20" ht="15" x14ac:dyDescent="0.2">
      <c r="D237" s="427" t="s">
        <v>1316</v>
      </c>
      <c r="E237" s="331">
        <v>0.39836985990764801</v>
      </c>
      <c r="F237" s="331">
        <v>0.39836985990764801</v>
      </c>
      <c r="G237" s="331">
        <v>0.95708358842812424</v>
      </c>
      <c r="H237" s="331">
        <v>1.5884550334745764</v>
      </c>
      <c r="I237" s="331">
        <v>1.6015741854136063</v>
      </c>
      <c r="J237" s="331">
        <f>SUM(E237:I237)</f>
        <v>4.9438525271316029</v>
      </c>
    </row>
    <row r="238" spans="1:20" ht="15" x14ac:dyDescent="0.2">
      <c r="D238" s="159" t="s">
        <v>1190</v>
      </c>
      <c r="E238" s="330">
        <f>SUM(E233:E237)</f>
        <v>3.3537322630911874</v>
      </c>
      <c r="F238" s="330">
        <f>SUM(F233:F237)</f>
        <v>3.9759651726754139</v>
      </c>
      <c r="G238" s="330">
        <f>SUM(G233:G237)</f>
        <v>4.2600112466153712</v>
      </c>
      <c r="H238" s="330">
        <f>SUM(H233:H237)</f>
        <v>5.1217164275627169</v>
      </c>
      <c r="I238" s="330">
        <f>SUM(I233:I237)</f>
        <v>5.2433879170837052</v>
      </c>
      <c r="J238" s="330">
        <f t="shared" ref="J238:J241" si="5">SUM(E238:I238)</f>
        <v>21.954813027028393</v>
      </c>
    </row>
    <row r="239" spans="1:20" ht="15" x14ac:dyDescent="0.2">
      <c r="D239" s="160" t="s">
        <v>1191</v>
      </c>
      <c r="E239" s="332">
        <f>E230+E231+E238</f>
        <v>75.184073572389877</v>
      </c>
      <c r="F239" s="332">
        <f>F230+F231+F238</f>
        <v>76.192018223627883</v>
      </c>
      <c r="G239" s="332">
        <f>G230+G231+G238</f>
        <v>76.651420358818228</v>
      </c>
      <c r="H239" s="332">
        <f>H230+H231+H238</f>
        <v>77.676358065742818</v>
      </c>
      <c r="I239" s="332">
        <f>I230+I231+I238</f>
        <v>78.018343880312543</v>
      </c>
      <c r="J239" s="332">
        <f t="shared" si="5"/>
        <v>383.72221410089134</v>
      </c>
    </row>
    <row r="240" spans="1:20" ht="15" x14ac:dyDescent="0.2">
      <c r="D240" s="221" t="s">
        <v>1192</v>
      </c>
      <c r="E240" s="330">
        <v>0.6713486065225629</v>
      </c>
      <c r="F240" s="330">
        <v>0.68821723407488022</v>
      </c>
      <c r="G240" s="330">
        <v>0.70560329092571494</v>
      </c>
      <c r="H240" s="330">
        <v>0.71355750558070874</v>
      </c>
      <c r="I240" s="330">
        <v>0.73822956021978237</v>
      </c>
      <c r="J240" s="330">
        <f t="shared" si="5"/>
        <v>3.5169561973236494</v>
      </c>
      <c r="R240" s="97"/>
      <c r="S240" s="97"/>
      <c r="T240" s="97"/>
    </row>
    <row r="241" spans="1:30" ht="15.75" thickBot="1" x14ac:dyDescent="0.25">
      <c r="D241" s="161" t="s">
        <v>1193</v>
      </c>
      <c r="E241" s="426">
        <f>E239+E240</f>
        <v>75.855422178912434</v>
      </c>
      <c r="F241" s="426">
        <f>F239+F240</f>
        <v>76.880235457702767</v>
      </c>
      <c r="G241" s="426">
        <f>G239+G240</f>
        <v>77.357023649743937</v>
      </c>
      <c r="H241" s="426">
        <f>H239+H240</f>
        <v>78.389915571323527</v>
      </c>
      <c r="I241" s="426">
        <f>I239+I240</f>
        <v>78.756573440532321</v>
      </c>
      <c r="J241" s="426">
        <f t="shared" si="5"/>
        <v>387.23917029821496</v>
      </c>
      <c r="R241" s="97"/>
      <c r="S241" s="97"/>
      <c r="T241" s="97"/>
    </row>
    <row r="242" spans="1:30" x14ac:dyDescent="0.2">
      <c r="R242" s="97"/>
      <c r="S242" s="97"/>
      <c r="T242" s="97"/>
    </row>
    <row r="243" spans="1:30" x14ac:dyDescent="0.2">
      <c r="A243" s="102">
        <f>IF(SUM(E243:I243)=0,0,1)</f>
        <v>0</v>
      </c>
      <c r="D243" s="63" t="s">
        <v>1194</v>
      </c>
      <c r="E243" s="181">
        <v>0</v>
      </c>
      <c r="F243" s="181">
        <v>0</v>
      </c>
      <c r="G243" s="181">
        <v>0</v>
      </c>
      <c r="H243" s="181">
        <v>0</v>
      </c>
      <c r="I243" s="181">
        <v>0</v>
      </c>
      <c r="R243" s="97"/>
      <c r="S243" s="97"/>
      <c r="T243" s="97"/>
    </row>
    <row r="244" spans="1:30" x14ac:dyDescent="0.2">
      <c r="A244" s="102">
        <f>IF(SUM(E244:J244)=0,0,1)</f>
        <v>0</v>
      </c>
      <c r="D244" s="63" t="s">
        <v>1195</v>
      </c>
      <c r="E244" s="181">
        <v>0</v>
      </c>
      <c r="F244" s="181">
        <v>0</v>
      </c>
      <c r="G244" s="181">
        <v>0</v>
      </c>
      <c r="H244" s="181">
        <v>0</v>
      </c>
      <c r="I244" s="181">
        <v>0</v>
      </c>
      <c r="J244" s="181">
        <f>IF(ROUND(J241-Summary!F37,4)=0,0,1)</f>
        <v>0</v>
      </c>
      <c r="R244" s="97"/>
      <c r="S244" s="97"/>
      <c r="T244" s="97"/>
    </row>
    <row r="245" spans="1:30" x14ac:dyDescent="0.2">
      <c r="R245" s="97"/>
      <c r="S245" s="97"/>
      <c r="T245" s="97"/>
    </row>
    <row r="246" spans="1:30" s="121" customFormat="1" ht="15.75" x14ac:dyDescent="0.2">
      <c r="C246" s="121" t="s">
        <v>1270</v>
      </c>
    </row>
    <row r="247" spans="1:30" x14ac:dyDescent="0.2">
      <c r="R247" s="97"/>
      <c r="S247" s="97"/>
      <c r="T247" s="97"/>
    </row>
    <row r="248" spans="1:30" x14ac:dyDescent="0.2">
      <c r="P248" s="41" t="str">
        <f>LookupTab!M$41</f>
        <v>Previous Period</v>
      </c>
      <c r="Q248" s="41"/>
      <c r="R248" s="41"/>
      <c r="S248" s="41"/>
      <c r="T248" s="41"/>
      <c r="U248" s="42" t="str">
        <f>LookupTab!R$41</f>
        <v>Current Period</v>
      </c>
      <c r="V248" s="42"/>
      <c r="W248" s="42"/>
      <c r="X248" s="42"/>
      <c r="Y248" s="42"/>
      <c r="Z248" s="43" t="str">
        <f>LookupTab!W$41</f>
        <v>Next Period</v>
      </c>
      <c r="AA248" s="43"/>
      <c r="AB248" s="43"/>
      <c r="AC248" s="43"/>
      <c r="AD248" s="43"/>
    </row>
    <row r="249" spans="1:30" x14ac:dyDescent="0.2">
      <c r="O249" s="100"/>
      <c r="P249" s="429" t="str">
        <f>LookupTab!M$43</f>
        <v>2014/15</v>
      </c>
      <c r="Q249" s="429" t="str">
        <f>LookupTab!N$43</f>
        <v>2015/16</v>
      </c>
      <c r="R249" s="429" t="str">
        <f>LookupTab!O$43</f>
        <v>2016/17</v>
      </c>
      <c r="S249" s="429" t="str">
        <f>LookupTab!P$43</f>
        <v>2017/18</v>
      </c>
      <c r="T249" s="429" t="str">
        <f>LookupTab!Q$43</f>
        <v>2018/19</v>
      </c>
      <c r="U249" s="429" t="str">
        <f>LookupTab!R$43</f>
        <v>2019/20</v>
      </c>
      <c r="V249" s="429" t="str">
        <f>LookupTab!S$43</f>
        <v>2020/21</v>
      </c>
      <c r="W249" s="429" t="str">
        <f>LookupTab!T$43</f>
        <v>2021/22</v>
      </c>
      <c r="X249" s="429" t="str">
        <f>LookupTab!U$43</f>
        <v>2022/23</v>
      </c>
      <c r="Y249" s="429" t="str">
        <f>LookupTab!V$43</f>
        <v>2023/24</v>
      </c>
      <c r="Z249" s="429" t="str">
        <f>LookupTab!W$43</f>
        <v>2024/25</v>
      </c>
      <c r="AA249" s="429" t="str">
        <f>LookupTab!X$43</f>
        <v>2025/26</v>
      </c>
      <c r="AB249" s="429" t="str">
        <f>LookupTab!Y$43</f>
        <v>2026/27</v>
      </c>
      <c r="AC249" s="429" t="str">
        <f>LookupTab!Z$43</f>
        <v>2027/28</v>
      </c>
      <c r="AD249" s="429" t="str">
        <f>LookupTab!AA$43</f>
        <v>2028/29</v>
      </c>
    </row>
    <row r="250" spans="1:30" x14ac:dyDescent="0.2">
      <c r="O250" s="108" t="s">
        <v>1196</v>
      </c>
      <c r="P250" s="168">
        <f>Opex!J40</f>
        <v>7.9768126495221559</v>
      </c>
      <c r="Q250" s="168">
        <f>Opex!K40</f>
        <v>6.5083381387702071</v>
      </c>
      <c r="R250" s="168">
        <f>Opex!L40</f>
        <v>5.8438412997668729</v>
      </c>
      <c r="S250" s="168">
        <f>Opex!M40</f>
        <v>5.0910384844422705</v>
      </c>
      <c r="T250" s="168">
        <f>Opex!N40</f>
        <v>6.0340819827200134</v>
      </c>
      <c r="U250" s="168">
        <f>Opex!O40</f>
        <v>3.8283692157385985</v>
      </c>
      <c r="V250" s="168">
        <f>Opex!P40</f>
        <v>4.0554285723209658</v>
      </c>
      <c r="W250" s="168">
        <f>Opex!Q40</f>
        <v>2.8812802621867877</v>
      </c>
      <c r="X250" s="420">
        <f>Opex!R40</f>
        <v>4.0160861417195584</v>
      </c>
      <c r="Y250" s="430"/>
      <c r="Z250" s="430"/>
      <c r="AA250" s="430"/>
      <c r="AB250" s="430"/>
      <c r="AC250" s="430"/>
      <c r="AD250" s="430"/>
    </row>
    <row r="251" spans="1:30" x14ac:dyDescent="0.2">
      <c r="O251" s="108" t="s">
        <v>64</v>
      </c>
      <c r="P251" s="168">
        <f>Opex!J41</f>
        <v>26.015172828646161</v>
      </c>
      <c r="Q251" s="168">
        <f>Opex!K41</f>
        <v>22.260197745352684</v>
      </c>
      <c r="R251" s="168">
        <f>Opex!L41</f>
        <v>21.314536038801844</v>
      </c>
      <c r="S251" s="168">
        <f>Opex!M41</f>
        <v>17.452429038490369</v>
      </c>
      <c r="T251" s="168">
        <f>Opex!N41</f>
        <v>16.672043728948729</v>
      </c>
      <c r="U251" s="168">
        <f>Opex!O41</f>
        <v>16.950193170690572</v>
      </c>
      <c r="V251" s="168">
        <f>Opex!P41</f>
        <v>20.235451995104324</v>
      </c>
      <c r="W251" s="168">
        <f>Opex!Q41</f>
        <v>16.610918349601821</v>
      </c>
      <c r="X251" s="422">
        <f>Opex!R41</f>
        <v>15.317084601406091</v>
      </c>
      <c r="Y251" s="430"/>
      <c r="Z251" s="430"/>
      <c r="AA251" s="430"/>
      <c r="AB251" s="430"/>
      <c r="AC251" s="430"/>
      <c r="AD251" s="430"/>
    </row>
    <row r="252" spans="1:30" x14ac:dyDescent="0.2">
      <c r="O252" s="108" t="s">
        <v>1197</v>
      </c>
      <c r="P252" s="168">
        <f>Opex!J42</f>
        <v>8.671523454557466</v>
      </c>
      <c r="Q252" s="168">
        <f>Opex!K42</f>
        <v>8.1622605438858358</v>
      </c>
      <c r="R252" s="168">
        <f>Opex!L42</f>
        <v>8.1591779973464131</v>
      </c>
      <c r="S252" s="168">
        <f>Opex!M42</f>
        <v>11.081312318509985</v>
      </c>
      <c r="T252" s="168">
        <f>Opex!N42</f>
        <v>8.0178953672316666</v>
      </c>
      <c r="U252" s="168">
        <f>Opex!O42</f>
        <v>7.4763607199664932</v>
      </c>
      <c r="V252" s="168">
        <f>Opex!P42</f>
        <v>11.45900359458405</v>
      </c>
      <c r="W252" s="168">
        <f>Opex!Q42</f>
        <v>8.6113071182018945</v>
      </c>
      <c r="X252" s="422">
        <f>Opex!R42</f>
        <v>9.1681563937323887</v>
      </c>
      <c r="Y252" s="430"/>
      <c r="Z252" s="430"/>
      <c r="AA252" s="430"/>
      <c r="AB252" s="430"/>
      <c r="AC252" s="430"/>
      <c r="AD252" s="430"/>
    </row>
    <row r="253" spans="1:30" x14ac:dyDescent="0.2">
      <c r="O253" s="108" t="s">
        <v>1183</v>
      </c>
      <c r="P253" s="168">
        <f>Opex!J43</f>
        <v>9.2155781060077331</v>
      </c>
      <c r="Q253" s="168">
        <f>Opex!K43</f>
        <v>8.748754309182992</v>
      </c>
      <c r="R253" s="168">
        <f>Opex!L43</f>
        <v>9.2627780270860232</v>
      </c>
      <c r="S253" s="168">
        <f>Opex!M43</f>
        <v>8.8421036238516564</v>
      </c>
      <c r="T253" s="168">
        <f>Opex!N43</f>
        <v>8.4828726954967522</v>
      </c>
      <c r="U253" s="168">
        <f>Opex!O43</f>
        <v>4.1203531290903594</v>
      </c>
      <c r="V253" s="168">
        <f>Opex!P43</f>
        <v>3.1649390387616574</v>
      </c>
      <c r="W253" s="168">
        <f>Opex!Q43</f>
        <v>4.7024742309815561</v>
      </c>
      <c r="X253" s="422">
        <f>Opex!R43</f>
        <v>4.1175011599959799</v>
      </c>
      <c r="Y253" s="430"/>
      <c r="Z253" s="430"/>
      <c r="AA253" s="430"/>
      <c r="AB253" s="430"/>
      <c r="AC253" s="430"/>
      <c r="AD253" s="430"/>
    </row>
    <row r="254" spans="1:30" x14ac:dyDescent="0.2">
      <c r="O254" s="108" t="s">
        <v>1198</v>
      </c>
      <c r="P254" s="168">
        <f>SUM(Opex!J45+Opex!J46+Opex!J47)-P255</f>
        <v>44.970539589588569</v>
      </c>
      <c r="Q254" s="168">
        <f>SUM(Opex!K45+Opex!K46+Opex!K47)-Q255</f>
        <v>58.773556408818415</v>
      </c>
      <c r="R254" s="168">
        <f>SUM(Opex!L45+Opex!L46+Opex!L47)-R255</f>
        <v>46.305053737541016</v>
      </c>
      <c r="S254" s="168">
        <f>SUM(Opex!M45+Opex!M46+Opex!M47)-S255</f>
        <v>38.56071031392456</v>
      </c>
      <c r="T254" s="168">
        <f>SUM(Opex!N45+Opex!N46+Opex!N47)-T255</f>
        <v>44.930968272913347</v>
      </c>
      <c r="U254" s="168">
        <f>SUM(Opex!O45+Opex!O46+Opex!O47)-U255</f>
        <v>48.992498886170651</v>
      </c>
      <c r="V254" s="168">
        <f>SUM(Opex!P45+Opex!P46+Opex!P47)-V255</f>
        <v>32.670534983796401</v>
      </c>
      <c r="W254" s="168">
        <f>SUM(Opex!Q45+Opex!Q46+Opex!Q47)-W255</f>
        <v>39.900690259396093</v>
      </c>
      <c r="X254" s="422">
        <f>SUM(Opex!R45+Opex!R46+Opex!R47)-X255</f>
        <v>37.239475660359091</v>
      </c>
      <c r="Y254" s="430"/>
      <c r="Z254" s="430"/>
      <c r="AA254" s="430"/>
      <c r="AB254" s="430"/>
      <c r="AC254" s="430"/>
      <c r="AD254" s="430"/>
    </row>
    <row r="255" spans="1:30" x14ac:dyDescent="0.2">
      <c r="O255" s="108" t="s">
        <v>1199</v>
      </c>
      <c r="P255" s="430"/>
      <c r="Q255" s="430"/>
      <c r="R255" s="430"/>
      <c r="S255" s="57">
        <v>25.170646081648435</v>
      </c>
      <c r="T255" s="57">
        <v>24.163521096677027</v>
      </c>
      <c r="U255" s="57">
        <v>25.529507529309154</v>
      </c>
      <c r="V255" s="57">
        <v>22.065347683019443</v>
      </c>
      <c r="W255" s="430"/>
      <c r="X255" s="431"/>
      <c r="Y255" s="430"/>
      <c r="Z255" s="430"/>
      <c r="AA255" s="430"/>
      <c r="AB255" s="430"/>
      <c r="AC255" s="430"/>
      <c r="AD255" s="430"/>
    </row>
    <row r="256" spans="1:30" x14ac:dyDescent="0.2">
      <c r="O256" s="108" t="s">
        <v>99</v>
      </c>
      <c r="P256" s="430"/>
      <c r="Q256" s="430"/>
      <c r="R256" s="430"/>
      <c r="S256" s="430"/>
      <c r="T256" s="430"/>
      <c r="U256" s="430"/>
      <c r="V256" s="430"/>
      <c r="W256" s="430"/>
      <c r="X256" s="430"/>
      <c r="Y256" s="423">
        <f>Opex!S21</f>
        <v>69.054145392076393</v>
      </c>
      <c r="Z256" s="168">
        <f>Opex!T20</f>
        <v>75.18407329124922</v>
      </c>
      <c r="AA256" s="168">
        <f>Opex!U20</f>
        <v>76.192017940977578</v>
      </c>
      <c r="AB256" s="168">
        <f>Opex!V20</f>
        <v>76.651420075481582</v>
      </c>
      <c r="AC256" s="168">
        <f>Opex!W20</f>
        <v>77.676357781767294</v>
      </c>
      <c r="AD256" s="168">
        <f>Opex!X20</f>
        <v>78.018343595474704</v>
      </c>
    </row>
    <row r="257" spans="1:30" x14ac:dyDescent="0.2">
      <c r="O257" s="108" t="s">
        <v>72</v>
      </c>
      <c r="P257" s="168">
        <f t="shared" ref="P257:X257" si="6">SUM(P250:P255)</f>
        <v>96.849626628322085</v>
      </c>
      <c r="Q257" s="168">
        <f t="shared" si="6"/>
        <v>104.45310714601013</v>
      </c>
      <c r="R257" s="168">
        <f t="shared" si="6"/>
        <v>90.885387100542175</v>
      </c>
      <c r="S257" s="168">
        <f t="shared" si="6"/>
        <v>106.19823986086729</v>
      </c>
      <c r="T257" s="168">
        <f t="shared" si="6"/>
        <v>108.30138314398754</v>
      </c>
      <c r="U257" s="168">
        <f t="shared" si="6"/>
        <v>106.89728265096583</v>
      </c>
      <c r="V257" s="168">
        <f t="shared" si="6"/>
        <v>93.650705867586836</v>
      </c>
      <c r="W257" s="168">
        <f t="shared" si="6"/>
        <v>72.706670220368153</v>
      </c>
      <c r="X257" s="422">
        <f t="shared" si="6"/>
        <v>69.85830395721311</v>
      </c>
      <c r="Y257" s="423">
        <f t="shared" ref="Y257:AD257" si="7">Y256</f>
        <v>69.054145392076393</v>
      </c>
      <c r="Z257" s="168">
        <f t="shared" si="7"/>
        <v>75.18407329124922</v>
      </c>
      <c r="AA257" s="168">
        <f t="shared" si="7"/>
        <v>76.192017940977578</v>
      </c>
      <c r="AB257" s="168">
        <f t="shared" si="7"/>
        <v>76.651420075481582</v>
      </c>
      <c r="AC257" s="168">
        <f t="shared" si="7"/>
        <v>77.676357781767294</v>
      </c>
      <c r="AD257" s="168">
        <f t="shared" si="7"/>
        <v>78.018343595474704</v>
      </c>
    </row>
    <row r="258" spans="1:30" x14ac:dyDescent="0.2">
      <c r="O258" s="108" t="s">
        <v>188</v>
      </c>
      <c r="P258" s="168">
        <f>Opex!J22</f>
        <v>124.27969350934558</v>
      </c>
      <c r="Q258" s="168">
        <f>Opex!K22</f>
        <v>116.41118806826745</v>
      </c>
      <c r="R258" s="168">
        <f>Opex!L22</f>
        <v>111.90173620601161</v>
      </c>
      <c r="S258" s="168">
        <f>Opex!M22</f>
        <v>102.86488062596666</v>
      </c>
      <c r="T258" s="168">
        <f>Opex!N22</f>
        <v>93.730229634560231</v>
      </c>
      <c r="U258" s="168">
        <f>Opex!O22</f>
        <v>80.700122526951134</v>
      </c>
      <c r="V258" s="168">
        <f>Opex!P22</f>
        <v>80.063269958147245</v>
      </c>
      <c r="W258" s="168">
        <f>Opex!Q22</f>
        <v>79.688918527181769</v>
      </c>
      <c r="X258" s="422">
        <f>Opex!R22</f>
        <v>79.173241653886095</v>
      </c>
      <c r="Y258" s="423">
        <f>Opex!S22</f>
        <v>78.668685765827917</v>
      </c>
      <c r="Z258" s="430"/>
      <c r="AA258" s="430"/>
      <c r="AB258" s="430"/>
      <c r="AC258" s="430"/>
      <c r="AD258" s="430"/>
    </row>
    <row r="260" spans="1:30" x14ac:dyDescent="0.2">
      <c r="A260" s="52">
        <f>IF(SUM(P260:AD260)=0,0,1)</f>
        <v>0</v>
      </c>
      <c r="O260" s="108" t="s">
        <v>83</v>
      </c>
      <c r="P260" s="49">
        <f>IF(ROUND(P257-Opex!J21,4)=0,0,1)</f>
        <v>0</v>
      </c>
      <c r="Q260" s="49">
        <f>IF(ROUND(Q257-Opex!K21,4)=0,0,1)</f>
        <v>0</v>
      </c>
      <c r="R260" s="49">
        <f>IF(ROUND(R257-Opex!L21,4)=0,0,1)</f>
        <v>0</v>
      </c>
      <c r="S260" s="49">
        <f>IF(ROUND(S257-Opex!M21,4)=0,0,1)</f>
        <v>0</v>
      </c>
      <c r="T260" s="49">
        <f>IF(ROUND(T257-Opex!N21,4)=0,0,1)</f>
        <v>0</v>
      </c>
      <c r="U260" s="49">
        <f>IF(ROUND(U257-Opex!O21,4)=0,0,1)</f>
        <v>0</v>
      </c>
      <c r="V260" s="49">
        <f>IF(ROUND(V257-Opex!P21,4)=0,0,1)</f>
        <v>0</v>
      </c>
      <c r="W260" s="49">
        <f>IF(ROUND(W257-Opex!Q21,4)=0,0,1)</f>
        <v>0</v>
      </c>
      <c r="X260" s="49">
        <f>IF(ROUND(X257-Opex!R21,4)=0,0,1)</f>
        <v>0</v>
      </c>
      <c r="Y260" s="49">
        <f>IF(ROUND(Y257-Opex!S21,4)=0,0,1)</f>
        <v>0</v>
      </c>
      <c r="Z260" s="49">
        <f>IF(ROUND(Z257-Opex!T20,4)=0,0,1)</f>
        <v>0</v>
      </c>
      <c r="AA260" s="49">
        <f>IF(ROUND(AA257-Opex!U20,4)=0,0,1)</f>
        <v>0</v>
      </c>
      <c r="AB260" s="49">
        <f>IF(ROUND(AB257-Opex!V20,4)=0,0,1)</f>
        <v>0</v>
      </c>
      <c r="AC260" s="49">
        <f>IF(ROUND(AC257-Opex!W20,4)=0,0,1)</f>
        <v>0</v>
      </c>
      <c r="AD260" s="49">
        <f>IF(ROUND(AD257-Opex!X20,4)=0,0,1)</f>
        <v>0</v>
      </c>
    </row>
    <row r="261" spans="1:30" x14ac:dyDescent="0.2">
      <c r="R261" s="97"/>
      <c r="S261" s="97"/>
      <c r="T261" s="97"/>
    </row>
    <row r="262" spans="1:30" x14ac:dyDescent="0.2">
      <c r="O262" s="108" t="s">
        <v>295</v>
      </c>
      <c r="P262" s="63" t="s">
        <v>333</v>
      </c>
      <c r="R262" s="97"/>
      <c r="S262" s="97"/>
      <c r="T262" s="97"/>
    </row>
    <row r="263" spans="1:30" x14ac:dyDescent="0.2">
      <c r="R263" s="97"/>
      <c r="S263" s="97"/>
      <c r="T263" s="97"/>
    </row>
    <row r="264" spans="1:30" x14ac:dyDescent="0.2">
      <c r="O264" s="108" t="s">
        <v>1215</v>
      </c>
      <c r="P264" s="168">
        <f>SUM(P257:T257)</f>
        <v>506.68774387972917</v>
      </c>
      <c r="Q264" s="155" t="str">
        <f>O264&amp;" "&amp;TEXT(P264,"$000")&amp;"M"</f>
        <v>2014-19 Capex: $507M</v>
      </c>
      <c r="R264" s="97"/>
      <c r="S264" s="97"/>
      <c r="T264" s="97"/>
    </row>
    <row r="265" spans="1:30" x14ac:dyDescent="0.2">
      <c r="O265" s="108" t="s">
        <v>1216</v>
      </c>
      <c r="P265" s="168">
        <f>SUM(U257:Y257)</f>
        <v>412.1671080882104</v>
      </c>
      <c r="Q265" s="155" t="str">
        <f>O265&amp;" "&amp;TEXT(P265,"$000")&amp;"M"</f>
        <v>2019-24 Capex: $412M</v>
      </c>
      <c r="R265" s="97"/>
      <c r="S265" s="97"/>
      <c r="T265" s="97"/>
    </row>
    <row r="266" spans="1:30" x14ac:dyDescent="0.2">
      <c r="O266" s="108" t="s">
        <v>1217</v>
      </c>
      <c r="P266" s="168">
        <f>SUM(Z257:AD257)</f>
        <v>383.72221268495036</v>
      </c>
      <c r="Q266" s="155" t="str">
        <f>O266&amp;" "&amp;TEXT(P266,"$000")&amp;"M"</f>
        <v>2024-29 Capex: $384M</v>
      </c>
      <c r="R266" s="97"/>
      <c r="S266" s="97"/>
      <c r="T266" s="97"/>
    </row>
    <row r="267" spans="1:30" x14ac:dyDescent="0.2">
      <c r="R267" s="97"/>
      <c r="S267" s="97"/>
      <c r="T267" s="97"/>
    </row>
    <row r="268" spans="1:30" x14ac:dyDescent="0.2">
      <c r="R268" s="97"/>
      <c r="S268" s="97"/>
      <c r="T268" s="97"/>
    </row>
    <row r="269" spans="1:30" s="6" customFormat="1" ht="18.75" x14ac:dyDescent="0.2">
      <c r="B269" s="6" t="s">
        <v>1221</v>
      </c>
    </row>
    <row r="271" spans="1:30" s="121" customFormat="1" ht="15.75" x14ac:dyDescent="0.2">
      <c r="C271" s="121" t="s">
        <v>1204</v>
      </c>
    </row>
    <row r="272" spans="1:30" x14ac:dyDescent="0.2">
      <c r="R272" s="97"/>
      <c r="S272" s="97"/>
      <c r="T272" s="97"/>
    </row>
    <row r="273" spans="2:20" x14ac:dyDescent="0.2">
      <c r="C273" s="45" t="s">
        <v>891</v>
      </c>
      <c r="R273" s="97"/>
      <c r="S273" s="97"/>
      <c r="T273" s="97"/>
    </row>
    <row r="274" spans="2:20" x14ac:dyDescent="0.2">
      <c r="R274" s="97"/>
      <c r="S274" s="97"/>
      <c r="T274" s="97"/>
    </row>
    <row r="275" spans="2:20" s="6" customFormat="1" ht="18.75" x14ac:dyDescent="0.2">
      <c r="B275" s="6" t="s">
        <v>1222</v>
      </c>
    </row>
    <row r="277" spans="2:20" s="121" customFormat="1" ht="15.75" x14ac:dyDescent="0.2">
      <c r="C277" s="121" t="s">
        <v>160</v>
      </c>
    </row>
    <row r="279" spans="2:20" x14ac:dyDescent="0.2">
      <c r="D279" s="60" t="s">
        <v>1222</v>
      </c>
    </row>
    <row r="281" spans="2:20" x14ac:dyDescent="0.2">
      <c r="D281" s="45" t="s">
        <v>882</v>
      </c>
      <c r="I281" s="74">
        <f>R282-Q282</f>
        <v>37.81937490636551</v>
      </c>
      <c r="P281" s="61" t="s">
        <v>783</v>
      </c>
      <c r="Q281" s="61" t="s">
        <v>784</v>
      </c>
      <c r="R281" s="61" t="s">
        <v>782</v>
      </c>
    </row>
    <row r="282" spans="2:20" x14ac:dyDescent="0.2">
      <c r="D282" s="45" t="s">
        <v>883</v>
      </c>
      <c r="I282" s="334">
        <f>R282/Q282-1</f>
        <v>2.7219162550878639E-2</v>
      </c>
      <c r="O282" s="45" t="s">
        <v>969</v>
      </c>
      <c r="P282" s="74">
        <f>AVERAGE(T297:Y297)</f>
        <v>1473.3303537214551</v>
      </c>
      <c r="Q282" s="74">
        <f>AVERAGE(T293:Y293)</f>
        <v>1389.4393273735996</v>
      </c>
      <c r="R282" s="74">
        <f>AVERAGE(T294:Y294)</f>
        <v>1427.2587022799651</v>
      </c>
    </row>
    <row r="283" spans="2:20" x14ac:dyDescent="0.2">
      <c r="D283" s="45" t="s">
        <v>884</v>
      </c>
      <c r="I283" s="74">
        <f>R282-P282</f>
        <v>-46.071651441490076</v>
      </c>
      <c r="O283" s="45" t="s">
        <v>970</v>
      </c>
      <c r="P283" s="74">
        <f>AVERAGE(T298:Y298)</f>
        <v>4153.7417183825874</v>
      </c>
      <c r="Q283" s="74">
        <f>AVERAGE(T295:Y295)</f>
        <v>3917.2288039103878</v>
      </c>
      <c r="R283" s="74">
        <f>AVERAGE(T296:Y296)</f>
        <v>4023.8524914730083</v>
      </c>
    </row>
    <row r="284" spans="2:20" x14ac:dyDescent="0.2">
      <c r="D284" s="45" t="s">
        <v>883</v>
      </c>
      <c r="I284" s="334">
        <f>R282/P282-1</f>
        <v>-3.1270414897187626E-2</v>
      </c>
    </row>
    <row r="286" spans="2:20" x14ac:dyDescent="0.2">
      <c r="D286" s="45" t="s">
        <v>1127</v>
      </c>
      <c r="I286" s="334">
        <f>TSS_O!$N$114</f>
        <v>0.14545454545454545</v>
      </c>
    </row>
    <row r="287" spans="2:20" x14ac:dyDescent="0.2">
      <c r="D287" s="45" t="s">
        <v>1128</v>
      </c>
      <c r="I287" s="334">
        <f>TSS_O!L113</f>
        <v>0.1122328118842657</v>
      </c>
    </row>
    <row r="288" spans="2:20" x14ac:dyDescent="0.2">
      <c r="D288" s="45" t="s">
        <v>1162</v>
      </c>
      <c r="I288" s="334">
        <f>I287</f>
        <v>0.1122328118842657</v>
      </c>
    </row>
    <row r="290" spans="3:25" s="121" customFormat="1" ht="15.75" x14ac:dyDescent="0.2">
      <c r="C290" s="121" t="s">
        <v>1203</v>
      </c>
    </row>
    <row r="292" spans="3:25" ht="15" x14ac:dyDescent="0.2">
      <c r="P292" s="167" t="str">
        <f>LookupTab!R$40</f>
        <v>FY20</v>
      </c>
      <c r="Q292" s="167" t="str">
        <f>LookupTab!S$40</f>
        <v>FY21</v>
      </c>
      <c r="R292" s="167" t="str">
        <f>LookupTab!T$40</f>
        <v>FY22</v>
      </c>
      <c r="S292" s="167" t="str">
        <f>LookupTab!U$40</f>
        <v>FY23</v>
      </c>
      <c r="T292" s="167" t="str">
        <f>LookupTab!V$40</f>
        <v>FY24</v>
      </c>
      <c r="U292" s="167" t="str">
        <f>LookupTab!W$40</f>
        <v>FY25</v>
      </c>
      <c r="V292" s="167" t="str">
        <f>LookupTab!X$40</f>
        <v>FY26</v>
      </c>
      <c r="W292" s="167" t="str">
        <f>LookupTab!Y$40</f>
        <v>FY27</v>
      </c>
      <c r="X292" s="167" t="str">
        <f>LookupTab!Z$40</f>
        <v>FY28</v>
      </c>
      <c r="Y292" s="167" t="str">
        <f>LookupTab!AA$40</f>
        <v>FY29</v>
      </c>
    </row>
    <row r="293" spans="3:25" x14ac:dyDescent="0.2">
      <c r="O293" s="82" t="s">
        <v>645</v>
      </c>
      <c r="P293" s="47"/>
      <c r="Q293" s="47"/>
      <c r="R293" s="47"/>
      <c r="S293" s="47"/>
      <c r="T293" s="46">
        <v>1157.75</v>
      </c>
      <c r="U293" s="46">
        <v>1211.4631278343584</v>
      </c>
      <c r="V293" s="46">
        <v>1311.8698591818811</v>
      </c>
      <c r="W293" s="46">
        <v>1427.316687873217</v>
      </c>
      <c r="X293" s="46">
        <v>1565.4145847539164</v>
      </c>
      <c r="Y293" s="46">
        <v>1662.8217045982242</v>
      </c>
    </row>
    <row r="294" spans="3:25" x14ac:dyDescent="0.2">
      <c r="O294" s="82" t="s">
        <v>647</v>
      </c>
      <c r="P294" s="47"/>
      <c r="Q294" s="47"/>
      <c r="R294" s="47"/>
      <c r="S294" s="47"/>
      <c r="T294" s="46">
        <v>1157.75</v>
      </c>
      <c r="U294" s="46">
        <v>1223.6414334409278</v>
      </c>
      <c r="V294" s="46">
        <v>1338.3777293926064</v>
      </c>
      <c r="W294" s="46">
        <v>1470.7954051406414</v>
      </c>
      <c r="X294" s="46">
        <v>1629.3158049596907</v>
      </c>
      <c r="Y294" s="46">
        <v>1743.6718407459239</v>
      </c>
    </row>
    <row r="295" spans="3:25" x14ac:dyDescent="0.2">
      <c r="O295" s="82" t="s">
        <v>646</v>
      </c>
      <c r="P295" s="47"/>
      <c r="Q295" s="47"/>
      <c r="R295" s="47"/>
      <c r="S295" s="47"/>
      <c r="T295" s="46">
        <v>3264.03</v>
      </c>
      <c r="U295" s="46">
        <v>3415.4627451048859</v>
      </c>
      <c r="V295" s="46">
        <v>3698.5381787652223</v>
      </c>
      <c r="W295" s="46">
        <v>4024.0159695260786</v>
      </c>
      <c r="X295" s="46">
        <v>4413.3536316772424</v>
      </c>
      <c r="Y295" s="46">
        <v>4687.9722983888951</v>
      </c>
    </row>
    <row r="296" spans="3:25" x14ac:dyDescent="0.2">
      <c r="O296" s="82" t="s">
        <v>648</v>
      </c>
      <c r="P296" s="47"/>
      <c r="Q296" s="47"/>
      <c r="R296" s="47"/>
      <c r="S296" s="47"/>
      <c r="T296" s="46">
        <v>3264.03</v>
      </c>
      <c r="U296" s="46">
        <v>3449.796888787901</v>
      </c>
      <c r="V296" s="46">
        <v>3773.2714835407901</v>
      </c>
      <c r="W296" s="46">
        <v>4146.5949697613551</v>
      </c>
      <c r="X296" s="46">
        <v>4593.5095373462154</v>
      </c>
      <c r="Y296" s="46">
        <v>4915.9120694017884</v>
      </c>
    </row>
    <row r="297" spans="3:25" x14ac:dyDescent="0.2">
      <c r="O297" s="82" t="s">
        <v>651</v>
      </c>
      <c r="P297" s="47"/>
      <c r="Q297" s="47"/>
      <c r="R297" s="47"/>
      <c r="S297" s="47"/>
      <c r="T297" s="46">
        <v>1157.75</v>
      </c>
      <c r="U297" s="46">
        <v>1240.5449458103203</v>
      </c>
      <c r="V297" s="46">
        <v>1375.6101148044736</v>
      </c>
      <c r="W297" s="46">
        <v>1532.5944664549299</v>
      </c>
      <c r="X297" s="46">
        <v>1721.2287384729952</v>
      </c>
      <c r="Y297" s="46">
        <v>1812.2538567860115</v>
      </c>
    </row>
    <row r="298" spans="3:25" x14ac:dyDescent="0.2">
      <c r="O298" s="82" t="s">
        <v>652</v>
      </c>
      <c r="P298" s="47"/>
      <c r="Q298" s="47"/>
      <c r="R298" s="47"/>
      <c r="S298" s="47"/>
      <c r="T298" s="46">
        <v>3264.03</v>
      </c>
      <c r="U298" s="46">
        <v>3497.4527484113669</v>
      </c>
      <c r="V298" s="46">
        <v>3878.2402790112255</v>
      </c>
      <c r="W298" s="46">
        <v>4320.8242853317952</v>
      </c>
      <c r="X298" s="46">
        <v>4852.6385137015859</v>
      </c>
      <c r="Y298" s="46">
        <v>5109.2644838395545</v>
      </c>
    </row>
    <row r="300" spans="3:25" x14ac:dyDescent="0.2">
      <c r="O300" s="108" t="s">
        <v>295</v>
      </c>
      <c r="P300" s="63" t="s">
        <v>636</v>
      </c>
      <c r="S300" s="108" t="s">
        <v>1129</v>
      </c>
      <c r="T300" s="375">
        <f>Input_CPI!AC28</f>
        <v>1</v>
      </c>
      <c r="U300" s="375">
        <v>1.0279978112784547</v>
      </c>
      <c r="V300" s="375">
        <v>1.0567794999932933</v>
      </c>
      <c r="W300" s="375">
        <v>1.0863670129970453</v>
      </c>
      <c r="X300" s="375">
        <v>1.1167829116060752</v>
      </c>
      <c r="Y300" s="375">
        <v>1.1480503888042253</v>
      </c>
    </row>
    <row r="301" spans="3:25" x14ac:dyDescent="0.2">
      <c r="O301" s="108" t="s">
        <v>295</v>
      </c>
      <c r="P301" s="63" t="str">
        <f>Nominal&amp;", "&amp;Unit_Dollar</f>
        <v>Nominal, $</v>
      </c>
    </row>
    <row r="314" spans="3:12" s="121" customFormat="1" ht="15.75" x14ac:dyDescent="0.2">
      <c r="C314" s="121" t="s">
        <v>1205</v>
      </c>
    </row>
    <row r="316" spans="3:12" x14ac:dyDescent="0.2">
      <c r="L316" s="201" t="s">
        <v>1130</v>
      </c>
    </row>
    <row r="338" spans="2:9" s="6" customFormat="1" ht="18.75" x14ac:dyDescent="0.2">
      <c r="B338" s="6" t="s">
        <v>1223</v>
      </c>
    </row>
    <row r="340" spans="2:9" s="6" customFormat="1" ht="18.75" x14ac:dyDescent="0.2">
      <c r="B340" s="6" t="s">
        <v>1224</v>
      </c>
    </row>
    <row r="342" spans="2:9" s="121" customFormat="1" ht="15.75" x14ac:dyDescent="0.2">
      <c r="C342" s="121" t="s">
        <v>1225</v>
      </c>
    </row>
    <row r="343" spans="2:9" ht="13.5" thickBot="1" x14ac:dyDescent="0.25"/>
    <row r="344" spans="2:9" ht="15.75" thickBot="1" x14ac:dyDescent="0.25">
      <c r="D344" s="158"/>
      <c r="E344" s="219" t="s">
        <v>199</v>
      </c>
      <c r="F344" s="219" t="s">
        <v>200</v>
      </c>
      <c r="G344" s="219" t="s">
        <v>201</v>
      </c>
      <c r="H344" s="219" t="s">
        <v>202</v>
      </c>
      <c r="I344" s="219" t="s">
        <v>203</v>
      </c>
    </row>
    <row r="345" spans="2:9" ht="15" x14ac:dyDescent="0.2">
      <c r="D345" s="159" t="s">
        <v>1233</v>
      </c>
      <c r="E345" s="444"/>
      <c r="F345" s="444"/>
      <c r="G345" s="444"/>
      <c r="H345" s="444"/>
      <c r="I345" s="444"/>
    </row>
    <row r="346" spans="2:9" ht="15" x14ac:dyDescent="0.2">
      <c r="D346" s="427" t="s">
        <v>329</v>
      </c>
      <c r="E346" s="445">
        <v>48027.665123851613</v>
      </c>
      <c r="F346" s="445">
        <v>52427.695523745802</v>
      </c>
      <c r="G346" s="445">
        <v>59041.351161433784</v>
      </c>
      <c r="H346" s="445">
        <v>65457.620858180759</v>
      </c>
      <c r="I346" s="445">
        <v>71599.217384379939</v>
      </c>
    </row>
    <row r="347" spans="2:9" ht="15" x14ac:dyDescent="0.2">
      <c r="D347" s="428" t="s">
        <v>330</v>
      </c>
      <c r="E347" s="442">
        <v>41231.838199424688</v>
      </c>
      <c r="F347" s="442">
        <v>37391.159203273921</v>
      </c>
      <c r="G347" s="442">
        <v>31339.648251773688</v>
      </c>
      <c r="H347" s="442">
        <v>25487.338242042224</v>
      </c>
      <c r="I347" s="442">
        <v>19912.538701759757</v>
      </c>
    </row>
    <row r="348" spans="2:9" ht="15" x14ac:dyDescent="0.2">
      <c r="D348" s="427" t="s">
        <v>72</v>
      </c>
      <c r="E348" s="443">
        <v>89259.503323276294</v>
      </c>
      <c r="F348" s="443">
        <v>89818.85472701973</v>
      </c>
      <c r="G348" s="443">
        <v>90380.999413207464</v>
      </c>
      <c r="H348" s="443">
        <v>90944.959100222986</v>
      </c>
      <c r="I348" s="443">
        <v>91511.756086139692</v>
      </c>
    </row>
    <row r="349" spans="2:9" ht="15" x14ac:dyDescent="0.2">
      <c r="D349" s="159" t="s">
        <v>1232</v>
      </c>
      <c r="E349" s="442"/>
      <c r="F349" s="442"/>
      <c r="G349" s="442"/>
      <c r="H349" s="442"/>
      <c r="I349" s="442"/>
    </row>
    <row r="350" spans="2:9" ht="15" x14ac:dyDescent="0.2">
      <c r="D350" s="427" t="s">
        <v>329</v>
      </c>
      <c r="E350" s="445">
        <f>TSES!U106</f>
        <v>55909.443480661212</v>
      </c>
      <c r="F350" s="445">
        <f>TSES!V106</f>
        <v>66002.347722079023</v>
      </c>
      <c r="G350" s="445">
        <f>TSES!W106</f>
        <v>75836.713643098628</v>
      </c>
      <c r="H350" s="445">
        <f>TSES!X106</f>
        <v>85476.217085110213</v>
      </c>
      <c r="I350" s="445">
        <f>TSES!Y106</f>
        <v>91672.534971068919</v>
      </c>
    </row>
    <row r="351" spans="2:9" ht="15" x14ac:dyDescent="0.2">
      <c r="D351" s="428" t="s">
        <v>330</v>
      </c>
      <c r="E351" s="446">
        <f>TSES!U107</f>
        <v>33510.901714357555</v>
      </c>
      <c r="F351" s="446">
        <f>TSES!V107</f>
        <v>23977.300845586171</v>
      </c>
      <c r="G351" s="446">
        <f>TSES!W107</f>
        <v>14705.036757529502</v>
      </c>
      <c r="H351" s="446">
        <f>TSES!X107</f>
        <v>5629.5615060955488</v>
      </c>
      <c r="I351" s="446">
        <f>TSES!Y107</f>
        <v>5.9216463608208869E-2</v>
      </c>
    </row>
    <row r="352" spans="2:9" ht="15.75" thickBot="1" x14ac:dyDescent="0.25">
      <c r="D352" s="462" t="s">
        <v>72</v>
      </c>
      <c r="E352" s="447">
        <f>TSES!U108</f>
        <v>89420.345195018774</v>
      </c>
      <c r="F352" s="447">
        <f>TSES!V108</f>
        <v>89979.648567665194</v>
      </c>
      <c r="G352" s="447">
        <f>TSES!W108</f>
        <v>90541.750400628138</v>
      </c>
      <c r="H352" s="447">
        <f>TSES!X108</f>
        <v>91105.778591205759</v>
      </c>
      <c r="I352" s="447">
        <f>TSES!Y108</f>
        <v>91672.594187532522</v>
      </c>
    </row>
    <row r="355" spans="3:25" s="121" customFormat="1" ht="15.75" x14ac:dyDescent="0.2">
      <c r="C355" s="121" t="s">
        <v>1309</v>
      </c>
    </row>
    <row r="357" spans="3:25" x14ac:dyDescent="0.2">
      <c r="J357" s="97"/>
      <c r="K357" s="477" t="s">
        <v>231</v>
      </c>
      <c r="L357" s="477"/>
      <c r="M357" s="477"/>
      <c r="N357" s="477"/>
      <c r="O357" s="477"/>
      <c r="P357" s="477" t="s">
        <v>230</v>
      </c>
      <c r="Q357" s="477"/>
      <c r="R357" s="477"/>
      <c r="S357" s="477"/>
      <c r="T357" s="477"/>
      <c r="U357" s="477" t="s">
        <v>382</v>
      </c>
      <c r="V357" s="477"/>
      <c r="W357" s="477"/>
      <c r="X357" s="477"/>
      <c r="Y357" s="477"/>
    </row>
    <row r="358" spans="3:25" x14ac:dyDescent="0.2">
      <c r="J358" s="145" t="s">
        <v>56</v>
      </c>
      <c r="K358" s="146" t="str">
        <f>LookupTab!M$43</f>
        <v>2014/15</v>
      </c>
      <c r="L358" s="146" t="str">
        <f>LookupTab!N$43</f>
        <v>2015/16</v>
      </c>
      <c r="M358" s="146" t="str">
        <f>LookupTab!O$43</f>
        <v>2016/17</v>
      </c>
      <c r="N358" s="146" t="str">
        <f>LookupTab!P$43</f>
        <v>2017/18</v>
      </c>
      <c r="O358" s="146" t="str">
        <f>LookupTab!Q$43</f>
        <v>2018/19</v>
      </c>
      <c r="P358" s="146" t="str">
        <f>LookupTab!R$43</f>
        <v>2019/20</v>
      </c>
      <c r="Q358" s="146" t="str">
        <f>LookupTab!S$43</f>
        <v>2020/21</v>
      </c>
      <c r="R358" s="146" t="str">
        <f>LookupTab!T$43</f>
        <v>2021/22</v>
      </c>
      <c r="S358" s="146" t="str">
        <f>LookupTab!U$43</f>
        <v>2022/23</v>
      </c>
      <c r="T358" s="146" t="str">
        <f>LookupTab!V$43</f>
        <v>2023/24</v>
      </c>
      <c r="U358" s="146" t="str">
        <f>LookupTab!W$43</f>
        <v>2024/25</v>
      </c>
      <c r="V358" s="146" t="str">
        <f>LookupTab!X$43</f>
        <v>2025/26</v>
      </c>
      <c r="W358" s="146" t="str">
        <f>LookupTab!Y$43</f>
        <v>2026/27</v>
      </c>
      <c r="X358" s="146" t="str">
        <f>LookupTab!Z$43</f>
        <v>2027/28</v>
      </c>
      <c r="Y358" s="146" t="str">
        <f>LookupTab!AA$43</f>
        <v>2028/29</v>
      </c>
    </row>
    <row r="359" spans="3:25" x14ac:dyDescent="0.2">
      <c r="J359" s="147" t="s">
        <v>1234</v>
      </c>
      <c r="K359" s="448">
        <f>ACS_Metering!J40</f>
        <v>1.394411273884189</v>
      </c>
      <c r="L359" s="449">
        <f>ACS_Metering!K40</f>
        <v>1.5696886037713376</v>
      </c>
      <c r="M359" s="449">
        <f>ACS_Metering!L40</f>
        <v>1.6373910012026565</v>
      </c>
      <c r="N359" s="449">
        <f>ACS_Metering!M40</f>
        <v>1.669642078937831</v>
      </c>
      <c r="O359" s="450">
        <f>ACS_Metering!N40</f>
        <v>1.72385744511525</v>
      </c>
      <c r="P359" s="448">
        <f>ACS_Metering!O40</f>
        <v>0.80746775358258893</v>
      </c>
      <c r="Q359" s="449">
        <f>ACS_Metering!P40</f>
        <v>1.1524169708430168</v>
      </c>
      <c r="R359" s="449">
        <f>ACS_Metering!Q40</f>
        <v>1.2876305826031953</v>
      </c>
      <c r="S359" s="449">
        <f>ACS_Metering!R40</f>
        <v>1.421043689925384</v>
      </c>
      <c r="T359" s="450">
        <f>ACS_Metering!S40</f>
        <v>1.7649270992630139</v>
      </c>
      <c r="U359" s="448">
        <f>ACS_Metering!T40</f>
        <v>2.6469937319325036</v>
      </c>
      <c r="V359" s="449">
        <f>ACS_Metering!U40</f>
        <v>3.2164371712739315</v>
      </c>
      <c r="W359" s="449">
        <f>ACS_Metering!V40</f>
        <v>3.7700339408515418</v>
      </c>
      <c r="X359" s="449">
        <f>ACS_Metering!W40</f>
        <v>4.3057878439251231</v>
      </c>
      <c r="Y359" s="450">
        <f>ACS_Metering!X40</f>
        <v>4.908119789874628</v>
      </c>
    </row>
    <row r="360" spans="3:25" x14ac:dyDescent="0.2">
      <c r="J360" s="147" t="s">
        <v>1235</v>
      </c>
      <c r="K360" s="448">
        <f>ACS_Metering!J41</f>
        <v>0.99006240266489309</v>
      </c>
      <c r="L360" s="449">
        <f>ACS_Metering!K41</f>
        <v>1.1753321949980029</v>
      </c>
      <c r="M360" s="449">
        <f>ACS_Metering!L41</f>
        <v>1.0557842982919445</v>
      </c>
      <c r="N360" s="449">
        <f>ACS_Metering!M41</f>
        <v>1.1480014385182091</v>
      </c>
      <c r="O360" s="450">
        <f>ACS_Metering!N41</f>
        <v>1.2685595697669574</v>
      </c>
      <c r="P360" s="448">
        <f>ACS_Metering!O41</f>
        <v>0.60603745916627894</v>
      </c>
      <c r="Q360" s="449">
        <f>ACS_Metering!P41</f>
        <v>1.0449003787708968</v>
      </c>
      <c r="R360" s="449">
        <f>ACS_Metering!Q41</f>
        <v>1.2862760900528358</v>
      </c>
      <c r="S360" s="449">
        <f>ACS_Metering!R41</f>
        <v>1.5398942515041245</v>
      </c>
      <c r="T360" s="450">
        <f>ACS_Metering!S41</f>
        <v>2.0225970318511157</v>
      </c>
      <c r="U360" s="448">
        <f>ACS_Metering!T41</f>
        <v>2.2937825388517505</v>
      </c>
      <c r="V360" s="449">
        <f>ACS_Metering!U41</f>
        <v>2.8727321488314117</v>
      </c>
      <c r="W360" s="449">
        <f>ACS_Metering!V41</f>
        <v>3.4463377269893192</v>
      </c>
      <c r="X360" s="449">
        <f>ACS_Metering!W41</f>
        <v>4.1402003210108624</v>
      </c>
      <c r="Y360" s="450">
        <f>ACS_Metering!X41</f>
        <v>4.8027950552612602</v>
      </c>
    </row>
    <row r="361" spans="3:25" x14ac:dyDescent="0.2">
      <c r="J361" s="147" t="s">
        <v>92</v>
      </c>
      <c r="K361" s="448">
        <f>ACS_Metering!J42</f>
        <v>3.586644796595623</v>
      </c>
      <c r="L361" s="449">
        <f>ACS_Metering!K42</f>
        <v>3.7326498441080913</v>
      </c>
      <c r="M361" s="449">
        <f>ACS_Metering!L42</f>
        <v>3.7980626827019437</v>
      </c>
      <c r="N361" s="449">
        <f>ACS_Metering!M42</f>
        <v>3.6401429561158278</v>
      </c>
      <c r="O361" s="450">
        <f>ACS_Metering!N42</f>
        <v>3.4758318230631748</v>
      </c>
      <c r="P361" s="448">
        <f>ACS_Metering!O42</f>
        <v>6.5708456762364635</v>
      </c>
      <c r="Q361" s="449">
        <f>ACS_Metering!P42</f>
        <v>6.4828521674567758</v>
      </c>
      <c r="R361" s="449">
        <f>ACS_Metering!Q42</f>
        <v>6.4072286528105806</v>
      </c>
      <c r="S361" s="449">
        <f>ACS_Metering!R42</f>
        <v>6.3182732547463356</v>
      </c>
      <c r="T361" s="450">
        <f>ACS_Metering!S42</f>
        <v>6.2381142237716212</v>
      </c>
      <c r="U361" s="448">
        <f>ACS_Metering!T42</f>
        <v>6.572076500624072</v>
      </c>
      <c r="V361" s="449">
        <f>ACS_Metering!U42</f>
        <v>6.6386933589378012</v>
      </c>
      <c r="W361" s="449">
        <f>ACS_Metering!V42</f>
        <v>6.7119499541636438</v>
      </c>
      <c r="X361" s="449">
        <f>ACS_Metering!W42</f>
        <v>6.7887759029885801</v>
      </c>
      <c r="Y361" s="450">
        <f>ACS_Metering!X42</f>
        <v>6.8519919588775391</v>
      </c>
    </row>
    <row r="362" spans="3:25" x14ac:dyDescent="0.2">
      <c r="J362" s="147" t="s">
        <v>1236</v>
      </c>
      <c r="K362" s="448">
        <f>ACS_Metering!J43</f>
        <v>0</v>
      </c>
      <c r="L362" s="449">
        <f>ACS_Metering!K43</f>
        <v>0</v>
      </c>
      <c r="M362" s="449">
        <f>ACS_Metering!L43</f>
        <v>0</v>
      </c>
      <c r="N362" s="449">
        <f>ACS_Metering!M43</f>
        <v>0</v>
      </c>
      <c r="O362" s="450">
        <f>ACS_Metering!N43</f>
        <v>0</v>
      </c>
      <c r="P362" s="448">
        <f>ACS_Metering!O43</f>
        <v>0</v>
      </c>
      <c r="Q362" s="449">
        <f>ACS_Metering!P43</f>
        <v>0</v>
      </c>
      <c r="R362" s="449">
        <f>ACS_Metering!Q43</f>
        <v>0</v>
      </c>
      <c r="S362" s="449">
        <f>ACS_Metering!R43</f>
        <v>0</v>
      </c>
      <c r="T362" s="450">
        <f>ACS_Metering!S43</f>
        <v>0</v>
      </c>
      <c r="U362" s="448">
        <f>ACS_Metering!T43</f>
        <v>0</v>
      </c>
      <c r="V362" s="449">
        <f>ACS_Metering!U43</f>
        <v>0</v>
      </c>
      <c r="W362" s="449">
        <f>ACS_Metering!V43</f>
        <v>0</v>
      </c>
      <c r="X362" s="449">
        <f>ACS_Metering!W43</f>
        <v>0</v>
      </c>
      <c r="Y362" s="450">
        <f>ACS_Metering!X43</f>
        <v>0</v>
      </c>
    </row>
    <row r="363" spans="3:25" x14ac:dyDescent="0.2">
      <c r="J363" s="147" t="s">
        <v>182</v>
      </c>
      <c r="K363" s="448">
        <f>ACS_Metering!J44</f>
        <v>0</v>
      </c>
      <c r="L363" s="449">
        <f>ACS_Metering!K44</f>
        <v>0</v>
      </c>
      <c r="M363" s="449">
        <f>ACS_Metering!L44</f>
        <v>0</v>
      </c>
      <c r="N363" s="449">
        <f>ACS_Metering!M44</f>
        <v>0</v>
      </c>
      <c r="O363" s="450">
        <f>ACS_Metering!N44</f>
        <v>0</v>
      </c>
      <c r="P363" s="448">
        <f>ACS_Metering!O44</f>
        <v>0</v>
      </c>
      <c r="Q363" s="449">
        <f>ACS_Metering!P44</f>
        <v>0</v>
      </c>
      <c r="R363" s="449">
        <f>ACS_Metering!Q44</f>
        <v>0</v>
      </c>
      <c r="S363" s="449">
        <f>ACS_Metering!R44</f>
        <v>0</v>
      </c>
      <c r="T363" s="450">
        <f>ACS_Metering!S44</f>
        <v>0</v>
      </c>
      <c r="U363" s="448">
        <f>ACS_Metering!T44</f>
        <v>0</v>
      </c>
      <c r="V363" s="449">
        <f>ACS_Metering!U44</f>
        <v>0</v>
      </c>
      <c r="W363" s="449">
        <f>ACS_Metering!V44</f>
        <v>0</v>
      </c>
      <c r="X363" s="449">
        <f>ACS_Metering!W44</f>
        <v>0</v>
      </c>
      <c r="Y363" s="450">
        <f>ACS_Metering!X44</f>
        <v>0</v>
      </c>
    </row>
    <row r="364" spans="3:25" x14ac:dyDescent="0.2">
      <c r="J364" s="451" t="s">
        <v>1237</v>
      </c>
      <c r="K364" s="452">
        <f t="shared" ref="K364:Y364" si="8">SUM(K359:K363)</f>
        <v>5.9711184731447045</v>
      </c>
      <c r="L364" s="453">
        <f t="shared" si="8"/>
        <v>6.477670642877432</v>
      </c>
      <c r="M364" s="453">
        <f t="shared" si="8"/>
        <v>6.4912379821965445</v>
      </c>
      <c r="N364" s="453">
        <f t="shared" si="8"/>
        <v>6.4577864735718684</v>
      </c>
      <c r="O364" s="454">
        <f t="shared" si="8"/>
        <v>6.4682488379453815</v>
      </c>
      <c r="P364" s="452">
        <f t="shared" si="8"/>
        <v>7.9843508889853316</v>
      </c>
      <c r="Q364" s="453">
        <f t="shared" si="8"/>
        <v>8.6801695170706896</v>
      </c>
      <c r="R364" s="453">
        <f t="shared" si="8"/>
        <v>8.981135325466612</v>
      </c>
      <c r="S364" s="453">
        <f t="shared" si="8"/>
        <v>9.2792111961758437</v>
      </c>
      <c r="T364" s="454">
        <f t="shared" si="8"/>
        <v>10.02563835488575</v>
      </c>
      <c r="U364" s="452">
        <f t="shared" si="8"/>
        <v>11.512852771408326</v>
      </c>
      <c r="V364" s="453">
        <f t="shared" si="8"/>
        <v>12.727862679043145</v>
      </c>
      <c r="W364" s="453">
        <f t="shared" si="8"/>
        <v>13.928321622004503</v>
      </c>
      <c r="X364" s="453">
        <f t="shared" si="8"/>
        <v>15.234764067924566</v>
      </c>
      <c r="Y364" s="454">
        <f t="shared" si="8"/>
        <v>16.56290680401343</v>
      </c>
    </row>
    <row r="365" spans="3:25" x14ac:dyDescent="0.2">
      <c r="J365" s="147" t="s">
        <v>60</v>
      </c>
      <c r="K365" s="448">
        <f>ACS_Metering!J20</f>
        <v>5.7223241740235258</v>
      </c>
      <c r="L365" s="449">
        <f>ACS_Metering!K20</f>
        <v>6.5214820802158577</v>
      </c>
      <c r="M365" s="449">
        <f>ACS_Metering!L20</f>
        <v>6.5193945667071329</v>
      </c>
      <c r="N365" s="449">
        <f>ACS_Metering!M20</f>
        <v>6.0439414027131901</v>
      </c>
      <c r="O365" s="450">
        <f>ACS_Metering!N20</f>
        <v>6.2269452463483645</v>
      </c>
      <c r="P365" s="448">
        <f>ACS_Metering!O20</f>
        <v>6.1928178214453515</v>
      </c>
      <c r="Q365" s="449">
        <f>ACS_Metering!P20</f>
        <v>7.0587571357048216</v>
      </c>
      <c r="R365" s="449">
        <f>ACS_Metering!Q20</f>
        <v>7.1072502802552382</v>
      </c>
      <c r="S365" s="449">
        <f>ACS_Metering!R20</f>
        <v>7.0669513693461159</v>
      </c>
      <c r="T365" s="450">
        <f>ACS_Metering!S20</f>
        <v>7.5651082862859482</v>
      </c>
      <c r="U365" s="448" t="e">
        <f>ACS_Metering!T20</f>
        <v>#N/A</v>
      </c>
      <c r="V365" s="449" t="e">
        <f>ACS_Metering!U20</f>
        <v>#N/A</v>
      </c>
      <c r="W365" s="449" t="e">
        <f>ACS_Metering!V20</f>
        <v>#N/A</v>
      </c>
      <c r="X365" s="449" t="e">
        <f>ACS_Metering!W20</f>
        <v>#N/A</v>
      </c>
      <c r="Y365" s="450" t="e">
        <f>ACS_Metering!X20</f>
        <v>#N/A</v>
      </c>
    </row>
    <row r="366" spans="3:25" x14ac:dyDescent="0.2"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</row>
    <row r="367" spans="3:25" x14ac:dyDescent="0.2">
      <c r="J367" s="147" t="s">
        <v>1238</v>
      </c>
      <c r="K367" s="148" t="s">
        <v>1239</v>
      </c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</row>
    <row r="368" spans="3:25" x14ac:dyDescent="0.2">
      <c r="J368" s="147"/>
      <c r="K368" s="148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</row>
    <row r="369" spans="3:25" x14ac:dyDescent="0.2">
      <c r="J369" s="147"/>
      <c r="K369" s="148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</row>
    <row r="370" spans="3:25" x14ac:dyDescent="0.2">
      <c r="J370" s="147"/>
      <c r="K370" s="148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</row>
    <row r="371" spans="3:25" x14ac:dyDescent="0.2"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</row>
    <row r="374" spans="3:25" x14ac:dyDescent="0.2">
      <c r="D374" s="63"/>
    </row>
    <row r="376" spans="3:25" s="121" customFormat="1" ht="15.75" x14ac:dyDescent="0.2">
      <c r="C376" s="121" t="s">
        <v>1227</v>
      </c>
    </row>
    <row r="377" spans="3:25" ht="13.5" thickBot="1" x14ac:dyDescent="0.25"/>
    <row r="378" spans="3:25" ht="15.75" thickBot="1" x14ac:dyDescent="0.25">
      <c r="D378" s="158"/>
      <c r="E378" s="219" t="s">
        <v>199</v>
      </c>
      <c r="F378" s="219" t="s">
        <v>200</v>
      </c>
      <c r="G378" s="219" t="s">
        <v>201</v>
      </c>
      <c r="H378" s="219" t="s">
        <v>202</v>
      </c>
      <c r="I378" s="219" t="s">
        <v>203</v>
      </c>
    </row>
    <row r="379" spans="3:25" ht="15" x14ac:dyDescent="0.2">
      <c r="D379" s="159" t="s">
        <v>1226</v>
      </c>
      <c r="E379" s="425">
        <v>131.08341020582353</v>
      </c>
      <c r="F379" s="425">
        <v>134.75345878650242</v>
      </c>
      <c r="G379" s="425">
        <v>138.52626069472595</v>
      </c>
      <c r="H379" s="425">
        <v>142.40469279876689</v>
      </c>
      <c r="I379" s="425">
        <v>146.39171251291307</v>
      </c>
    </row>
    <row r="380" spans="3:25" ht="15" x14ac:dyDescent="0.2">
      <c r="D380" s="160" t="s">
        <v>1155</v>
      </c>
      <c r="E380" s="331">
        <v>173.67111490556931</v>
      </c>
      <c r="F380" s="331">
        <v>178.53352600521427</v>
      </c>
      <c r="G380" s="331">
        <v>183.53207397318533</v>
      </c>
      <c r="H380" s="331">
        <v>188.67057034382995</v>
      </c>
      <c r="I380" s="331">
        <v>193.95293336611491</v>
      </c>
    </row>
    <row r="381" spans="3:25" ht="15" x14ac:dyDescent="0.2">
      <c r="D381" s="159" t="s">
        <v>253</v>
      </c>
      <c r="E381" s="330">
        <v>693.06599263656165</v>
      </c>
      <c r="F381" s="330">
        <v>712.470323501915</v>
      </c>
      <c r="G381" s="330">
        <v>732.41793316082124</v>
      </c>
      <c r="H381" s="330">
        <v>752.92403223041379</v>
      </c>
      <c r="I381" s="330">
        <v>774.00425719181408</v>
      </c>
    </row>
    <row r="382" spans="3:25" ht="15.75" thickBot="1" x14ac:dyDescent="0.25">
      <c r="D382" s="161" t="s">
        <v>254</v>
      </c>
      <c r="E382" s="441">
        <v>2391.1925931423825</v>
      </c>
      <c r="F382" s="441">
        <v>2458.1407520956218</v>
      </c>
      <c r="G382" s="441">
        <v>2526.9633129686736</v>
      </c>
      <c r="H382" s="441">
        <v>2597.712754912749</v>
      </c>
      <c r="I382" s="441">
        <v>2670.4430263804306</v>
      </c>
    </row>
    <row r="385" spans="1:2" s="6" customFormat="1" ht="18.75" x14ac:dyDescent="0.2">
      <c r="B385" s="6" t="s">
        <v>1240</v>
      </c>
    </row>
    <row r="387" spans="1:2" s="6" customFormat="1" ht="18.75" x14ac:dyDescent="0.2">
      <c r="A387" s="6" t="s">
        <v>237</v>
      </c>
      <c r="B387" s="6" t="s">
        <v>43</v>
      </c>
    </row>
  </sheetData>
  <mergeCells count="3">
    <mergeCell ref="K357:O357"/>
    <mergeCell ref="P357:T357"/>
    <mergeCell ref="U357:Y357"/>
  </mergeCells>
  <hyperlinks>
    <hyperlink ref="B4" location="ToC!A1" display="ToC!A1" xr:uid="{7300FD4A-30A3-416C-BF48-A04C1B9FD65F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E3FF-B9B7-42CE-B8BD-7DE9F944A1B9}">
  <sheetPr>
    <tabColor theme="3"/>
  </sheetPr>
  <dimension ref="A1:R71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x14ac:dyDescent="0.2"/>
  <cols>
    <col min="1" max="3" width="3.7109375" customWidth="1"/>
    <col min="4" max="4" width="43" bestFit="1" customWidth="1"/>
    <col min="5" max="15" width="13.5703125" customWidth="1"/>
    <col min="16" max="16" width="21" customWidth="1"/>
    <col min="17" max="20" width="13.5703125" customWidth="1"/>
  </cols>
  <sheetData>
    <row r="1" spans="1:6" ht="23.25" x14ac:dyDescent="0.35">
      <c r="A1" s="52">
        <f>IF(SUM(A5:A71)&lt;&gt;0,1,0)</f>
        <v>0</v>
      </c>
      <c r="B1" s="16" t="s">
        <v>1228</v>
      </c>
    </row>
    <row r="2" spans="1:6" ht="15" x14ac:dyDescent="0.2">
      <c r="B2" s="34" t="str">
        <f>Model_Name</f>
        <v>Power and Water - Revised Proposal - Tables and Charts</v>
      </c>
    </row>
    <row r="3" spans="1:6" x14ac:dyDescent="0.2">
      <c r="B3" s="37" t="str">
        <f>"Model Checks:"&amp;IF(Model_Checks=0," OK"," Check")</f>
        <v>Model Checks: OK</v>
      </c>
    </row>
    <row r="4" spans="1:6" x14ac:dyDescent="0.2">
      <c r="B4" s="29" t="str">
        <f>ToC!$B$1</f>
        <v>Table of contents</v>
      </c>
    </row>
    <row r="5" spans="1:6" x14ac:dyDescent="0.2">
      <c r="B5" t="s">
        <v>237</v>
      </c>
    </row>
    <row r="6" spans="1:6" s="6" customFormat="1" ht="18.75" x14ac:dyDescent="0.2">
      <c r="B6" s="6" t="s">
        <v>1229</v>
      </c>
    </row>
    <row r="8" spans="1:6" s="121" customFormat="1" ht="15.75" x14ac:dyDescent="0.2">
      <c r="C8" s="121" t="s">
        <v>1230</v>
      </c>
    </row>
    <row r="9" spans="1:6" ht="13.5" thickBot="1" x14ac:dyDescent="0.25"/>
    <row r="10" spans="1:6" ht="30.75" thickBot="1" x14ac:dyDescent="0.25">
      <c r="D10" s="323" t="s">
        <v>816</v>
      </c>
      <c r="E10" s="348" t="s">
        <v>817</v>
      </c>
      <c r="F10" s="348" t="s">
        <v>818</v>
      </c>
    </row>
    <row r="11" spans="1:6" ht="15.75" thickBot="1" x14ac:dyDescent="0.25">
      <c r="D11" s="159" t="s">
        <v>819</v>
      </c>
      <c r="E11" s="324"/>
      <c r="F11" s="324"/>
    </row>
    <row r="12" spans="1:6" ht="15.75" thickBot="1" x14ac:dyDescent="0.25">
      <c r="D12" s="328" t="s">
        <v>820</v>
      </c>
      <c r="E12" s="325"/>
      <c r="F12" s="325"/>
    </row>
    <row r="13" spans="1:6" ht="15.75" thickBot="1" x14ac:dyDescent="0.25">
      <c r="D13" s="326" t="s">
        <v>823</v>
      </c>
      <c r="E13" s="335">
        <v>1013.9536913805048</v>
      </c>
      <c r="F13" s="325"/>
    </row>
    <row r="14" spans="1:6" ht="15.75" thickBot="1" x14ac:dyDescent="0.25">
      <c r="D14" s="326" t="s">
        <v>825</v>
      </c>
      <c r="E14" s="327">
        <f>E13-E16</f>
        <v>-73.214620629818683</v>
      </c>
      <c r="F14" s="327"/>
    </row>
    <row r="15" spans="1:6" ht="15.75" thickBot="1" x14ac:dyDescent="0.25">
      <c r="D15" s="326" t="s">
        <v>827</v>
      </c>
      <c r="E15" s="339">
        <f>E14/E16</f>
        <v>-6.734432913560072E-2</v>
      </c>
      <c r="F15" s="327"/>
    </row>
    <row r="16" spans="1:6" ht="15.75" thickBot="1" x14ac:dyDescent="0.25">
      <c r="D16" s="326" t="s">
        <v>824</v>
      </c>
      <c r="E16" s="335">
        <v>1087.1683120103235</v>
      </c>
      <c r="F16" s="327"/>
    </row>
    <row r="17" spans="4:18" ht="15.75" thickBot="1" x14ac:dyDescent="0.25">
      <c r="D17" s="326" t="s">
        <v>826</v>
      </c>
      <c r="E17" s="327"/>
      <c r="F17" s="335">
        <v>1045.5019123395625</v>
      </c>
    </row>
    <row r="18" spans="4:18" ht="15.75" thickBot="1" x14ac:dyDescent="0.25">
      <c r="D18" s="159" t="s">
        <v>828</v>
      </c>
      <c r="E18" s="325"/>
      <c r="F18" s="325"/>
      <c r="P18" s="338" t="s">
        <v>783</v>
      </c>
      <c r="Q18" s="338" t="s">
        <v>784</v>
      </c>
      <c r="R18" s="338" t="s">
        <v>782</v>
      </c>
    </row>
    <row r="19" spans="4:18" ht="15.75" thickBot="1" x14ac:dyDescent="0.25">
      <c r="D19" s="328" t="s">
        <v>829</v>
      </c>
      <c r="E19" s="325"/>
      <c r="F19" s="325"/>
      <c r="O19" s="87" t="s">
        <v>921</v>
      </c>
      <c r="P19" s="68">
        <v>574.80719640837424</v>
      </c>
      <c r="Q19" s="68">
        <v>439.94690717714337</v>
      </c>
      <c r="R19" s="68">
        <v>545.12301261895436</v>
      </c>
    </row>
    <row r="20" spans="4:18" ht="15.75" thickBot="1" x14ac:dyDescent="0.25">
      <c r="D20" s="326" t="s">
        <v>830</v>
      </c>
      <c r="E20" s="327">
        <f>Q22</f>
        <v>432.78389070376573</v>
      </c>
      <c r="F20" s="325"/>
      <c r="O20" s="87" t="s">
        <v>922</v>
      </c>
      <c r="P20" s="68">
        <v>-0.84041135514973764</v>
      </c>
      <c r="Q20" s="68">
        <v>-0.83429405167431714</v>
      </c>
      <c r="R20" s="68">
        <v>-0.83429405167431714</v>
      </c>
    </row>
    <row r="21" spans="4:18" ht="15.75" thickBot="1" x14ac:dyDescent="0.25">
      <c r="D21" s="326" t="s">
        <v>827</v>
      </c>
      <c r="E21" s="339">
        <f>Q22/P22-1</f>
        <v>-0.2380951272307481</v>
      </c>
      <c r="F21" s="325"/>
      <c r="O21" s="87" t="s">
        <v>923</v>
      </c>
      <c r="P21" s="68">
        <v>-5.938011158196093</v>
      </c>
      <c r="Q21" s="68">
        <v>-6.3287224217033442</v>
      </c>
      <c r="R21" s="68">
        <v>-6.0573617730198208</v>
      </c>
    </row>
    <row r="22" spans="4:18" ht="15.75" thickBot="1" x14ac:dyDescent="0.25">
      <c r="D22" s="326" t="s">
        <v>961</v>
      </c>
      <c r="E22" s="327">
        <f>P22</f>
        <v>568.02877389502839</v>
      </c>
      <c r="F22" s="325"/>
      <c r="O22" s="337" t="s">
        <v>924</v>
      </c>
      <c r="P22" s="395">
        <f>SUM(P19:P21)</f>
        <v>568.02877389502839</v>
      </c>
      <c r="Q22" s="395">
        <f>SUM(Q19:Q21)</f>
        <v>432.78389070376573</v>
      </c>
      <c r="R22" s="395">
        <f>SUM(R19:R21)</f>
        <v>538.23135679426025</v>
      </c>
    </row>
    <row r="23" spans="4:18" ht="15.75" thickBot="1" x14ac:dyDescent="0.25">
      <c r="D23" s="326" t="s">
        <v>831</v>
      </c>
      <c r="E23" s="325"/>
      <c r="F23" s="327">
        <f>Input_Capex_Projects!$Q$90</f>
        <v>76.101534300963493</v>
      </c>
      <c r="G23" t="str">
        <f>"◄ "&amp;Input_Capex_Projects!$H$10</f>
        <v>◄ Direct escalated costs ($millions, June 2024)</v>
      </c>
    </row>
    <row r="24" spans="4:18" ht="15.75" thickBot="1" x14ac:dyDescent="0.25">
      <c r="D24" s="326" t="s">
        <v>832</v>
      </c>
      <c r="E24" s="325"/>
      <c r="F24" s="327">
        <f>Input_Capex_Projects!$Q$115</f>
        <v>15.808351813559963</v>
      </c>
      <c r="G24" t="str">
        <f>G23</f>
        <v>◄ Direct escalated costs ($millions, June 2024)</v>
      </c>
    </row>
    <row r="25" spans="4:18" ht="15.75" thickBot="1" x14ac:dyDescent="0.25">
      <c r="D25" s="326" t="s">
        <v>833</v>
      </c>
      <c r="E25" s="325"/>
      <c r="F25" s="327">
        <f>Input_Capex_Projects!$Q$59</f>
        <v>3.7128102224151069</v>
      </c>
      <c r="G25" t="str">
        <f>G24</f>
        <v>◄ Direct escalated costs ($millions, June 2024)</v>
      </c>
    </row>
    <row r="26" spans="4:18" ht="15.75" thickBot="1" x14ac:dyDescent="0.25">
      <c r="D26" s="326" t="s">
        <v>962</v>
      </c>
      <c r="E26" s="325"/>
      <c r="F26" s="327">
        <f>R22</f>
        <v>538.23135679426025</v>
      </c>
    </row>
    <row r="27" spans="4:18" ht="15.75" thickBot="1" x14ac:dyDescent="0.25">
      <c r="D27" s="159" t="s">
        <v>834</v>
      </c>
      <c r="E27" s="325"/>
      <c r="F27" s="325"/>
    </row>
    <row r="28" spans="4:18" ht="15.75" thickBot="1" x14ac:dyDescent="0.25">
      <c r="D28" s="328" t="s">
        <v>835</v>
      </c>
      <c r="E28" s="325"/>
      <c r="F28" s="325"/>
    </row>
    <row r="29" spans="4:18" ht="15.75" thickBot="1" x14ac:dyDescent="0.25">
      <c r="D29" s="326" t="s">
        <v>830</v>
      </c>
      <c r="E29" s="335">
        <v>364.44347893107653</v>
      </c>
      <c r="F29" s="325"/>
      <c r="G29" t="s">
        <v>968</v>
      </c>
    </row>
    <row r="30" spans="4:18" ht="15.75" thickBot="1" x14ac:dyDescent="0.25">
      <c r="D30" s="326" t="s">
        <v>827</v>
      </c>
      <c r="E30" s="339">
        <f>E29/E31-1</f>
        <v>-0.12253957972002816</v>
      </c>
      <c r="F30" s="325"/>
    </row>
    <row r="31" spans="4:18" ht="15.75" thickBot="1" x14ac:dyDescent="0.25">
      <c r="D31" s="326" t="s">
        <v>836</v>
      </c>
      <c r="E31" s="335">
        <v>415.33893781191102</v>
      </c>
      <c r="F31" s="325"/>
      <c r="G31" t="s">
        <v>968</v>
      </c>
    </row>
    <row r="32" spans="4:18" ht="15.75" thickBot="1" x14ac:dyDescent="0.25">
      <c r="D32" s="326" t="s">
        <v>838</v>
      </c>
      <c r="E32" s="325"/>
      <c r="F32" s="335">
        <v>4.9574141291557492</v>
      </c>
    </row>
    <row r="33" spans="4:18" ht="15.75" thickBot="1" x14ac:dyDescent="0.25">
      <c r="D33" s="326" t="s">
        <v>839</v>
      </c>
      <c r="E33" s="325"/>
      <c r="F33" s="335">
        <v>4.8682464452438818</v>
      </c>
    </row>
    <row r="34" spans="4:18" ht="15.75" thickBot="1" x14ac:dyDescent="0.25">
      <c r="D34" s="326" t="s">
        <v>840</v>
      </c>
      <c r="E34" s="325"/>
      <c r="F34" s="335">
        <v>3.2903790416145275</v>
      </c>
    </row>
    <row r="35" spans="4:18" ht="15.75" thickBot="1" x14ac:dyDescent="0.25">
      <c r="D35" s="326" t="s">
        <v>832</v>
      </c>
      <c r="E35" s="325"/>
      <c r="F35" s="335">
        <v>3.8949208838826337</v>
      </c>
    </row>
    <row r="36" spans="4:18" ht="15.75" thickBot="1" x14ac:dyDescent="0.25">
      <c r="D36" s="326" t="s">
        <v>841</v>
      </c>
      <c r="E36" s="325"/>
      <c r="F36" s="335">
        <v>4.9438525271316029</v>
      </c>
    </row>
    <row r="37" spans="4:18" ht="15.75" thickBot="1" x14ac:dyDescent="0.25">
      <c r="D37" s="326" t="s">
        <v>842</v>
      </c>
      <c r="E37" s="325"/>
      <c r="F37" s="335">
        <v>387.23916942005053</v>
      </c>
      <c r="G37" t="s">
        <v>968</v>
      </c>
    </row>
    <row r="38" spans="4:18" ht="15.75" thickBot="1" x14ac:dyDescent="0.25">
      <c r="D38" s="328" t="s">
        <v>326</v>
      </c>
      <c r="E38" s="325"/>
      <c r="F38" s="325"/>
    </row>
    <row r="39" spans="4:18" ht="15.75" thickBot="1" x14ac:dyDescent="0.25">
      <c r="D39" s="326" t="s">
        <v>843</v>
      </c>
      <c r="E39" s="349">
        <v>5.6103917047805686E-2</v>
      </c>
      <c r="F39" s="325"/>
    </row>
    <row r="40" spans="4:18" ht="15.75" thickBot="1" x14ac:dyDescent="0.25">
      <c r="D40" s="326" t="s">
        <v>844</v>
      </c>
      <c r="E40" s="349">
        <v>0.56999999999999995</v>
      </c>
      <c r="F40" s="325"/>
    </row>
    <row r="41" spans="4:18" ht="15.75" thickBot="1" x14ac:dyDescent="0.25">
      <c r="D41" s="328" t="s">
        <v>845</v>
      </c>
      <c r="E41" s="325"/>
      <c r="F41" s="325"/>
    </row>
    <row r="42" spans="4:18" ht="15.75" thickBot="1" x14ac:dyDescent="0.25">
      <c r="D42" s="326" t="s">
        <v>846</v>
      </c>
      <c r="E42" s="335">
        <v>1270.2445474898234</v>
      </c>
      <c r="F42" s="325"/>
    </row>
    <row r="43" spans="4:18" ht="15.75" thickBot="1" x14ac:dyDescent="0.25">
      <c r="D43" s="328" t="s">
        <v>847</v>
      </c>
      <c r="E43" s="325"/>
      <c r="F43" s="325"/>
    </row>
    <row r="44" spans="4:18" ht="15.75" thickBot="1" x14ac:dyDescent="0.25">
      <c r="D44" s="328" t="s">
        <v>848</v>
      </c>
      <c r="E44" s="325"/>
      <c r="F44" s="325"/>
      <c r="P44" s="338" t="s">
        <v>783</v>
      </c>
      <c r="Q44" s="338" t="s">
        <v>784</v>
      </c>
      <c r="R44" s="338" t="s">
        <v>782</v>
      </c>
    </row>
    <row r="45" spans="4:18" ht="15.75" thickBot="1" x14ac:dyDescent="0.25">
      <c r="D45" s="326" t="s">
        <v>849</v>
      </c>
      <c r="E45" s="327">
        <f>Q47-P47</f>
        <v>1.8377566955471707</v>
      </c>
      <c r="F45" s="325"/>
      <c r="O45" s="87" t="s">
        <v>963</v>
      </c>
      <c r="P45" s="68">
        <v>377.6731170138342</v>
      </c>
      <c r="Q45" s="68">
        <v>369.20291889466409</v>
      </c>
      <c r="R45" s="47"/>
    </row>
    <row r="46" spans="4:18" ht="15.75" thickBot="1" x14ac:dyDescent="0.25">
      <c r="D46" s="326" t="s">
        <v>830</v>
      </c>
      <c r="E46" s="327">
        <f>Q47</f>
        <v>188.91626289125333</v>
      </c>
      <c r="F46" s="325"/>
      <c r="O46" s="87" t="s">
        <v>0</v>
      </c>
      <c r="P46" s="68">
        <v>-190.59461081812805</v>
      </c>
      <c r="Q46" s="68">
        <v>-180.28665600341077</v>
      </c>
      <c r="R46" s="47"/>
    </row>
    <row r="47" spans="4:18" ht="15.75" thickBot="1" x14ac:dyDescent="0.25">
      <c r="D47" s="328" t="s">
        <v>850</v>
      </c>
      <c r="E47" s="325"/>
      <c r="F47" s="325"/>
      <c r="O47" s="337" t="s">
        <v>964</v>
      </c>
      <c r="P47" s="395">
        <f>SUM(P45:P46)</f>
        <v>187.07850619570615</v>
      </c>
      <c r="Q47" s="395">
        <f>SUM(Q45:Q46)</f>
        <v>188.91626289125333</v>
      </c>
      <c r="R47" s="395">
        <f>SUM(R45:R46)</f>
        <v>0</v>
      </c>
    </row>
    <row r="48" spans="4:18" ht="15.75" thickBot="1" x14ac:dyDescent="0.25">
      <c r="D48" s="328" t="s">
        <v>851</v>
      </c>
      <c r="E48" s="325"/>
      <c r="F48" s="325"/>
    </row>
    <row r="49" spans="3:6" ht="15.75" thickBot="1" x14ac:dyDescent="0.25">
      <c r="D49" s="328" t="s">
        <v>965</v>
      </c>
      <c r="E49" s="325"/>
      <c r="F49" s="325"/>
    </row>
    <row r="50" spans="3:6" ht="15.75" thickBot="1" x14ac:dyDescent="0.25">
      <c r="D50" s="328" t="s">
        <v>851</v>
      </c>
      <c r="E50" s="325"/>
      <c r="F50" s="325"/>
    </row>
    <row r="51" spans="3:6" ht="15.75" thickBot="1" x14ac:dyDescent="0.25">
      <c r="D51" s="328" t="s">
        <v>966</v>
      </c>
      <c r="E51" s="325"/>
      <c r="F51" s="325"/>
    </row>
    <row r="52" spans="3:6" ht="15.75" thickBot="1" x14ac:dyDescent="0.25">
      <c r="D52" s="328" t="s">
        <v>852</v>
      </c>
      <c r="E52" s="325"/>
      <c r="F52" s="325"/>
    </row>
    <row r="53" spans="3:6" ht="15.75" thickBot="1" x14ac:dyDescent="0.25">
      <c r="D53" s="328" t="s">
        <v>853</v>
      </c>
      <c r="E53" s="325"/>
      <c r="F53" s="325"/>
    </row>
    <row r="54" spans="3:6" ht="15.75" thickBot="1" x14ac:dyDescent="0.25">
      <c r="D54" s="328" t="s">
        <v>854</v>
      </c>
      <c r="E54" s="325"/>
      <c r="F54" s="325"/>
    </row>
    <row r="55" spans="3:6" ht="15.75" thickBot="1" x14ac:dyDescent="0.25">
      <c r="D55" s="328" t="s">
        <v>855</v>
      </c>
      <c r="E55" s="325"/>
      <c r="F55" s="325"/>
    </row>
    <row r="56" spans="3:6" ht="30.75" thickBot="1" x14ac:dyDescent="0.25">
      <c r="D56" s="328" t="s">
        <v>856</v>
      </c>
      <c r="E56" s="325"/>
      <c r="F56" s="325"/>
    </row>
    <row r="57" spans="3:6" ht="15.75" thickBot="1" x14ac:dyDescent="0.25">
      <c r="D57" s="328" t="s">
        <v>857</v>
      </c>
      <c r="E57" s="325"/>
      <c r="F57" s="325"/>
    </row>
    <row r="58" spans="3:6" ht="15.75" thickBot="1" x14ac:dyDescent="0.25">
      <c r="D58" s="328" t="s">
        <v>858</v>
      </c>
      <c r="E58" s="325"/>
      <c r="F58" s="325"/>
    </row>
    <row r="60" spans="3:6" s="121" customFormat="1" ht="15.75" x14ac:dyDescent="0.2">
      <c r="C60" s="121" t="s">
        <v>1231</v>
      </c>
    </row>
    <row r="61" spans="3:6" ht="13.5" thickBot="1" x14ac:dyDescent="0.25"/>
    <row r="62" spans="3:6" ht="30" x14ac:dyDescent="0.2">
      <c r="D62" s="158" t="s">
        <v>461</v>
      </c>
      <c r="E62" s="219" t="s">
        <v>817</v>
      </c>
      <c r="F62" s="219" t="s">
        <v>818</v>
      </c>
    </row>
    <row r="63" spans="3:6" ht="12.4" customHeight="1" x14ac:dyDescent="0.2">
      <c r="D63" s="159" t="s">
        <v>1271</v>
      </c>
      <c r="E63" s="221"/>
      <c r="F63" s="221"/>
    </row>
    <row r="64" spans="3:6" ht="15" x14ac:dyDescent="0.2">
      <c r="D64" s="160" t="s">
        <v>1272</v>
      </c>
      <c r="E64" s="459"/>
      <c r="F64" s="459"/>
    </row>
    <row r="65" spans="2:6" ht="15" x14ac:dyDescent="0.2">
      <c r="D65" s="159" t="s">
        <v>1273</v>
      </c>
      <c r="E65" s="324"/>
      <c r="F65" s="324"/>
    </row>
    <row r="66" spans="2:6" ht="15" x14ac:dyDescent="0.2">
      <c r="D66" s="160" t="s">
        <v>1274</v>
      </c>
      <c r="E66" s="459"/>
      <c r="F66" s="459"/>
    </row>
    <row r="67" spans="2:6" ht="15.75" thickBot="1" x14ac:dyDescent="0.25">
      <c r="D67" s="159" t="s">
        <v>1275</v>
      </c>
      <c r="E67" s="221"/>
      <c r="F67" s="324"/>
    </row>
    <row r="68" spans="2:6" ht="15.75" thickBot="1" x14ac:dyDescent="0.25">
      <c r="D68" s="428" t="s">
        <v>1277</v>
      </c>
      <c r="E68" s="335">
        <v>75.718239567767853</v>
      </c>
      <c r="F68" s="324"/>
    </row>
    <row r="69" spans="2:6" ht="15.75" thickBot="1" x14ac:dyDescent="0.25">
      <c r="D69" s="161" t="s">
        <v>1276</v>
      </c>
      <c r="E69" s="460"/>
      <c r="F69" s="460"/>
    </row>
    <row r="71" spans="2:6" s="6" customFormat="1" ht="18.75" x14ac:dyDescent="0.2">
      <c r="B71" s="6" t="s">
        <v>43</v>
      </c>
    </row>
  </sheetData>
  <hyperlinks>
    <hyperlink ref="B4" location="ToC!A1" display="ToC!A1" xr:uid="{1B0290F4-284F-4702-B914-992D3131E08E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647E-DAC7-4DEC-ACEB-BF62EB16902F}">
  <sheetPr>
    <tabColor theme="3"/>
  </sheetPr>
  <dimension ref="A1:C20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x14ac:dyDescent="0.2"/>
  <cols>
    <col min="1" max="3" width="3.7109375" customWidth="1"/>
    <col min="4" max="4" width="43" bestFit="1" customWidth="1"/>
    <col min="5" max="20" width="13.5703125" customWidth="1"/>
  </cols>
  <sheetData>
    <row r="1" spans="1:3" ht="23.25" x14ac:dyDescent="0.35">
      <c r="A1" s="52">
        <f>IF(SUM(A5:A17)&lt;&gt;0,1,0)</f>
        <v>0</v>
      </c>
      <c r="B1" s="16" t="s">
        <v>793</v>
      </c>
    </row>
    <row r="2" spans="1:3" ht="15" x14ac:dyDescent="0.2">
      <c r="B2" s="34" t="str">
        <f>Model_Name</f>
        <v>Power and Water - Revised Proposal - Tables and Charts</v>
      </c>
    </row>
    <row r="3" spans="1:3" x14ac:dyDescent="0.2">
      <c r="B3" s="37" t="str">
        <f>"Model Checks:"&amp;IF(Model_Checks=0," OK"," Check")</f>
        <v>Model Checks: OK</v>
      </c>
    </row>
    <row r="4" spans="1:3" x14ac:dyDescent="0.2">
      <c r="B4" s="29" t="str">
        <f>ToC!$B$1</f>
        <v>Table of contents</v>
      </c>
    </row>
    <row r="5" spans="1:3" x14ac:dyDescent="0.2">
      <c r="B5" t="s">
        <v>237</v>
      </c>
    </row>
    <row r="6" spans="1:3" s="6" customFormat="1" ht="18.75" x14ac:dyDescent="0.2">
      <c r="B6" s="6" t="s">
        <v>798</v>
      </c>
    </row>
    <row r="8" spans="1:3" s="121" customFormat="1" ht="15.75" x14ac:dyDescent="0.2">
      <c r="C8" s="121" t="s">
        <v>1131</v>
      </c>
    </row>
    <row r="10" spans="1:3" x14ac:dyDescent="0.2">
      <c r="C10" s="45" t="s">
        <v>891</v>
      </c>
    </row>
    <row r="12" spans="1:3" s="6" customFormat="1" ht="18.75" x14ac:dyDescent="0.2">
      <c r="B12" s="6" t="s">
        <v>799</v>
      </c>
    </row>
    <row r="14" spans="1:3" s="121" customFormat="1" ht="15.75" x14ac:dyDescent="0.2">
      <c r="C14" s="121" t="s">
        <v>885</v>
      </c>
    </row>
    <row r="16" spans="1:3" x14ac:dyDescent="0.2">
      <c r="C16" s="45" t="s">
        <v>891</v>
      </c>
    </row>
    <row r="18" spans="2:2" s="6" customFormat="1" ht="18.75" x14ac:dyDescent="0.2">
      <c r="B18" s="6" t="s">
        <v>1164</v>
      </c>
    </row>
    <row r="20" spans="2:2" s="6" customFormat="1" ht="18.75" x14ac:dyDescent="0.2">
      <c r="B20" s="6" t="s">
        <v>43</v>
      </c>
    </row>
  </sheetData>
  <hyperlinks>
    <hyperlink ref="B4" location="ToC!A1" display="ToC!A1" xr:uid="{A7459CE2-EC09-4F01-A0E8-BCEBA2C6FE5B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C4C38-1D51-4FEE-85D9-A433213E62F7}">
  <sheetPr>
    <tabColor theme="3"/>
  </sheetPr>
  <dimension ref="A1:AC112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outlineLevelRow="1" x14ac:dyDescent="0.2"/>
  <cols>
    <col min="1" max="3" width="3.7109375" customWidth="1"/>
    <col min="4" max="4" width="43" bestFit="1" customWidth="1"/>
    <col min="5" max="20" width="13.5703125" customWidth="1"/>
  </cols>
  <sheetData>
    <row r="1" spans="1:10" ht="23.25" x14ac:dyDescent="0.35">
      <c r="A1" s="52">
        <f>IF(SUM(A5:A112)&lt;&gt;0,1,0)</f>
        <v>0</v>
      </c>
      <c r="B1" s="16" t="s">
        <v>794</v>
      </c>
    </row>
    <row r="2" spans="1:10" ht="15" x14ac:dyDescent="0.2">
      <c r="B2" s="34" t="str">
        <f>Model_Name</f>
        <v>Power and Water - Revised Proposal - Tables and Charts</v>
      </c>
    </row>
    <row r="3" spans="1:10" x14ac:dyDescent="0.2">
      <c r="B3" s="37" t="str">
        <f>"Model Checks:"&amp;IF(Model_Checks=0," OK"," Check")</f>
        <v>Model Checks: OK</v>
      </c>
    </row>
    <row r="4" spans="1:10" x14ac:dyDescent="0.2">
      <c r="B4" s="29" t="str">
        <f>ToC!$B$1</f>
        <v>Table of contents</v>
      </c>
    </row>
    <row r="5" spans="1:10" x14ac:dyDescent="0.2">
      <c r="B5" t="s">
        <v>237</v>
      </c>
    </row>
    <row r="6" spans="1:10" s="6" customFormat="1" ht="18.75" x14ac:dyDescent="0.2">
      <c r="B6" s="6" t="s">
        <v>795</v>
      </c>
    </row>
    <row r="8" spans="1:10" s="6" customFormat="1" ht="18.75" x14ac:dyDescent="0.2">
      <c r="B8" s="6" t="s">
        <v>796</v>
      </c>
    </row>
    <row r="10" spans="1:10" s="121" customFormat="1" ht="15.75" x14ac:dyDescent="0.2">
      <c r="C10" s="121" t="s">
        <v>160</v>
      </c>
    </row>
    <row r="12" spans="1:10" x14ac:dyDescent="0.2">
      <c r="D12" s="60" t="s">
        <v>863</v>
      </c>
      <c r="I12" s="61" t="s">
        <v>189</v>
      </c>
    </row>
    <row r="14" spans="1:10" x14ac:dyDescent="0.2">
      <c r="D14" s="45" t="s">
        <v>886</v>
      </c>
      <c r="I14" s="74">
        <f>F56</f>
        <v>1013.9536913805048</v>
      </c>
      <c r="J14" s="63" t="str">
        <f>"◄ "&amp;Unit_Dollar_M&amp;", "&amp;Nominal</f>
        <v>◄ $Million, Nominal</v>
      </c>
    </row>
    <row r="15" spans="1:10" x14ac:dyDescent="0.2">
      <c r="D15" s="45" t="s">
        <v>887</v>
      </c>
      <c r="I15" s="74">
        <f>I14-I17</f>
        <v>-73.214620629818683</v>
      </c>
      <c r="J15" s="63" t="str">
        <f>"◄ "&amp;Unit_Dollar_M&amp;", "&amp;Nominal</f>
        <v>◄ $Million, Nominal</v>
      </c>
    </row>
    <row r="16" spans="1:10" x14ac:dyDescent="0.2">
      <c r="D16" s="45" t="s">
        <v>888</v>
      </c>
      <c r="I16" s="334">
        <f>I15/I17</f>
        <v>-6.734432913560072E-2</v>
      </c>
    </row>
    <row r="17" spans="2:10" x14ac:dyDescent="0.2">
      <c r="D17" s="45" t="s">
        <v>889</v>
      </c>
      <c r="I17" s="74">
        <f>E56</f>
        <v>1087.1683120103235</v>
      </c>
      <c r="J17" s="63" t="str">
        <f>"◄ "&amp;Unit_Dollar_M&amp;", "&amp;Nominal</f>
        <v>◄ $Million, Nominal</v>
      </c>
    </row>
    <row r="19" spans="2:10" s="6" customFormat="1" ht="18.75" x14ac:dyDescent="0.2">
      <c r="B19" s="6" t="s">
        <v>797</v>
      </c>
    </row>
    <row r="21" spans="2:10" s="121" customFormat="1" ht="15.75" x14ac:dyDescent="0.2">
      <c r="C21" s="121" t="s">
        <v>160</v>
      </c>
    </row>
    <row r="23" spans="2:10" x14ac:dyDescent="0.2">
      <c r="D23" s="60" t="s">
        <v>998</v>
      </c>
      <c r="I23" s="61" t="s">
        <v>189</v>
      </c>
    </row>
    <row r="25" spans="2:10" x14ac:dyDescent="0.2">
      <c r="D25" s="45" t="s">
        <v>971</v>
      </c>
      <c r="I25" s="74">
        <f>G56</f>
        <v>1045.5019123395625</v>
      </c>
      <c r="J25" s="63" t="str">
        <f>"◄ "&amp;Unit_Dollar_M&amp;", "&amp;Nominal</f>
        <v>◄ $Million, Nominal</v>
      </c>
    </row>
    <row r="27" spans="2:10" x14ac:dyDescent="0.2">
      <c r="D27" s="60" t="s">
        <v>1069</v>
      </c>
      <c r="I27" s="61" t="s">
        <v>189</v>
      </c>
    </row>
    <row r="29" spans="2:10" x14ac:dyDescent="0.2">
      <c r="D29" s="45" t="s">
        <v>1070</v>
      </c>
      <c r="I29" s="74">
        <f>G51-F51</f>
        <v>7.1413586936249089</v>
      </c>
      <c r="J29" s="63" t="str">
        <f>"◄ "&amp;Unit_Dollar_M&amp;", "&amp;Nominal</f>
        <v>◄ $Million, Nominal</v>
      </c>
    </row>
    <row r="30" spans="2:10" x14ac:dyDescent="0.2">
      <c r="D30" s="45" t="s">
        <v>1071</v>
      </c>
      <c r="I30" s="74">
        <f>G51-E51</f>
        <v>-8.7476067498027987</v>
      </c>
      <c r="J30" s="63" t="str">
        <f>"◄ "&amp;Unit_Dollar_M&amp;", "&amp;Nominal</f>
        <v>◄ $Million, Nominal</v>
      </c>
    </row>
    <row r="32" spans="2:10" x14ac:dyDescent="0.2">
      <c r="D32" s="60" t="s">
        <v>1072</v>
      </c>
      <c r="I32" s="61" t="s">
        <v>189</v>
      </c>
    </row>
    <row r="34" spans="3:10" x14ac:dyDescent="0.2">
      <c r="D34" s="45" t="s">
        <v>1073</v>
      </c>
      <c r="I34" s="33">
        <v>9.4690944779620594</v>
      </c>
      <c r="J34" s="63" t="s">
        <v>1132</v>
      </c>
    </row>
    <row r="35" spans="3:10" x14ac:dyDescent="0.2">
      <c r="D35" s="45" t="s">
        <v>1074</v>
      </c>
      <c r="I35" s="33">
        <v>4.4690944779620594</v>
      </c>
      <c r="J35" s="63" t="s">
        <v>1132</v>
      </c>
    </row>
    <row r="37" spans="3:10" x14ac:dyDescent="0.2">
      <c r="D37" s="60" t="s">
        <v>1075</v>
      </c>
      <c r="I37" s="61" t="s">
        <v>189</v>
      </c>
    </row>
    <row r="39" spans="3:10" x14ac:dyDescent="0.2">
      <c r="D39" s="45" t="s">
        <v>1076</v>
      </c>
      <c r="H39" s="401"/>
      <c r="I39" s="74">
        <f>G62-F62</f>
        <v>22.795690488974003</v>
      </c>
      <c r="J39" s="63" t="str">
        <f>"◄ "&amp;Unit_Dollar_M&amp;", "&amp;Real_Input&amp;", including DRC"</f>
        <v>◄ $Million, Real 2024, including DRC</v>
      </c>
    </row>
    <row r="40" spans="3:10" x14ac:dyDescent="0.2">
      <c r="D40" s="45" t="s">
        <v>1133</v>
      </c>
      <c r="I40" s="74">
        <f>G53-F53</f>
        <v>24.894013467557386</v>
      </c>
      <c r="J40" s="63" t="str">
        <f>"◄ "&amp;Unit_Dollar_M&amp;", "&amp;Nominal</f>
        <v>◄ $Million, Nominal</v>
      </c>
    </row>
    <row r="41" spans="3:10" x14ac:dyDescent="0.2">
      <c r="D41" s="45" t="s">
        <v>1077</v>
      </c>
      <c r="I41" s="74">
        <f>G62-E62</f>
        <v>-28.099768391860493</v>
      </c>
      <c r="J41" s="63" t="str">
        <f>"◄ "&amp;Unit_Dollar_M&amp;", "&amp;Real_Input&amp;", including DRC"</f>
        <v>◄ $Million, Real 2024, including DRC</v>
      </c>
    </row>
    <row r="42" spans="3:10" x14ac:dyDescent="0.2">
      <c r="D42" s="45" t="s">
        <v>1133</v>
      </c>
      <c r="I42" s="74">
        <f>G53-E53</f>
        <v>-32.177358893525422</v>
      </c>
      <c r="J42" s="63" t="str">
        <f>"◄ "&amp;Unit_Dollar_M&amp;", "&amp;Nominal</f>
        <v>◄ $Million, Nominal</v>
      </c>
    </row>
    <row r="44" spans="3:10" x14ac:dyDescent="0.2">
      <c r="D44" s="60" t="s">
        <v>1078</v>
      </c>
      <c r="I44" s="61" t="s">
        <v>189</v>
      </c>
    </row>
    <row r="46" spans="3:10" x14ac:dyDescent="0.2">
      <c r="D46" s="45" t="s">
        <v>1079</v>
      </c>
      <c r="I46" s="74">
        <f>F54-E54</f>
        <v>-0.20311213636631009</v>
      </c>
      <c r="J46" s="63" t="str">
        <f>"◄ "&amp;Unit_Dollar_M&amp;", "&amp;Nominal</f>
        <v>◄ $Million, Nominal</v>
      </c>
    </row>
    <row r="48" spans="3:10" s="121" customFormat="1" ht="15.75" x14ac:dyDescent="0.2">
      <c r="C48" s="121" t="s">
        <v>1291</v>
      </c>
    </row>
    <row r="49" spans="4:7" ht="13.5" thickBot="1" x14ac:dyDescent="0.25"/>
    <row r="50" spans="4:7" ht="30" x14ac:dyDescent="0.2">
      <c r="D50" s="158" t="s">
        <v>972</v>
      </c>
      <c r="E50" s="216" t="s">
        <v>822</v>
      </c>
      <c r="F50" s="216" t="s">
        <v>821</v>
      </c>
      <c r="G50" s="216" t="s">
        <v>785</v>
      </c>
    </row>
    <row r="51" spans="4:7" ht="15" x14ac:dyDescent="0.2">
      <c r="D51" s="221" t="s">
        <v>163</v>
      </c>
      <c r="E51" s="330">
        <v>428.44125445613878</v>
      </c>
      <c r="F51" s="330">
        <v>412.55228901271107</v>
      </c>
      <c r="G51" s="330">
        <v>419.69364770633598</v>
      </c>
    </row>
    <row r="52" spans="4:7" ht="15" x14ac:dyDescent="0.2">
      <c r="D52" s="224" t="s">
        <v>91</v>
      </c>
      <c r="E52" s="331">
        <v>204.92600482733829</v>
      </c>
      <c r="F52" s="331">
        <v>206.0202264495486</v>
      </c>
      <c r="G52" s="331">
        <v>210.49852751198611</v>
      </c>
    </row>
    <row r="53" spans="4:7" ht="15" x14ac:dyDescent="0.2">
      <c r="D53" s="221" t="s">
        <v>92</v>
      </c>
      <c r="E53" s="330">
        <v>453.40117432697474</v>
      </c>
      <c r="F53" s="330">
        <v>396.32980196589193</v>
      </c>
      <c r="G53" s="330">
        <v>421.22381543344932</v>
      </c>
    </row>
    <row r="54" spans="4:7" ht="15" x14ac:dyDescent="0.2">
      <c r="D54" s="224" t="s">
        <v>168</v>
      </c>
      <c r="E54" s="331">
        <v>-0.74551391128068512</v>
      </c>
      <c r="F54" s="331">
        <v>-0.94862604764699521</v>
      </c>
      <c r="G54" s="331">
        <v>-5.9140783122088774</v>
      </c>
    </row>
    <row r="55" spans="4:7" ht="15" x14ac:dyDescent="0.2">
      <c r="D55" s="221" t="s">
        <v>653</v>
      </c>
      <c r="E55" s="330">
        <v>1.1453923111521589</v>
      </c>
      <c r="F55" s="330">
        <v>0</v>
      </c>
      <c r="G55" s="330">
        <v>0</v>
      </c>
    </row>
    <row r="56" spans="4:7" ht="15" x14ac:dyDescent="0.2">
      <c r="D56" s="160" t="s">
        <v>165</v>
      </c>
      <c r="E56" s="332">
        <v>1087.1683120103235</v>
      </c>
      <c r="F56" s="332">
        <v>1013.9536913805048</v>
      </c>
      <c r="G56" s="332">
        <v>1045.5019123395625</v>
      </c>
    </row>
    <row r="57" spans="4:7" ht="15.75" thickBot="1" x14ac:dyDescent="0.25">
      <c r="D57" s="329" t="s">
        <v>890</v>
      </c>
      <c r="E57" s="333">
        <v>1091.0760758999672</v>
      </c>
      <c r="F57" s="333">
        <v>1016.3687869621042</v>
      </c>
      <c r="G57" s="333">
        <v>1048.4254779106041</v>
      </c>
    </row>
    <row r="59" spans="4:7" ht="30.75" hidden="1" outlineLevel="1" thickBot="1" x14ac:dyDescent="0.25">
      <c r="D59" s="362" t="str">
        <f>"Building block ("&amp;Real_Input&amp;", "&amp;Unit_Dollar_M&amp;")"</f>
        <v>Building block (Real 2024, $Million)</v>
      </c>
      <c r="E59" s="363" t="s">
        <v>822</v>
      </c>
      <c r="F59" s="363" t="s">
        <v>821</v>
      </c>
      <c r="G59" s="363" t="s">
        <v>785</v>
      </c>
    </row>
    <row r="60" spans="4:7" ht="15.75" hidden="1" outlineLevel="1" thickBot="1" x14ac:dyDescent="0.25">
      <c r="D60" s="364" t="s">
        <v>163</v>
      </c>
      <c r="E60" s="365">
        <f t="shared" ref="E60:F60" si="0">Z81</f>
        <v>391.53447645663016</v>
      </c>
      <c r="F60" s="365">
        <f t="shared" si="0"/>
        <v>378.65745910773052</v>
      </c>
      <c r="G60" s="365">
        <f>AB81</f>
        <v>385.07187305365875</v>
      </c>
    </row>
    <row r="61" spans="4:7" ht="15.75" hidden="1" outlineLevel="1" thickBot="1" x14ac:dyDescent="0.25">
      <c r="D61" s="366" t="s">
        <v>91</v>
      </c>
      <c r="E61" s="367">
        <f t="shared" ref="E61:G61" si="1">Z82</f>
        <v>187.07850619570621</v>
      </c>
      <c r="F61" s="367">
        <f t="shared" si="1"/>
        <v>188.91626289125333</v>
      </c>
      <c r="G61" s="367">
        <f t="shared" si="1"/>
        <v>192.93844501387235</v>
      </c>
    </row>
    <row r="62" spans="4:7" ht="15.75" hidden="1" outlineLevel="1" thickBot="1" x14ac:dyDescent="0.25">
      <c r="D62" s="364" t="s">
        <v>92</v>
      </c>
      <c r="E62" s="365">
        <f t="shared" ref="E62:G62" si="2">Z83</f>
        <v>415.33893781191102</v>
      </c>
      <c r="F62" s="365">
        <f t="shared" si="2"/>
        <v>364.44347893107653</v>
      </c>
      <c r="G62" s="365">
        <f t="shared" si="2"/>
        <v>387.23916942005053</v>
      </c>
    </row>
    <row r="63" spans="4:7" ht="15.75" hidden="1" outlineLevel="1" thickBot="1" x14ac:dyDescent="0.25">
      <c r="D63" s="366" t="s">
        <v>168</v>
      </c>
      <c r="E63" s="367">
        <f t="shared" ref="E63:G63" si="3">Z84</f>
        <v>-0.68481295169681977</v>
      </c>
      <c r="F63" s="367">
        <f t="shared" si="3"/>
        <v>-0.87254410627103729</v>
      </c>
      <c r="G63" s="367">
        <f t="shared" si="3"/>
        <v>-5.4397559376985178</v>
      </c>
    </row>
    <row r="64" spans="4:7" ht="15.75" hidden="1" outlineLevel="1" thickBot="1" x14ac:dyDescent="0.25">
      <c r="D64" s="364" t="s">
        <v>653</v>
      </c>
      <c r="E64" s="365">
        <f t="shared" ref="E64:G64" si="4">Z85</f>
        <v>1.1128996473337602</v>
      </c>
      <c r="F64" s="365">
        <f t="shared" si="4"/>
        <v>0</v>
      </c>
      <c r="G64" s="365">
        <f t="shared" si="4"/>
        <v>0</v>
      </c>
    </row>
    <row r="65" spans="3:29" ht="15.75" hidden="1" outlineLevel="1" thickBot="1" x14ac:dyDescent="0.25">
      <c r="D65" s="366" t="s">
        <v>165</v>
      </c>
      <c r="E65" s="368">
        <f t="shared" ref="E65:G65" si="5">Z86</f>
        <v>994.38000715988437</v>
      </c>
      <c r="F65" s="368">
        <f t="shared" si="5"/>
        <v>931.14465682378932</v>
      </c>
      <c r="G65" s="368">
        <f t="shared" si="5"/>
        <v>959.80973154988317</v>
      </c>
    </row>
    <row r="66" spans="3:29" ht="15.75" hidden="1" outlineLevel="1" thickBot="1" x14ac:dyDescent="0.25">
      <c r="D66" s="364" t="s">
        <v>890</v>
      </c>
      <c r="E66" s="369">
        <f t="shared" ref="E66:G66" si="6">Z87</f>
        <v>996.2139347914956</v>
      </c>
      <c r="F66" s="369">
        <f t="shared" si="6"/>
        <v>932.30434185665092</v>
      </c>
      <c r="G66" s="369">
        <f t="shared" si="6"/>
        <v>961.21413209881723</v>
      </c>
    </row>
    <row r="67" spans="3:29" hidden="1" outlineLevel="1" x14ac:dyDescent="0.2"/>
    <row r="68" spans="3:29" s="121" customFormat="1" ht="15.75" collapsed="1" x14ac:dyDescent="0.2">
      <c r="C68" s="121" t="s">
        <v>1292</v>
      </c>
    </row>
    <row r="70" spans="3:29" x14ac:dyDescent="0.2">
      <c r="O70" s="149"/>
      <c r="P70" s="150" t="s">
        <v>169</v>
      </c>
      <c r="Q70" s="149" t="s">
        <v>228</v>
      </c>
      <c r="R70" s="149" t="s">
        <v>299</v>
      </c>
      <c r="T70" s="149" t="s">
        <v>300</v>
      </c>
      <c r="U70" s="149" t="s">
        <v>301</v>
      </c>
      <c r="V70" s="149" t="s">
        <v>302</v>
      </c>
      <c r="W70" s="149" t="s">
        <v>303</v>
      </c>
      <c r="Y70" s="288" t="s">
        <v>9</v>
      </c>
      <c r="Z70" s="149" t="s">
        <v>635</v>
      </c>
      <c r="AA70" s="149" t="s">
        <v>642</v>
      </c>
      <c r="AB70" s="149" t="s">
        <v>641</v>
      </c>
      <c r="AC70" s="149" t="s">
        <v>186</v>
      </c>
    </row>
    <row r="71" spans="3:29" x14ac:dyDescent="0.2">
      <c r="O71" s="28">
        <v>0</v>
      </c>
      <c r="P71" s="30" t="s">
        <v>635</v>
      </c>
      <c r="Q71" s="152">
        <f>Z76</f>
        <v>1087.1683120103235</v>
      </c>
      <c r="R71" s="152">
        <f t="shared" ref="R71:R83" si="7">Q71</f>
        <v>1087.1683120103235</v>
      </c>
      <c r="T71" s="152">
        <f>Q71</f>
        <v>1087.1683120103235</v>
      </c>
      <c r="U71" s="152"/>
      <c r="V71" s="152"/>
      <c r="W71" s="152"/>
      <c r="Y71" s="172" t="s">
        <v>219</v>
      </c>
      <c r="Z71" s="32">
        <v>428.44125445613878</v>
      </c>
      <c r="AA71" s="32">
        <v>412.55228901271107</v>
      </c>
      <c r="AB71" s="32">
        <v>419.69364770633598</v>
      </c>
      <c r="AC71" s="153">
        <f>AB71-AA71</f>
        <v>7.1413586936249089</v>
      </c>
    </row>
    <row r="72" spans="3:29" x14ac:dyDescent="0.2">
      <c r="O72" s="28">
        <f t="shared" ref="O72:O83" si="8">N(O71)+1</f>
        <v>1</v>
      </c>
      <c r="P72" s="30" t="s">
        <v>654</v>
      </c>
      <c r="Q72" s="152">
        <f>AA71-Z71</f>
        <v>-15.888965443427708</v>
      </c>
      <c r="R72" s="152">
        <f t="shared" si="7"/>
        <v>-15.888965443427708</v>
      </c>
      <c r="T72" s="152"/>
      <c r="U72" s="152">
        <f>IF(Q72&gt;0,SUM(Q$71:Q71),SUM(Q$71:Q71)+Q72)</f>
        <v>1071.2793465668958</v>
      </c>
      <c r="V72" s="152" t="str">
        <f>IF(Q72&gt;0,Q72,"")</f>
        <v/>
      </c>
      <c r="W72" s="152">
        <f t="shared" ref="W72:W83" si="9">IF(Q72&lt;=0,ABS(Q72),"")</f>
        <v>15.888965443427708</v>
      </c>
      <c r="Y72" s="172" t="s">
        <v>164</v>
      </c>
      <c r="Z72" s="32">
        <v>204.92600482733829</v>
      </c>
      <c r="AA72" s="32">
        <v>206.0202264495486</v>
      </c>
      <c r="AB72" s="32">
        <v>210.49852751198611</v>
      </c>
      <c r="AC72" s="153">
        <f t="shared" ref="AC72:AC77" si="10">AB72-AA72</f>
        <v>4.4783010624375095</v>
      </c>
    </row>
    <row r="73" spans="3:29" x14ac:dyDescent="0.2">
      <c r="O73" s="28">
        <f t="shared" si="8"/>
        <v>2</v>
      </c>
      <c r="P73" s="30" t="s">
        <v>655</v>
      </c>
      <c r="Q73" s="152">
        <f>AA72-Z72</f>
        <v>1.0942216222103127</v>
      </c>
      <c r="R73" s="152">
        <f t="shared" si="7"/>
        <v>1.0942216222103127</v>
      </c>
      <c r="T73" s="152"/>
      <c r="U73" s="152">
        <f>IF(Q73&gt;0,SUM(Q$71:Q72),SUM(Q$71:Q72)+Q73)</f>
        <v>1071.2793465668958</v>
      </c>
      <c r="V73" s="152">
        <f>IF(Q73&gt;0,Q73,"")</f>
        <v>1.0942216222103127</v>
      </c>
      <c r="W73" s="152" t="str">
        <f t="shared" si="9"/>
        <v/>
      </c>
      <c r="Y73" s="172" t="s">
        <v>89</v>
      </c>
      <c r="Z73" s="32">
        <v>453.40117432697474</v>
      </c>
      <c r="AA73" s="32">
        <v>396.32980196589193</v>
      </c>
      <c r="AB73" s="32">
        <v>421.22381543344932</v>
      </c>
      <c r="AC73" s="153">
        <f t="shared" si="10"/>
        <v>24.894013467557386</v>
      </c>
    </row>
    <row r="74" spans="3:29" x14ac:dyDescent="0.2">
      <c r="O74" s="28">
        <f t="shared" si="8"/>
        <v>3</v>
      </c>
      <c r="P74" s="30" t="s">
        <v>92</v>
      </c>
      <c r="Q74" s="152">
        <f>AA73-Z73</f>
        <v>-57.071372361082808</v>
      </c>
      <c r="R74" s="152">
        <f t="shared" si="7"/>
        <v>-57.071372361082808</v>
      </c>
      <c r="T74" s="152"/>
      <c r="U74" s="152">
        <f>IF(Q74&gt;0,SUM(Q$71:Q73),SUM(Q$71:Q73)+Q74)</f>
        <v>1015.3021958280234</v>
      </c>
      <c r="V74" s="152" t="str">
        <f>IF(Q74&gt;0,Q74,"")</f>
        <v/>
      </c>
      <c r="W74" s="152">
        <f t="shared" si="9"/>
        <v>57.071372361082808</v>
      </c>
      <c r="Y74" s="172" t="s">
        <v>90</v>
      </c>
      <c r="Z74" s="32">
        <v>-0.74551391128068512</v>
      </c>
      <c r="AA74" s="32">
        <v>-0.94862604764699521</v>
      </c>
      <c r="AB74" s="32">
        <v>-5.9140783122088774</v>
      </c>
      <c r="AC74" s="153">
        <f t="shared" si="10"/>
        <v>-4.9654522645618826</v>
      </c>
    </row>
    <row r="75" spans="3:29" x14ac:dyDescent="0.2">
      <c r="O75" s="28">
        <f t="shared" si="8"/>
        <v>4</v>
      </c>
      <c r="P75" s="30" t="s">
        <v>656</v>
      </c>
      <c r="Q75" s="152">
        <f>AA74-Z74</f>
        <v>-0.20311213636631009</v>
      </c>
      <c r="R75" s="152">
        <f t="shared" si="7"/>
        <v>-0.20311213636631009</v>
      </c>
      <c r="T75" s="152"/>
      <c r="U75" s="152">
        <f>IF(Q75&gt;0,SUM(Q$71:Q74),SUM(Q$71:Q74)+Q75)</f>
        <v>1015.0990836916571</v>
      </c>
      <c r="V75" s="152" t="str">
        <f>IF(Q75&gt;0,Q75,"")</f>
        <v/>
      </c>
      <c r="W75" s="152">
        <f t="shared" si="9"/>
        <v>0.20311213636631009</v>
      </c>
      <c r="Y75" s="172" t="s">
        <v>218</v>
      </c>
      <c r="Z75" s="32">
        <v>1.1453923111521589</v>
      </c>
      <c r="AA75" s="32">
        <v>0</v>
      </c>
      <c r="AB75" s="32">
        <v>0</v>
      </c>
      <c r="AC75" s="153">
        <f t="shared" si="10"/>
        <v>0</v>
      </c>
    </row>
    <row r="76" spans="3:29" x14ac:dyDescent="0.2">
      <c r="O76" s="28">
        <f t="shared" si="8"/>
        <v>5</v>
      </c>
      <c r="P76" s="30" t="s">
        <v>653</v>
      </c>
      <c r="Q76" s="152">
        <f>AA75-Z75</f>
        <v>-1.1453923111521589</v>
      </c>
      <c r="R76" s="152">
        <f t="shared" si="7"/>
        <v>-1.1453923111521589</v>
      </c>
      <c r="T76" s="152"/>
      <c r="U76" s="152">
        <f>IF(Q76&gt;0,SUM(Q$71:Q75),SUM(Q$71:Q75)+Q76)</f>
        <v>1013.953691380505</v>
      </c>
      <c r="V76" s="152" t="str">
        <f>IF(Q76&gt;0,Q76,"")</f>
        <v/>
      </c>
      <c r="W76" s="152">
        <f t="shared" si="9"/>
        <v>1.1453923111521589</v>
      </c>
      <c r="Y76" s="172" t="s">
        <v>217</v>
      </c>
      <c r="Z76" s="32">
        <v>1087.1683120103235</v>
      </c>
      <c r="AA76" s="32">
        <v>1013.9536913805048</v>
      </c>
      <c r="AB76" s="32">
        <v>1045.5019123395625</v>
      </c>
      <c r="AC76" s="153">
        <f t="shared" si="10"/>
        <v>31.548220959057744</v>
      </c>
    </row>
    <row r="77" spans="3:29" x14ac:dyDescent="0.2">
      <c r="O77" s="28">
        <f t="shared" si="8"/>
        <v>6</v>
      </c>
      <c r="P77" s="30" t="s">
        <v>642</v>
      </c>
      <c r="Q77" s="152">
        <f>SUM(Q71:Q76)</f>
        <v>1013.953691380505</v>
      </c>
      <c r="R77" s="152">
        <f t="shared" si="7"/>
        <v>1013.953691380505</v>
      </c>
      <c r="T77" s="152">
        <f>Q77</f>
        <v>1013.953691380505</v>
      </c>
      <c r="U77" s="152"/>
      <c r="V77" s="152"/>
      <c r="W77" s="152" t="str">
        <f t="shared" si="9"/>
        <v/>
      </c>
      <c r="Y77" s="172" t="s">
        <v>639</v>
      </c>
      <c r="Z77" s="32">
        <v>1091.0760758999672</v>
      </c>
      <c r="AA77" s="32">
        <v>1016.3687869621042</v>
      </c>
      <c r="AB77" s="32">
        <v>1048.4254779106041</v>
      </c>
      <c r="AC77" s="153">
        <f t="shared" si="10"/>
        <v>32.056690948499863</v>
      </c>
    </row>
    <row r="78" spans="3:29" x14ac:dyDescent="0.2">
      <c r="O78" s="28">
        <f t="shared" si="8"/>
        <v>7</v>
      </c>
      <c r="P78" s="151" t="str">
        <f>P72</f>
        <v>RoA</v>
      </c>
      <c r="Q78" s="152">
        <f>AB71-AA71</f>
        <v>7.1413586936249089</v>
      </c>
      <c r="R78" s="152">
        <f t="shared" si="7"/>
        <v>7.1413586936249089</v>
      </c>
      <c r="T78" s="152"/>
      <c r="U78" s="152">
        <f>IF(Q78&gt;0,SUM(Q$77:Q77),SUM(Q$77:Q77)+Q78)</f>
        <v>1013.953691380505</v>
      </c>
      <c r="V78" s="152">
        <f>IF(Q78&gt;0,Q78,"")</f>
        <v>7.1413586936249089</v>
      </c>
      <c r="W78" s="152" t="str">
        <f t="shared" si="9"/>
        <v/>
      </c>
      <c r="AA78" s="153">
        <f>AA76-Z76</f>
        <v>-73.214620629818683</v>
      </c>
      <c r="AB78" s="153">
        <f>AB76-Z76</f>
        <v>-41.666399670760939</v>
      </c>
    </row>
    <row r="79" spans="3:29" x14ac:dyDescent="0.2">
      <c r="O79" s="28">
        <f t="shared" si="8"/>
        <v>8</v>
      </c>
      <c r="P79" s="151" t="str">
        <f>P73</f>
        <v>Depn</v>
      </c>
      <c r="Q79" s="152">
        <f>AB72-AA72</f>
        <v>4.4783010624375095</v>
      </c>
      <c r="R79" s="152">
        <f t="shared" si="7"/>
        <v>4.4783010624375095</v>
      </c>
      <c r="T79" s="152"/>
      <c r="U79" s="152">
        <f>IF(Q79&gt;0,SUM(Q$77:Q78),SUM(Q$77:Q78)+Q79)</f>
        <v>1021.0950500741299</v>
      </c>
      <c r="V79" s="152">
        <f>IF(Q79&gt;0,Q79,"")</f>
        <v>4.4783010624375095</v>
      </c>
      <c r="W79" s="152" t="str">
        <f t="shared" si="9"/>
        <v/>
      </c>
    </row>
    <row r="80" spans="3:29" x14ac:dyDescent="0.2">
      <c r="O80" s="28">
        <f t="shared" si="8"/>
        <v>9</v>
      </c>
      <c r="P80" s="151" t="str">
        <f>P74</f>
        <v>Opex</v>
      </c>
      <c r="Q80" s="152">
        <f>AB73-AA73</f>
        <v>24.894013467557386</v>
      </c>
      <c r="R80" s="152">
        <f t="shared" si="7"/>
        <v>24.894013467557386</v>
      </c>
      <c r="T80" s="152"/>
      <c r="U80" s="152">
        <f>IF(Q80&gt;0,SUM(Q$77:Q79),SUM(Q$77:Q79)+Q80)</f>
        <v>1025.5733511365675</v>
      </c>
      <c r="V80" s="152">
        <f>IF(Q80&gt;0,Q80,"")</f>
        <v>24.894013467557386</v>
      </c>
      <c r="W80" s="152" t="str">
        <f t="shared" si="9"/>
        <v/>
      </c>
      <c r="Y80" s="288" t="s">
        <v>101</v>
      </c>
      <c r="Z80" s="149" t="s">
        <v>635</v>
      </c>
      <c r="AA80" s="149" t="s">
        <v>642</v>
      </c>
      <c r="AB80" s="149" t="s">
        <v>641</v>
      </c>
      <c r="AC80" s="149" t="s">
        <v>186</v>
      </c>
    </row>
    <row r="81" spans="3:29" x14ac:dyDescent="0.2">
      <c r="O81" s="28">
        <f t="shared" si="8"/>
        <v>10</v>
      </c>
      <c r="P81" s="151" t="str">
        <f>P75</f>
        <v>Rev Adj</v>
      </c>
      <c r="Q81" s="152">
        <f>AB74-AA74</f>
        <v>-4.9654522645618826</v>
      </c>
      <c r="R81" s="152">
        <f t="shared" si="7"/>
        <v>-4.9654522645618826</v>
      </c>
      <c r="T81" s="152"/>
      <c r="U81" s="152">
        <f>IF(Q81&gt;0,SUM(Q$77:Q80),SUM(Q$77:Q80)+Q81)</f>
        <v>1045.501912339563</v>
      </c>
      <c r="V81" s="152" t="str">
        <f>IF(Q81&gt;0,Q81,"")</f>
        <v/>
      </c>
      <c r="W81" s="152">
        <f t="shared" si="9"/>
        <v>4.9654522645618826</v>
      </c>
      <c r="Y81" s="172" t="s">
        <v>219</v>
      </c>
      <c r="Z81" s="32">
        <v>391.53447645663016</v>
      </c>
      <c r="AA81" s="32">
        <v>378.65745910773052</v>
      </c>
      <c r="AB81" s="32">
        <v>385.07187305365875</v>
      </c>
      <c r="AC81" s="153">
        <f>AB81-AA81</f>
        <v>6.4144139459282314</v>
      </c>
    </row>
    <row r="82" spans="3:29" x14ac:dyDescent="0.2">
      <c r="O82" s="28">
        <f t="shared" si="8"/>
        <v>11</v>
      </c>
      <c r="P82" s="151" t="str">
        <f>P76</f>
        <v>Tax</v>
      </c>
      <c r="Q82" s="152">
        <f>AB75-AA75</f>
        <v>0</v>
      </c>
      <c r="R82" s="152">
        <f t="shared" si="7"/>
        <v>0</v>
      </c>
      <c r="T82" s="152"/>
      <c r="U82" s="152">
        <f>IF(Q82&gt;0,SUM(Q$77:Q81),SUM(Q$77:Q81)+Q82)</f>
        <v>1045.501912339563</v>
      </c>
      <c r="V82" s="152" t="str">
        <f>IF(Q82&gt;0,Q82,"")</f>
        <v/>
      </c>
      <c r="W82" s="152">
        <f t="shared" si="9"/>
        <v>0</v>
      </c>
      <c r="Y82" s="172" t="s">
        <v>164</v>
      </c>
      <c r="Z82" s="32">
        <v>187.07850619570621</v>
      </c>
      <c r="AA82" s="32">
        <v>188.91626289125333</v>
      </c>
      <c r="AB82" s="32">
        <v>192.93844501387235</v>
      </c>
      <c r="AC82" s="153">
        <f t="shared" ref="AC82:AC87" si="11">AB82-AA82</f>
        <v>4.0221821226190286</v>
      </c>
    </row>
    <row r="83" spans="3:29" x14ac:dyDescent="0.2">
      <c r="O83" s="28">
        <f t="shared" si="8"/>
        <v>12</v>
      </c>
      <c r="P83" s="30" t="s">
        <v>641</v>
      </c>
      <c r="Q83" s="152">
        <f>SUM(Q77:Q82)</f>
        <v>1045.501912339563</v>
      </c>
      <c r="R83" s="152">
        <f t="shared" si="7"/>
        <v>1045.501912339563</v>
      </c>
      <c r="T83" s="152">
        <f>Q83</f>
        <v>1045.501912339563</v>
      </c>
      <c r="U83" s="152"/>
      <c r="V83" s="152"/>
      <c r="W83" s="152" t="str">
        <f t="shared" si="9"/>
        <v/>
      </c>
      <c r="Y83" s="172" t="s">
        <v>89</v>
      </c>
      <c r="Z83" s="32">
        <v>415.33893781191102</v>
      </c>
      <c r="AA83" s="32">
        <v>364.44347893107653</v>
      </c>
      <c r="AB83" s="32">
        <v>387.23916942005053</v>
      </c>
      <c r="AC83" s="153">
        <f t="shared" si="11"/>
        <v>22.795690488974003</v>
      </c>
    </row>
    <row r="84" spans="3:29" x14ac:dyDescent="0.2">
      <c r="P84" s="164"/>
      <c r="Y84" s="172" t="s">
        <v>90</v>
      </c>
      <c r="Z84" s="32">
        <v>-0.68481295169681977</v>
      </c>
      <c r="AA84" s="32">
        <v>-0.87254410627103729</v>
      </c>
      <c r="AB84" s="32">
        <v>-5.4397559376985178</v>
      </c>
      <c r="AC84" s="153">
        <f t="shared" si="11"/>
        <v>-4.5672118314274801</v>
      </c>
    </row>
    <row r="85" spans="3:29" x14ac:dyDescent="0.2">
      <c r="Y85" s="172" t="s">
        <v>218</v>
      </c>
      <c r="Z85" s="32">
        <v>1.1128996473337602</v>
      </c>
      <c r="AA85" s="32">
        <v>0</v>
      </c>
      <c r="AB85" s="32">
        <v>0</v>
      </c>
      <c r="AC85" s="153">
        <f t="shared" si="11"/>
        <v>0</v>
      </c>
    </row>
    <row r="86" spans="3:29" x14ac:dyDescent="0.2">
      <c r="Y86" s="172" t="s">
        <v>217</v>
      </c>
      <c r="Z86" s="32">
        <v>994.38000715988437</v>
      </c>
      <c r="AA86" s="32">
        <v>931.14465682378932</v>
      </c>
      <c r="AB86" s="32">
        <v>959.80973154988317</v>
      </c>
      <c r="AC86" s="153">
        <f t="shared" si="11"/>
        <v>28.665074726093849</v>
      </c>
    </row>
    <row r="87" spans="3:29" x14ac:dyDescent="0.2">
      <c r="P87" s="151" t="s">
        <v>234</v>
      </c>
      <c r="Q87" s="153">
        <f>AB76-Z76</f>
        <v>-41.666399670760939</v>
      </c>
      <c r="Y87" s="172" t="s">
        <v>639</v>
      </c>
      <c r="Z87" s="32">
        <v>996.2139347914956</v>
      </c>
      <c r="AA87" s="32">
        <v>932.30434185665092</v>
      </c>
      <c r="AB87" s="32">
        <v>961.21413209881723</v>
      </c>
      <c r="AC87" s="153">
        <f t="shared" si="11"/>
        <v>28.909790242166309</v>
      </c>
    </row>
    <row r="88" spans="3:29" x14ac:dyDescent="0.2">
      <c r="AA88" s="153">
        <f>AA86-Z86</f>
        <v>-63.235350336095053</v>
      </c>
      <c r="AB88" s="153">
        <f>AB86-Z86</f>
        <v>-34.570275610001204</v>
      </c>
    </row>
    <row r="89" spans="3:29" x14ac:dyDescent="0.2">
      <c r="P89" s="92" t="s">
        <v>304</v>
      </c>
      <c r="Q89" s="92" t="str">
        <f>Nominal&amp;", "&amp;Unit_Dollar_M&amp;", Unsmoothed"</f>
        <v>Nominal, $Million, Unsmoothed</v>
      </c>
    </row>
    <row r="91" spans="3:29" s="121" customFormat="1" ht="15.75" x14ac:dyDescent="0.2">
      <c r="C91" s="121" t="s">
        <v>1293</v>
      </c>
    </row>
    <row r="93" spans="3:29" ht="15" x14ac:dyDescent="0.2">
      <c r="D93" s="381"/>
      <c r="E93" s="382" t="str">
        <f>LookupTab!W$40</f>
        <v>FY25</v>
      </c>
      <c r="F93" s="382" t="str">
        <f>LookupTab!X$40</f>
        <v>FY26</v>
      </c>
      <c r="G93" s="382" t="str">
        <f>LookupTab!Y$40</f>
        <v>FY27</v>
      </c>
      <c r="H93" s="382" t="str">
        <f>LookupTab!Z$40</f>
        <v>FY28</v>
      </c>
      <c r="I93" s="382" t="str">
        <f>LookupTab!AA$40</f>
        <v>FY29</v>
      </c>
      <c r="J93" s="383" t="s">
        <v>72</v>
      </c>
    </row>
    <row r="94" spans="3:29" x14ac:dyDescent="0.2">
      <c r="D94" s="377" t="s">
        <v>635</v>
      </c>
      <c r="E94" s="378">
        <v>72.487258343984223</v>
      </c>
      <c r="F94" s="378">
        <v>78.757059435864875</v>
      </c>
      <c r="G94" s="378">
        <v>85.483167710305381</v>
      </c>
      <c r="H94" s="378">
        <v>91.691423272188572</v>
      </c>
      <c r="I94" s="378">
        <v>100.02234569379574</v>
      </c>
      <c r="J94" s="463">
        <f>SUM(E94:I94)</f>
        <v>428.44125445613878</v>
      </c>
    </row>
    <row r="95" spans="3:29" x14ac:dyDescent="0.2">
      <c r="D95" s="379" t="s">
        <v>642</v>
      </c>
      <c r="E95" s="68">
        <v>71.265694722796525</v>
      </c>
      <c r="F95" s="68">
        <v>76.95414344393653</v>
      </c>
      <c r="G95" s="68">
        <v>83.003055485985158</v>
      </c>
      <c r="H95" s="68">
        <v>88.71291016535784</v>
      </c>
      <c r="I95" s="68">
        <v>92.616485194635089</v>
      </c>
      <c r="J95" s="464">
        <f t="shared" ref="J95:J96" si="12">SUM(E95:I95)</f>
        <v>412.55228901271107</v>
      </c>
    </row>
    <row r="96" spans="3:29" x14ac:dyDescent="0.2">
      <c r="D96" s="380" t="s">
        <v>641</v>
      </c>
      <c r="E96" s="291">
        <v>72.073746718398866</v>
      </c>
      <c r="F96" s="291">
        <v>77.751717274956221</v>
      </c>
      <c r="G96" s="291">
        <v>83.843243937483066</v>
      </c>
      <c r="H96" s="291">
        <v>89.132782863652125</v>
      </c>
      <c r="I96" s="291">
        <v>96.892156911845689</v>
      </c>
      <c r="J96" s="465">
        <f t="shared" si="12"/>
        <v>419.69364770633598</v>
      </c>
    </row>
    <row r="98" spans="2:10" s="121" customFormat="1" ht="15.75" x14ac:dyDescent="0.2">
      <c r="C98" s="121" t="s">
        <v>1294</v>
      </c>
    </row>
    <row r="100" spans="2:10" ht="15" x14ac:dyDescent="0.2">
      <c r="D100" s="381"/>
      <c r="E100" s="382" t="str">
        <f>LookupTab!W$40</f>
        <v>FY25</v>
      </c>
      <c r="F100" s="382" t="str">
        <f>LookupTab!X$40</f>
        <v>FY26</v>
      </c>
      <c r="G100" s="382" t="str">
        <f>LookupTab!Y$40</f>
        <v>FY27</v>
      </c>
      <c r="H100" s="382" t="str">
        <f>LookupTab!Z$40</f>
        <v>FY28</v>
      </c>
      <c r="I100" s="382" t="str">
        <f>LookupTab!AA$40</f>
        <v>FY29</v>
      </c>
      <c r="J100" s="383" t="s">
        <v>72</v>
      </c>
    </row>
    <row r="101" spans="2:10" x14ac:dyDescent="0.2">
      <c r="D101" s="377" t="s">
        <v>635</v>
      </c>
      <c r="E101" s="378">
        <v>34.639605085913516</v>
      </c>
      <c r="F101" s="378">
        <v>35.970099791733254</v>
      </c>
      <c r="G101" s="378">
        <v>38.968538363173678</v>
      </c>
      <c r="H101" s="378">
        <v>45.427913002961631</v>
      </c>
      <c r="I101" s="378">
        <v>49.919848583556217</v>
      </c>
      <c r="J101" s="463">
        <f>SUM(E101:I101)</f>
        <v>204.92600482733829</v>
      </c>
    </row>
    <row r="102" spans="2:10" x14ac:dyDescent="0.2">
      <c r="D102" s="379" t="s">
        <v>642</v>
      </c>
      <c r="E102" s="68">
        <v>35.811592050075696</v>
      </c>
      <c r="F102" s="68">
        <v>36.841372432745658</v>
      </c>
      <c r="G102" s="68">
        <v>39.486748064217252</v>
      </c>
      <c r="H102" s="68">
        <v>44.970069611573543</v>
      </c>
      <c r="I102" s="68">
        <v>48.910444290936454</v>
      </c>
      <c r="J102" s="464">
        <f t="shared" ref="J102:J103" si="13">SUM(E102:I102)</f>
        <v>206.0202264495486</v>
      </c>
    </row>
    <row r="103" spans="2:10" x14ac:dyDescent="0.2">
      <c r="D103" s="380" t="s">
        <v>641</v>
      </c>
      <c r="E103" s="291">
        <v>36.013510603269971</v>
      </c>
      <c r="F103" s="291">
        <v>37.260165880130103</v>
      </c>
      <c r="G103" s="291">
        <v>40.213693083871703</v>
      </c>
      <c r="H103" s="291">
        <v>46.339481545033031</v>
      </c>
      <c r="I103" s="291">
        <v>50.671676399681296</v>
      </c>
      <c r="J103" s="465">
        <f t="shared" si="13"/>
        <v>210.49852751198611</v>
      </c>
    </row>
    <row r="105" spans="2:10" s="121" customFormat="1" ht="15.75" x14ac:dyDescent="0.2">
      <c r="C105" s="121" t="s">
        <v>1306</v>
      </c>
    </row>
    <row r="107" spans="2:10" ht="15" x14ac:dyDescent="0.2">
      <c r="D107" s="381"/>
      <c r="E107" s="382" t="str">
        <f>LookupTab!W$40</f>
        <v>FY25</v>
      </c>
      <c r="F107" s="382" t="str">
        <f>LookupTab!X$40</f>
        <v>FY26</v>
      </c>
      <c r="G107" s="382" t="str">
        <f>LookupTab!Y$40</f>
        <v>FY27</v>
      </c>
      <c r="H107" s="382" t="str">
        <f>LookupTab!Z$40</f>
        <v>FY28</v>
      </c>
      <c r="I107" s="382" t="str">
        <f>LookupTab!AA$40</f>
        <v>FY29</v>
      </c>
      <c r="J107" s="383" t="s">
        <v>72</v>
      </c>
    </row>
    <row r="108" spans="2:10" x14ac:dyDescent="0.2">
      <c r="D108" s="377" t="s">
        <v>635</v>
      </c>
      <c r="E108" s="378">
        <v>83.990238950851065</v>
      </c>
      <c r="F108" s="378">
        <v>87.36278888274812</v>
      </c>
      <c r="G108" s="378">
        <v>90.00206582493216</v>
      </c>
      <c r="H108" s="378">
        <v>94.479766869046699</v>
      </c>
      <c r="I108" s="378">
        <v>97.566313799396724</v>
      </c>
      <c r="J108" s="463">
        <f>SUM(E108:I108)</f>
        <v>453.40117432697474</v>
      </c>
    </row>
    <row r="109" spans="2:10" x14ac:dyDescent="0.2">
      <c r="D109" s="379" t="s">
        <v>642</v>
      </c>
      <c r="E109" s="68">
        <v>74.018468890142245</v>
      </c>
      <c r="F109" s="68">
        <v>76.810606394479791</v>
      </c>
      <c r="G109" s="68">
        <v>79.286457667520182</v>
      </c>
      <c r="H109" s="68">
        <v>81.786226870465114</v>
      </c>
      <c r="I109" s="68">
        <v>84.4280421432846</v>
      </c>
      <c r="J109" s="464">
        <f t="shared" ref="J109:J110" si="14">SUM(E109:I109)</f>
        <v>396.32980196589193</v>
      </c>
    </row>
    <row r="110" spans="2:10" x14ac:dyDescent="0.2">
      <c r="D110" s="380" t="s">
        <v>641</v>
      </c>
      <c r="E110" s="291">
        <v>77.979207792974904</v>
      </c>
      <c r="F110" s="291">
        <v>81.245456600752547</v>
      </c>
      <c r="G110" s="291">
        <v>84.038118525912338</v>
      </c>
      <c r="H110" s="291">
        <v>87.544517956153271</v>
      </c>
      <c r="I110" s="291">
        <v>90.416514557656228</v>
      </c>
      <c r="J110" s="465">
        <f t="shared" si="14"/>
        <v>421.22381543344932</v>
      </c>
    </row>
    <row r="112" spans="2:10" s="6" customFormat="1" ht="18.75" x14ac:dyDescent="0.2">
      <c r="B112" s="6" t="s">
        <v>43</v>
      </c>
    </row>
  </sheetData>
  <hyperlinks>
    <hyperlink ref="B4" location="ToC!A1" display="ToC!A1" xr:uid="{7689E994-CC23-4B0E-9D87-E12AC5BC4F70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87C60-417C-4B9C-B4EB-85A79ADA5380}">
  <sheetPr>
    <tabColor theme="3"/>
  </sheetPr>
  <dimension ref="A1:Z148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x14ac:dyDescent="0.2"/>
  <cols>
    <col min="1" max="3" width="3.7109375" customWidth="1"/>
    <col min="4" max="4" width="43" bestFit="1" customWidth="1"/>
    <col min="5" max="20" width="13.5703125" customWidth="1"/>
  </cols>
  <sheetData>
    <row r="1" spans="1:10" ht="23.25" x14ac:dyDescent="0.35">
      <c r="A1" s="52">
        <f>IF(SUM(A5:A148)&lt;&gt;0,1,0)</f>
        <v>0</v>
      </c>
      <c r="B1" s="16" t="s">
        <v>800</v>
      </c>
    </row>
    <row r="2" spans="1:10" ht="15" x14ac:dyDescent="0.2">
      <c r="B2" s="34" t="str">
        <f>Model_Name</f>
        <v>Power and Water - Revised Proposal - Tables and Charts</v>
      </c>
    </row>
    <row r="3" spans="1:10" x14ac:dyDescent="0.2">
      <c r="B3" s="37" t="str">
        <f>"Model Checks:"&amp;IF(Model_Checks=0," OK"," Check")</f>
        <v>Model Checks: OK</v>
      </c>
    </row>
    <row r="4" spans="1:10" x14ac:dyDescent="0.2">
      <c r="B4" s="29" t="str">
        <f>ToC!$B$1</f>
        <v>Table of contents</v>
      </c>
    </row>
    <row r="5" spans="1:10" x14ac:dyDescent="0.2">
      <c r="B5" t="s">
        <v>237</v>
      </c>
    </row>
    <row r="6" spans="1:10" s="6" customFormat="1" ht="18.75" x14ac:dyDescent="0.2">
      <c r="B6" s="6" t="s">
        <v>801</v>
      </c>
    </row>
    <row r="8" spans="1:10" s="6" customFormat="1" ht="18.75" x14ac:dyDescent="0.2">
      <c r="B8" s="6" t="s">
        <v>802</v>
      </c>
    </row>
    <row r="10" spans="1:10" s="121" customFormat="1" ht="15.75" x14ac:dyDescent="0.2">
      <c r="C10" s="121" t="s">
        <v>160</v>
      </c>
    </row>
    <row r="12" spans="1:10" x14ac:dyDescent="0.2">
      <c r="D12" s="60" t="s">
        <v>1314</v>
      </c>
      <c r="I12" s="61" t="s">
        <v>189</v>
      </c>
    </row>
    <row r="13" spans="1:10" ht="13.5" thickBot="1" x14ac:dyDescent="0.25"/>
    <row r="14" spans="1:10" ht="15.75" thickBot="1" x14ac:dyDescent="0.25">
      <c r="D14" s="45" t="s">
        <v>892</v>
      </c>
      <c r="I14" s="336">
        <v>568.02877389502839</v>
      </c>
      <c r="J14" s="63" t="s">
        <v>973</v>
      </c>
    </row>
    <row r="15" spans="1:10" ht="15.75" thickBot="1" x14ac:dyDescent="0.25">
      <c r="D15" s="45" t="s">
        <v>893</v>
      </c>
      <c r="I15" s="336">
        <v>432.78389070376568</v>
      </c>
      <c r="J15" s="63" t="s">
        <v>973</v>
      </c>
    </row>
    <row r="17" spans="2:18" x14ac:dyDescent="0.2">
      <c r="C17" s="45"/>
      <c r="D17" s="45" t="s">
        <v>894</v>
      </c>
      <c r="I17" s="74">
        <f>I14</f>
        <v>568.02877389502839</v>
      </c>
      <c r="J17" s="63" t="str">
        <f>J14</f>
        <v>◄ Net Capex</v>
      </c>
    </row>
    <row r="18" spans="2:18" x14ac:dyDescent="0.2">
      <c r="D18" s="45" t="s">
        <v>895</v>
      </c>
      <c r="I18" s="74">
        <f>I15</f>
        <v>432.78389070376568</v>
      </c>
      <c r="J18" s="63" t="str">
        <f>J15</f>
        <v>◄ Net Capex</v>
      </c>
    </row>
    <row r="20" spans="2:18" x14ac:dyDescent="0.2">
      <c r="D20" s="45" t="s">
        <v>896</v>
      </c>
      <c r="I20" s="74">
        <f>I18-I17</f>
        <v>-135.24488319126272</v>
      </c>
      <c r="J20" s="63"/>
      <c r="P20" s="61" t="s">
        <v>783</v>
      </c>
      <c r="Q20" s="61" t="s">
        <v>784</v>
      </c>
      <c r="R20" s="61" t="s">
        <v>782</v>
      </c>
    </row>
    <row r="21" spans="2:18" x14ac:dyDescent="0.2">
      <c r="D21" s="402" t="s">
        <v>897</v>
      </c>
      <c r="E21" s="399"/>
      <c r="F21" s="399"/>
      <c r="G21" s="399"/>
      <c r="H21" s="399"/>
      <c r="I21" s="403">
        <f>I18/I17-1</f>
        <v>-0.23809512723074822</v>
      </c>
      <c r="J21" s="63"/>
    </row>
    <row r="22" spans="2:18" x14ac:dyDescent="0.2">
      <c r="D22" s="45" t="s">
        <v>1080</v>
      </c>
      <c r="I22" s="74">
        <f>Q23-P23</f>
        <v>-12.097561500910203</v>
      </c>
      <c r="J22" s="63" t="str">
        <f>"◄ "&amp;Input_Capex_Projects!$H$10</f>
        <v>◄ Direct escalated costs ($millions, June 2024)</v>
      </c>
    </row>
    <row r="23" spans="2:18" x14ac:dyDescent="0.2">
      <c r="D23" s="45" t="s">
        <v>1081</v>
      </c>
      <c r="I23" s="74">
        <f>Q23</f>
        <v>1.1227499165908248</v>
      </c>
      <c r="J23" s="63" t="str">
        <f>"◄ "&amp;Input_Capex_Projects!$H$10</f>
        <v>◄ Direct escalated costs ($millions, June 2024)</v>
      </c>
      <c r="P23" s="74">
        <f>Overview!P86</f>
        <v>13.220311417501028</v>
      </c>
      <c r="Q23" s="74">
        <f>Overview!Q86</f>
        <v>1.1227499165908248</v>
      </c>
      <c r="R23" s="74">
        <f>Overview!R86</f>
        <v>3.7128102224151069</v>
      </c>
    </row>
    <row r="24" spans="2:18" x14ac:dyDescent="0.2">
      <c r="D24" s="45"/>
      <c r="I24" s="74"/>
      <c r="J24" s="63"/>
      <c r="P24" s="74"/>
      <c r="Q24" s="74"/>
      <c r="R24" s="74"/>
    </row>
    <row r="25" spans="2:18" x14ac:dyDescent="0.2">
      <c r="D25" s="45" t="s">
        <v>898</v>
      </c>
      <c r="I25" s="74">
        <f>Q25-P25</f>
        <v>-21.559214701125139</v>
      </c>
      <c r="J25" s="63" t="str">
        <f>"◄ "&amp;Input_Capex_Projects!$H$10</f>
        <v>◄ Direct escalated costs ($millions, June 2024)</v>
      </c>
      <c r="P25" s="74">
        <f>Overview!P91</f>
        <v>21.559214701125139</v>
      </c>
      <c r="Q25" s="74">
        <f>Overview!Q91</f>
        <v>0</v>
      </c>
      <c r="R25" s="74">
        <f>Overview!R91</f>
        <v>15.808351813559963</v>
      </c>
    </row>
    <row r="26" spans="2:18" x14ac:dyDescent="0.2">
      <c r="D26" s="45"/>
      <c r="I26" s="74"/>
      <c r="J26" s="63"/>
      <c r="P26" s="74"/>
      <c r="Q26" s="74"/>
      <c r="R26" s="74"/>
    </row>
    <row r="27" spans="2:18" x14ac:dyDescent="0.2">
      <c r="D27" s="45" t="s">
        <v>899</v>
      </c>
      <c r="I27" s="74">
        <f>Q27-P27</f>
        <v>-84.295719359941884</v>
      </c>
      <c r="J27" s="63" t="str">
        <f>"◄ "&amp;Input_Capex_Projects!$H$10&amp;", PP14 and PL01"</f>
        <v>◄ Direct escalated costs ($millions, June 2024), PP14 and PL01</v>
      </c>
      <c r="P27" s="74">
        <f>Overview!P96+Overview!P97</f>
        <v>95.4687654631241</v>
      </c>
      <c r="Q27" s="74">
        <f>Overview!Q96+Overview!Q97</f>
        <v>11.173046103182211</v>
      </c>
      <c r="R27" s="74">
        <f>Overview!R96+Overview!R97</f>
        <v>81.688057352554608</v>
      </c>
    </row>
    <row r="28" spans="2:18" x14ac:dyDescent="0.2">
      <c r="D28" s="45"/>
      <c r="I28" s="74"/>
      <c r="J28" s="63"/>
      <c r="M28" s="74"/>
      <c r="N28" s="74"/>
      <c r="O28" s="74"/>
    </row>
    <row r="29" spans="2:18" x14ac:dyDescent="0.2">
      <c r="D29" s="45" t="s">
        <v>1082</v>
      </c>
      <c r="I29" s="74">
        <f>I20-I22-I25-I27</f>
        <v>-17.292387629285486</v>
      </c>
    </row>
    <row r="31" spans="2:18" s="6" customFormat="1" ht="18.75" x14ac:dyDescent="0.2">
      <c r="B31" s="6" t="s">
        <v>803</v>
      </c>
    </row>
    <row r="33" spans="3:18" s="121" customFormat="1" ht="15.75" x14ac:dyDescent="0.2">
      <c r="C33" s="121" t="s">
        <v>907</v>
      </c>
    </row>
    <row r="35" spans="3:18" x14ac:dyDescent="0.2">
      <c r="D35" s="60" t="s">
        <v>907</v>
      </c>
      <c r="I35" s="61" t="s">
        <v>189</v>
      </c>
    </row>
    <row r="36" spans="3:18" ht="13.5" thickBot="1" x14ac:dyDescent="0.25"/>
    <row r="37" spans="3:18" ht="15.75" thickBot="1" x14ac:dyDescent="0.25">
      <c r="D37" s="45" t="s">
        <v>976</v>
      </c>
      <c r="I37" s="336">
        <v>538.23135679426014</v>
      </c>
      <c r="J37" s="63" t="s">
        <v>973</v>
      </c>
    </row>
    <row r="38" spans="3:18" x14ac:dyDescent="0.2">
      <c r="D38" s="350" t="s">
        <v>977</v>
      </c>
      <c r="I38" s="74">
        <f>Overview!R86</f>
        <v>3.7128102224151069</v>
      </c>
      <c r="J38" s="63" t="s">
        <v>1165</v>
      </c>
    </row>
    <row r="39" spans="3:18" x14ac:dyDescent="0.2">
      <c r="D39" s="350" t="s">
        <v>979</v>
      </c>
      <c r="I39" s="74">
        <f>Overview!R91</f>
        <v>15.808351813559963</v>
      </c>
      <c r="J39" s="63" t="s">
        <v>1165</v>
      </c>
    </row>
    <row r="40" spans="3:18" ht="13.5" thickBot="1" x14ac:dyDescent="0.25">
      <c r="D40" s="350" t="s">
        <v>978</v>
      </c>
      <c r="I40" s="74">
        <f>Overview!R96</f>
        <v>76.101534300963493</v>
      </c>
      <c r="J40" s="63" t="s">
        <v>1165</v>
      </c>
      <c r="P40" s="61" t="s">
        <v>783</v>
      </c>
      <c r="Q40" s="61" t="s">
        <v>784</v>
      </c>
      <c r="R40" s="61" t="s">
        <v>782</v>
      </c>
    </row>
    <row r="41" spans="3:18" ht="15.75" thickBot="1" x14ac:dyDescent="0.25">
      <c r="D41" s="350" t="s">
        <v>981</v>
      </c>
      <c r="I41" s="74">
        <f>R41-Q41</f>
        <v>15.666729600013639</v>
      </c>
      <c r="J41" s="63" t="s">
        <v>980</v>
      </c>
      <c r="P41" s="336">
        <v>144.72685058406182</v>
      </c>
      <c r="Q41" s="336">
        <v>130.93968171637198</v>
      </c>
      <c r="R41" s="74">
        <f>SUM(Input_Capex_Projects!U133:Y133)-SUM(Input_Capex_Projects!J133:N133)</f>
        <v>146.60641131638562</v>
      </c>
    </row>
    <row r="43" spans="3:18" x14ac:dyDescent="0.2">
      <c r="D43" s="45" t="s">
        <v>908</v>
      </c>
      <c r="I43" s="74">
        <f>I14</f>
        <v>568.02877389502839</v>
      </c>
      <c r="J43" s="63" t="str">
        <f>J14</f>
        <v>◄ Net Capex</v>
      </c>
    </row>
    <row r="44" spans="3:18" ht="13.5" thickBot="1" x14ac:dyDescent="0.25">
      <c r="D44" s="45" t="s">
        <v>909</v>
      </c>
    </row>
    <row r="45" spans="3:18" ht="15.75" thickBot="1" x14ac:dyDescent="0.25">
      <c r="D45" s="45" t="s">
        <v>910</v>
      </c>
      <c r="I45" s="336">
        <v>176.62755861893345</v>
      </c>
      <c r="J45" s="63" t="s">
        <v>982</v>
      </c>
    </row>
    <row r="46" spans="3:18" ht="15.75" thickBot="1" x14ac:dyDescent="0.25">
      <c r="D46" s="45" t="s">
        <v>911</v>
      </c>
      <c r="I46" s="336">
        <v>33.21504936323889</v>
      </c>
      <c r="J46" s="63" t="str">
        <f>J45</f>
        <v>◄ Gross Capex</v>
      </c>
    </row>
    <row r="47" spans="3:18" ht="15.75" thickBot="1" x14ac:dyDescent="0.25">
      <c r="D47" s="45" t="s">
        <v>912</v>
      </c>
      <c r="I47" s="336">
        <v>6.998033922181409</v>
      </c>
      <c r="J47" s="63" t="str">
        <f t="shared" ref="J47:J51" si="0">J46</f>
        <v>◄ Gross Capex</v>
      </c>
    </row>
    <row r="48" spans="3:18" ht="15.75" thickBot="1" x14ac:dyDescent="0.25">
      <c r="D48" s="45" t="s">
        <v>913</v>
      </c>
      <c r="I48" s="336">
        <v>13.220311417501028</v>
      </c>
      <c r="J48" s="63" t="str">
        <f t="shared" si="0"/>
        <v>◄ Gross Capex</v>
      </c>
    </row>
    <row r="49" spans="3:26" ht="15.75" thickBot="1" x14ac:dyDescent="0.25">
      <c r="D49" s="45" t="s">
        <v>914</v>
      </c>
      <c r="I49" s="336">
        <v>70.65095615675483</v>
      </c>
      <c r="J49" s="63" t="str">
        <f t="shared" si="0"/>
        <v>◄ Gross Capex</v>
      </c>
    </row>
    <row r="50" spans="3:26" ht="15.75" thickBot="1" x14ac:dyDescent="0.25">
      <c r="D50" s="45" t="s">
        <v>915</v>
      </c>
      <c r="I50" s="336">
        <v>129.36843634570286</v>
      </c>
      <c r="J50" s="63" t="str">
        <f t="shared" si="0"/>
        <v>◄ Gross Capex</v>
      </c>
    </row>
    <row r="51" spans="3:26" ht="15.75" thickBot="1" x14ac:dyDescent="0.25">
      <c r="D51" s="45" t="s">
        <v>916</v>
      </c>
      <c r="I51" s="336">
        <v>144.72685058406182</v>
      </c>
      <c r="J51" s="63" t="str">
        <f t="shared" si="0"/>
        <v>◄ Gross Capex</v>
      </c>
    </row>
    <row r="53" spans="3:26" x14ac:dyDescent="0.2">
      <c r="D53" s="45" t="s">
        <v>983</v>
      </c>
      <c r="I53" s="74">
        <f>I37</f>
        <v>538.23135679426014</v>
      </c>
      <c r="J53" s="63" t="str">
        <f>J37</f>
        <v>◄ Net Capex</v>
      </c>
    </row>
    <row r="55" spans="3:26" s="121" customFormat="1" ht="15.75" x14ac:dyDescent="0.2">
      <c r="C55" s="121" t="s">
        <v>1295</v>
      </c>
    </row>
    <row r="57" spans="3:26" x14ac:dyDescent="0.2">
      <c r="O57" s="149" t="s">
        <v>658</v>
      </c>
      <c r="P57" s="150" t="s">
        <v>169</v>
      </c>
      <c r="Q57" s="149" t="s">
        <v>228</v>
      </c>
      <c r="R57" s="149" t="s">
        <v>299</v>
      </c>
      <c r="T57" s="149" t="s">
        <v>300</v>
      </c>
      <c r="U57" s="149" t="s">
        <v>301</v>
      </c>
      <c r="V57" s="149" t="s">
        <v>302</v>
      </c>
      <c r="W57" s="149" t="s">
        <v>303</v>
      </c>
      <c r="Y57" s="149" t="s">
        <v>1116</v>
      </c>
      <c r="Z57" s="149" t="s">
        <v>1117</v>
      </c>
    </row>
    <row r="58" spans="3:26" x14ac:dyDescent="0.2">
      <c r="O58" s="28">
        <v>0</v>
      </c>
      <c r="P58" s="30" t="s">
        <v>635</v>
      </c>
      <c r="Q58" s="152">
        <f>$I$17</f>
        <v>568.02877389502839</v>
      </c>
      <c r="R58" s="152">
        <f t="shared" ref="R58:R68" si="1">Q58</f>
        <v>568.02877389502839</v>
      </c>
      <c r="T58" s="152">
        <f>Q58</f>
        <v>568.02877389502839</v>
      </c>
      <c r="U58" s="152"/>
      <c r="V58" s="152"/>
      <c r="W58" s="152"/>
    </row>
    <row r="59" spans="3:26" x14ac:dyDescent="0.2">
      <c r="O59" s="28">
        <f t="shared" ref="O59:O68" si="2">N(O58)+1</f>
        <v>1</v>
      </c>
      <c r="P59" s="30" t="s">
        <v>207</v>
      </c>
      <c r="Q59" s="152">
        <f>IF($Q$72=$Y$57,Y59,Z59)</f>
        <v>-12.097561500910203</v>
      </c>
      <c r="R59" s="152">
        <f t="shared" si="1"/>
        <v>-12.097561500910203</v>
      </c>
      <c r="T59" s="152"/>
      <c r="U59" s="152">
        <f>IF(Q59&gt;0,SUM(Q$58:Q58),SUM(Q$58:Q58)+Q59)</f>
        <v>555.93121239411823</v>
      </c>
      <c r="V59" s="152" t="str">
        <f>IF(Q59&gt;0,Q59,"")</f>
        <v/>
      </c>
      <c r="W59" s="152">
        <f t="shared" ref="W59:W68" si="3">IF(Q59&lt;=0,ABS(Q59),"")</f>
        <v>12.097561500910203</v>
      </c>
      <c r="Y59" s="152">
        <f>Q23-P23</f>
        <v>-12.097561500910203</v>
      </c>
      <c r="Z59" s="152">
        <f>Overview!U86-Overview!T86</f>
        <v>-16.148611744271044</v>
      </c>
    </row>
    <row r="60" spans="3:26" x14ac:dyDescent="0.2">
      <c r="O60" s="28">
        <f t="shared" si="2"/>
        <v>2</v>
      </c>
      <c r="P60" s="30" t="s">
        <v>984</v>
      </c>
      <c r="Q60" s="152">
        <f t="shared" ref="Q60:Q61" si="4">IF($Q$72=$Y$57,Y60,Z60)</f>
        <v>-21.559214701125139</v>
      </c>
      <c r="R60" s="152">
        <f t="shared" si="1"/>
        <v>-21.559214701125139</v>
      </c>
      <c r="T60" s="152"/>
      <c r="U60" s="152">
        <f>IF(Q60&gt;0,SUM(Q$58:Q59),SUM(Q$58:Q59)+Q60)</f>
        <v>534.37199769299309</v>
      </c>
      <c r="V60" s="152" t="str">
        <f>IF(Q60&gt;0,Q60,"")</f>
        <v/>
      </c>
      <c r="W60" s="152">
        <f t="shared" si="3"/>
        <v>21.559214701125139</v>
      </c>
      <c r="Y60" s="152">
        <f>Q25-P25</f>
        <v>-21.559214701125139</v>
      </c>
      <c r="Z60" s="152">
        <f>Overview!U91-Overview!T91</f>
        <v>-28.963635122656367</v>
      </c>
    </row>
    <row r="61" spans="3:26" x14ac:dyDescent="0.2">
      <c r="O61" s="28">
        <f t="shared" si="2"/>
        <v>3</v>
      </c>
      <c r="P61" s="30" t="s">
        <v>985</v>
      </c>
      <c r="Q61" s="152">
        <f t="shared" si="4"/>
        <v>-84.295719359941884</v>
      </c>
      <c r="R61" s="152">
        <f t="shared" si="1"/>
        <v>-84.295719359941884</v>
      </c>
      <c r="T61" s="152"/>
      <c r="U61" s="152">
        <f>IF(Q61&gt;0,SUM(Q$58:Q60),SUM(Q$58:Q60)+Q61)</f>
        <v>450.07627833305122</v>
      </c>
      <c r="V61" s="152" t="str">
        <f>IF(Q61&gt;0,Q61,"")</f>
        <v/>
      </c>
      <c r="W61" s="152">
        <f t="shared" si="3"/>
        <v>84.295719359941884</v>
      </c>
      <c r="Y61" s="152">
        <f>Q27-P27</f>
        <v>-84.295719359941884</v>
      </c>
      <c r="Z61" s="152">
        <f>(Overview!U96+Overview!U97)-(Overview!T96+Overview!T97)</f>
        <v>-112.21370248043371</v>
      </c>
    </row>
    <row r="62" spans="3:26" x14ac:dyDescent="0.2">
      <c r="O62" s="28">
        <f t="shared" si="2"/>
        <v>4</v>
      </c>
      <c r="P62" s="30" t="s">
        <v>271</v>
      </c>
      <c r="Q62" s="32">
        <v>-17.292387629285543</v>
      </c>
      <c r="R62" s="152">
        <f t="shared" si="1"/>
        <v>-17.292387629285543</v>
      </c>
      <c r="T62" s="152"/>
      <c r="U62" s="152">
        <f>IF(Q62&gt;0,SUM(Q$58:Q61),SUM(Q$58:Q61)+Q62)</f>
        <v>432.78389070376568</v>
      </c>
      <c r="V62" s="152" t="str">
        <f>IF(Q62&gt;0,Q62,"")</f>
        <v/>
      </c>
      <c r="W62" s="152">
        <f t="shared" si="3"/>
        <v>17.292387629285543</v>
      </c>
    </row>
    <row r="63" spans="3:26" x14ac:dyDescent="0.2">
      <c r="O63" s="28">
        <f t="shared" si="2"/>
        <v>5</v>
      </c>
      <c r="P63" s="30" t="s">
        <v>642</v>
      </c>
      <c r="Q63" s="152">
        <f>$I$18</f>
        <v>432.78389070376568</v>
      </c>
      <c r="R63" s="152">
        <f t="shared" si="1"/>
        <v>432.78389070376568</v>
      </c>
      <c r="T63" s="152">
        <f>Q63</f>
        <v>432.78389070376568</v>
      </c>
      <c r="U63" s="152"/>
      <c r="V63" s="152"/>
      <c r="W63" s="152" t="str">
        <f t="shared" si="3"/>
        <v/>
      </c>
    </row>
    <row r="64" spans="3:26" x14ac:dyDescent="0.2">
      <c r="O64" s="28">
        <f t="shared" si="2"/>
        <v>6</v>
      </c>
      <c r="P64" s="151" t="str">
        <f>P59</f>
        <v>DER</v>
      </c>
      <c r="Q64" s="152">
        <f t="shared" ref="Q64:Q66" si="5">IF($Q$72=$Y$57,Y64,Z64)</f>
        <v>2.5900603058242821</v>
      </c>
      <c r="R64" s="152">
        <f t="shared" si="1"/>
        <v>2.5900603058242821</v>
      </c>
      <c r="T64" s="152"/>
      <c r="U64" s="152">
        <f>IF(Q64&gt;0,SUM(Q$63:Q63),SUM(Q$63:Q63)+Q64)</f>
        <v>432.78389070376568</v>
      </c>
      <c r="V64" s="152">
        <f>IF(Q64&gt;0,Q64,"")</f>
        <v>2.5900603058242821</v>
      </c>
      <c r="W64" s="152" t="str">
        <f t="shared" si="3"/>
        <v/>
      </c>
      <c r="Y64" s="152">
        <f>R23-Q23</f>
        <v>2.5900603058242821</v>
      </c>
      <c r="Z64" s="152">
        <f>Overview!V86-Overview!U86</f>
        <v>3.503361810134348</v>
      </c>
    </row>
    <row r="65" spans="3:26" x14ac:dyDescent="0.2">
      <c r="O65" s="28">
        <f t="shared" si="2"/>
        <v>7</v>
      </c>
      <c r="P65" s="151" t="str">
        <f t="shared" ref="P65:P67" si="6">P60</f>
        <v>OT Capability</v>
      </c>
      <c r="Q65" s="152">
        <f t="shared" si="5"/>
        <v>15.808351813559963</v>
      </c>
      <c r="R65" s="152">
        <f t="shared" si="1"/>
        <v>15.808351813559963</v>
      </c>
      <c r="T65" s="152"/>
      <c r="U65" s="152">
        <f>IF(Q65&gt;0,SUM(Q$63:Q64),SUM(Q$63:Q64)+Q65)</f>
        <v>435.37395100958997</v>
      </c>
      <c r="V65" s="152">
        <f>IF(Q65&gt;0,Q65,"")</f>
        <v>15.808351813559963</v>
      </c>
      <c r="W65" s="152" t="str">
        <f t="shared" si="3"/>
        <v/>
      </c>
      <c r="Y65" s="152">
        <f>R25-Q25</f>
        <v>15.808351813559963</v>
      </c>
      <c r="Z65" s="152">
        <f>Overview!V91-Overview!U91</f>
        <v>21.745046143085368</v>
      </c>
    </row>
    <row r="66" spans="3:26" x14ac:dyDescent="0.2">
      <c r="O66" s="28">
        <f t="shared" si="2"/>
        <v>8</v>
      </c>
      <c r="P66" s="151" t="str">
        <f t="shared" si="6"/>
        <v>Single Site</v>
      </c>
      <c r="Q66" s="152">
        <f t="shared" si="5"/>
        <v>70.515011249372392</v>
      </c>
      <c r="R66" s="152">
        <f t="shared" si="1"/>
        <v>70.515011249372392</v>
      </c>
      <c r="T66" s="152"/>
      <c r="U66" s="152">
        <f>IF(Q66&gt;0,SUM(Q$63:Q65),SUM(Q$63:Q65)+Q66)</f>
        <v>451.18230282314994</v>
      </c>
      <c r="V66" s="152">
        <f>IF(Q66&gt;0,Q66,"")</f>
        <v>70.515011249372392</v>
      </c>
      <c r="W66" s="152" t="str">
        <f t="shared" si="3"/>
        <v/>
      </c>
      <c r="Y66" s="152">
        <f>R27-Q27</f>
        <v>70.515011249372392</v>
      </c>
      <c r="Z66" s="152">
        <f>(Overview!V96+Overview!V97)-(Overview!U96+Overview!U97)</f>
        <v>96.597828482197855</v>
      </c>
    </row>
    <row r="67" spans="3:26" x14ac:dyDescent="0.2">
      <c r="O67" s="28">
        <f t="shared" si="2"/>
        <v>9</v>
      </c>
      <c r="P67" s="151" t="str">
        <f t="shared" si="6"/>
        <v>Other</v>
      </c>
      <c r="Q67" s="32">
        <v>16.534042721737819</v>
      </c>
      <c r="R67" s="152">
        <f>Q67</f>
        <v>16.534042721737819</v>
      </c>
      <c r="T67" s="152"/>
      <c r="U67" s="152">
        <f>IF(Q67&gt;0,SUM(Q$63:Q66),SUM(Q$63:Q66)+Q67)</f>
        <v>521.69731407252232</v>
      </c>
      <c r="V67" s="152">
        <f>IF(Q67&gt;0,Q67,"")</f>
        <v>16.534042721737819</v>
      </c>
      <c r="W67" s="152" t="str">
        <f>IF(Q67&lt;=0,ABS(Q67),"")</f>
        <v/>
      </c>
    </row>
    <row r="68" spans="3:26" x14ac:dyDescent="0.2">
      <c r="O68" s="28">
        <f t="shared" si="2"/>
        <v>10</v>
      </c>
      <c r="P68" s="30" t="s">
        <v>641</v>
      </c>
      <c r="Q68" s="152">
        <f>$I$53</f>
        <v>538.23135679426014</v>
      </c>
      <c r="R68" s="152">
        <f t="shared" si="1"/>
        <v>538.23135679426014</v>
      </c>
      <c r="T68" s="152">
        <f>Q68</f>
        <v>538.23135679426014</v>
      </c>
      <c r="U68" s="152"/>
      <c r="V68" s="152"/>
      <c r="W68" s="152" t="str">
        <f t="shared" si="3"/>
        <v/>
      </c>
    </row>
    <row r="69" spans="3:26" x14ac:dyDescent="0.2">
      <c r="O69" s="28"/>
      <c r="P69" s="151"/>
      <c r="Q69" s="152"/>
      <c r="R69" s="152"/>
      <c r="T69" s="152"/>
      <c r="U69" s="152"/>
      <c r="V69" s="152"/>
      <c r="W69" s="152"/>
    </row>
    <row r="70" spans="3:26" x14ac:dyDescent="0.2">
      <c r="P70" s="92" t="s">
        <v>304</v>
      </c>
      <c r="Q70" s="92" t="str">
        <f>Real_Input&amp;", "&amp;Unit_Dollar_M</f>
        <v>Real 2024, $Million</v>
      </c>
    </row>
    <row r="72" spans="3:26" x14ac:dyDescent="0.2">
      <c r="P72" s="92" t="s">
        <v>1119</v>
      </c>
      <c r="Q72" s="371" t="s">
        <v>1116</v>
      </c>
    </row>
    <row r="78" spans="3:26" s="121" customFormat="1" ht="15.75" x14ac:dyDescent="0.2">
      <c r="C78" s="121" t="s">
        <v>1083</v>
      </c>
    </row>
    <row r="80" spans="3:26" x14ac:dyDescent="0.2">
      <c r="D80" s="60" t="s">
        <v>917</v>
      </c>
      <c r="I80" s="61" t="s">
        <v>189</v>
      </c>
    </row>
    <row r="82" spans="3:10" x14ac:dyDescent="0.2">
      <c r="D82" s="45" t="s">
        <v>918</v>
      </c>
      <c r="I82" s="74">
        <f>P23</f>
        <v>13.220311417501028</v>
      </c>
      <c r="J82" s="63"/>
    </row>
    <row r="83" spans="3:10" x14ac:dyDescent="0.2">
      <c r="D83" s="45"/>
    </row>
    <row r="84" spans="3:10" x14ac:dyDescent="0.2">
      <c r="D84" s="45" t="s">
        <v>986</v>
      </c>
      <c r="I84" s="74">
        <f>I82</f>
        <v>13.220311417501028</v>
      </c>
    </row>
    <row r="85" spans="3:10" x14ac:dyDescent="0.2">
      <c r="D85" s="45" t="s">
        <v>987</v>
      </c>
      <c r="I85" s="74">
        <f>Q23</f>
        <v>1.1227499165908248</v>
      </c>
      <c r="J85" s="63"/>
    </row>
    <row r="86" spans="3:10" x14ac:dyDescent="0.2">
      <c r="D86" s="45"/>
      <c r="I86" s="74"/>
      <c r="J86" s="63"/>
    </row>
    <row r="87" spans="3:10" x14ac:dyDescent="0.2">
      <c r="D87" s="45" t="s">
        <v>988</v>
      </c>
      <c r="I87" s="74">
        <f>R23</f>
        <v>3.7128102224151069</v>
      </c>
      <c r="J87" s="63"/>
    </row>
    <row r="89" spans="3:10" s="121" customFormat="1" ht="15.75" x14ac:dyDescent="0.2">
      <c r="C89" s="121" t="s">
        <v>1200</v>
      </c>
    </row>
    <row r="90" spans="3:10" ht="13.5" thickBot="1" x14ac:dyDescent="0.25"/>
    <row r="91" spans="3:10" ht="15" x14ac:dyDescent="0.2">
      <c r="D91" s="158"/>
      <c r="E91" s="219" t="s">
        <v>199</v>
      </c>
      <c r="F91" s="219" t="s">
        <v>200</v>
      </c>
      <c r="G91" s="219" t="s">
        <v>201</v>
      </c>
      <c r="H91" s="219" t="s">
        <v>202</v>
      </c>
      <c r="I91" s="219" t="s">
        <v>203</v>
      </c>
      <c r="J91" s="219" t="s">
        <v>72</v>
      </c>
    </row>
    <row r="92" spans="3:10" ht="15" x14ac:dyDescent="0.2">
      <c r="D92" s="221" t="s">
        <v>72</v>
      </c>
      <c r="E92" s="433">
        <f>E93/E95</f>
        <v>5.8071285990685041E-2</v>
      </c>
      <c r="F92" s="433">
        <f t="shared" ref="F92:I92" si="7">F93/F95</f>
        <v>0.11048793733875202</v>
      </c>
      <c r="G92" s="433">
        <f t="shared" si="7"/>
        <v>1.0481099003536483</v>
      </c>
      <c r="H92" s="433">
        <f t="shared" si="7"/>
        <v>1.4756004877586051</v>
      </c>
      <c r="I92" s="433">
        <f t="shared" si="7"/>
        <v>1.0205406109734163</v>
      </c>
      <c r="J92" s="372">
        <f>SUM(E92:I92)</f>
        <v>3.7128102224151069</v>
      </c>
    </row>
    <row r="93" spans="3:10" ht="15.75" thickBot="1" x14ac:dyDescent="0.25">
      <c r="D93" s="329" t="s">
        <v>391</v>
      </c>
      <c r="E93" s="434">
        <f>Input_Capex_Projects!J$59</f>
        <v>5.8071285990685041E-2</v>
      </c>
      <c r="F93" s="434">
        <f>Input_Capex_Projects!K$59</f>
        <v>0.11048793733875202</v>
      </c>
      <c r="G93" s="434">
        <f>Input_Capex_Projects!L$59</f>
        <v>1.0481099003536483</v>
      </c>
      <c r="H93" s="434">
        <f>Input_Capex_Projects!M$59</f>
        <v>1.4756004877586051</v>
      </c>
      <c r="I93" s="434">
        <f>Input_Capex_Projects!N$59</f>
        <v>1.0205406109734163</v>
      </c>
      <c r="J93" s="374">
        <f>SUM(E93:I93)</f>
        <v>3.7128102224151069</v>
      </c>
    </row>
    <row r="94" spans="3:10" x14ac:dyDescent="0.2">
      <c r="E94" s="75"/>
    </row>
    <row r="95" spans="3:10" x14ac:dyDescent="0.2">
      <c r="D95" s="436" t="s">
        <v>1573</v>
      </c>
      <c r="E95" s="432">
        <v>1</v>
      </c>
      <c r="F95" s="435">
        <f>E95</f>
        <v>1</v>
      </c>
      <c r="G95" s="435">
        <f t="shared" ref="G95:I95" si="8">F95</f>
        <v>1</v>
      </c>
      <c r="H95" s="435">
        <f t="shared" si="8"/>
        <v>1</v>
      </c>
      <c r="I95" s="435">
        <f t="shared" si="8"/>
        <v>1</v>
      </c>
    </row>
    <row r="96" spans="3:10" x14ac:dyDescent="0.2">
      <c r="E96" s="75"/>
    </row>
    <row r="97" spans="1:10" x14ac:dyDescent="0.2">
      <c r="D97" s="45" t="s">
        <v>1086</v>
      </c>
      <c r="E97" s="74">
        <f>Input_Capex_Projects!J$59</f>
        <v>5.8071285990685041E-2</v>
      </c>
      <c r="F97" s="74">
        <f>Input_Capex_Projects!K$59</f>
        <v>0.11048793733875202</v>
      </c>
      <c r="G97" s="74">
        <f>Input_Capex_Projects!L$59</f>
        <v>1.0481099003536483</v>
      </c>
      <c r="H97" s="74">
        <f>Input_Capex_Projects!M$59</f>
        <v>1.4756004877586051</v>
      </c>
      <c r="I97" s="74">
        <f>Input_Capex_Projects!N$59</f>
        <v>1.0205406109734163</v>
      </c>
      <c r="J97" s="74">
        <f>Input_Capex_Projects!O$59</f>
        <v>3.7128102224151069</v>
      </c>
    </row>
    <row r="98" spans="1:10" x14ac:dyDescent="0.2">
      <c r="A98" s="52">
        <f>IF(SUM(E98:J98)=0,0,1)</f>
        <v>0</v>
      </c>
      <c r="D98" s="45" t="s">
        <v>1085</v>
      </c>
      <c r="E98" s="52">
        <f>IF(ROUND(E97-E93,2)=0,0,1)</f>
        <v>0</v>
      </c>
      <c r="F98" s="52">
        <f t="shared" ref="F98" si="9">IF(ROUND(F97-F93,2)=0,0,1)</f>
        <v>0</v>
      </c>
      <c r="G98" s="52">
        <f t="shared" ref="G98" si="10">IF(ROUND(G97-G93,2)=0,0,1)</f>
        <v>0</v>
      </c>
      <c r="H98" s="52">
        <f t="shared" ref="H98" si="11">IF(ROUND(H97-H93,2)=0,0,1)</f>
        <v>0</v>
      </c>
      <c r="I98" s="52">
        <f t="shared" ref="I98" si="12">IF(ROUND(I97-I93,2)=0,0,1)</f>
        <v>0</v>
      </c>
      <c r="J98" s="52">
        <f t="shared" ref="J98" si="13">IF(ROUND(J97-J93,2)=0,0,1)</f>
        <v>0</v>
      </c>
    </row>
    <row r="100" spans="1:10" s="121" customFormat="1" ht="15.75" x14ac:dyDescent="0.2">
      <c r="C100" s="121" t="s">
        <v>989</v>
      </c>
    </row>
    <row r="102" spans="1:10" x14ac:dyDescent="0.2">
      <c r="D102" s="60" t="s">
        <v>989</v>
      </c>
      <c r="I102" s="61" t="s">
        <v>189</v>
      </c>
    </row>
    <row r="104" spans="1:10" x14ac:dyDescent="0.2">
      <c r="D104" s="45" t="s">
        <v>990</v>
      </c>
      <c r="I104" s="74">
        <f>R25</f>
        <v>15.808351813559963</v>
      </c>
    </row>
    <row r="105" spans="1:10" x14ac:dyDescent="0.2">
      <c r="D105" s="45" t="s">
        <v>991</v>
      </c>
      <c r="I105" s="74">
        <f>Overview!R190</f>
        <v>3.8949208838826337</v>
      </c>
    </row>
    <row r="107" spans="1:10" x14ac:dyDescent="0.2">
      <c r="D107" s="45" t="s">
        <v>1278</v>
      </c>
      <c r="I107" s="74">
        <f>J112</f>
        <v>17.435571495864369</v>
      </c>
    </row>
    <row r="109" spans="1:10" s="121" customFormat="1" ht="15.75" x14ac:dyDescent="0.2">
      <c r="C109" s="121" t="s">
        <v>1201</v>
      </c>
    </row>
    <row r="110" spans="1:10" ht="13.5" thickBot="1" x14ac:dyDescent="0.25"/>
    <row r="111" spans="1:10" ht="15" x14ac:dyDescent="0.2">
      <c r="D111" s="158" t="s">
        <v>1084</v>
      </c>
      <c r="E111" s="219" t="s">
        <v>199</v>
      </c>
      <c r="F111" s="219" t="s">
        <v>200</v>
      </c>
      <c r="G111" s="219" t="s">
        <v>201</v>
      </c>
      <c r="H111" s="219" t="s">
        <v>202</v>
      </c>
      <c r="I111" s="219" t="s">
        <v>203</v>
      </c>
      <c r="J111" s="219" t="s">
        <v>72</v>
      </c>
    </row>
    <row r="112" spans="1:10" ht="15" x14ac:dyDescent="0.2">
      <c r="D112" s="221" t="s">
        <v>72</v>
      </c>
      <c r="E112" s="433">
        <f>E113/E$115</f>
        <v>3.4585282913419539</v>
      </c>
      <c r="F112" s="433">
        <f t="shared" ref="F112:I112" si="14">F113/F$115</f>
        <v>4.0797588513242724</v>
      </c>
      <c r="G112" s="433">
        <f t="shared" si="14"/>
        <v>3.4272865389800309</v>
      </c>
      <c r="H112" s="433">
        <f t="shared" si="14"/>
        <v>3.8240807358103015</v>
      </c>
      <c r="I112" s="433">
        <f t="shared" si="14"/>
        <v>2.6459170784078108</v>
      </c>
      <c r="J112" s="372">
        <f>SUM(E112:I112)</f>
        <v>17.435571495864369</v>
      </c>
    </row>
    <row r="113" spans="1:20" ht="15.75" thickBot="1" x14ac:dyDescent="0.25">
      <c r="D113" s="329" t="s">
        <v>391</v>
      </c>
      <c r="E113" s="434">
        <f>Input_Capex_Projects!J$115</f>
        <v>3.1357522177952317</v>
      </c>
      <c r="F113" s="434">
        <f>Input_Capex_Projects!K$115</f>
        <v>3.6990048333957444</v>
      </c>
      <c r="G113" s="434">
        <f>Input_Capex_Projects!L$115</f>
        <v>3.1074261825559195</v>
      </c>
      <c r="H113" s="434">
        <f>Input_Capex_Projects!M$115</f>
        <v>3.4671885374956313</v>
      </c>
      <c r="I113" s="434">
        <f>Input_Capex_Projects!N$115</f>
        <v>2.3989800423174366</v>
      </c>
      <c r="J113" s="374">
        <f>SUM(E113:I113)</f>
        <v>15.808351813559963</v>
      </c>
    </row>
    <row r="114" spans="1:20" x14ac:dyDescent="0.2">
      <c r="D114" s="165"/>
    </row>
    <row r="115" spans="1:20" x14ac:dyDescent="0.2">
      <c r="D115" s="213" t="s">
        <v>1573</v>
      </c>
      <c r="E115" s="432">
        <v>0.90667242064933895</v>
      </c>
      <c r="F115" s="432">
        <v>0.90667242064933895</v>
      </c>
      <c r="G115" s="432">
        <v>0.90667242064933895</v>
      </c>
      <c r="H115" s="432">
        <v>0.90667242064933895</v>
      </c>
      <c r="I115" s="432">
        <v>0.90667242064933895</v>
      </c>
    </row>
    <row r="116" spans="1:20" x14ac:dyDescent="0.2">
      <c r="D116" s="165"/>
    </row>
    <row r="117" spans="1:20" x14ac:dyDescent="0.2">
      <c r="D117" s="45" t="s">
        <v>1086</v>
      </c>
      <c r="E117" s="74">
        <f>Input_Capex_Projects!J$115</f>
        <v>3.1357522177952317</v>
      </c>
      <c r="F117" s="74">
        <f>Input_Capex_Projects!K$115</f>
        <v>3.6990048333957444</v>
      </c>
      <c r="G117" s="74">
        <f>Input_Capex_Projects!L$115</f>
        <v>3.1074261825559195</v>
      </c>
      <c r="H117" s="74">
        <f>Input_Capex_Projects!M$115</f>
        <v>3.4671885374956313</v>
      </c>
      <c r="I117" s="74">
        <f>Input_Capex_Projects!N$115</f>
        <v>2.3989800423174366</v>
      </c>
      <c r="J117" s="74">
        <f>SUM(E117:I117)</f>
        <v>15.808351813559963</v>
      </c>
    </row>
    <row r="118" spans="1:20" x14ac:dyDescent="0.2">
      <c r="A118" s="52">
        <f>IF(SUM(E118:J118)=0,0,1)</f>
        <v>0</v>
      </c>
      <c r="D118" s="45" t="s">
        <v>1085</v>
      </c>
      <c r="E118" s="52">
        <f>IF(ROUND(E117-E113,2)=0,0,1)</f>
        <v>0</v>
      </c>
      <c r="F118" s="52">
        <f t="shared" ref="F118:J118" si="15">IF(ROUND(F117-F113,2)=0,0,1)</f>
        <v>0</v>
      </c>
      <c r="G118" s="52">
        <f t="shared" si="15"/>
        <v>0</v>
      </c>
      <c r="H118" s="52">
        <f t="shared" si="15"/>
        <v>0</v>
      </c>
      <c r="I118" s="52">
        <f t="shared" si="15"/>
        <v>0</v>
      </c>
      <c r="J118" s="52">
        <f t="shared" si="15"/>
        <v>0</v>
      </c>
    </row>
    <row r="120" spans="1:20" s="121" customFormat="1" ht="15.75" x14ac:dyDescent="0.2">
      <c r="C120" s="121" t="s">
        <v>992</v>
      </c>
    </row>
    <row r="122" spans="1:20" x14ac:dyDescent="0.2">
      <c r="D122" s="60" t="s">
        <v>992</v>
      </c>
      <c r="I122" s="61" t="s">
        <v>189</v>
      </c>
      <c r="P122" s="61" t="s">
        <v>783</v>
      </c>
      <c r="Q122" s="61" t="s">
        <v>784</v>
      </c>
      <c r="R122" s="61" t="s">
        <v>782</v>
      </c>
    </row>
    <row r="123" spans="1:20" ht="13.5" thickBot="1" x14ac:dyDescent="0.25">
      <c r="P123" s="74">
        <f>Overview!P96</f>
        <v>89.84128028695541</v>
      </c>
      <c r="Q123" s="74">
        <f>Overview!Q96</f>
        <v>0</v>
      </c>
      <c r="R123" s="74">
        <f>Overview!R96</f>
        <v>76.101534300963493</v>
      </c>
    </row>
    <row r="124" spans="1:20" ht="15.75" thickBot="1" x14ac:dyDescent="0.25">
      <c r="D124" s="45" t="s">
        <v>993</v>
      </c>
      <c r="I124" s="74">
        <f>P123</f>
        <v>89.84128028695541</v>
      </c>
      <c r="P124" s="336">
        <v>5.6274851761686877</v>
      </c>
      <c r="Q124" s="336">
        <v>11.173046103182211</v>
      </c>
      <c r="R124" s="74">
        <f>Input_Capex_Projects!Q91</f>
        <v>5.5865230515911097</v>
      </c>
    </row>
    <row r="125" spans="1:20" x14ac:dyDescent="0.2">
      <c r="D125" s="45" t="s">
        <v>994</v>
      </c>
      <c r="I125" s="74">
        <f>Q124-P124</f>
        <v>5.5455609270135229</v>
      </c>
    </row>
    <row r="127" spans="1:20" ht="13.5" thickBot="1" x14ac:dyDescent="0.25">
      <c r="D127" s="45" t="s">
        <v>1170</v>
      </c>
      <c r="I127" s="74">
        <f>SUM(P131:T131)</f>
        <v>134.76474195289251</v>
      </c>
      <c r="O127" s="337" t="s">
        <v>1605</v>
      </c>
      <c r="P127" s="61" t="s">
        <v>199</v>
      </c>
      <c r="Q127" s="61" t="s">
        <v>200</v>
      </c>
      <c r="R127" s="61" t="s">
        <v>201</v>
      </c>
      <c r="S127" s="61" t="s">
        <v>202</v>
      </c>
      <c r="T127" s="61" t="s">
        <v>203</v>
      </c>
    </row>
    <row r="128" spans="1:20" ht="15.75" thickBot="1" x14ac:dyDescent="0.25">
      <c r="D128" s="45" t="s">
        <v>1166</v>
      </c>
      <c r="I128" s="74">
        <f>R123</f>
        <v>76.101534300963493</v>
      </c>
      <c r="O128" s="87" t="s">
        <v>72</v>
      </c>
      <c r="P128" s="336">
        <v>0</v>
      </c>
      <c r="Q128" s="336">
        <v>0</v>
      </c>
      <c r="R128" s="336">
        <v>0</v>
      </c>
      <c r="S128" s="336">
        <v>60</v>
      </c>
      <c r="T128" s="336">
        <v>60</v>
      </c>
    </row>
    <row r="129" spans="3:20" ht="15.75" thickBot="1" x14ac:dyDescent="0.25">
      <c r="O129" s="87" t="s">
        <v>391</v>
      </c>
      <c r="P129" s="336">
        <v>0</v>
      </c>
      <c r="Q129" s="336">
        <v>0</v>
      </c>
      <c r="R129" s="336">
        <v>0</v>
      </c>
      <c r="S129" s="336">
        <v>33.881948586032273</v>
      </c>
      <c r="T129" s="336">
        <v>33.881948586032273</v>
      </c>
    </row>
    <row r="130" spans="3:20" x14ac:dyDescent="0.2">
      <c r="D130" s="45" t="s">
        <v>995</v>
      </c>
      <c r="I130" s="74">
        <f>I125</f>
        <v>5.5455609270135229</v>
      </c>
      <c r="O130" s="337" t="s">
        <v>1606</v>
      </c>
    </row>
    <row r="131" spans="3:20" x14ac:dyDescent="0.2">
      <c r="D131" s="45" t="s">
        <v>1087</v>
      </c>
      <c r="I131" s="171">
        <f>'2'!I35</f>
        <v>4.4690944779620594</v>
      </c>
      <c r="O131" s="87" t="s">
        <v>72</v>
      </c>
      <c r="P131" s="74">
        <f>IFERROR(P132*P128/P129,0)</f>
        <v>0</v>
      </c>
      <c r="Q131" s="74">
        <f>IFERROR(Q132*Q128/Q129,0)</f>
        <v>0</v>
      </c>
      <c r="R131" s="74">
        <f>IFERROR(R132*R128/R129,0)</f>
        <v>0</v>
      </c>
      <c r="S131" s="74">
        <f>IFERROR(S132*S128/S129,0)</f>
        <v>67.375843581971054</v>
      </c>
      <c r="T131" s="74">
        <f>IFERROR(T132*T128/T129,0)</f>
        <v>67.388898370921439</v>
      </c>
    </row>
    <row r="132" spans="3:20" x14ac:dyDescent="0.2">
      <c r="D132" s="45" t="s">
        <v>996</v>
      </c>
      <c r="I132" s="74">
        <f>R123</f>
        <v>76.101534300963493</v>
      </c>
      <c r="O132" s="87" t="s">
        <v>391</v>
      </c>
      <c r="P132" s="74">
        <f>Input_Capex_Projects!J90</f>
        <v>0</v>
      </c>
      <c r="Q132" s="74">
        <f>Input_Capex_Projects!K90</f>
        <v>0</v>
      </c>
      <c r="R132" s="74">
        <f>Input_Capex_Projects!L90</f>
        <v>0</v>
      </c>
      <c r="S132" s="74">
        <f>Input_Capex_Projects!M90</f>
        <v>38.047081136414931</v>
      </c>
      <c r="T132" s="74">
        <f>Input_Capex_Projects!N90</f>
        <v>38.054453164548569</v>
      </c>
    </row>
    <row r="134" spans="3:20" s="121" customFormat="1" ht="15.75" x14ac:dyDescent="0.2">
      <c r="C134" s="121" t="s">
        <v>1135</v>
      </c>
    </row>
    <row r="136" spans="3:20" x14ac:dyDescent="0.2">
      <c r="D136" s="60" t="str">
        <f>C134</f>
        <v>3.2.4 Cyber Security</v>
      </c>
      <c r="I136" s="61" t="s">
        <v>189</v>
      </c>
    </row>
    <row r="138" spans="3:20" x14ac:dyDescent="0.2">
      <c r="D138" s="45" t="s">
        <v>1167</v>
      </c>
      <c r="I138" s="68">
        <v>11.410718647189759</v>
      </c>
      <c r="J138" s="63" t="s">
        <v>1161</v>
      </c>
    </row>
    <row r="139" spans="3:20" x14ac:dyDescent="0.2">
      <c r="D139" s="45" t="s">
        <v>1279</v>
      </c>
      <c r="I139" s="74">
        <f>Input_Capex_Projects!Q111</f>
        <v>11.419197365909154</v>
      </c>
      <c r="J139" s="63"/>
    </row>
    <row r="141" spans="3:20" s="121" customFormat="1" ht="15.75" x14ac:dyDescent="0.2">
      <c r="C141" s="121" t="s">
        <v>1134</v>
      </c>
    </row>
    <row r="143" spans="3:20" s="121" customFormat="1" ht="15.75" x14ac:dyDescent="0.2">
      <c r="C143" s="121" t="s">
        <v>1607</v>
      </c>
    </row>
    <row r="144" spans="3:20" ht="13.5" thickBot="1" x14ac:dyDescent="0.25"/>
    <row r="145" spans="2:10" ht="15.75" thickBot="1" x14ac:dyDescent="0.25">
      <c r="D145" s="158"/>
      <c r="E145" s="219" t="s">
        <v>199</v>
      </c>
      <c r="F145" s="219" t="s">
        <v>200</v>
      </c>
      <c r="G145" s="219" t="s">
        <v>201</v>
      </c>
      <c r="H145" s="219" t="s">
        <v>202</v>
      </c>
      <c r="I145" s="219" t="s">
        <v>203</v>
      </c>
      <c r="J145" s="219" t="s">
        <v>72</v>
      </c>
    </row>
    <row r="146" spans="2:10" ht="15.75" thickBot="1" x14ac:dyDescent="0.25">
      <c r="D146" s="352" t="s">
        <v>185</v>
      </c>
      <c r="E146" s="327">
        <v>27.999993122212455</v>
      </c>
      <c r="F146" s="327">
        <v>27.305922510095474</v>
      </c>
      <c r="G146" s="327">
        <v>23.608866017506347</v>
      </c>
      <c r="H146" s="327">
        <v>33.767035900963393</v>
      </c>
      <c r="I146" s="327">
        <v>33.924593765607931</v>
      </c>
      <c r="J146" s="351">
        <f>SUM(E146:I146)</f>
        <v>146.60641131638559</v>
      </c>
    </row>
    <row r="148" spans="2:10" s="6" customFormat="1" ht="18.75" x14ac:dyDescent="0.2">
      <c r="B148" s="6" t="s">
        <v>43</v>
      </c>
    </row>
  </sheetData>
  <dataValidations disablePrompts="1" count="1">
    <dataValidation type="list" allowBlank="1" showInputMessage="1" showErrorMessage="1" sqref="Q72" xr:uid="{EC6124B9-3413-4BD7-BC33-42400B1BA186}">
      <formula1>$Y$57:$Z$57</formula1>
    </dataValidation>
  </dataValidations>
  <hyperlinks>
    <hyperlink ref="B4" location="ToC!A1" display="ToC!A1" xr:uid="{DE4E05F0-A67A-4A22-B3F6-3E947D636395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AAB51-88CF-4FFF-A455-E1FA38813441}">
  <sheetPr>
    <tabColor theme="3"/>
  </sheetPr>
  <dimension ref="A1:M31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x14ac:dyDescent="0.2"/>
  <cols>
    <col min="1" max="3" width="3.7109375" customWidth="1"/>
    <col min="4" max="4" width="43" bestFit="1" customWidth="1"/>
    <col min="5" max="20" width="13.5703125" customWidth="1"/>
  </cols>
  <sheetData>
    <row r="1" spans="1:13" ht="23.25" x14ac:dyDescent="0.35">
      <c r="A1" s="52">
        <f>IF(SUM(A5:A31)&lt;&gt;0,1,0)</f>
        <v>0</v>
      </c>
      <c r="B1" s="16" t="s">
        <v>975</v>
      </c>
    </row>
    <row r="2" spans="1:13" ht="15" x14ac:dyDescent="0.2">
      <c r="B2" s="34" t="str">
        <f>Model_Name</f>
        <v>Power and Water - Revised Proposal - Tables and Charts</v>
      </c>
    </row>
    <row r="3" spans="1:13" x14ac:dyDescent="0.2">
      <c r="B3" s="37" t="str">
        <f>"Model Checks:"&amp;IF(Model_Checks=0," OK"," Check")</f>
        <v>Model Checks: OK</v>
      </c>
    </row>
    <row r="4" spans="1:13" x14ac:dyDescent="0.2">
      <c r="B4" s="29" t="str">
        <f>ToC!$B$1</f>
        <v>Table of contents</v>
      </c>
    </row>
    <row r="5" spans="1:13" x14ac:dyDescent="0.2">
      <c r="B5" t="s">
        <v>237</v>
      </c>
    </row>
    <row r="6" spans="1:13" s="6" customFormat="1" ht="18.75" x14ac:dyDescent="0.2">
      <c r="B6" s="6" t="s">
        <v>997</v>
      </c>
    </row>
    <row r="8" spans="1:13" s="6" customFormat="1" ht="18.75" x14ac:dyDescent="0.2">
      <c r="B8" s="6" t="s">
        <v>804</v>
      </c>
    </row>
    <row r="10" spans="1:13" x14ac:dyDescent="0.2">
      <c r="D10" s="60" t="s">
        <v>905</v>
      </c>
    </row>
    <row r="11" spans="1:13" ht="13.5" thickBot="1" x14ac:dyDescent="0.25"/>
    <row r="12" spans="1:13" ht="15.75" thickBot="1" x14ac:dyDescent="0.25">
      <c r="D12" s="45" t="s">
        <v>900</v>
      </c>
      <c r="I12" s="336">
        <v>120.84281317010768</v>
      </c>
      <c r="J12" s="63" t="str">
        <f>"◄ Direct, escalated, including overheads ("&amp;Real_Input&amp;", "&amp;Unit_Dollar_M&amp;")"</f>
        <v>◄ Direct, escalated, including overheads (Real 2024, $Million)</v>
      </c>
    </row>
    <row r="13" spans="1:13" ht="15.75" thickBot="1" x14ac:dyDescent="0.25">
      <c r="D13" s="45" t="s">
        <v>901</v>
      </c>
      <c r="I13" s="336">
        <v>60.812120934977941</v>
      </c>
      <c r="J13" s="63" t="str">
        <f>J12</f>
        <v>◄ Direct, escalated, including overheads (Real 2024, $Million)</v>
      </c>
    </row>
    <row r="14" spans="1:13" ht="15.75" thickBot="1" x14ac:dyDescent="0.25">
      <c r="D14" s="45" t="s">
        <v>902</v>
      </c>
      <c r="I14" s="336">
        <v>69.111842139637744</v>
      </c>
      <c r="J14" s="63" t="str">
        <f t="shared" ref="J14:J15" si="0">J13</f>
        <v>◄ Direct, escalated, including overheads (Real 2024, $Million)</v>
      </c>
    </row>
    <row r="15" spans="1:13" ht="15.75" thickBot="1" x14ac:dyDescent="0.25">
      <c r="D15" s="45" t="s">
        <v>903</v>
      </c>
      <c r="I15" s="336">
        <v>45.576531172073125</v>
      </c>
      <c r="J15" s="63" t="str">
        <f t="shared" si="0"/>
        <v>◄ Direct, escalated, including overheads (Real 2024, $Million)</v>
      </c>
    </row>
    <row r="16" spans="1:13" ht="13.5" thickBot="1" x14ac:dyDescent="0.25"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2:10" ht="15.75" thickBot="1" x14ac:dyDescent="0.25">
      <c r="D17" s="45" t="s">
        <v>904</v>
      </c>
      <c r="I17" s="336">
        <v>45.70676928871449</v>
      </c>
      <c r="J17" s="63" t="str">
        <f>J12</f>
        <v>◄ Direct, escalated, including overheads (Real 2024, $Million)</v>
      </c>
    </row>
    <row r="18" spans="2:10" x14ac:dyDescent="0.2">
      <c r="D18" s="45"/>
    </row>
    <row r="19" spans="2:10" x14ac:dyDescent="0.2">
      <c r="D19" s="45" t="s">
        <v>906</v>
      </c>
      <c r="I19" s="74">
        <f>SUM(I12:I15)</f>
        <v>296.34330741679651</v>
      </c>
    </row>
    <row r="20" spans="2:10" x14ac:dyDescent="0.2">
      <c r="D20" s="45"/>
      <c r="E20" s="45"/>
      <c r="F20" s="45"/>
      <c r="G20" s="45"/>
      <c r="H20" s="45"/>
      <c r="I20" s="45"/>
      <c r="J20" s="45"/>
    </row>
    <row r="21" spans="2:10" x14ac:dyDescent="0.2">
      <c r="D21" s="45" t="s">
        <v>1115</v>
      </c>
      <c r="E21" s="45"/>
      <c r="F21" s="45"/>
      <c r="G21" s="45"/>
      <c r="H21" s="45"/>
      <c r="I21" s="45"/>
      <c r="J21" s="45"/>
    </row>
    <row r="22" spans="2:10" x14ac:dyDescent="0.2">
      <c r="D22" s="45"/>
      <c r="E22" s="45"/>
      <c r="F22" s="45"/>
      <c r="G22" s="45"/>
      <c r="H22" s="45"/>
      <c r="I22" s="45"/>
      <c r="J22" s="45"/>
    </row>
    <row r="23" spans="2:10" s="6" customFormat="1" ht="18.75" x14ac:dyDescent="0.2">
      <c r="B23" s="6" t="s">
        <v>805</v>
      </c>
    </row>
    <row r="25" spans="2:10" s="121" customFormat="1" ht="15.75" x14ac:dyDescent="0.2">
      <c r="C25" s="121" t="s">
        <v>998</v>
      </c>
    </row>
    <row r="27" spans="2:10" x14ac:dyDescent="0.2">
      <c r="D27" s="60" t="s">
        <v>56</v>
      </c>
      <c r="I27" s="61" t="s">
        <v>189</v>
      </c>
    </row>
    <row r="29" spans="2:10" x14ac:dyDescent="0.2">
      <c r="D29" s="45" t="s">
        <v>999</v>
      </c>
      <c r="I29" s="74">
        <f>I17</f>
        <v>45.70676928871449</v>
      </c>
    </row>
    <row r="31" spans="2:10" s="6" customFormat="1" ht="18.75" x14ac:dyDescent="0.2">
      <c r="B31" s="6" t="s">
        <v>43</v>
      </c>
    </row>
  </sheetData>
  <hyperlinks>
    <hyperlink ref="B4" location="ToC!A1" display="ToC!A1" xr:uid="{B750E663-956B-4BF0-9B81-BE9253AFE76A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4BBA6-99CD-4C26-9A39-C448B542B6C8}">
  <sheetPr>
    <tabColor theme="3"/>
  </sheetPr>
  <dimension ref="A1:AB213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outlineLevelRow="1" x14ac:dyDescent="0.2"/>
  <cols>
    <col min="1" max="3" width="3.7109375" customWidth="1"/>
    <col min="4" max="4" width="43" bestFit="1" customWidth="1"/>
    <col min="5" max="20" width="13.5703125" customWidth="1"/>
  </cols>
  <sheetData>
    <row r="1" spans="1:10" ht="23.25" x14ac:dyDescent="0.35">
      <c r="A1" s="52">
        <f>IF(SUM(A5:A213)&lt;&gt;0,1,0)</f>
        <v>0</v>
      </c>
      <c r="B1" s="16" t="s">
        <v>974</v>
      </c>
    </row>
    <row r="2" spans="1:10" ht="15" x14ac:dyDescent="0.2">
      <c r="B2" s="34" t="str">
        <f>Model_Name</f>
        <v>Power and Water - Revised Proposal - Tables and Charts</v>
      </c>
    </row>
    <row r="3" spans="1:10" x14ac:dyDescent="0.2">
      <c r="B3" s="37" t="str">
        <f>"Model Checks:"&amp;IF(Model_Checks=0," OK"," Check")</f>
        <v>Model Checks: OK</v>
      </c>
    </row>
    <row r="4" spans="1:10" x14ac:dyDescent="0.2">
      <c r="B4" s="29" t="str">
        <f>ToC!$B$1</f>
        <v>Table of contents</v>
      </c>
    </row>
    <row r="5" spans="1:10" x14ac:dyDescent="0.2">
      <c r="B5" t="s">
        <v>237</v>
      </c>
    </row>
    <row r="6" spans="1:10" s="6" customFormat="1" ht="18.75" x14ac:dyDescent="0.2">
      <c r="B6" s="6" t="s">
        <v>1000</v>
      </c>
    </row>
    <row r="8" spans="1:10" s="6" customFormat="1" ht="18.75" x14ac:dyDescent="0.2">
      <c r="B8" s="6" t="s">
        <v>806</v>
      </c>
    </row>
    <row r="10" spans="1:10" x14ac:dyDescent="0.2">
      <c r="D10" s="60" t="s">
        <v>1001</v>
      </c>
      <c r="I10" s="61" t="s">
        <v>189</v>
      </c>
    </row>
    <row r="11" spans="1:10" ht="13.5" thickBot="1" x14ac:dyDescent="0.25"/>
    <row r="12" spans="1:10" ht="15.75" thickBot="1" x14ac:dyDescent="0.25">
      <c r="D12" s="45" t="s">
        <v>1002</v>
      </c>
      <c r="I12" s="336">
        <v>415.33893781191102</v>
      </c>
      <c r="J12" s="63" t="str">
        <f>"◄ "&amp;Real_Input&amp;", "&amp;Unit_Dollar_M</f>
        <v>◄ Real 2024, $Million</v>
      </c>
    </row>
    <row r="13" spans="1:10" ht="15.75" thickBot="1" x14ac:dyDescent="0.25">
      <c r="D13" s="45" t="s">
        <v>1003</v>
      </c>
      <c r="I13" s="336">
        <v>364.44347893107653</v>
      </c>
      <c r="J13" s="63" t="str">
        <f>"◄ "&amp;Real_Input&amp;", "&amp;Unit_Dollar_M</f>
        <v>◄ Real 2024, $Million</v>
      </c>
    </row>
    <row r="15" spans="1:10" x14ac:dyDescent="0.2">
      <c r="D15" s="60" t="s">
        <v>161</v>
      </c>
      <c r="I15" s="61" t="s">
        <v>189</v>
      </c>
    </row>
    <row r="17" spans="2:18" x14ac:dyDescent="0.2">
      <c r="D17" s="45" t="s">
        <v>1004</v>
      </c>
      <c r="I17" s="74">
        <f>I13</f>
        <v>364.44347893107653</v>
      </c>
    </row>
    <row r="18" spans="2:18" x14ac:dyDescent="0.2">
      <c r="D18" s="45" t="s">
        <v>1005</v>
      </c>
      <c r="I18" s="74">
        <f>I13-I12</f>
        <v>-50.895458880834497</v>
      </c>
    </row>
    <row r="19" spans="2:18" x14ac:dyDescent="0.2">
      <c r="D19" s="45" t="s">
        <v>1006</v>
      </c>
      <c r="I19" s="334">
        <f>I13/I12-1</f>
        <v>-0.12253957972002816</v>
      </c>
    </row>
    <row r="20" spans="2:18" x14ac:dyDescent="0.2">
      <c r="O20" s="87"/>
      <c r="P20" s="61" t="s">
        <v>783</v>
      </c>
      <c r="Q20" s="61" t="s">
        <v>784</v>
      </c>
      <c r="R20" s="61" t="s">
        <v>782</v>
      </c>
    </row>
    <row r="21" spans="2:18" x14ac:dyDescent="0.2">
      <c r="D21" s="45" t="s">
        <v>1007</v>
      </c>
      <c r="I21" s="74">
        <f>Q27-P27</f>
        <v>-5.3231750668409177</v>
      </c>
      <c r="J21" s="63" t="s">
        <v>1143</v>
      </c>
      <c r="O21" s="87" t="s">
        <v>1136</v>
      </c>
      <c r="P21" s="290">
        <v>64.246409</v>
      </c>
      <c r="Q21" s="290">
        <v>64.246409</v>
      </c>
      <c r="R21" s="47"/>
    </row>
    <row r="22" spans="2:18" x14ac:dyDescent="0.2">
      <c r="D22" s="350" t="s">
        <v>1008</v>
      </c>
      <c r="I22" s="74">
        <f>(P23-Q23)*5*P25</f>
        <v>-1.9556316947495758</v>
      </c>
      <c r="J22" s="63" t="s">
        <v>1144</v>
      </c>
      <c r="O22" s="87" t="s">
        <v>1137</v>
      </c>
      <c r="P22" s="290">
        <v>-2.963776000000001E-2</v>
      </c>
      <c r="Q22" s="290">
        <v>2.963776000000001E-2</v>
      </c>
      <c r="R22" s="47"/>
    </row>
    <row r="23" spans="2:18" x14ac:dyDescent="0.2">
      <c r="D23" s="350" t="s">
        <v>1009</v>
      </c>
      <c r="I23" s="74">
        <f>(P22-Q22)*5*P25</f>
        <v>-0.3382171949527637</v>
      </c>
      <c r="J23" s="63" t="s">
        <v>1145</v>
      </c>
      <c r="O23" s="87" t="s">
        <v>1138</v>
      </c>
      <c r="P23" s="290">
        <v>0</v>
      </c>
      <c r="Q23" s="290">
        <v>0.34274155000000001</v>
      </c>
      <c r="R23" s="47"/>
    </row>
    <row r="24" spans="2:18" x14ac:dyDescent="0.2">
      <c r="D24" s="350" t="s">
        <v>1010</v>
      </c>
      <c r="I24" s="74">
        <f>(Q27-P27)-SUM(I22:I23)</f>
        <v>-3.0293261771385782</v>
      </c>
      <c r="J24" s="63" t="s">
        <v>1146</v>
      </c>
      <c r="O24" s="87" t="s">
        <v>1140</v>
      </c>
      <c r="P24" s="154">
        <f>P21-SUM(P22:P23)</f>
        <v>64.27604676</v>
      </c>
      <c r="Q24" s="154">
        <f>Q21-SUM(Q22:Q23)</f>
        <v>63.87402969</v>
      </c>
      <c r="R24" s="154">
        <f>R21-SUM(R22:R23)</f>
        <v>0</v>
      </c>
    </row>
    <row r="25" spans="2:18" x14ac:dyDescent="0.2">
      <c r="D25" s="45"/>
      <c r="O25" s="87" t="s">
        <v>1139</v>
      </c>
      <c r="P25" s="163">
        <v>1.1411698959461296</v>
      </c>
      <c r="Q25" s="163">
        <v>1.1316845818307031</v>
      </c>
      <c r="R25" s="47"/>
    </row>
    <row r="26" spans="2:18" x14ac:dyDescent="0.2">
      <c r="D26" s="45" t="s">
        <v>1011</v>
      </c>
      <c r="I26" s="74">
        <f>Overview!Q20-Overview!P20</f>
        <v>-46.725627000840063</v>
      </c>
      <c r="O26" s="87" t="s">
        <v>1141</v>
      </c>
      <c r="P26" s="154">
        <f>P24*P25</f>
        <v>73.349889592937757</v>
      </c>
      <c r="Q26" s="154">
        <f>Q24*Q25</f>
        <v>72.285254579569568</v>
      </c>
      <c r="R26" s="154">
        <f>R24*R25</f>
        <v>0</v>
      </c>
    </row>
    <row r="27" spans="2:18" ht="13.5" thickBot="1" x14ac:dyDescent="0.25">
      <c r="D27" s="45"/>
      <c r="O27" s="87" t="s">
        <v>1142</v>
      </c>
      <c r="P27" s="154">
        <f>P26*5</f>
        <v>366.74944796468878</v>
      </c>
      <c r="Q27" s="154">
        <f>Q26*5</f>
        <v>361.42627289784787</v>
      </c>
      <c r="R27" s="154">
        <f>R26*5</f>
        <v>0</v>
      </c>
    </row>
    <row r="28" spans="2:18" ht="15.75" thickBot="1" x14ac:dyDescent="0.25">
      <c r="D28" s="45" t="s">
        <v>1012</v>
      </c>
      <c r="I28" s="336">
        <v>1.0313472048330823</v>
      </c>
    </row>
    <row r="29" spans="2:18" x14ac:dyDescent="0.2">
      <c r="D29" s="45" t="s">
        <v>1013</v>
      </c>
      <c r="I29" s="74">
        <v>0.12199598201340622</v>
      </c>
      <c r="J29" s="63" t="s">
        <v>1014</v>
      </c>
    </row>
    <row r="31" spans="2:18" s="6" customFormat="1" ht="18.75" x14ac:dyDescent="0.2">
      <c r="B31" s="6" t="s">
        <v>790</v>
      </c>
    </row>
    <row r="33" spans="3:9" s="121" customFormat="1" ht="15.75" x14ac:dyDescent="0.2">
      <c r="C33" s="121" t="s">
        <v>998</v>
      </c>
    </row>
    <row r="35" spans="3:9" x14ac:dyDescent="0.2">
      <c r="D35" s="60" t="s">
        <v>161</v>
      </c>
      <c r="I35" s="61" t="s">
        <v>189</v>
      </c>
    </row>
    <row r="36" spans="3:9" ht="13.5" thickBot="1" x14ac:dyDescent="0.25"/>
    <row r="37" spans="3:9" ht="15.75" thickBot="1" x14ac:dyDescent="0.25">
      <c r="D37" s="45" t="s">
        <v>976</v>
      </c>
      <c r="I37" s="336">
        <v>387.23917029821496</v>
      </c>
    </row>
    <row r="38" spans="3:9" x14ac:dyDescent="0.2">
      <c r="D38" s="350" t="s">
        <v>1015</v>
      </c>
      <c r="I38" s="74">
        <f>I39*5</f>
        <v>361.42627289784787</v>
      </c>
    </row>
    <row r="39" spans="3:9" x14ac:dyDescent="0.2">
      <c r="D39" s="350" t="s">
        <v>1016</v>
      </c>
      <c r="I39" s="74">
        <f>Q26</f>
        <v>72.285254579569568</v>
      </c>
    </row>
    <row r="40" spans="3:9" x14ac:dyDescent="0.2">
      <c r="D40" s="350" t="s">
        <v>1017</v>
      </c>
      <c r="I40" s="74">
        <f>Overview!R178</f>
        <v>4.9574141291557492</v>
      </c>
    </row>
    <row r="41" spans="3:9" x14ac:dyDescent="0.2">
      <c r="D41" s="350" t="s">
        <v>1018</v>
      </c>
      <c r="I41" s="74">
        <f>Overview!R186</f>
        <v>3.2903790416145275</v>
      </c>
    </row>
    <row r="42" spans="3:9" x14ac:dyDescent="0.2">
      <c r="D42" s="350" t="s">
        <v>1019</v>
      </c>
      <c r="I42" s="74">
        <f>Overview!R190</f>
        <v>3.8949208838826337</v>
      </c>
    </row>
    <row r="43" spans="3:9" x14ac:dyDescent="0.2">
      <c r="D43" s="350" t="s">
        <v>1020</v>
      </c>
      <c r="I43" s="74">
        <f>Overview!R194</f>
        <v>4.9438525271316029</v>
      </c>
    </row>
    <row r="44" spans="3:9" x14ac:dyDescent="0.2">
      <c r="D44" s="350" t="s">
        <v>1021</v>
      </c>
      <c r="I44" s="74">
        <f>Overview!R182</f>
        <v>4.8682464452438818</v>
      </c>
    </row>
    <row r="45" spans="3:9" x14ac:dyDescent="0.2">
      <c r="D45" s="350" t="s">
        <v>1022</v>
      </c>
      <c r="I45" s="74">
        <f>Overview!P182</f>
        <v>4.8838777260767881</v>
      </c>
    </row>
    <row r="47" spans="3:9" x14ac:dyDescent="0.2">
      <c r="D47" s="60" t="s">
        <v>635</v>
      </c>
      <c r="I47" s="61" t="s">
        <v>189</v>
      </c>
    </row>
    <row r="49" spans="3:10" ht="13.5" thickBot="1" x14ac:dyDescent="0.25">
      <c r="D49" s="45" t="s">
        <v>1023</v>
      </c>
      <c r="I49" s="74">
        <f>I12</f>
        <v>415.33893781191102</v>
      </c>
    </row>
    <row r="50" spans="3:10" ht="15.75" thickBot="1" x14ac:dyDescent="0.25">
      <c r="D50" s="45" t="s">
        <v>1024</v>
      </c>
      <c r="I50" s="336">
        <v>366.74944796468878</v>
      </c>
    </row>
    <row r="51" spans="3:10" ht="15.75" thickBot="1" x14ac:dyDescent="0.25">
      <c r="D51" s="45" t="s">
        <v>1025</v>
      </c>
      <c r="I51" s="336">
        <v>-6.9775075900738557</v>
      </c>
    </row>
    <row r="52" spans="3:10" ht="13.5" thickBot="1" x14ac:dyDescent="0.25">
      <c r="D52" s="45" t="s">
        <v>1026</v>
      </c>
      <c r="I52" s="74">
        <f>Overview!P178</f>
        <v>4.4424918619881923</v>
      </c>
    </row>
    <row r="53" spans="3:10" ht="15.75" thickBot="1" x14ac:dyDescent="0.25">
      <c r="D53" s="45" t="s">
        <v>1027</v>
      </c>
      <c r="I53" s="336">
        <v>5.9646724556916002</v>
      </c>
    </row>
    <row r="54" spans="3:10" x14ac:dyDescent="0.2">
      <c r="D54" s="45" t="s">
        <v>1028</v>
      </c>
      <c r="I54" s="74">
        <f>Overview!P186</f>
        <v>3.9553454709028801</v>
      </c>
    </row>
    <row r="55" spans="3:10" x14ac:dyDescent="0.2">
      <c r="D55" s="45" t="s">
        <v>1029</v>
      </c>
      <c r="I55" s="74">
        <f>Overview!P190</f>
        <v>18.834209607870498</v>
      </c>
    </row>
    <row r="56" spans="3:10" x14ac:dyDescent="0.2">
      <c r="D56" s="45" t="s">
        <v>1030</v>
      </c>
      <c r="I56" s="74">
        <f>Overview!P194</f>
        <v>14.149035432399273</v>
      </c>
    </row>
    <row r="57" spans="3:10" ht="13.5" thickBot="1" x14ac:dyDescent="0.25">
      <c r="D57" s="45" t="s">
        <v>1031</v>
      </c>
      <c r="I57" s="74">
        <f>Overview!P182</f>
        <v>4.8838777260767881</v>
      </c>
    </row>
    <row r="58" spans="3:10" ht="15.75" thickBot="1" x14ac:dyDescent="0.25">
      <c r="D58" s="45" t="s">
        <v>1032</v>
      </c>
      <c r="I58" s="336">
        <v>3.3373648823668232</v>
      </c>
    </row>
    <row r="60" spans="3:10" x14ac:dyDescent="0.2">
      <c r="D60" s="45" t="s">
        <v>1033</v>
      </c>
      <c r="I60" s="74">
        <f>(Overview!R194-Overview!P194)+(Overview!R190-Overview!P190)</f>
        <v>-24.144471629255534</v>
      </c>
      <c r="J60" s="63" t="s">
        <v>1057</v>
      </c>
    </row>
    <row r="62" spans="3:10" x14ac:dyDescent="0.2">
      <c r="D62" s="45" t="s">
        <v>1034</v>
      </c>
      <c r="I62" s="74">
        <f>I37</f>
        <v>387.23917029821496</v>
      </c>
    </row>
    <row r="64" spans="3:10" s="121" customFormat="1" ht="15.75" x14ac:dyDescent="0.2">
      <c r="C64" s="121" t="s">
        <v>1296</v>
      </c>
    </row>
    <row r="66" spans="15:28" x14ac:dyDescent="0.2">
      <c r="O66" s="149" t="s">
        <v>658</v>
      </c>
      <c r="P66" s="150" t="s">
        <v>169</v>
      </c>
      <c r="Q66" s="149" t="s">
        <v>228</v>
      </c>
      <c r="R66" s="149" t="s">
        <v>299</v>
      </c>
      <c r="T66" s="149" t="s">
        <v>300</v>
      </c>
      <c r="U66" s="149" t="s">
        <v>301</v>
      </c>
      <c r="V66" s="149" t="s">
        <v>302</v>
      </c>
      <c r="W66" s="149" t="s">
        <v>303</v>
      </c>
      <c r="Z66" s="149" t="s">
        <v>783</v>
      </c>
      <c r="AA66" s="149" t="s">
        <v>784</v>
      </c>
      <c r="AB66" s="149" t="s">
        <v>782</v>
      </c>
    </row>
    <row r="67" spans="15:28" ht="13.5" thickBot="1" x14ac:dyDescent="0.25">
      <c r="O67" s="28">
        <v>0</v>
      </c>
      <c r="P67" s="30" t="s">
        <v>783</v>
      </c>
      <c r="Q67" s="152">
        <f>$I$12</f>
        <v>415.33893781191102</v>
      </c>
      <c r="R67" s="152">
        <f t="shared" ref="R67:R81" si="0">Q67</f>
        <v>415.33893781191102</v>
      </c>
      <c r="T67" s="152">
        <f>Q67</f>
        <v>415.33893781191102</v>
      </c>
      <c r="U67" s="152"/>
      <c r="V67" s="152"/>
      <c r="W67" s="152"/>
    </row>
    <row r="68" spans="15:28" ht="15.75" thickBot="1" x14ac:dyDescent="0.25">
      <c r="O68" s="28">
        <f t="shared" ref="O68:O81" si="1">N(O67)+1</f>
        <v>1</v>
      </c>
      <c r="P68" s="30" t="s">
        <v>1059</v>
      </c>
      <c r="Q68" s="152">
        <f>AA68-Z68</f>
        <v>-5.3231750668409177</v>
      </c>
      <c r="R68" s="152">
        <f t="shared" si="0"/>
        <v>-5.3231750668409177</v>
      </c>
      <c r="T68" s="152"/>
      <c r="U68" s="152">
        <f>IF(Q68&gt;0,SUM(Q$67:Q67),SUM(Q$67:Q67)+Q68)</f>
        <v>410.01576274507011</v>
      </c>
      <c r="V68" s="152" t="str">
        <f>IF(Q68&gt;0,Q68,"")</f>
        <v/>
      </c>
      <c r="W68" s="152">
        <f t="shared" ref="W68:W81" si="2">IF(Q68&lt;=0,ABS(Q68),"")</f>
        <v>5.3231750668409177</v>
      </c>
      <c r="Y68" s="45" t="s">
        <v>1059</v>
      </c>
      <c r="Z68" s="336">
        <v>366.74944796468878</v>
      </c>
      <c r="AA68" s="336">
        <v>361.42627289784787</v>
      </c>
      <c r="AB68" s="336">
        <v>361.42627289784787</v>
      </c>
    </row>
    <row r="69" spans="15:28" ht="15.75" thickBot="1" x14ac:dyDescent="0.25">
      <c r="O69" s="28">
        <f t="shared" si="1"/>
        <v>2</v>
      </c>
      <c r="P69" s="30" t="s">
        <v>1039</v>
      </c>
      <c r="Q69" s="152">
        <f t="shared" ref="Q69:Q73" si="3">AA69-Z69</f>
        <v>-0.13191077249426097</v>
      </c>
      <c r="R69" s="152">
        <f t="shared" si="0"/>
        <v>-0.13191077249426097</v>
      </c>
      <c r="T69" s="152"/>
      <c r="U69" s="152">
        <f>IF(Q69&gt;0,SUM(Q$67:Q68),SUM(Q$67:Q68)+Q69)</f>
        <v>409.88385197257583</v>
      </c>
      <c r="V69" s="152" t="str">
        <f>IF(Q69&gt;0,Q69,"")</f>
        <v/>
      </c>
      <c r="W69" s="152">
        <f t="shared" si="2"/>
        <v>0.13191077249426097</v>
      </c>
      <c r="Y69" s="45" t="s">
        <v>1039</v>
      </c>
      <c r="Z69" s="336">
        <v>2.8396469371499302</v>
      </c>
      <c r="AA69" s="336">
        <v>2.7077361646556692</v>
      </c>
      <c r="AB69" s="336">
        <v>7.4160218384690957</v>
      </c>
    </row>
    <row r="70" spans="15:28" ht="15.75" thickBot="1" x14ac:dyDescent="0.25">
      <c r="O70" s="28">
        <f t="shared" si="1"/>
        <v>3</v>
      </c>
      <c r="P70" s="30" t="s">
        <v>1040</v>
      </c>
      <c r="Q70" s="152">
        <f t="shared" si="3"/>
        <v>1.0579688773852478</v>
      </c>
      <c r="R70" s="152">
        <f t="shared" si="0"/>
        <v>1.0579688773852478</v>
      </c>
      <c r="T70" s="152"/>
      <c r="U70" s="152">
        <f>IF(Q70&gt;0,SUM(Q$67:Q69),SUM(Q$67:Q69)+Q70)</f>
        <v>409.88385197257583</v>
      </c>
      <c r="V70" s="152">
        <f>IF(Q70&gt;0,Q70,"")</f>
        <v>1.0579688773852478</v>
      </c>
      <c r="W70" s="152" t="str">
        <f t="shared" si="2"/>
        <v/>
      </c>
      <c r="Y70" s="45" t="s">
        <v>1040</v>
      </c>
      <c r="Z70" s="336">
        <v>-0.66462589893269686</v>
      </c>
      <c r="AA70" s="336">
        <v>0.3933429784525509</v>
      </c>
      <c r="AB70" s="336">
        <v>2.127319408449142</v>
      </c>
    </row>
    <row r="71" spans="15:28" ht="15.75" thickBot="1" x14ac:dyDescent="0.25">
      <c r="O71" s="28">
        <f t="shared" si="1"/>
        <v>4</v>
      </c>
      <c r="P71" s="30" t="s">
        <v>1060</v>
      </c>
      <c r="Q71" s="152">
        <f t="shared" si="3"/>
        <v>0.10528909994189029</v>
      </c>
      <c r="R71" s="152">
        <f t="shared" ref="R71" si="4">Q71</f>
        <v>0.10528909994189029</v>
      </c>
      <c r="T71" s="152"/>
      <c r="U71" s="152">
        <f>IF(Q71&gt;0,SUM(Q$67:Q70),SUM(Q$67:Q70)+Q71)</f>
        <v>410.94182084996106</v>
      </c>
      <c r="V71" s="152">
        <f>IF(Q71&gt;0,Q71,"")</f>
        <v>0.10528909994189029</v>
      </c>
      <c r="W71" s="152" t="str">
        <f t="shared" ref="W71" si="5">IF(Q71&lt;=0,ABS(Q71),"")</f>
        <v/>
      </c>
      <c r="Y71" s="45" t="s">
        <v>1060</v>
      </c>
      <c r="Z71" s="336">
        <v>-9.1525286282909892</v>
      </c>
      <c r="AA71" s="336">
        <v>-9.0472395283490989</v>
      </c>
      <c r="AB71" s="336">
        <v>-9.202213070903202</v>
      </c>
    </row>
    <row r="72" spans="15:28" ht="15.75" thickBot="1" x14ac:dyDescent="0.25">
      <c r="O72" s="28">
        <f t="shared" si="1"/>
        <v>5</v>
      </c>
      <c r="P72" s="30" t="s">
        <v>659</v>
      </c>
      <c r="Q72" s="152">
        <f t="shared" si="3"/>
        <v>-46.725627000840063</v>
      </c>
      <c r="R72" s="152">
        <f t="shared" ref="R72:R73" si="6">Q72</f>
        <v>-46.725627000840063</v>
      </c>
      <c r="T72" s="152"/>
      <c r="U72" s="152">
        <f>IF(Q72&gt;0,SUM(Q$67:Q71),SUM(Q$67:Q71)+Q72)</f>
        <v>364.3214829490629</v>
      </c>
      <c r="V72" s="152" t="str">
        <f t="shared" ref="V72:V73" si="7">IF(Q72&gt;0,Q72,"")</f>
        <v/>
      </c>
      <c r="W72" s="152">
        <f t="shared" ref="W72:W73" si="8">IF(Q72&lt;=0,ABS(Q72),"")</f>
        <v>46.725627000840063</v>
      </c>
      <c r="Y72" s="45" t="s">
        <v>659</v>
      </c>
      <c r="Z72" s="336">
        <v>52.229632554929232</v>
      </c>
      <c r="AA72" s="336">
        <v>5.5040055540891721</v>
      </c>
      <c r="AB72" s="336">
        <v>21.954812148863972</v>
      </c>
    </row>
    <row r="73" spans="15:28" ht="15.75" thickBot="1" x14ac:dyDescent="0.25">
      <c r="O73" s="28">
        <f t="shared" si="1"/>
        <v>6</v>
      </c>
      <c r="P73" s="30" t="s">
        <v>1058</v>
      </c>
      <c r="Q73" s="152">
        <f t="shared" si="3"/>
        <v>0.12199598201340622</v>
      </c>
      <c r="R73" s="152">
        <f t="shared" si="6"/>
        <v>0.12199598201340622</v>
      </c>
      <c r="T73" s="152"/>
      <c r="U73" s="152">
        <f>IF(Q73&gt;0,SUM(Q$67:Q72),SUM(Q$67:Q72)+Q73)</f>
        <v>364.3214829490629</v>
      </c>
      <c r="V73" s="152">
        <f t="shared" si="7"/>
        <v>0.12199598201340622</v>
      </c>
      <c r="W73" s="152" t="str">
        <f t="shared" si="8"/>
        <v/>
      </c>
      <c r="Y73" s="45" t="s">
        <v>1058</v>
      </c>
      <c r="Z73" s="336">
        <v>3.3373648823668232</v>
      </c>
      <c r="AA73" s="336">
        <v>3.4593608643802294</v>
      </c>
      <c r="AB73" s="336">
        <v>3.5169561973236494</v>
      </c>
    </row>
    <row r="74" spans="15:28" x14ac:dyDescent="0.2">
      <c r="O74" s="28">
        <f t="shared" si="1"/>
        <v>7</v>
      </c>
      <c r="P74" s="30" t="s">
        <v>784</v>
      </c>
      <c r="Q74" s="152">
        <f>$I$13</f>
        <v>364.44347893107653</v>
      </c>
      <c r="R74" s="152">
        <f t="shared" si="0"/>
        <v>364.44347893107653</v>
      </c>
      <c r="T74" s="152">
        <f>Q74</f>
        <v>364.44347893107653</v>
      </c>
      <c r="U74" s="152"/>
      <c r="V74" s="152"/>
      <c r="W74" s="152" t="str">
        <f t="shared" si="2"/>
        <v/>
      </c>
      <c r="Y74" s="45" t="s">
        <v>72</v>
      </c>
      <c r="Z74" s="74">
        <f>SUM(Z68:Z73)</f>
        <v>415.33893781191114</v>
      </c>
      <c r="AA74" s="74">
        <f>SUM(AA68:AA73)</f>
        <v>364.44347893107641</v>
      </c>
      <c r="AB74" s="74">
        <f>SUM(AB68:AB73)</f>
        <v>387.23916942005047</v>
      </c>
    </row>
    <row r="75" spans="15:28" x14ac:dyDescent="0.2">
      <c r="O75" s="28">
        <f t="shared" si="1"/>
        <v>8</v>
      </c>
      <c r="P75" s="151" t="str">
        <f t="shared" ref="P75:P80" si="9">P68</f>
        <v>Adj Base Yr</v>
      </c>
      <c r="Q75" s="152">
        <f>AB68-AA68</f>
        <v>0</v>
      </c>
      <c r="R75" s="152">
        <f t="shared" si="0"/>
        <v>0</v>
      </c>
      <c r="T75" s="152"/>
      <c r="U75" s="152">
        <f>IF(Q75&gt;0,SUM(Q$74:Q74),SUM(Q$74:Q74)+Q75)</f>
        <v>364.44347893107653</v>
      </c>
      <c r="V75" s="152" t="str">
        <f>IF(Q75&gt;0,Q75,"")</f>
        <v/>
      </c>
      <c r="W75" s="152">
        <f t="shared" si="2"/>
        <v>0</v>
      </c>
    </row>
    <row r="76" spans="15:28" x14ac:dyDescent="0.2">
      <c r="O76" s="28">
        <f t="shared" si="1"/>
        <v>9</v>
      </c>
      <c r="P76" s="151" t="str">
        <f t="shared" si="9"/>
        <v>Output</v>
      </c>
      <c r="Q76" s="152">
        <f t="shared" ref="Q76:Q80" si="10">AB69-AA69</f>
        <v>4.7082856738134264</v>
      </c>
      <c r="R76" s="152">
        <f t="shared" si="0"/>
        <v>4.7082856738134264</v>
      </c>
      <c r="T76" s="152"/>
      <c r="U76" s="152">
        <f>IF(Q76&gt;0,SUM(Q$74:Q75),SUM(Q$74:Q75)+Q76)</f>
        <v>364.44347893107653</v>
      </c>
      <c r="V76" s="152">
        <f>IF(Q76&gt;0,Q76,"")</f>
        <v>4.7082856738134264</v>
      </c>
      <c r="W76" s="152" t="str">
        <f t="shared" si="2"/>
        <v/>
      </c>
    </row>
    <row r="77" spans="15:28" x14ac:dyDescent="0.2">
      <c r="O77" s="28">
        <f t="shared" si="1"/>
        <v>10</v>
      </c>
      <c r="P77" s="151" t="str">
        <f t="shared" si="9"/>
        <v>Price</v>
      </c>
      <c r="Q77" s="152">
        <f t="shared" si="10"/>
        <v>1.7339764299965912</v>
      </c>
      <c r="R77" s="152">
        <f t="shared" si="0"/>
        <v>1.7339764299965912</v>
      </c>
      <c r="T77" s="152"/>
      <c r="U77" s="152">
        <f>IF(Q77&gt;0,SUM(Q$74:Q76),SUM(Q$74:Q76)+Q77)</f>
        <v>369.15176460488993</v>
      </c>
      <c r="V77" s="152">
        <f>IF(Q77&gt;0,Q77,"")</f>
        <v>1.7339764299965912</v>
      </c>
      <c r="W77" s="152" t="str">
        <f t="shared" si="2"/>
        <v/>
      </c>
    </row>
    <row r="78" spans="15:28" x14ac:dyDescent="0.2">
      <c r="O78" s="28">
        <f t="shared" si="1"/>
        <v>11</v>
      </c>
      <c r="P78" s="151" t="str">
        <f t="shared" si="9"/>
        <v>Prod.</v>
      </c>
      <c r="Q78" s="152">
        <f t="shared" si="10"/>
        <v>-0.15497354255410301</v>
      </c>
      <c r="R78" s="152">
        <f t="shared" ref="R78" si="11">Q78</f>
        <v>-0.15497354255410301</v>
      </c>
      <c r="T78" s="152"/>
      <c r="U78" s="152">
        <f>IF(Q78&gt;0,SUM(Q$74:Q77),SUM(Q$74:Q77)+Q78)</f>
        <v>370.7307674923324</v>
      </c>
      <c r="V78" s="152" t="str">
        <f>IF(Q78&gt;0,Q78,"")</f>
        <v/>
      </c>
      <c r="W78" s="152">
        <f t="shared" ref="W78" si="12">IF(Q78&lt;=0,ABS(Q78),"")</f>
        <v>0.15497354255410301</v>
      </c>
    </row>
    <row r="79" spans="15:28" x14ac:dyDescent="0.2">
      <c r="O79" s="28">
        <f t="shared" si="1"/>
        <v>12</v>
      </c>
      <c r="P79" s="151" t="str">
        <f t="shared" si="9"/>
        <v>Step Δ</v>
      </c>
      <c r="Q79" s="152">
        <f t="shared" si="10"/>
        <v>16.4508065947748</v>
      </c>
      <c r="R79" s="152">
        <f t="shared" ref="R79:R80" si="13">Q79</f>
        <v>16.4508065947748</v>
      </c>
      <c r="T79" s="152"/>
      <c r="U79" s="152">
        <f>IF(Q79&gt;0,SUM(Q$74:Q78),SUM(Q$74:Q78)+Q79)</f>
        <v>370.7307674923324</v>
      </c>
      <c r="V79" s="152">
        <f t="shared" ref="V79:V80" si="14">IF(Q79&gt;0,Q79,"")</f>
        <v>16.4508065947748</v>
      </c>
      <c r="W79" s="152" t="str">
        <f t="shared" ref="W79:W80" si="15">IF(Q79&lt;=0,ABS(Q79),"")</f>
        <v/>
      </c>
    </row>
    <row r="80" spans="15:28" x14ac:dyDescent="0.2">
      <c r="O80" s="28">
        <f t="shared" si="1"/>
        <v>13</v>
      </c>
      <c r="P80" s="151" t="str">
        <f t="shared" si="9"/>
        <v>DRC</v>
      </c>
      <c r="Q80" s="152">
        <f t="shared" si="10"/>
        <v>5.7595332943420008E-2</v>
      </c>
      <c r="R80" s="152">
        <f t="shared" si="13"/>
        <v>5.7595332943420008E-2</v>
      </c>
      <c r="T80" s="152"/>
      <c r="U80" s="152">
        <f>IF(Q80&gt;0,SUM(Q$74:Q79),SUM(Q$74:Q79)+Q80)</f>
        <v>387.18157408710721</v>
      </c>
      <c r="V80" s="152">
        <f t="shared" si="14"/>
        <v>5.7595332943420008E-2</v>
      </c>
      <c r="W80" s="152" t="str">
        <f t="shared" si="15"/>
        <v/>
      </c>
    </row>
    <row r="81" spans="3:23" x14ac:dyDescent="0.2">
      <c r="O81" s="28">
        <f t="shared" si="1"/>
        <v>14</v>
      </c>
      <c r="P81" s="30" t="s">
        <v>782</v>
      </c>
      <c r="Q81" s="152">
        <f>I37</f>
        <v>387.23917029821496</v>
      </c>
      <c r="R81" s="152">
        <f t="shared" si="0"/>
        <v>387.23917029821496</v>
      </c>
      <c r="T81" s="152">
        <f>Q81</f>
        <v>387.23917029821496</v>
      </c>
      <c r="U81" s="152"/>
      <c r="V81" s="152"/>
      <c r="W81" s="152" t="str">
        <f t="shared" si="2"/>
        <v/>
      </c>
    </row>
    <row r="82" spans="3:23" x14ac:dyDescent="0.2">
      <c r="O82" s="28"/>
      <c r="P82" s="151"/>
      <c r="Q82" s="152"/>
      <c r="R82" s="152"/>
      <c r="T82" s="152"/>
      <c r="U82" s="152"/>
      <c r="V82" s="152"/>
      <c r="W82" s="152"/>
    </row>
    <row r="83" spans="3:23" x14ac:dyDescent="0.2">
      <c r="P83" s="92" t="s">
        <v>304</v>
      </c>
      <c r="Q83" s="92" t="str">
        <f>Real_Input&amp;", "&amp;Unit_Dollar_M</f>
        <v>Real 2024, $Million</v>
      </c>
    </row>
    <row r="89" spans="3:23" s="121" customFormat="1" ht="15.75" x14ac:dyDescent="0.2">
      <c r="C89" s="121" t="s">
        <v>1035</v>
      </c>
    </row>
    <row r="91" spans="3:23" s="121" customFormat="1" ht="15.75" x14ac:dyDescent="0.2">
      <c r="C91" s="121" t="s">
        <v>1036</v>
      </c>
    </row>
    <row r="93" spans="3:23" x14ac:dyDescent="0.2">
      <c r="D93" s="60" t="s">
        <v>161</v>
      </c>
      <c r="I93" s="61" t="s">
        <v>189</v>
      </c>
    </row>
    <row r="95" spans="3:23" x14ac:dyDescent="0.2">
      <c r="D95" s="45" t="s">
        <v>1038</v>
      </c>
      <c r="I95" s="74">
        <f>G102</f>
        <v>4.7082856738134264</v>
      </c>
    </row>
    <row r="96" spans="3:23" x14ac:dyDescent="0.2">
      <c r="D96" s="45" t="s">
        <v>1042</v>
      </c>
      <c r="I96" s="74">
        <f>G103</f>
        <v>1.7339764299965912</v>
      </c>
    </row>
    <row r="98" spans="3:9" x14ac:dyDescent="0.2">
      <c r="D98" s="45" t="s">
        <v>1088</v>
      </c>
      <c r="I98" s="74">
        <f>I62-I13</f>
        <v>22.795691367138431</v>
      </c>
    </row>
    <row r="99" spans="3:9" x14ac:dyDescent="0.2">
      <c r="D99" s="45" t="s">
        <v>1089</v>
      </c>
      <c r="I99" s="74">
        <f>G105</f>
        <v>6.2872885612559148</v>
      </c>
    </row>
    <row r="100" spans="3:9" ht="13.5" thickBot="1" x14ac:dyDescent="0.25"/>
    <row r="101" spans="3:9" ht="30.75" thickBot="1" x14ac:dyDescent="0.25">
      <c r="D101" s="158" t="s">
        <v>1037</v>
      </c>
      <c r="E101" s="216" t="s">
        <v>821</v>
      </c>
      <c r="F101" s="219" t="s">
        <v>785</v>
      </c>
      <c r="G101" s="219" t="s">
        <v>186</v>
      </c>
    </row>
    <row r="102" spans="3:9" ht="15" x14ac:dyDescent="0.2">
      <c r="D102" s="387" t="s">
        <v>1039</v>
      </c>
      <c r="E102" s="388">
        <v>2.7077361646556692</v>
      </c>
      <c r="F102" s="388">
        <v>7.4160218384690957</v>
      </c>
      <c r="G102" s="388">
        <f>F102-E102</f>
        <v>4.7082856738134264</v>
      </c>
    </row>
    <row r="103" spans="3:9" ht="15" x14ac:dyDescent="0.2">
      <c r="D103" s="221" t="s">
        <v>1040</v>
      </c>
      <c r="E103" s="372">
        <v>0.3933429784525509</v>
      </c>
      <c r="F103" s="372">
        <v>2.127319408449142</v>
      </c>
      <c r="G103" s="372">
        <f t="shared" ref="G103:G105" si="16">F103-E103</f>
        <v>1.7339764299965912</v>
      </c>
    </row>
    <row r="104" spans="3:9" ht="15" x14ac:dyDescent="0.2">
      <c r="D104" s="224" t="s">
        <v>187</v>
      </c>
      <c r="E104" s="373">
        <v>-9.0472395283490989</v>
      </c>
      <c r="F104" s="373">
        <v>-9.202213070903202</v>
      </c>
      <c r="G104" s="373">
        <f t="shared" si="16"/>
        <v>-0.15497354255410301</v>
      </c>
    </row>
    <row r="105" spans="3:9" ht="15.75" thickBot="1" x14ac:dyDescent="0.25">
      <c r="D105" s="329" t="s">
        <v>1041</v>
      </c>
      <c r="E105" s="374">
        <f>SUM(E102:E104)</f>
        <v>-5.9461603852408782</v>
      </c>
      <c r="F105" s="374">
        <f>SUM(F102:F104)</f>
        <v>0.34112817601503664</v>
      </c>
      <c r="G105" s="374">
        <f t="shared" si="16"/>
        <v>6.2872885612559148</v>
      </c>
    </row>
    <row r="107" spans="3:9" s="121" customFormat="1" ht="15.75" x14ac:dyDescent="0.2">
      <c r="C107" s="121" t="s">
        <v>1051</v>
      </c>
    </row>
    <row r="109" spans="3:9" x14ac:dyDescent="0.2">
      <c r="D109" s="60" t="s">
        <v>1045</v>
      </c>
      <c r="I109" s="61" t="s">
        <v>189</v>
      </c>
    </row>
    <row r="111" spans="3:9" x14ac:dyDescent="0.2">
      <c r="D111" s="45" t="s">
        <v>1043</v>
      </c>
      <c r="I111" s="74">
        <f>Overview!P194</f>
        <v>14.149035432399273</v>
      </c>
    </row>
    <row r="112" spans="3:9" x14ac:dyDescent="0.2">
      <c r="D112" s="45" t="s">
        <v>1046</v>
      </c>
      <c r="I112" s="74">
        <f>Overview!Q194</f>
        <v>1.0984393338620144</v>
      </c>
    </row>
    <row r="113" spans="3:12" x14ac:dyDescent="0.2">
      <c r="D113" s="45" t="s">
        <v>1044</v>
      </c>
      <c r="I113" s="74">
        <f>I111</f>
        <v>14.149035432399273</v>
      </c>
    </row>
    <row r="114" spans="3:12" x14ac:dyDescent="0.2">
      <c r="D114" s="45" t="s">
        <v>1046</v>
      </c>
      <c r="I114" s="74">
        <f>Overview!R194</f>
        <v>4.9438525271316029</v>
      </c>
    </row>
    <row r="116" spans="3:12" x14ac:dyDescent="0.2">
      <c r="D116" s="45" t="s">
        <v>1257</v>
      </c>
      <c r="I116" s="74">
        <f>I112</f>
        <v>1.0984393338620144</v>
      </c>
    </row>
    <row r="118" spans="3:12" x14ac:dyDescent="0.2">
      <c r="D118" s="45" t="s">
        <v>1256</v>
      </c>
      <c r="I118" s="74">
        <f>J130</f>
        <v>5.4527439177988057</v>
      </c>
    </row>
    <row r="119" spans="3:12" x14ac:dyDescent="0.2">
      <c r="D119" s="45" t="s">
        <v>1168</v>
      </c>
      <c r="I119" s="74">
        <f>J131</f>
        <v>4.9438525271316029</v>
      </c>
    </row>
    <row r="121" spans="3:12" s="121" customFormat="1" ht="15.75" x14ac:dyDescent="0.2">
      <c r="C121" s="121" t="s">
        <v>1047</v>
      </c>
    </row>
    <row r="122" spans="3:12" ht="13.5" thickBot="1" x14ac:dyDescent="0.25"/>
    <row r="123" spans="3:12" ht="15" x14ac:dyDescent="0.2">
      <c r="D123" s="158"/>
      <c r="E123" s="219" t="s">
        <v>199</v>
      </c>
      <c r="F123" s="219" t="s">
        <v>200</v>
      </c>
      <c r="G123" s="219" t="s">
        <v>201</v>
      </c>
      <c r="H123" s="219" t="s">
        <v>202</v>
      </c>
      <c r="I123" s="219" t="s">
        <v>203</v>
      </c>
      <c r="J123" s="219" t="s">
        <v>72</v>
      </c>
    </row>
    <row r="124" spans="3:12" ht="15" hidden="1" outlineLevel="1" x14ac:dyDescent="0.2">
      <c r="D124" s="456" t="s">
        <v>1251</v>
      </c>
      <c r="E124" s="455">
        <v>0.4393757335448058</v>
      </c>
      <c r="F124" s="455">
        <v>0.4393757335448058</v>
      </c>
      <c r="G124" s="455">
        <v>0.4393757335448058</v>
      </c>
      <c r="H124" s="455">
        <v>0.4393757335448058</v>
      </c>
      <c r="I124" s="455">
        <v>0.4393757335448058</v>
      </c>
      <c r="J124" s="455">
        <v>2.1968786677240288</v>
      </c>
    </row>
    <row r="125" spans="3:12" ht="15" hidden="1" outlineLevel="1" x14ac:dyDescent="0.2">
      <c r="D125" s="438" t="s">
        <v>1252</v>
      </c>
      <c r="E125" s="455">
        <v>0</v>
      </c>
      <c r="F125" s="455">
        <v>0</v>
      </c>
      <c r="G125" s="455">
        <v>7.1398556701030944E-2</v>
      </c>
      <c r="H125" s="455">
        <v>8.123511810692971E-2</v>
      </c>
      <c r="I125" s="455">
        <v>9.5704679152620528E-2</v>
      </c>
      <c r="J125" s="455">
        <v>0.24833835396058121</v>
      </c>
    </row>
    <row r="126" spans="3:12" ht="15" hidden="1" outlineLevel="1" x14ac:dyDescent="0.2">
      <c r="D126" s="438" t="s">
        <v>1253</v>
      </c>
      <c r="E126" s="455">
        <v>0</v>
      </c>
      <c r="F126" s="455">
        <v>0</v>
      </c>
      <c r="G126" s="455">
        <v>0</v>
      </c>
      <c r="H126" s="455">
        <v>0.13181272006344172</v>
      </c>
      <c r="I126" s="455">
        <v>0.13181272006344172</v>
      </c>
      <c r="J126" s="455">
        <v>0.26362544012688344</v>
      </c>
      <c r="L126" s="384" t="s">
        <v>1147</v>
      </c>
    </row>
    <row r="127" spans="3:12" ht="15" hidden="1" outlineLevel="1" x14ac:dyDescent="0.2">
      <c r="D127" s="438" t="s">
        <v>1254</v>
      </c>
      <c r="E127" s="455">
        <v>0</v>
      </c>
      <c r="F127" s="455">
        <v>0</v>
      </c>
      <c r="G127" s="455">
        <v>0.10984393338620145</v>
      </c>
      <c r="H127" s="455">
        <v>0.10984393338620145</v>
      </c>
      <c r="I127" s="455">
        <v>0.10984393338620145</v>
      </c>
      <c r="J127" s="455">
        <v>0.32953180015860434</v>
      </c>
      <c r="L127" s="385">
        <v>1.0984393338620144</v>
      </c>
    </row>
    <row r="128" spans="3:12" ht="15" hidden="1" outlineLevel="1" x14ac:dyDescent="0.2">
      <c r="D128" s="438" t="s">
        <v>1255</v>
      </c>
      <c r="E128" s="455">
        <v>0</v>
      </c>
      <c r="F128" s="455">
        <v>0</v>
      </c>
      <c r="G128" s="455">
        <v>0.43498197620935775</v>
      </c>
      <c r="H128" s="455">
        <v>0.41301318953211741</v>
      </c>
      <c r="I128" s="455">
        <v>0.41301318953211741</v>
      </c>
      <c r="J128" s="455">
        <v>1.2610083552735925</v>
      </c>
    </row>
    <row r="129" spans="1:12" ht="15" hidden="1" outlineLevel="1" x14ac:dyDescent="0.2">
      <c r="D129" s="438" t="s">
        <v>1311</v>
      </c>
      <c r="E129" s="455">
        <v>0</v>
      </c>
      <c r="F129" s="455">
        <v>0</v>
      </c>
      <c r="G129" s="455">
        <v>0</v>
      </c>
      <c r="H129" s="455">
        <v>0.57668065027755755</v>
      </c>
      <c r="I129" s="455">
        <v>0.57668065027755755</v>
      </c>
      <c r="J129" s="455">
        <v>1.1533613005551151</v>
      </c>
    </row>
    <row r="130" spans="1:12" ht="15.75" collapsed="1" thickBot="1" x14ac:dyDescent="0.25">
      <c r="D130" s="220" t="s">
        <v>72</v>
      </c>
      <c r="E130" s="466">
        <f>SUM(E124:E129)</f>
        <v>0.4393757335448058</v>
      </c>
      <c r="F130" s="466">
        <f t="shared" ref="F130:J130" si="17">SUM(F124:F129)</f>
        <v>0.4393757335448058</v>
      </c>
      <c r="G130" s="466">
        <f t="shared" si="17"/>
        <v>1.055600199841396</v>
      </c>
      <c r="H130" s="466">
        <f t="shared" si="17"/>
        <v>1.7519613449110536</v>
      </c>
      <c r="I130" s="466">
        <f t="shared" si="17"/>
        <v>1.7664309059567445</v>
      </c>
      <c r="J130" s="466">
        <f t="shared" si="17"/>
        <v>5.4527439177988057</v>
      </c>
      <c r="L130" s="384" t="s">
        <v>1148</v>
      </c>
    </row>
    <row r="131" spans="1:12" ht="15.75" thickBot="1" x14ac:dyDescent="0.25">
      <c r="D131" s="329" t="s">
        <v>350</v>
      </c>
      <c r="E131" s="404">
        <f>E130*$L$131</f>
        <v>0.39836985990764801</v>
      </c>
      <c r="F131" s="404">
        <f t="shared" ref="F131:I131" si="18">F130*$L$131</f>
        <v>0.39836985990764801</v>
      </c>
      <c r="G131" s="404">
        <f t="shared" si="18"/>
        <v>0.95708358842812447</v>
      </c>
      <c r="H131" s="404">
        <f t="shared" si="18"/>
        <v>1.5884550334745764</v>
      </c>
      <c r="I131" s="404">
        <f t="shared" si="18"/>
        <v>1.6015741854136063</v>
      </c>
      <c r="J131" s="404">
        <f t="shared" ref="J131" si="19">SUM(E131:I131)</f>
        <v>4.9438525271316029</v>
      </c>
      <c r="L131" s="386">
        <v>0.90667242064933895</v>
      </c>
    </row>
    <row r="133" spans="1:12" x14ac:dyDescent="0.2">
      <c r="D133" s="45" t="s">
        <v>1090</v>
      </c>
      <c r="E133" s="154">
        <v>0.39836985990764801</v>
      </c>
      <c r="F133" s="154">
        <v>0.39836985990764801</v>
      </c>
      <c r="G133" s="154">
        <v>0.95708358842812424</v>
      </c>
      <c r="H133" s="154">
        <v>1.5884550334745764</v>
      </c>
      <c r="I133" s="154">
        <v>1.6015741854136063</v>
      </c>
      <c r="J133" s="154">
        <f>SUM(E133:I133)</f>
        <v>4.9438525271316029</v>
      </c>
    </row>
    <row r="134" spans="1:12" x14ac:dyDescent="0.2">
      <c r="A134" s="52">
        <f>IF(SUM(E134:J134)=0,0,1)</f>
        <v>0</v>
      </c>
      <c r="D134" s="45" t="s">
        <v>1085</v>
      </c>
      <c r="E134" s="52">
        <f t="shared" ref="E134:J134" si="20">IF(ROUND(E133-E131,2)=0,0,1)</f>
        <v>0</v>
      </c>
      <c r="F134" s="52">
        <f t="shared" si="20"/>
        <v>0</v>
      </c>
      <c r="G134" s="52">
        <f t="shared" si="20"/>
        <v>0</v>
      </c>
      <c r="H134" s="52">
        <f t="shared" si="20"/>
        <v>0</v>
      </c>
      <c r="I134" s="52">
        <f t="shared" si="20"/>
        <v>0</v>
      </c>
      <c r="J134" s="52">
        <f t="shared" si="20"/>
        <v>0</v>
      </c>
    </row>
    <row r="136" spans="1:12" s="121" customFormat="1" ht="15.75" x14ac:dyDescent="0.2">
      <c r="C136" s="121" t="s">
        <v>1052</v>
      </c>
    </row>
    <row r="138" spans="1:12" x14ac:dyDescent="0.2">
      <c r="D138" s="60" t="s">
        <v>352</v>
      </c>
      <c r="I138" s="61" t="s">
        <v>189</v>
      </c>
    </row>
    <row r="139" spans="1:12" ht="13.5" thickBot="1" x14ac:dyDescent="0.25"/>
    <row r="140" spans="1:12" ht="15.75" thickBot="1" x14ac:dyDescent="0.25">
      <c r="D140" s="45" t="s">
        <v>1049</v>
      </c>
      <c r="I140" s="336">
        <v>18.834209607870498</v>
      </c>
      <c r="J140" s="63" t="s">
        <v>1297</v>
      </c>
    </row>
    <row r="141" spans="1:12" x14ac:dyDescent="0.2">
      <c r="D141" s="45" t="s">
        <v>1048</v>
      </c>
      <c r="I141" s="74">
        <f>J151</f>
        <v>3.8949208838826337</v>
      </c>
    </row>
    <row r="142" spans="1:12" x14ac:dyDescent="0.2">
      <c r="D142" s="45"/>
    </row>
    <row r="143" spans="1:12" s="121" customFormat="1" ht="15.75" x14ac:dyDescent="0.2">
      <c r="C143" s="121" t="s">
        <v>1050</v>
      </c>
    </row>
    <row r="144" spans="1:12" ht="13.5" thickBot="1" x14ac:dyDescent="0.25"/>
    <row r="145" spans="1:16" ht="15" x14ac:dyDescent="0.2">
      <c r="D145" s="158"/>
      <c r="E145" s="219" t="s">
        <v>199</v>
      </c>
      <c r="F145" s="219" t="s">
        <v>200</v>
      </c>
      <c r="G145" s="219" t="s">
        <v>201</v>
      </c>
      <c r="H145" s="219" t="s">
        <v>202</v>
      </c>
      <c r="I145" s="219" t="s">
        <v>203</v>
      </c>
      <c r="J145" s="219" t="s">
        <v>72</v>
      </c>
    </row>
    <row r="146" spans="1:16" ht="30" hidden="1" outlineLevel="1" x14ac:dyDescent="0.2">
      <c r="D146" s="438" t="s">
        <v>1120</v>
      </c>
      <c r="E146" s="439">
        <v>0.10984393338620145</v>
      </c>
      <c r="F146" s="439">
        <v>0.10984393338620145</v>
      </c>
      <c r="G146" s="439">
        <v>0.10984393338620145</v>
      </c>
      <c r="H146" s="439">
        <v>0.10984393338620145</v>
      </c>
      <c r="I146" s="439">
        <v>0.10984393338620145</v>
      </c>
      <c r="J146" s="439">
        <f>SUM(E146:I146)</f>
        <v>0.54921966693100721</v>
      </c>
      <c r="O146" s="87"/>
      <c r="P146" s="61" t="s">
        <v>783</v>
      </c>
    </row>
    <row r="147" spans="1:16" ht="15" hidden="1" outlineLevel="1" x14ac:dyDescent="0.2">
      <c r="D147" s="437" t="s">
        <v>1121</v>
      </c>
      <c r="E147" s="440">
        <v>0</v>
      </c>
      <c r="F147" s="440">
        <v>3.7846727248215709E-2</v>
      </c>
      <c r="G147" s="440">
        <v>3.7846727248215709E-2</v>
      </c>
      <c r="H147" s="440">
        <v>3.7846727248215709E-2</v>
      </c>
      <c r="I147" s="440">
        <v>3.7846727248215709E-2</v>
      </c>
      <c r="J147" s="440">
        <f t="shared" ref="J147:J152" si="21">SUM(E147:I147)</f>
        <v>0.15138690899286283</v>
      </c>
      <c r="O147" s="87" t="s">
        <v>1574</v>
      </c>
      <c r="P147" s="84">
        <v>0.93802469377941278</v>
      </c>
    </row>
    <row r="148" spans="1:16" ht="30" hidden="1" outlineLevel="1" x14ac:dyDescent="0.2">
      <c r="D148" s="438" t="s">
        <v>1122</v>
      </c>
      <c r="E148" s="439">
        <v>0</v>
      </c>
      <c r="F148" s="439">
        <v>2.6924944951625698E-2</v>
      </c>
      <c r="G148" s="439">
        <v>2.6924944951625698E-2</v>
      </c>
      <c r="H148" s="439">
        <v>2.6924944951625698E-2</v>
      </c>
      <c r="I148" s="439">
        <v>2.6924944951625698E-2</v>
      </c>
      <c r="J148" s="439">
        <f t="shared" si="21"/>
        <v>0.10769977980650279</v>
      </c>
      <c r="O148" s="87" t="s">
        <v>1575</v>
      </c>
      <c r="P148" s="84">
        <v>6.1975306220587209E-2</v>
      </c>
    </row>
    <row r="149" spans="1:16" ht="15" hidden="1" outlineLevel="1" x14ac:dyDescent="0.2">
      <c r="D149" s="437" t="s">
        <v>1123</v>
      </c>
      <c r="E149" s="440">
        <v>0</v>
      </c>
      <c r="F149" s="440">
        <v>0</v>
      </c>
      <c r="G149" s="440">
        <v>0</v>
      </c>
      <c r="H149" s="440">
        <v>0.10984393338620145</v>
      </c>
      <c r="I149" s="440">
        <v>0.10984393338620145</v>
      </c>
      <c r="J149" s="440">
        <f t="shared" si="21"/>
        <v>0.2196878667724029</v>
      </c>
    </row>
    <row r="150" spans="1:16" ht="30" hidden="1" outlineLevel="1" x14ac:dyDescent="0.2">
      <c r="D150" s="438" t="s">
        <v>1124</v>
      </c>
      <c r="E150" s="439">
        <v>0.49429770023790648</v>
      </c>
      <c r="F150" s="439">
        <v>0.88973586042823172</v>
      </c>
      <c r="G150" s="439">
        <v>0.49429770023790648</v>
      </c>
      <c r="H150" s="439">
        <v>0.49429770023790648</v>
      </c>
      <c r="I150" s="439">
        <v>0.49429770023790648</v>
      </c>
      <c r="J150" s="439">
        <f t="shared" si="21"/>
        <v>2.8669266613798574</v>
      </c>
      <c r="L150" s="384" t="s">
        <v>1147</v>
      </c>
      <c r="O150" s="87" t="s">
        <v>984</v>
      </c>
      <c r="P150" s="154">
        <f>Overview!P190</f>
        <v>18.834209607870498</v>
      </c>
    </row>
    <row r="151" spans="1:16" ht="15" collapsed="1" x14ac:dyDescent="0.2">
      <c r="D151" s="221" t="s">
        <v>72</v>
      </c>
      <c r="E151" s="372">
        <f>SUM(E146:E150)</f>
        <v>0.60414163362410789</v>
      </c>
      <c r="F151" s="372">
        <f t="shared" ref="F151:I151" si="22">SUM(F146:F150)</f>
        <v>1.0643514660142745</v>
      </c>
      <c r="G151" s="372">
        <f t="shared" si="22"/>
        <v>0.66891330582394937</v>
      </c>
      <c r="H151" s="372">
        <f t="shared" si="22"/>
        <v>0.77875723921015072</v>
      </c>
      <c r="I151" s="372">
        <f t="shared" si="22"/>
        <v>0.77875723921015072</v>
      </c>
      <c r="J151" s="372">
        <f t="shared" si="21"/>
        <v>3.8949208838826337</v>
      </c>
      <c r="L151" s="384"/>
    </row>
    <row r="152" spans="1:16" ht="15.75" thickBot="1" x14ac:dyDescent="0.25">
      <c r="D152" s="329" t="s">
        <v>1055</v>
      </c>
      <c r="E152" s="374">
        <v>0.604141633624108</v>
      </c>
      <c r="F152" s="374">
        <v>1.0643514660142745</v>
      </c>
      <c r="G152" s="374">
        <v>0.66891330582394937</v>
      </c>
      <c r="H152" s="374">
        <v>0.77875723921015083</v>
      </c>
      <c r="I152" s="374">
        <v>0.77875723921015083</v>
      </c>
      <c r="J152" s="374">
        <f t="shared" si="21"/>
        <v>3.8949208838826337</v>
      </c>
      <c r="L152" s="385">
        <v>1.0984393338620144</v>
      </c>
    </row>
    <row r="153" spans="1:16" x14ac:dyDescent="0.2">
      <c r="D153" s="45"/>
    </row>
    <row r="154" spans="1:16" x14ac:dyDescent="0.2">
      <c r="D154" s="45" t="s">
        <v>1090</v>
      </c>
      <c r="E154" s="74">
        <v>0.604141633624108</v>
      </c>
      <c r="F154" s="74">
        <v>1.0643514660142745</v>
      </c>
      <c r="G154" s="74">
        <v>0.66891330582394937</v>
      </c>
      <c r="H154" s="74">
        <v>0.77875723921015083</v>
      </c>
      <c r="I154" s="74">
        <v>0.77875723921015083</v>
      </c>
      <c r="J154" s="74">
        <f>SUM(E154:I154)</f>
        <v>3.8949208838826337</v>
      </c>
    </row>
    <row r="155" spans="1:16" x14ac:dyDescent="0.2">
      <c r="A155" s="52">
        <f>IF(SUM(E155:J155)=0,0,1)</f>
        <v>0</v>
      </c>
      <c r="D155" s="45" t="s">
        <v>1085</v>
      </c>
      <c r="E155" s="52">
        <f>IF(ROUND(E154-E152,2)=0,0,1)</f>
        <v>0</v>
      </c>
      <c r="F155" s="52">
        <f t="shared" ref="F155" si="23">IF(ROUND(F154-F152,2)=0,0,1)</f>
        <v>0</v>
      </c>
      <c r="G155" s="52">
        <f t="shared" ref="G155" si="24">IF(ROUND(G154-G152,2)=0,0,1)</f>
        <v>0</v>
      </c>
      <c r="H155" s="52">
        <f t="shared" ref="H155" si="25">IF(ROUND(H154-H152,2)=0,0,1)</f>
        <v>0</v>
      </c>
      <c r="I155" s="52">
        <f t="shared" ref="I155" si="26">IF(ROUND(I154-I152,2)=0,0,1)</f>
        <v>0</v>
      </c>
      <c r="J155" s="52">
        <f t="shared" ref="J155" si="27">IF(ROUND(J154-J152,2)=0,0,1)</f>
        <v>0</v>
      </c>
    </row>
    <row r="156" spans="1:16" x14ac:dyDescent="0.2">
      <c r="D156" s="45"/>
    </row>
    <row r="157" spans="1:16" s="121" customFormat="1" ht="15.75" x14ac:dyDescent="0.2">
      <c r="C157" s="121" t="s">
        <v>1053</v>
      </c>
    </row>
    <row r="159" spans="1:16" x14ac:dyDescent="0.2">
      <c r="D159" s="60" t="s">
        <v>657</v>
      </c>
      <c r="I159" s="61" t="s">
        <v>189</v>
      </c>
    </row>
    <row r="161" spans="1:18" x14ac:dyDescent="0.2">
      <c r="D161" s="45" t="s">
        <v>1242</v>
      </c>
      <c r="I161" s="74">
        <v>12.226621797814929</v>
      </c>
    </row>
    <row r="162" spans="1:18" x14ac:dyDescent="0.2">
      <c r="D162" s="45" t="s">
        <v>1243</v>
      </c>
      <c r="I162" s="74">
        <f>Overview!P182</f>
        <v>4.8838777260767881</v>
      </c>
    </row>
    <row r="163" spans="1:18" x14ac:dyDescent="0.2">
      <c r="D163" s="45" t="s">
        <v>1054</v>
      </c>
      <c r="I163" s="74">
        <f>Overview!R182</f>
        <v>4.8682464452438818</v>
      </c>
    </row>
    <row r="164" spans="1:18" x14ac:dyDescent="0.2">
      <c r="D164" s="45"/>
    </row>
    <row r="165" spans="1:18" s="121" customFormat="1" ht="15.75" x14ac:dyDescent="0.2">
      <c r="C165" s="121" t="s">
        <v>1056</v>
      </c>
    </row>
    <row r="166" spans="1:18" ht="13.5" thickBot="1" x14ac:dyDescent="0.25"/>
    <row r="167" spans="1:18" ht="15" x14ac:dyDescent="0.2">
      <c r="D167" s="158" t="s">
        <v>657</v>
      </c>
      <c r="E167" s="219" t="s">
        <v>199</v>
      </c>
      <c r="F167" s="219" t="s">
        <v>200</v>
      </c>
      <c r="G167" s="219" t="s">
        <v>201</v>
      </c>
      <c r="H167" s="219" t="s">
        <v>202</v>
      </c>
      <c r="I167" s="219" t="s">
        <v>203</v>
      </c>
      <c r="J167" s="219" t="s">
        <v>72</v>
      </c>
    </row>
    <row r="168" spans="1:18" ht="15.75" thickBot="1" x14ac:dyDescent="0.25">
      <c r="D168" s="329" t="s">
        <v>72</v>
      </c>
      <c r="E168" s="405">
        <v>1.6750041328953456</v>
      </c>
      <c r="F168" s="405">
        <v>2.0617848613425145</v>
      </c>
      <c r="G168" s="405">
        <v>2.3500876447709915</v>
      </c>
      <c r="H168" s="405">
        <v>2.6377203350899738</v>
      </c>
      <c r="I168" s="405">
        <v>2.8968559652218766</v>
      </c>
      <c r="J168" s="468">
        <f>SUM(E168:I168)</f>
        <v>11.621452939320701</v>
      </c>
      <c r="N168" s="384" t="s">
        <v>1169</v>
      </c>
      <c r="O168" s="384" t="s">
        <v>1148</v>
      </c>
      <c r="P168" s="384" t="s">
        <v>1147</v>
      </c>
    </row>
    <row r="169" spans="1:18" ht="15.75" thickBot="1" x14ac:dyDescent="0.25">
      <c r="D169" s="329" t="s">
        <v>391</v>
      </c>
      <c r="E169" s="467">
        <f>E168*$N$169*$O$169</f>
        <v>0.70166195977249068</v>
      </c>
      <c r="F169" s="467">
        <f>F168*$N$169*$O$169</f>
        <v>0.86368503696655075</v>
      </c>
      <c r="G169" s="467">
        <f>G168*$N$169*$O$169</f>
        <v>0.98445554257635881</v>
      </c>
      <c r="H169" s="467">
        <f>H168*$N$169*$O$169</f>
        <v>1.1049453450910496</v>
      </c>
      <c r="I169" s="467">
        <f>I168*$N$169*$O$169</f>
        <v>1.2134976826730073</v>
      </c>
      <c r="J169" s="354">
        <f t="shared" ref="J169" si="28">SUM(E169:I169)</f>
        <v>4.8682455670794571</v>
      </c>
      <c r="N169" s="386">
        <v>0.46202092333719252</v>
      </c>
      <c r="O169" s="386">
        <v>0.90667242064933895</v>
      </c>
      <c r="P169" s="385">
        <v>1.0984393338620144</v>
      </c>
    </row>
    <row r="170" spans="1:18" ht="15" x14ac:dyDescent="0.2">
      <c r="D170" s="355"/>
      <c r="E170" s="356"/>
      <c r="F170" s="356"/>
      <c r="G170" s="356"/>
      <c r="H170" s="356"/>
      <c r="I170" s="356"/>
      <c r="J170" s="357"/>
    </row>
    <row r="171" spans="1:18" x14ac:dyDescent="0.2">
      <c r="D171" s="45" t="s">
        <v>1090</v>
      </c>
      <c r="E171" s="74">
        <v>0.70166213540537614</v>
      </c>
      <c r="F171" s="74">
        <v>0.86368521259943609</v>
      </c>
      <c r="G171" s="74">
        <v>0.98445571820924294</v>
      </c>
      <c r="H171" s="74">
        <v>1.1049455207239343</v>
      </c>
      <c r="I171" s="74">
        <v>1.2134978583058924</v>
      </c>
      <c r="J171" s="74">
        <f>SUM(E171:I171)</f>
        <v>4.8682464452438818</v>
      </c>
    </row>
    <row r="172" spans="1:18" x14ac:dyDescent="0.2">
      <c r="A172" s="52">
        <f>IF(SUM(E172:J172)=0,0,1)</f>
        <v>0</v>
      </c>
      <c r="D172" s="45" t="s">
        <v>1085</v>
      </c>
      <c r="E172" s="52">
        <f>IF(ROUND(E171-E169,2)=0,0,1)</f>
        <v>0</v>
      </c>
      <c r="F172" s="52">
        <f t="shared" ref="F172:J172" si="29">IF(ROUND(F171-F169,2)=0,0,1)</f>
        <v>0</v>
      </c>
      <c r="G172" s="52">
        <f t="shared" si="29"/>
        <v>0</v>
      </c>
      <c r="H172" s="52">
        <f t="shared" si="29"/>
        <v>0</v>
      </c>
      <c r="I172" s="52">
        <f t="shared" si="29"/>
        <v>0</v>
      </c>
      <c r="J172" s="52">
        <f t="shared" si="29"/>
        <v>0</v>
      </c>
    </row>
    <row r="173" spans="1:18" x14ac:dyDescent="0.2">
      <c r="D173" s="45"/>
    </row>
    <row r="174" spans="1:18" s="121" customFormat="1" ht="15.75" x14ac:dyDescent="0.2">
      <c r="C174" s="121" t="s">
        <v>1244</v>
      </c>
    </row>
    <row r="176" spans="1:18" x14ac:dyDescent="0.2">
      <c r="D176" s="60" t="s">
        <v>312</v>
      </c>
      <c r="I176" s="61" t="s">
        <v>189</v>
      </c>
      <c r="P176" s="61" t="s">
        <v>783</v>
      </c>
      <c r="Q176" s="61" t="s">
        <v>784</v>
      </c>
      <c r="R176" s="61" t="s">
        <v>782</v>
      </c>
    </row>
    <row r="177" spans="3:18" ht="13.5" thickBot="1" x14ac:dyDescent="0.25"/>
    <row r="178" spans="3:18" ht="15.75" thickBot="1" x14ac:dyDescent="0.25">
      <c r="D178" s="45" t="s">
        <v>1245</v>
      </c>
      <c r="I178" s="336">
        <v>8.9572706898979995</v>
      </c>
      <c r="P178" s="74">
        <f>Overview!P178</f>
        <v>4.4424918619881923</v>
      </c>
      <c r="Q178" s="74">
        <f>Overview!Q178</f>
        <v>4.4055662202271577</v>
      </c>
      <c r="R178" s="74">
        <f>Overview!R178</f>
        <v>4.9574141291557492</v>
      </c>
    </row>
    <row r="179" spans="3:18" x14ac:dyDescent="0.2">
      <c r="D179" s="45" t="s">
        <v>1243</v>
      </c>
      <c r="I179" s="74">
        <f>P178</f>
        <v>4.4424918619881923</v>
      </c>
    </row>
    <row r="180" spans="3:18" x14ac:dyDescent="0.2">
      <c r="D180" s="45" t="s">
        <v>1246</v>
      </c>
      <c r="I180" s="74">
        <f>Q178</f>
        <v>4.4055662202271577</v>
      </c>
    </row>
    <row r="181" spans="3:18" x14ac:dyDescent="0.2">
      <c r="D181" s="45"/>
      <c r="I181" s="74"/>
    </row>
    <row r="182" spans="3:18" x14ac:dyDescent="0.2">
      <c r="D182" s="45" t="s">
        <v>1280</v>
      </c>
      <c r="I182" s="74">
        <f>J191</f>
        <v>9.9957979381443316</v>
      </c>
    </row>
    <row r="183" spans="3:18" x14ac:dyDescent="0.2">
      <c r="D183" s="45" t="s">
        <v>1281</v>
      </c>
      <c r="I183" s="74">
        <f>J192</f>
        <v>4.9574141291557492</v>
      </c>
    </row>
    <row r="184" spans="3:18" x14ac:dyDescent="0.2">
      <c r="D184" s="45"/>
      <c r="I184" s="74"/>
    </row>
    <row r="185" spans="3:18" x14ac:dyDescent="0.2">
      <c r="D185" s="45" t="s">
        <v>1247</v>
      </c>
      <c r="I185" s="74">
        <f>P178</f>
        <v>4.4424918619881923</v>
      </c>
    </row>
    <row r="186" spans="3:18" x14ac:dyDescent="0.2">
      <c r="D186" s="45" t="s">
        <v>1248</v>
      </c>
      <c r="I186" s="74">
        <f>R178-Q178</f>
        <v>0.55184790892859148</v>
      </c>
    </row>
    <row r="187" spans="3:18" x14ac:dyDescent="0.2">
      <c r="D187" s="45"/>
    </row>
    <row r="188" spans="3:18" s="121" customFormat="1" ht="15.75" x14ac:dyDescent="0.2">
      <c r="C188" s="121" t="s">
        <v>1171</v>
      </c>
    </row>
    <row r="189" spans="3:18" ht="13.5" thickBot="1" x14ac:dyDescent="0.25"/>
    <row r="190" spans="3:18" ht="15" x14ac:dyDescent="0.2">
      <c r="D190" s="158"/>
      <c r="E190" s="219" t="s">
        <v>199</v>
      </c>
      <c r="F190" s="219" t="s">
        <v>200</v>
      </c>
      <c r="G190" s="219" t="s">
        <v>201</v>
      </c>
      <c r="H190" s="219" t="s">
        <v>202</v>
      </c>
      <c r="I190" s="219" t="s">
        <v>203</v>
      </c>
      <c r="J190" s="219" t="s">
        <v>72</v>
      </c>
      <c r="N190" s="384" t="s">
        <v>1169</v>
      </c>
      <c r="O190" s="384" t="s">
        <v>1148</v>
      </c>
      <c r="P190" s="384" t="s">
        <v>1147</v>
      </c>
    </row>
    <row r="191" spans="3:18" ht="15" x14ac:dyDescent="0.2">
      <c r="D191" s="406" t="s">
        <v>72</v>
      </c>
      <c r="E191" s="407">
        <v>1.9991595876288664</v>
      </c>
      <c r="F191" s="407">
        <v>1.9991595876288664</v>
      </c>
      <c r="G191" s="407">
        <v>1.9991595876288664</v>
      </c>
      <c r="H191" s="407">
        <v>1.9991595876288664</v>
      </c>
      <c r="I191" s="407">
        <v>1.9991595876288664</v>
      </c>
      <c r="J191" s="469">
        <f>SUM(E191:I191)</f>
        <v>9.9957979381443316</v>
      </c>
      <c r="N191" s="386">
        <v>0.54700000000000004</v>
      </c>
      <c r="O191" s="386">
        <v>0.90667242064933895</v>
      </c>
      <c r="P191" s="385">
        <v>1.0984393338620144</v>
      </c>
    </row>
    <row r="192" spans="3:18" ht="15" x14ac:dyDescent="0.2">
      <c r="D192" s="470" t="s">
        <v>391</v>
      </c>
      <c r="E192" s="471">
        <f>E191*$N$191*$O$191</f>
        <v>0.99148282583114988</v>
      </c>
      <c r="F192" s="471">
        <f>F191*$N$191*$O$191</f>
        <v>0.99148282583114988</v>
      </c>
      <c r="G192" s="471">
        <f>G191*$N$191*$O$191</f>
        <v>0.99148282583114988</v>
      </c>
      <c r="H192" s="471">
        <f>H191*$N$191*$O$191</f>
        <v>0.99148282583114988</v>
      </c>
      <c r="I192" s="471">
        <f>I191*$N$191*$O$191</f>
        <v>0.99148282583114988</v>
      </c>
      <c r="J192" s="408">
        <f t="shared" ref="J192" si="30">SUM(E192:I192)</f>
        <v>4.9574141291557492</v>
      </c>
    </row>
    <row r="193" spans="3:16" x14ac:dyDescent="0.2">
      <c r="D193" s="45"/>
    </row>
    <row r="194" spans="3:16" s="121" customFormat="1" ht="15.75" x14ac:dyDescent="0.2">
      <c r="C194" s="121" t="s">
        <v>1282</v>
      </c>
    </row>
    <row r="196" spans="3:16" x14ac:dyDescent="0.2">
      <c r="D196" s="60" t="s">
        <v>312</v>
      </c>
      <c r="I196" s="61" t="s">
        <v>189</v>
      </c>
    </row>
    <row r="197" spans="3:16" ht="13.5" thickBot="1" x14ac:dyDescent="0.25"/>
    <row r="198" spans="3:16" ht="15.75" thickBot="1" x14ac:dyDescent="0.25">
      <c r="D198" s="45" t="s">
        <v>1249</v>
      </c>
      <c r="I198" s="336">
        <v>7.9750511999999985</v>
      </c>
    </row>
    <row r="199" spans="3:16" ht="15.75" thickBot="1" x14ac:dyDescent="0.25">
      <c r="D199" s="45" t="s">
        <v>1243</v>
      </c>
      <c r="I199" s="336">
        <v>3.9553454709028801</v>
      </c>
    </row>
    <row r="200" spans="3:16" x14ac:dyDescent="0.2">
      <c r="D200" s="45"/>
      <c r="I200" s="74"/>
    </row>
    <row r="201" spans="3:16" x14ac:dyDescent="0.2">
      <c r="D201" s="45" t="s">
        <v>1250</v>
      </c>
      <c r="I201" s="74">
        <f>J207-I199</f>
        <v>-0.66496642928835259</v>
      </c>
    </row>
    <row r="202" spans="3:16" x14ac:dyDescent="0.2">
      <c r="D202" s="45"/>
    </row>
    <row r="203" spans="3:16" s="121" customFormat="1" ht="15.75" x14ac:dyDescent="0.2">
      <c r="C203" s="121" t="s">
        <v>1172</v>
      </c>
    </row>
    <row r="204" spans="3:16" ht="13.5" thickBot="1" x14ac:dyDescent="0.25"/>
    <row r="205" spans="3:16" ht="15" x14ac:dyDescent="0.2">
      <c r="D205" s="158"/>
      <c r="E205" s="219" t="s">
        <v>199</v>
      </c>
      <c r="F205" s="219" t="s">
        <v>200</v>
      </c>
      <c r="G205" s="219" t="s">
        <v>201</v>
      </c>
      <c r="H205" s="219" t="s">
        <v>202</v>
      </c>
      <c r="I205" s="219" t="s">
        <v>203</v>
      </c>
      <c r="J205" s="219" t="s">
        <v>72</v>
      </c>
      <c r="N205" s="384" t="s">
        <v>1169</v>
      </c>
      <c r="O205" s="384" t="s">
        <v>1148</v>
      </c>
      <c r="P205" s="384" t="s">
        <v>1147</v>
      </c>
    </row>
    <row r="206" spans="3:16" ht="15" x14ac:dyDescent="0.2">
      <c r="D206" s="406" t="s">
        <v>72</v>
      </c>
      <c r="E206" s="407">
        <v>1.3269</v>
      </c>
      <c r="F206" s="407">
        <v>1.3269</v>
      </c>
      <c r="G206" s="407">
        <v>1.3269</v>
      </c>
      <c r="H206" s="407">
        <v>1.3269</v>
      </c>
      <c r="I206" s="407">
        <v>1.3269</v>
      </c>
      <c r="J206" s="469">
        <f>SUM(E206:I206)</f>
        <v>6.6345000000000001</v>
      </c>
      <c r="N206" s="386">
        <v>0.54700000000000004</v>
      </c>
      <c r="O206" s="386">
        <v>0.90667242064933895</v>
      </c>
      <c r="P206" s="385">
        <v>1.0984393338620144</v>
      </c>
    </row>
    <row r="207" spans="3:16" ht="15" x14ac:dyDescent="0.2">
      <c r="D207" s="470" t="s">
        <v>391</v>
      </c>
      <c r="E207" s="471">
        <f>E206*$N$206*$O$206</f>
        <v>0.65807580832290546</v>
      </c>
      <c r="F207" s="471">
        <f t="shared" ref="F207:I207" si="31">F206*$N$206*$O$206</f>
        <v>0.65807580832290546</v>
      </c>
      <c r="G207" s="471">
        <f t="shared" si="31"/>
        <v>0.65807580832290546</v>
      </c>
      <c r="H207" s="471">
        <f t="shared" si="31"/>
        <v>0.65807580832290546</v>
      </c>
      <c r="I207" s="471">
        <f t="shared" si="31"/>
        <v>0.65807580832290546</v>
      </c>
      <c r="J207" s="408">
        <f t="shared" ref="J207" si="32">SUM(E207:I207)</f>
        <v>3.2903790416145275</v>
      </c>
    </row>
    <row r="208" spans="3:16" x14ac:dyDescent="0.2">
      <c r="D208" s="45"/>
    </row>
    <row r="209" spans="1:10" x14ac:dyDescent="0.2">
      <c r="D209" s="45"/>
    </row>
    <row r="210" spans="1:10" x14ac:dyDescent="0.2">
      <c r="D210" s="45" t="s">
        <v>1090</v>
      </c>
      <c r="E210" s="74">
        <v>1.6495586341540553</v>
      </c>
      <c r="F210" s="74">
        <v>1.6495586341540553</v>
      </c>
      <c r="G210" s="74">
        <v>1.6495586341540553</v>
      </c>
      <c r="H210" s="74">
        <v>1.6495586341540553</v>
      </c>
      <c r="I210" s="74">
        <v>1.6495586341540553</v>
      </c>
      <c r="J210" s="74">
        <f>SUM(E210:I210)</f>
        <v>8.2477931707702759</v>
      </c>
    </row>
    <row r="211" spans="1:10" x14ac:dyDescent="0.2">
      <c r="A211" s="52">
        <f>IF(SUM(E211:J211)=0,0,1)</f>
        <v>0</v>
      </c>
      <c r="D211" s="45" t="s">
        <v>1085</v>
      </c>
      <c r="E211" s="52">
        <f t="shared" ref="E211:J211" si="33">IF(ROUND(E210-(E192+E207),2)=0,0,1)</f>
        <v>0</v>
      </c>
      <c r="F211" s="52">
        <f t="shared" si="33"/>
        <v>0</v>
      </c>
      <c r="G211" s="52">
        <f t="shared" si="33"/>
        <v>0</v>
      </c>
      <c r="H211" s="52">
        <f t="shared" si="33"/>
        <v>0</v>
      </c>
      <c r="I211" s="52">
        <f t="shared" si="33"/>
        <v>0</v>
      </c>
      <c r="J211" s="52">
        <f t="shared" si="33"/>
        <v>0</v>
      </c>
    </row>
    <row r="213" spans="1:10" s="6" customFormat="1" ht="18.75" x14ac:dyDescent="0.2">
      <c r="B213" s="6" t="s">
        <v>43</v>
      </c>
    </row>
  </sheetData>
  <hyperlinks>
    <hyperlink ref="B4" location="ToC!A1" display="ToC!A1" xr:uid="{D8619AD1-0ADE-4AAF-8AB9-943581AC396F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E070-D76F-4F66-8E31-72D4D2FDDDD8}">
  <sheetPr>
    <tabColor theme="3"/>
  </sheetPr>
  <dimension ref="A1:B12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x14ac:dyDescent="0.2"/>
  <cols>
    <col min="1" max="3" width="3.7109375" customWidth="1"/>
    <col min="4" max="4" width="43" bestFit="1" customWidth="1"/>
    <col min="5" max="10" width="13.5703125" customWidth="1"/>
    <col min="11" max="27" width="9.5703125" customWidth="1"/>
  </cols>
  <sheetData>
    <row r="1" spans="1:2" ht="23.25" x14ac:dyDescent="0.35">
      <c r="A1" s="52">
        <f>IF(SUM(A5:A12)&lt;&gt;0,1,0)</f>
        <v>0</v>
      </c>
      <c r="B1" s="16" t="s">
        <v>1061</v>
      </c>
    </row>
    <row r="2" spans="1:2" ht="15" x14ac:dyDescent="0.2">
      <c r="B2" s="34" t="str">
        <f>Model_Name</f>
        <v>Power and Water - Revised Proposal - Tables and Charts</v>
      </c>
    </row>
    <row r="3" spans="1:2" x14ac:dyDescent="0.2">
      <c r="B3" s="37" t="str">
        <f>"Model Checks:"&amp;IF(Model_Checks=0," OK"," Check")</f>
        <v>Model Checks: OK</v>
      </c>
    </row>
    <row r="4" spans="1:2" x14ac:dyDescent="0.2">
      <c r="B4" s="29" t="str">
        <f>ToC!$B$1</f>
        <v>Table of contents</v>
      </c>
    </row>
    <row r="5" spans="1:2" x14ac:dyDescent="0.2">
      <c r="B5" t="s">
        <v>237</v>
      </c>
    </row>
    <row r="6" spans="1:2" s="6" customFormat="1" ht="18.75" x14ac:dyDescent="0.2">
      <c r="B6" s="6" t="s">
        <v>1062</v>
      </c>
    </row>
    <row r="8" spans="1:2" s="6" customFormat="1" ht="18.75" x14ac:dyDescent="0.2">
      <c r="B8" s="6" t="s">
        <v>791</v>
      </c>
    </row>
    <row r="10" spans="1:2" s="6" customFormat="1" ht="18.75" x14ac:dyDescent="0.2">
      <c r="B10" s="6" t="s">
        <v>792</v>
      </c>
    </row>
    <row r="12" spans="1:2" s="6" customFormat="1" ht="18.75" x14ac:dyDescent="0.2">
      <c r="B12" s="6" t="s">
        <v>43</v>
      </c>
    </row>
  </sheetData>
  <hyperlinks>
    <hyperlink ref="B4" location="ToC!A1" display="ToC!A1" xr:uid="{F1E63762-0033-4D14-A5FD-2D5B233D63DB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8B83A-72CA-41BC-AA73-4D098D237306}">
  <sheetPr>
    <tabColor theme="3"/>
  </sheetPr>
  <dimension ref="A1:B12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x14ac:dyDescent="0.2"/>
  <cols>
    <col min="1" max="3" width="3.7109375" customWidth="1"/>
    <col min="4" max="4" width="43" bestFit="1" customWidth="1"/>
    <col min="5" max="5" width="41" customWidth="1"/>
    <col min="6" max="20" width="13.5703125" customWidth="1"/>
  </cols>
  <sheetData>
    <row r="1" spans="1:2" ht="23.25" x14ac:dyDescent="0.35">
      <c r="A1" s="52">
        <f>IF(SUM(A5:A12)&lt;&gt;0,1,0)</f>
        <v>0</v>
      </c>
      <c r="B1" s="16" t="s">
        <v>1063</v>
      </c>
    </row>
    <row r="2" spans="1:2" ht="15" x14ac:dyDescent="0.2">
      <c r="B2" s="34" t="str">
        <f>Model_Name</f>
        <v>Power and Water - Revised Proposal - Tables and Charts</v>
      </c>
    </row>
    <row r="3" spans="1:2" x14ac:dyDescent="0.2">
      <c r="B3" s="37" t="str">
        <f>"Model Checks:"&amp;IF(Model_Checks=0," OK"," Check")</f>
        <v>Model Checks: OK</v>
      </c>
    </row>
    <row r="4" spans="1:2" x14ac:dyDescent="0.2">
      <c r="B4" s="29" t="str">
        <f>ToC!$B$1</f>
        <v>Table of contents</v>
      </c>
    </row>
    <row r="5" spans="1:2" x14ac:dyDescent="0.2">
      <c r="B5" t="s">
        <v>237</v>
      </c>
    </row>
    <row r="6" spans="1:2" s="6" customFormat="1" ht="18.75" x14ac:dyDescent="0.2">
      <c r="B6" s="6" t="s">
        <v>1064</v>
      </c>
    </row>
    <row r="8" spans="1:2" s="6" customFormat="1" ht="18.75" x14ac:dyDescent="0.2">
      <c r="B8" s="6" t="s">
        <v>919</v>
      </c>
    </row>
    <row r="10" spans="1:2" s="6" customFormat="1" ht="18.75" x14ac:dyDescent="0.2">
      <c r="B10" s="6" t="s">
        <v>920</v>
      </c>
    </row>
    <row r="12" spans="1:2" s="6" customFormat="1" ht="18.75" x14ac:dyDescent="0.2">
      <c r="B12" s="6" t="s">
        <v>43</v>
      </c>
    </row>
  </sheetData>
  <hyperlinks>
    <hyperlink ref="B4" location="ToC!A1" display="ToC!A1" xr:uid="{AE6F2AE7-B22F-4470-8389-AA914B461E2E}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D7B9-2BF7-4116-999F-5C14CFE43E2B}">
  <sheetPr>
    <tabColor theme="3"/>
  </sheetPr>
  <dimension ref="A1:R57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x14ac:dyDescent="0.2"/>
  <cols>
    <col min="1" max="3" width="3.7109375" customWidth="1"/>
    <col min="4" max="4" width="43" bestFit="1" customWidth="1"/>
    <col min="5" max="15" width="13.5703125" customWidth="1"/>
    <col min="16" max="30" width="12.5703125" customWidth="1"/>
  </cols>
  <sheetData>
    <row r="1" spans="1:11" ht="23.25" x14ac:dyDescent="0.35">
      <c r="A1" s="52">
        <f>IF(SUM(A5:A57)&lt;&gt;0,1,0)</f>
        <v>0</v>
      </c>
      <c r="B1" s="16" t="s">
        <v>1241</v>
      </c>
    </row>
    <row r="2" spans="1:11" ht="15" x14ac:dyDescent="0.2">
      <c r="B2" s="34" t="str">
        <f>Model_Name</f>
        <v>Power and Water - Revised Proposal - Tables and Charts</v>
      </c>
    </row>
    <row r="3" spans="1:11" x14ac:dyDescent="0.2">
      <c r="B3" s="37" t="str">
        <f>"Model Checks:"&amp;IF(Model_Checks=0," OK"," Check")</f>
        <v>Model Checks: OK</v>
      </c>
    </row>
    <row r="4" spans="1:11" x14ac:dyDescent="0.2">
      <c r="B4" s="29" t="str">
        <f>ToC!$B$1</f>
        <v>Table of contents</v>
      </c>
    </row>
    <row r="5" spans="1:11" x14ac:dyDescent="0.2">
      <c r="B5" t="s">
        <v>237</v>
      </c>
    </row>
    <row r="6" spans="1:11" s="6" customFormat="1" ht="18.75" x14ac:dyDescent="0.2">
      <c r="B6" s="6" t="s">
        <v>1224</v>
      </c>
    </row>
    <row r="8" spans="1:11" s="6" customFormat="1" ht="18.75" x14ac:dyDescent="0.2">
      <c r="B8" s="6" t="s">
        <v>1091</v>
      </c>
    </row>
    <row r="10" spans="1:11" s="121" customFormat="1" ht="15.75" x14ac:dyDescent="0.2">
      <c r="C10" s="121" t="s">
        <v>1093</v>
      </c>
    </row>
    <row r="12" spans="1:11" x14ac:dyDescent="0.2">
      <c r="D12" s="60" t="s">
        <v>161</v>
      </c>
      <c r="I12" s="61" t="s">
        <v>189</v>
      </c>
      <c r="K12" s="61" t="s">
        <v>101</v>
      </c>
    </row>
    <row r="13" spans="1:11" ht="13.5" thickBot="1" x14ac:dyDescent="0.25"/>
    <row r="14" spans="1:11" ht="15.75" thickBot="1" x14ac:dyDescent="0.25">
      <c r="D14" s="45" t="s">
        <v>1100</v>
      </c>
      <c r="I14" s="336">
        <v>70.084300172762497</v>
      </c>
      <c r="K14" s="336">
        <v>64.433498647643759</v>
      </c>
    </row>
    <row r="15" spans="1:11" x14ac:dyDescent="0.2">
      <c r="D15" s="45"/>
      <c r="I15" s="74"/>
    </row>
    <row r="16" spans="1:11" s="6" customFormat="1" ht="18.75" x14ac:dyDescent="0.2">
      <c r="B16" s="6" t="s">
        <v>1092</v>
      </c>
    </row>
    <row r="18" spans="3:18" s="121" customFormat="1" ht="15.75" x14ac:dyDescent="0.2">
      <c r="C18" s="121" t="s">
        <v>998</v>
      </c>
    </row>
    <row r="20" spans="3:18" x14ac:dyDescent="0.2">
      <c r="D20" s="60" t="s">
        <v>1094</v>
      </c>
      <c r="I20" s="61" t="s">
        <v>189</v>
      </c>
      <c r="P20" s="61" t="s">
        <v>783</v>
      </c>
      <c r="Q20" s="61" t="s">
        <v>784</v>
      </c>
      <c r="R20" s="61" t="s">
        <v>782</v>
      </c>
    </row>
    <row r="22" spans="3:18" x14ac:dyDescent="0.2">
      <c r="D22" s="45" t="s">
        <v>1095</v>
      </c>
      <c r="I22" s="154">
        <f>Q22</f>
        <v>0.3396519237254676</v>
      </c>
      <c r="P22" s="290">
        <v>0.31061077998166653</v>
      </c>
      <c r="Q22" s="290">
        <v>0.3396519237254676</v>
      </c>
      <c r="R22" s="290">
        <v>0.35913263070088636</v>
      </c>
    </row>
    <row r="23" spans="3:18" x14ac:dyDescent="0.2">
      <c r="D23" s="45" t="s">
        <v>1096</v>
      </c>
      <c r="I23" s="154">
        <f>R22</f>
        <v>0.35913263070088636</v>
      </c>
    </row>
    <row r="25" spans="3:18" s="121" customFormat="1" ht="15.75" x14ac:dyDescent="0.2">
      <c r="C25" s="121" t="s">
        <v>1097</v>
      </c>
    </row>
    <row r="26" spans="3:18" ht="13.5" thickBot="1" x14ac:dyDescent="0.25"/>
    <row r="27" spans="3:18" ht="15.75" thickBot="1" x14ac:dyDescent="0.25">
      <c r="D27" s="158"/>
      <c r="E27" s="219" t="s">
        <v>199</v>
      </c>
      <c r="F27" s="219" t="s">
        <v>200</v>
      </c>
      <c r="G27" s="219" t="s">
        <v>201</v>
      </c>
      <c r="H27" s="219" t="s">
        <v>202</v>
      </c>
      <c r="I27" s="219" t="s">
        <v>203</v>
      </c>
      <c r="J27" s="219" t="s">
        <v>72</v>
      </c>
      <c r="K27" s="358" t="s">
        <v>1101</v>
      </c>
    </row>
    <row r="28" spans="3:18" ht="15.75" thickBot="1" x14ac:dyDescent="0.25">
      <c r="D28" s="352" t="s">
        <v>1098</v>
      </c>
      <c r="E28" s="327">
        <v>4.8750270892414909</v>
      </c>
      <c r="F28" s="327">
        <v>4.6997656779677683</v>
      </c>
      <c r="G28" s="327">
        <v>7.6173221156311106</v>
      </c>
      <c r="H28" s="327">
        <v>7.5895559799601262</v>
      </c>
      <c r="I28" s="327">
        <v>7.5339121762269272</v>
      </c>
      <c r="J28" s="327">
        <f>SUM(E28:I28)</f>
        <v>32.315583039027423</v>
      </c>
    </row>
    <row r="29" spans="3:18" ht="15.75" thickBot="1" x14ac:dyDescent="0.25">
      <c r="D29" s="352" t="s">
        <v>1125</v>
      </c>
      <c r="E29" s="327">
        <v>4.8505001839268704</v>
      </c>
      <c r="F29" s="327">
        <v>4.6725390219077179</v>
      </c>
      <c r="G29" s="327">
        <v>7.5749050309681323</v>
      </c>
      <c r="H29" s="327">
        <v>7.5546959346174196</v>
      </c>
      <c r="I29" s="327">
        <v>7.5016134978281892</v>
      </c>
      <c r="J29" s="327">
        <f>SUM(E29:I29)</f>
        <v>32.154253669248334</v>
      </c>
    </row>
    <row r="30" spans="3:18" ht="15.75" thickBot="1" x14ac:dyDescent="0.25">
      <c r="D30" s="352" t="s">
        <v>1099</v>
      </c>
      <c r="E30" s="327">
        <v>11.510421175460879</v>
      </c>
      <c r="F30" s="327">
        <v>11.630056727033113</v>
      </c>
      <c r="G30" s="327">
        <v>11.656163422058828</v>
      </c>
      <c r="H30" s="327">
        <v>11.751547499148897</v>
      </c>
      <c r="I30" s="327">
        <v>8.0677036571512151</v>
      </c>
      <c r="J30" s="327">
        <f>SUM(E30:I30)</f>
        <v>54.615892480852935</v>
      </c>
    </row>
    <row r="31" spans="3:18" ht="15.75" thickBot="1" x14ac:dyDescent="0.25">
      <c r="D31" s="353" t="s">
        <v>1283</v>
      </c>
      <c r="E31" s="351">
        <f>E30-E28</f>
        <v>6.6353940862193879</v>
      </c>
      <c r="F31" s="351">
        <f t="shared" ref="F31:I31" si="0">F30-F28</f>
        <v>6.9302910490653442</v>
      </c>
      <c r="G31" s="351">
        <f t="shared" si="0"/>
        <v>4.0388413064277175</v>
      </c>
      <c r="H31" s="351">
        <f t="shared" si="0"/>
        <v>4.1619915191887706</v>
      </c>
      <c r="I31" s="351">
        <f t="shared" si="0"/>
        <v>0.53379148092428785</v>
      </c>
      <c r="J31" s="351">
        <f>SUM(E31:I31)</f>
        <v>22.300309441825505</v>
      </c>
    </row>
    <row r="33" spans="3:10" s="121" customFormat="1" ht="15.75" x14ac:dyDescent="0.2">
      <c r="C33" s="121" t="s">
        <v>1149</v>
      </c>
    </row>
    <row r="34" spans="3:10" ht="13.5" thickBot="1" x14ac:dyDescent="0.25"/>
    <row r="35" spans="3:10" ht="15.75" thickBot="1" x14ac:dyDescent="0.25">
      <c r="D35" s="158"/>
      <c r="E35" s="219" t="s">
        <v>199</v>
      </c>
      <c r="F35" s="219" t="s">
        <v>200</v>
      </c>
      <c r="G35" s="219" t="s">
        <v>201</v>
      </c>
      <c r="H35" s="219" t="s">
        <v>202</v>
      </c>
      <c r="I35" s="219" t="s">
        <v>203</v>
      </c>
      <c r="J35" s="219" t="s">
        <v>72</v>
      </c>
    </row>
    <row r="36" spans="3:10" ht="15.75" thickBot="1" x14ac:dyDescent="0.25">
      <c r="D36" s="353" t="s">
        <v>1150</v>
      </c>
      <c r="E36" s="327"/>
      <c r="F36" s="327"/>
      <c r="G36" s="327"/>
      <c r="H36" s="327"/>
      <c r="I36" s="327"/>
      <c r="J36" s="327"/>
    </row>
    <row r="37" spans="3:10" ht="15.75" thickBot="1" x14ac:dyDescent="0.25">
      <c r="D37" s="352" t="s">
        <v>1151</v>
      </c>
      <c r="E37" s="409">
        <v>11.911318892303582</v>
      </c>
      <c r="F37" s="409">
        <v>12.966673071742072</v>
      </c>
      <c r="G37" s="409">
        <v>14.114589442648974</v>
      </c>
      <c r="H37" s="409">
        <v>15.363120683708656</v>
      </c>
      <c r="I37" s="409">
        <v>16.721015472976688</v>
      </c>
      <c r="J37" s="409">
        <f>SUM(E37:I37)</f>
        <v>71.076717563379972</v>
      </c>
    </row>
    <row r="38" spans="3:10" ht="15.75" thickBot="1" x14ac:dyDescent="0.25">
      <c r="D38" s="352" t="s">
        <v>821</v>
      </c>
      <c r="E38" s="409">
        <v>13.024990234135503</v>
      </c>
      <c r="F38" s="409">
        <v>13.503964162512444</v>
      </c>
      <c r="G38" s="409">
        <v>13.999616109101787</v>
      </c>
      <c r="H38" s="409">
        <v>14.512508258203392</v>
      </c>
      <c r="I38" s="409">
        <v>15.043221408809369</v>
      </c>
      <c r="J38" s="409">
        <f t="shared" ref="J38:J39" si="1">SUM(E38:I38)</f>
        <v>70.084300172762497</v>
      </c>
    </row>
    <row r="39" spans="3:10" ht="15.75" thickBot="1" x14ac:dyDescent="0.25">
      <c r="D39" s="352" t="s">
        <v>1152</v>
      </c>
      <c r="E39" s="409">
        <v>14.106800144890338</v>
      </c>
      <c r="F39" s="409">
        <v>14.607829791767331</v>
      </c>
      <c r="G39" s="409">
        <v>15.125976955336787</v>
      </c>
      <c r="H39" s="409">
        <v>15.661777174133599</v>
      </c>
      <c r="I39" s="409">
        <v>16.215855501639801</v>
      </c>
      <c r="J39" s="409">
        <f t="shared" si="1"/>
        <v>75.718239567767853</v>
      </c>
    </row>
    <row r="40" spans="3:10" ht="15.75" thickBot="1" x14ac:dyDescent="0.25">
      <c r="D40" s="353" t="s">
        <v>1153</v>
      </c>
      <c r="E40" s="409"/>
      <c r="F40" s="409"/>
      <c r="G40" s="409"/>
      <c r="H40" s="409"/>
      <c r="I40" s="409"/>
      <c r="J40" s="409"/>
    </row>
    <row r="41" spans="3:10" ht="15.75" thickBot="1" x14ac:dyDescent="0.25">
      <c r="D41" s="389" t="s">
        <v>1151</v>
      </c>
      <c r="E41" s="409"/>
      <c r="F41" s="409"/>
      <c r="G41" s="409"/>
      <c r="H41" s="409"/>
      <c r="I41" s="409"/>
      <c r="J41" s="409"/>
    </row>
    <row r="42" spans="3:10" ht="15.75" thickBot="1" x14ac:dyDescent="0.25">
      <c r="D42" s="390" t="s">
        <v>1154</v>
      </c>
      <c r="E42" s="409">
        <v>113.37293469330828</v>
      </c>
      <c r="F42" s="409">
        <v>122.37322839665065</v>
      </c>
      <c r="G42" s="409">
        <v>132.0880249658274</v>
      </c>
      <c r="H42" s="409">
        <v>142.57404636593353</v>
      </c>
      <c r="I42" s="409">
        <v>153.89251752696183</v>
      </c>
      <c r="J42" s="409" t="str">
        <f>NA</f>
        <v>N/A</v>
      </c>
    </row>
    <row r="43" spans="3:10" ht="15.75" thickBot="1" x14ac:dyDescent="0.25">
      <c r="D43" s="390" t="s">
        <v>1155</v>
      </c>
      <c r="E43" s="409">
        <v>150.20668090177912</v>
      </c>
      <c r="F43" s="409">
        <v>162.13108109462365</v>
      </c>
      <c r="G43" s="409">
        <v>175.00211907418617</v>
      </c>
      <c r="H43" s="409">
        <v>188.89494521153352</v>
      </c>
      <c r="I43" s="409">
        <v>203.89067581143053</v>
      </c>
      <c r="J43" s="409" t="str">
        <f>NA</f>
        <v>N/A</v>
      </c>
    </row>
    <row r="44" spans="3:10" ht="15.75" thickBot="1" x14ac:dyDescent="0.25">
      <c r="D44" s="390" t="s">
        <v>253</v>
      </c>
      <c r="E44" s="409">
        <v>599.42692517658497</v>
      </c>
      <c r="F44" s="409">
        <v>647.01340068659158</v>
      </c>
      <c r="G44" s="409">
        <v>698.37760548494703</v>
      </c>
      <c r="H44" s="409">
        <v>753.81944071841826</v>
      </c>
      <c r="I44" s="409">
        <v>813.66261567113918</v>
      </c>
      <c r="J44" s="409" t="str">
        <f>NA</f>
        <v>N/A</v>
      </c>
    </row>
    <row r="45" spans="3:10" ht="15.75" thickBot="1" x14ac:dyDescent="0.25">
      <c r="D45" s="390" t="s">
        <v>254</v>
      </c>
      <c r="E45" s="409">
        <v>2068.1222839395591</v>
      </c>
      <c r="F45" s="409">
        <v>2232.3035148500608</v>
      </c>
      <c r="G45" s="409">
        <v>2409.518538197603</v>
      </c>
      <c r="H45" s="409">
        <v>2600.802062665693</v>
      </c>
      <c r="I45" s="409">
        <v>2807.2709389594238</v>
      </c>
      <c r="J45" s="409" t="str">
        <f>NA</f>
        <v>N/A</v>
      </c>
    </row>
    <row r="46" spans="3:10" ht="15.75" thickBot="1" x14ac:dyDescent="0.25">
      <c r="D46" s="389" t="s">
        <v>821</v>
      </c>
      <c r="E46" s="409"/>
      <c r="F46" s="409"/>
      <c r="G46" s="409"/>
      <c r="H46" s="409"/>
      <c r="I46" s="409"/>
      <c r="J46" s="409"/>
    </row>
    <row r="47" spans="3:10" ht="15.75" thickBot="1" x14ac:dyDescent="0.25">
      <c r="D47" s="390" t="s">
        <v>1154</v>
      </c>
      <c r="E47" s="409">
        <v>123.97295215979568</v>
      </c>
      <c r="F47" s="409">
        <v>127.44392347799854</v>
      </c>
      <c r="G47" s="409">
        <v>131.01207439612136</v>
      </c>
      <c r="H47" s="409">
        <v>134.68012573026283</v>
      </c>
      <c r="I47" s="409">
        <v>138.45087447341729</v>
      </c>
      <c r="J47" s="409" t="str">
        <f>NA</f>
        <v>N/A</v>
      </c>
    </row>
    <row r="48" spans="3:10" ht="15.75" thickBot="1" x14ac:dyDescent="0.25">
      <c r="D48" s="390" t="s">
        <v>1155</v>
      </c>
      <c r="E48" s="409">
        <v>164.25053930104423</v>
      </c>
      <c r="F48" s="409">
        <v>168.84919490277926</v>
      </c>
      <c r="G48" s="409">
        <v>173.57660279618628</v>
      </c>
      <c r="H48" s="409">
        <v>178.43636776362919</v>
      </c>
      <c r="I48" s="409">
        <v>183.43219551348821</v>
      </c>
      <c r="J48" s="409" t="str">
        <f>NA</f>
        <v>N/A</v>
      </c>
    </row>
    <row r="49" spans="2:10" ht="15.75" thickBot="1" x14ac:dyDescent="0.25">
      <c r="D49" s="390" t="s">
        <v>253</v>
      </c>
      <c r="E49" s="409">
        <v>655.4714819655843</v>
      </c>
      <c r="F49" s="409">
        <v>673.82324881606576</v>
      </c>
      <c r="G49" s="409">
        <v>692.68882497145319</v>
      </c>
      <c r="H49" s="409">
        <v>712.08259596769847</v>
      </c>
      <c r="I49" s="409">
        <v>732.01935010427417</v>
      </c>
      <c r="J49" s="409" t="str">
        <f>NA</f>
        <v>N/A</v>
      </c>
    </row>
    <row r="50" spans="2:10" ht="15.75" thickBot="1" x14ac:dyDescent="0.25">
      <c r="D50" s="390" t="s">
        <v>254</v>
      </c>
      <c r="E50" s="409">
        <v>2261.4852977125902</v>
      </c>
      <c r="F50" s="409">
        <v>2324.8019362869472</v>
      </c>
      <c r="G50" s="409">
        <v>2389.8913021588951</v>
      </c>
      <c r="H50" s="409">
        <v>2456.8030278127603</v>
      </c>
      <c r="I50" s="409">
        <v>2525.5881353337982</v>
      </c>
      <c r="J50" s="409" t="str">
        <f>NA</f>
        <v>N/A</v>
      </c>
    </row>
    <row r="51" spans="2:10" ht="15.75" thickBot="1" x14ac:dyDescent="0.25">
      <c r="D51" s="389" t="s">
        <v>1152</v>
      </c>
      <c r="E51" s="409"/>
      <c r="F51" s="409"/>
      <c r="G51" s="409"/>
      <c r="H51" s="409"/>
      <c r="I51" s="409"/>
      <c r="J51" s="409"/>
    </row>
    <row r="52" spans="2:10" ht="15.75" thickBot="1" x14ac:dyDescent="0.25">
      <c r="D52" s="390" t="s">
        <v>1154</v>
      </c>
      <c r="E52" s="409">
        <v>131.08341020582353</v>
      </c>
      <c r="F52" s="409">
        <v>134.75345878650242</v>
      </c>
      <c r="G52" s="409">
        <v>138.52626069472595</v>
      </c>
      <c r="H52" s="409">
        <v>142.40469279876689</v>
      </c>
      <c r="I52" s="409">
        <v>146.39171251291307</v>
      </c>
      <c r="J52" s="409" t="str">
        <f>NA</f>
        <v>N/A</v>
      </c>
    </row>
    <row r="53" spans="2:10" ht="15.75" thickBot="1" x14ac:dyDescent="0.25">
      <c r="D53" s="390" t="s">
        <v>1155</v>
      </c>
      <c r="E53" s="409">
        <v>173.67111490556931</v>
      </c>
      <c r="F53" s="409">
        <v>178.53352600521427</v>
      </c>
      <c r="G53" s="409">
        <v>183.53207397318533</v>
      </c>
      <c r="H53" s="409">
        <v>188.67057034382995</v>
      </c>
      <c r="I53" s="409">
        <v>193.95293336611491</v>
      </c>
      <c r="J53" s="409" t="str">
        <f>NA</f>
        <v>N/A</v>
      </c>
    </row>
    <row r="54" spans="2:10" ht="15.75" thickBot="1" x14ac:dyDescent="0.25">
      <c r="D54" s="390" t="s">
        <v>253</v>
      </c>
      <c r="E54" s="409">
        <v>693.06599263656165</v>
      </c>
      <c r="F54" s="409">
        <v>712.470323501915</v>
      </c>
      <c r="G54" s="409">
        <v>732.41793316082124</v>
      </c>
      <c r="H54" s="409">
        <v>752.92403223041379</v>
      </c>
      <c r="I54" s="409">
        <v>774.00425719181408</v>
      </c>
      <c r="J54" s="409" t="str">
        <f>NA</f>
        <v>N/A</v>
      </c>
    </row>
    <row r="55" spans="2:10" ht="15.75" thickBot="1" x14ac:dyDescent="0.25">
      <c r="D55" s="390" t="s">
        <v>254</v>
      </c>
      <c r="E55" s="409">
        <v>2391.1925931423825</v>
      </c>
      <c r="F55" s="409">
        <v>2458.1407520956218</v>
      </c>
      <c r="G55" s="409">
        <v>2526.9633129686736</v>
      </c>
      <c r="H55" s="409">
        <v>2597.712754912749</v>
      </c>
      <c r="I55" s="409">
        <v>2670.4430263804306</v>
      </c>
      <c r="J55" s="409" t="str">
        <f>NA</f>
        <v>N/A</v>
      </c>
    </row>
    <row r="57" spans="2:10" s="6" customFormat="1" ht="18.75" x14ac:dyDescent="0.2">
      <c r="B57" s="6" t="s">
        <v>43</v>
      </c>
    </row>
  </sheetData>
  <hyperlinks>
    <hyperlink ref="B4" location="ToC!A1" display="ToC!A1" xr:uid="{B9893858-EF75-4324-94FF-80AC595FC4D4}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B7A8-3E63-4D53-BFE3-D319F56B5AAD}">
  <sheetPr>
    <tabColor theme="3"/>
  </sheetPr>
  <dimension ref="A1:R26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x14ac:dyDescent="0.2"/>
  <cols>
    <col min="1" max="3" width="3.7109375" customWidth="1"/>
    <col min="4" max="4" width="43" bestFit="1" customWidth="1"/>
    <col min="5" max="30" width="13.5703125" customWidth="1"/>
  </cols>
  <sheetData>
    <row r="1" spans="1:18" ht="23.25" x14ac:dyDescent="0.35">
      <c r="A1" s="52">
        <f>IF(SUM(A5:A26)&lt;&gt;0,1,0)</f>
        <v>0</v>
      </c>
      <c r="B1" s="16" t="s">
        <v>1102</v>
      </c>
    </row>
    <row r="2" spans="1:18" ht="15" x14ac:dyDescent="0.2">
      <c r="B2" s="34" t="str">
        <f>Model_Name</f>
        <v>Power and Water - Revised Proposal - Tables and Charts</v>
      </c>
    </row>
    <row r="3" spans="1:18" x14ac:dyDescent="0.2">
      <c r="B3" s="37" t="str">
        <f>"Model Checks:"&amp;IF(Model_Checks=0," OK"," Check")</f>
        <v>Model Checks: OK</v>
      </c>
    </row>
    <row r="4" spans="1:18" x14ac:dyDescent="0.2">
      <c r="B4" s="29" t="str">
        <f>ToC!$B$1</f>
        <v>Table of contents</v>
      </c>
    </row>
    <row r="5" spans="1:18" x14ac:dyDescent="0.2">
      <c r="B5" t="s">
        <v>237</v>
      </c>
    </row>
    <row r="6" spans="1:18" s="6" customFormat="1" ht="18.75" x14ac:dyDescent="0.2">
      <c r="B6" s="6" t="s">
        <v>1103</v>
      </c>
    </row>
    <row r="8" spans="1:18" s="6" customFormat="1" ht="18.75" x14ac:dyDescent="0.2">
      <c r="B8" s="6" t="s">
        <v>1104</v>
      </c>
    </row>
    <row r="10" spans="1:18" ht="38.25" x14ac:dyDescent="0.2">
      <c r="D10" s="60" t="s">
        <v>1106</v>
      </c>
      <c r="I10" s="61" t="s">
        <v>189</v>
      </c>
      <c r="P10" s="61" t="s">
        <v>783</v>
      </c>
      <c r="Q10" s="61" t="s">
        <v>784</v>
      </c>
      <c r="R10" s="472" t="s">
        <v>1113</v>
      </c>
    </row>
    <row r="12" spans="1:18" x14ac:dyDescent="0.2">
      <c r="D12" s="45" t="s">
        <v>1107</v>
      </c>
      <c r="I12" s="84">
        <v>0.83075526349944018</v>
      </c>
    </row>
    <row r="13" spans="1:18" x14ac:dyDescent="0.2">
      <c r="D13" s="45" t="s">
        <v>1109</v>
      </c>
      <c r="I13" s="84">
        <v>0.61</v>
      </c>
    </row>
    <row r="15" spans="1:18" x14ac:dyDescent="0.2">
      <c r="D15" s="45" t="s">
        <v>1108</v>
      </c>
      <c r="I15" s="361">
        <v>0.13320000000000001</v>
      </c>
      <c r="J15" s="358" t="s">
        <v>1114</v>
      </c>
      <c r="P15" s="68">
        <v>18597.69983623092</v>
      </c>
      <c r="Q15" s="68">
        <v>16936.919800625463</v>
      </c>
      <c r="R15" s="359">
        <f>Q15/P15-1</f>
        <v>-8.9300292521660496E-2</v>
      </c>
    </row>
    <row r="17" spans="2:8" s="6" customFormat="1" ht="18.75" x14ac:dyDescent="0.2">
      <c r="B17" s="6" t="s">
        <v>1105</v>
      </c>
    </row>
    <row r="19" spans="2:8" s="121" customFormat="1" ht="15.75" x14ac:dyDescent="0.2">
      <c r="C19" s="121" t="s">
        <v>1110</v>
      </c>
    </row>
    <row r="20" spans="2:8" ht="13.5" thickBot="1" x14ac:dyDescent="0.25"/>
    <row r="21" spans="2:8" ht="30" x14ac:dyDescent="0.2">
      <c r="D21" s="158" t="s">
        <v>461</v>
      </c>
      <c r="E21" s="240" t="s">
        <v>1111</v>
      </c>
      <c r="F21" s="216" t="s">
        <v>822</v>
      </c>
      <c r="G21" s="216" t="s">
        <v>821</v>
      </c>
      <c r="H21" s="216" t="s">
        <v>785</v>
      </c>
    </row>
    <row r="22" spans="2:8" ht="45" x14ac:dyDescent="0.2">
      <c r="D22" s="221" t="s">
        <v>283</v>
      </c>
      <c r="E22" s="243" t="s">
        <v>1112</v>
      </c>
      <c r="F22" s="360">
        <v>1184.9858744337434</v>
      </c>
      <c r="G22" s="360">
        <v>1068.2595806588806</v>
      </c>
      <c r="H22" s="360">
        <v>436.36454907844495</v>
      </c>
    </row>
    <row r="23" spans="2:8" ht="45" x14ac:dyDescent="0.2">
      <c r="D23" s="224" t="s">
        <v>473</v>
      </c>
      <c r="E23" s="242" t="s">
        <v>1112</v>
      </c>
      <c r="F23" s="394">
        <v>796.32617045516304</v>
      </c>
      <c r="G23" s="394">
        <v>720.514602760652</v>
      </c>
      <c r="H23" s="394">
        <v>376.27704907844497</v>
      </c>
    </row>
    <row r="24" spans="2:8" ht="45.75" thickBot="1" x14ac:dyDescent="0.25">
      <c r="D24" s="391" t="s">
        <v>371</v>
      </c>
      <c r="E24" s="392" t="s">
        <v>1112</v>
      </c>
      <c r="F24" s="393">
        <v>483.72610976666044</v>
      </c>
      <c r="G24" s="393">
        <v>438.82591893018088</v>
      </c>
      <c r="H24" s="393">
        <v>316.18954907844488</v>
      </c>
    </row>
    <row r="26" spans="2:8" s="6" customFormat="1" ht="18.75" x14ac:dyDescent="0.2">
      <c r="B26" s="6" t="s">
        <v>43</v>
      </c>
    </row>
  </sheetData>
  <hyperlinks>
    <hyperlink ref="B4" location="ToC!A1" display="ToC!A1" xr:uid="{F79492BB-FEA8-4823-A761-E327B2C6F3D1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F529D-4863-4D52-BD5A-B85ED0B71D5B}">
  <sheetPr>
    <tabColor theme="3"/>
  </sheetPr>
  <dimension ref="A1:U582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x14ac:dyDescent="0.2"/>
  <cols>
    <col min="1" max="3" width="3.7109375" customWidth="1"/>
    <col min="4" max="4" width="51.7109375" customWidth="1"/>
    <col min="5" max="12" width="13.5703125" customWidth="1"/>
    <col min="13" max="13" width="16.7109375" bestFit="1" customWidth="1"/>
    <col min="14" max="43" width="10.5703125" customWidth="1"/>
  </cols>
  <sheetData>
    <row r="1" spans="1:4" ht="23.25" x14ac:dyDescent="0.35">
      <c r="A1" s="52">
        <f>IF(SUM(A5:A582)&lt;&gt;0,1,0)</f>
        <v>0</v>
      </c>
      <c r="B1" s="16" t="s">
        <v>1599</v>
      </c>
    </row>
    <row r="2" spans="1:4" ht="15" x14ac:dyDescent="0.2">
      <c r="B2" s="34" t="str">
        <f>Model_Name</f>
        <v>Power and Water - Revised Proposal - Tables and Charts</v>
      </c>
    </row>
    <row r="3" spans="1:4" x14ac:dyDescent="0.2">
      <c r="B3" s="37" t="str">
        <f>"Model Checks:"&amp;IF(Model_Checks=0," OK"," Check")</f>
        <v>Model Checks: OK</v>
      </c>
    </row>
    <row r="4" spans="1:4" x14ac:dyDescent="0.2">
      <c r="B4" s="29" t="str">
        <f>ToC!$B$1</f>
        <v>Table of contents</v>
      </c>
    </row>
    <row r="5" spans="1:4" x14ac:dyDescent="0.2">
      <c r="B5" t="s">
        <v>237</v>
      </c>
    </row>
    <row r="6" spans="1:4" s="6" customFormat="1" ht="18.75" x14ac:dyDescent="0.2">
      <c r="B6" s="6" t="s">
        <v>393</v>
      </c>
    </row>
    <row r="8" spans="1:4" s="6" customFormat="1" ht="18.75" x14ac:dyDescent="0.2">
      <c r="B8" s="6" t="s">
        <v>662</v>
      </c>
    </row>
    <row r="10" spans="1:4" s="121" customFormat="1" ht="15.75" x14ac:dyDescent="0.2">
      <c r="C10" s="121" t="s">
        <v>663</v>
      </c>
    </row>
    <row r="12" spans="1:4" x14ac:dyDescent="0.2">
      <c r="D12" s="45" t="s">
        <v>664</v>
      </c>
    </row>
    <row r="14" spans="1:4" s="121" customFormat="1" ht="15.75" x14ac:dyDescent="0.2">
      <c r="C14" s="121" t="s">
        <v>665</v>
      </c>
    </row>
    <row r="16" spans="1:4" x14ac:dyDescent="0.2">
      <c r="D16" s="45" t="s">
        <v>664</v>
      </c>
    </row>
    <row r="18" spans="2:4" s="121" customFormat="1" ht="15.75" x14ac:dyDescent="0.2">
      <c r="C18" s="121" t="s">
        <v>666</v>
      </c>
    </row>
    <row r="20" spans="2:4" x14ac:dyDescent="0.2">
      <c r="D20" s="45" t="s">
        <v>664</v>
      </c>
    </row>
    <row r="22" spans="2:4" s="6" customFormat="1" ht="18.75" x14ac:dyDescent="0.2">
      <c r="B22" s="6" t="s">
        <v>667</v>
      </c>
    </row>
    <row r="24" spans="2:4" s="121" customFormat="1" ht="15.75" x14ac:dyDescent="0.2">
      <c r="C24" s="121" t="s">
        <v>668</v>
      </c>
    </row>
    <row r="26" spans="2:4" x14ac:dyDescent="0.2">
      <c r="D26" s="45" t="s">
        <v>664</v>
      </c>
    </row>
    <row r="27" spans="2:4" x14ac:dyDescent="0.2">
      <c r="C27" s="45"/>
    </row>
    <row r="28" spans="2:4" s="6" customFormat="1" ht="18.75" x14ac:dyDescent="0.2">
      <c r="B28" s="6" t="s">
        <v>669</v>
      </c>
    </row>
    <row r="29" spans="2:4" x14ac:dyDescent="0.2">
      <c r="C29" s="45"/>
    </row>
    <row r="30" spans="2:4" s="6" customFormat="1" ht="18.75" x14ac:dyDescent="0.2">
      <c r="B30" s="6" t="s">
        <v>670</v>
      </c>
    </row>
    <row r="31" spans="2:4" x14ac:dyDescent="0.2">
      <c r="C31" s="45"/>
    </row>
    <row r="32" spans="2:4" s="121" customFormat="1" ht="15.75" x14ac:dyDescent="0.2">
      <c r="C32" s="121" t="s">
        <v>671</v>
      </c>
    </row>
    <row r="34" spans="2:7" x14ac:dyDescent="0.2">
      <c r="D34" s="45" t="s">
        <v>664</v>
      </c>
    </row>
    <row r="35" spans="2:7" x14ac:dyDescent="0.2">
      <c r="C35" s="45"/>
    </row>
    <row r="36" spans="2:7" s="6" customFormat="1" ht="18.75" x14ac:dyDescent="0.2">
      <c r="B36" s="6" t="s">
        <v>672</v>
      </c>
    </row>
    <row r="37" spans="2:7" x14ac:dyDescent="0.2">
      <c r="C37" s="45"/>
    </row>
    <row r="38" spans="2:7" s="121" customFormat="1" ht="15.75" x14ac:dyDescent="0.2">
      <c r="C38" s="121" t="s">
        <v>514</v>
      </c>
    </row>
    <row r="39" spans="2:7" ht="13.5" thickBot="1" x14ac:dyDescent="0.25"/>
    <row r="40" spans="2:7" ht="30" x14ac:dyDescent="0.2">
      <c r="D40" s="158" t="s">
        <v>394</v>
      </c>
      <c r="E40" s="216" t="s">
        <v>395</v>
      </c>
      <c r="F40" s="216" t="s">
        <v>396</v>
      </c>
      <c r="G40" s="216" t="s">
        <v>254</v>
      </c>
    </row>
    <row r="41" spans="2:7" ht="15" x14ac:dyDescent="0.2">
      <c r="D41" s="159" t="s">
        <v>397</v>
      </c>
      <c r="E41" s="263">
        <v>551.65709964361554</v>
      </c>
      <c r="F41" s="263">
        <v>72.094496486651948</v>
      </c>
      <c r="G41" s="263">
        <v>102.35997396104607</v>
      </c>
    </row>
    <row r="42" spans="2:7" ht="15" x14ac:dyDescent="0.2">
      <c r="D42" s="160" t="s">
        <v>398</v>
      </c>
      <c r="E42" s="264">
        <v>135.14729481689881</v>
      </c>
      <c r="F42" s="264">
        <v>17.373566477052485</v>
      </c>
      <c r="G42" s="264">
        <v>16.205406765590002</v>
      </c>
    </row>
    <row r="43" spans="2:7" ht="15" x14ac:dyDescent="0.2">
      <c r="D43" s="159" t="s">
        <v>399</v>
      </c>
      <c r="E43" s="263">
        <v>53.61563224010149</v>
      </c>
      <c r="F43" s="263">
        <v>7.3469383619158091</v>
      </c>
      <c r="G43" s="263">
        <v>6.3322568290959707</v>
      </c>
    </row>
    <row r="44" spans="2:7" ht="30.75" thickBot="1" x14ac:dyDescent="0.25">
      <c r="D44" s="161" t="s">
        <v>400</v>
      </c>
      <c r="E44" s="228" t="s">
        <v>13</v>
      </c>
      <c r="F44" s="228" t="s">
        <v>13</v>
      </c>
      <c r="G44" s="228" t="s">
        <v>13</v>
      </c>
    </row>
    <row r="46" spans="2:7" s="6" customFormat="1" ht="18.75" x14ac:dyDescent="0.2">
      <c r="B46" s="6" t="s">
        <v>673</v>
      </c>
    </row>
    <row r="48" spans="2:7" s="121" customFormat="1" ht="15.75" x14ac:dyDescent="0.2">
      <c r="C48" s="121" t="s">
        <v>515</v>
      </c>
    </row>
    <row r="49" spans="2:13" ht="13.5" thickBot="1" x14ac:dyDescent="0.25"/>
    <row r="50" spans="2:13" ht="45" x14ac:dyDescent="0.2">
      <c r="D50" s="158" t="s">
        <v>401</v>
      </c>
      <c r="E50" s="219" t="s">
        <v>402</v>
      </c>
      <c r="F50" s="219" t="s">
        <v>403</v>
      </c>
      <c r="G50" s="219" t="s">
        <v>404</v>
      </c>
      <c r="H50" s="219" t="s">
        <v>405</v>
      </c>
      <c r="I50" s="219" t="s">
        <v>406</v>
      </c>
    </row>
    <row r="51" spans="2:13" ht="15" x14ac:dyDescent="0.2">
      <c r="D51" s="159" t="s">
        <v>407</v>
      </c>
      <c r="E51" s="222" t="s">
        <v>212</v>
      </c>
      <c r="F51" s="261">
        <v>26.855847649191041</v>
      </c>
      <c r="G51" s="261">
        <v>85.108128215359443</v>
      </c>
      <c r="H51" s="261">
        <v>59.596643445701432</v>
      </c>
      <c r="I51" s="261">
        <v>171.56061931025192</v>
      </c>
    </row>
    <row r="52" spans="2:13" ht="15.75" thickBot="1" x14ac:dyDescent="0.25">
      <c r="D52" s="161" t="s">
        <v>408</v>
      </c>
      <c r="E52" s="228" t="s">
        <v>212</v>
      </c>
      <c r="F52" s="262">
        <v>34.036225798703427</v>
      </c>
      <c r="G52" s="262">
        <v>31.479062253487228</v>
      </c>
      <c r="H52" s="262">
        <v>34.872745739328927</v>
      </c>
      <c r="I52" s="262">
        <v>100.38803379151956</v>
      </c>
    </row>
    <row r="54" spans="2:13" s="6" customFormat="1" ht="18.75" x14ac:dyDescent="0.2">
      <c r="B54" s="6" t="s">
        <v>674</v>
      </c>
    </row>
    <row r="56" spans="2:13" s="121" customFormat="1" ht="15.75" x14ac:dyDescent="0.2">
      <c r="C56" s="121" t="s">
        <v>516</v>
      </c>
    </row>
    <row r="58" spans="2:13" s="229" customFormat="1" x14ac:dyDescent="0.2">
      <c r="C58"/>
    </row>
    <row r="59" spans="2:13" s="229" customFormat="1" x14ac:dyDescent="0.2">
      <c r="C59"/>
      <c r="I59" s="239" t="s">
        <v>272</v>
      </c>
      <c r="J59" s="238" t="s">
        <v>1584</v>
      </c>
      <c r="K59" s="237" t="s">
        <v>162</v>
      </c>
      <c r="L59" s="237" t="s">
        <v>1178</v>
      </c>
    </row>
    <row r="60" spans="2:13" s="229" customFormat="1" x14ac:dyDescent="0.2">
      <c r="C60"/>
      <c r="I60" s="490" t="s">
        <v>424</v>
      </c>
      <c r="J60" s="234" t="s">
        <v>1585</v>
      </c>
      <c r="K60" s="233">
        <v>0.22520041734079224</v>
      </c>
      <c r="L60" s="233">
        <v>4.6700297454616478E-2</v>
      </c>
      <c r="M60" s="232" t="s">
        <v>423</v>
      </c>
    </row>
    <row r="61" spans="2:13" s="229" customFormat="1" x14ac:dyDescent="0.2">
      <c r="C61"/>
      <c r="I61" s="490"/>
      <c r="J61" s="234" t="s">
        <v>1586</v>
      </c>
      <c r="K61" s="233">
        <v>9.6514464574625258E-2</v>
      </c>
      <c r="L61" s="233">
        <v>2.0014413194835635E-2</v>
      </c>
      <c r="M61" s="232"/>
    </row>
    <row r="62" spans="2:13" s="229" customFormat="1" x14ac:dyDescent="0.2">
      <c r="C62"/>
      <c r="I62" s="490" t="s">
        <v>422</v>
      </c>
      <c r="J62" s="234" t="s">
        <v>1585</v>
      </c>
      <c r="K62" s="233">
        <v>3.4646134377166308E-3</v>
      </c>
      <c r="L62" s="233">
        <v>0</v>
      </c>
      <c r="M62" s="232" t="s">
        <v>421</v>
      </c>
    </row>
    <row r="63" spans="2:13" s="229" customFormat="1" x14ac:dyDescent="0.2">
      <c r="C63"/>
      <c r="I63" s="490"/>
      <c r="J63" s="234" t="s">
        <v>1586</v>
      </c>
      <c r="K63" s="233">
        <v>8.5402841288690617E-3</v>
      </c>
      <c r="L63" s="233">
        <v>0</v>
      </c>
      <c r="M63" s="232"/>
    </row>
    <row r="64" spans="2:13" s="229" customFormat="1" x14ac:dyDescent="0.2">
      <c r="C64"/>
      <c r="I64" s="485" t="s">
        <v>420</v>
      </c>
      <c r="J64" s="234" t="s">
        <v>1585</v>
      </c>
      <c r="K64" s="233">
        <v>0.17810128819325069</v>
      </c>
      <c r="L64" s="233">
        <v>0.38474220137623455</v>
      </c>
      <c r="M64" s="232" t="s">
        <v>419</v>
      </c>
    </row>
    <row r="65" spans="3:13" s="229" customFormat="1" x14ac:dyDescent="0.2">
      <c r="C65"/>
      <c r="I65" s="486"/>
      <c r="J65" s="234" t="s">
        <v>1587</v>
      </c>
      <c r="K65" s="233">
        <v>0</v>
      </c>
      <c r="L65" s="233">
        <v>0</v>
      </c>
      <c r="M65" s="232"/>
    </row>
    <row r="66" spans="3:13" s="229" customFormat="1" x14ac:dyDescent="0.2">
      <c r="C66"/>
      <c r="I66" s="486"/>
      <c r="J66" s="234" t="s">
        <v>1588</v>
      </c>
      <c r="K66" s="233">
        <v>1.9789032021472291E-2</v>
      </c>
      <c r="L66" s="233">
        <v>4.2749133486248266E-2</v>
      </c>
      <c r="M66" s="232"/>
    </row>
    <row r="67" spans="3:13" s="229" customFormat="1" x14ac:dyDescent="0.2">
      <c r="C67"/>
      <c r="I67" s="487"/>
      <c r="J67" s="234" t="s">
        <v>1589</v>
      </c>
      <c r="K67" s="233">
        <v>0</v>
      </c>
      <c r="L67" s="233">
        <v>0</v>
      </c>
      <c r="M67" s="232"/>
    </row>
    <row r="68" spans="3:13" s="229" customFormat="1" x14ac:dyDescent="0.2">
      <c r="C68"/>
      <c r="I68" s="485" t="s">
        <v>418</v>
      </c>
      <c r="J68" s="234" t="s">
        <v>1585</v>
      </c>
      <c r="K68" s="233">
        <v>2.460224249366862E-2</v>
      </c>
      <c r="L68" s="233">
        <v>4.1666069078544483E-2</v>
      </c>
      <c r="M68" s="232" t="s">
        <v>417</v>
      </c>
    </row>
    <row r="69" spans="3:13" s="229" customFormat="1" x14ac:dyDescent="0.2">
      <c r="C69"/>
      <c r="I69" s="486"/>
      <c r="J69" s="234" t="s">
        <v>1587</v>
      </c>
      <c r="K69" s="233">
        <v>0</v>
      </c>
      <c r="L69" s="233">
        <v>0</v>
      </c>
      <c r="M69" s="232"/>
    </row>
    <row r="70" spans="3:13" s="229" customFormat="1" x14ac:dyDescent="0.2">
      <c r="C70"/>
      <c r="I70" s="486"/>
      <c r="J70" s="234" t="s">
        <v>1588</v>
      </c>
      <c r="K70" s="233">
        <v>9.8408969974674479E-2</v>
      </c>
      <c r="L70" s="233">
        <v>8.0881192917174563E-2</v>
      </c>
      <c r="M70" s="232"/>
    </row>
    <row r="71" spans="3:13" s="229" customFormat="1" x14ac:dyDescent="0.2">
      <c r="C71"/>
      <c r="I71" s="487"/>
      <c r="J71" s="234" t="s">
        <v>1589</v>
      </c>
      <c r="K71" s="233">
        <v>0</v>
      </c>
      <c r="L71" s="233">
        <v>0</v>
      </c>
      <c r="M71" s="232"/>
    </row>
    <row r="72" spans="3:13" s="229" customFormat="1" x14ac:dyDescent="0.2">
      <c r="C72"/>
      <c r="I72" s="485" t="s">
        <v>416</v>
      </c>
      <c r="J72" s="234" t="s">
        <v>1585</v>
      </c>
      <c r="K72" s="233">
        <v>3.8546754257156209E-2</v>
      </c>
      <c r="L72" s="233">
        <v>4.8838577509212902E-2</v>
      </c>
      <c r="M72" s="232" t="s">
        <v>415</v>
      </c>
    </row>
    <row r="73" spans="3:13" s="229" customFormat="1" x14ac:dyDescent="0.2">
      <c r="C73"/>
      <c r="I73" s="486"/>
      <c r="J73" s="234" t="s">
        <v>1587</v>
      </c>
      <c r="K73" s="233">
        <v>0</v>
      </c>
      <c r="L73" s="233">
        <v>0</v>
      </c>
      <c r="M73" s="232"/>
    </row>
    <row r="74" spans="3:13" s="229" customFormat="1" x14ac:dyDescent="0.2">
      <c r="C74"/>
      <c r="I74" s="486"/>
      <c r="J74" s="234" t="s">
        <v>1588</v>
      </c>
      <c r="K74" s="233">
        <v>7.8261591976650474E-2</v>
      </c>
      <c r="L74" s="233">
        <v>9.9157111912644383E-2</v>
      </c>
      <c r="M74" s="232"/>
    </row>
    <row r="75" spans="3:13" s="229" customFormat="1" x14ac:dyDescent="0.2">
      <c r="I75" s="487"/>
      <c r="J75" s="234" t="s">
        <v>1589</v>
      </c>
      <c r="K75" s="233">
        <v>0</v>
      </c>
      <c r="L75" s="233">
        <v>0</v>
      </c>
      <c r="M75" s="232"/>
    </row>
    <row r="76" spans="3:13" s="229" customFormat="1" x14ac:dyDescent="0.2">
      <c r="I76" s="235" t="s">
        <v>414</v>
      </c>
      <c r="J76" s="234" t="s">
        <v>1586</v>
      </c>
      <c r="K76" s="233">
        <v>1.481522293897921E-2</v>
      </c>
      <c r="L76" s="233">
        <v>1.7054004051778662E-2</v>
      </c>
      <c r="M76" s="236" t="s">
        <v>413</v>
      </c>
    </row>
    <row r="77" spans="3:13" s="229" customFormat="1" x14ac:dyDescent="0.2">
      <c r="I77" s="485" t="s">
        <v>412</v>
      </c>
      <c r="J77" s="234" t="s">
        <v>1585</v>
      </c>
      <c r="K77" s="233">
        <v>7.6092340801465125E-2</v>
      </c>
      <c r="L77" s="233">
        <v>7.745862025625784E-2</v>
      </c>
      <c r="M77" s="232" t="s">
        <v>411</v>
      </c>
    </row>
    <row r="78" spans="3:13" s="229" customFormat="1" x14ac:dyDescent="0.2">
      <c r="I78" s="486"/>
      <c r="J78" s="234" t="s">
        <v>1590</v>
      </c>
      <c r="K78" s="233">
        <v>1.0870334400209304E-2</v>
      </c>
      <c r="L78" s="233">
        <v>1.3669168280516092E-2</v>
      </c>
      <c r="M78" s="232"/>
    </row>
    <row r="79" spans="3:13" s="229" customFormat="1" x14ac:dyDescent="0.2">
      <c r="I79" s="486"/>
      <c r="J79" s="234" t="s">
        <v>1591</v>
      </c>
      <c r="K79" s="233">
        <v>0</v>
      </c>
      <c r="L79" s="233">
        <v>0</v>
      </c>
      <c r="M79" s="232"/>
    </row>
    <row r="80" spans="3:13" s="229" customFormat="1" x14ac:dyDescent="0.2">
      <c r="I80" s="487"/>
      <c r="J80" s="234" t="s">
        <v>1592</v>
      </c>
      <c r="K80" s="233">
        <v>0</v>
      </c>
      <c r="L80" s="233">
        <v>0</v>
      </c>
      <c r="M80" s="232"/>
    </row>
    <row r="81" spans="2:21" s="229" customFormat="1" x14ac:dyDescent="0.2">
      <c r="I81" s="485" t="s">
        <v>410</v>
      </c>
      <c r="J81" s="234" t="s">
        <v>1585</v>
      </c>
      <c r="K81" s="233">
        <v>3.169811086511768E-2</v>
      </c>
      <c r="L81" s="233">
        <v>3.1767302620484029E-2</v>
      </c>
      <c r="M81" s="232" t="s">
        <v>409</v>
      </c>
    </row>
    <row r="82" spans="2:21" s="229" customFormat="1" x14ac:dyDescent="0.2">
      <c r="I82" s="486"/>
      <c r="J82" s="234" t="s">
        <v>1590</v>
      </c>
      <c r="K82" s="233">
        <v>9.5094332595353034E-2</v>
      </c>
      <c r="L82" s="233">
        <v>9.5301907861452095E-2</v>
      </c>
      <c r="M82" s="232"/>
    </row>
    <row r="83" spans="2:21" s="229" customFormat="1" x14ac:dyDescent="0.2">
      <c r="I83" s="486"/>
      <c r="J83" s="234" t="s">
        <v>1591</v>
      </c>
      <c r="K83" s="233">
        <v>0</v>
      </c>
      <c r="L83" s="233">
        <v>0</v>
      </c>
      <c r="M83" s="232"/>
    </row>
    <row r="84" spans="2:21" s="229" customFormat="1" x14ac:dyDescent="0.2">
      <c r="I84" s="487"/>
      <c r="J84" s="234" t="s">
        <v>1592</v>
      </c>
      <c r="K84" s="233">
        <v>0</v>
      </c>
      <c r="L84" s="233">
        <v>0</v>
      </c>
      <c r="M84" s="232"/>
    </row>
    <row r="85" spans="2:21" s="229" customFormat="1" x14ac:dyDescent="0.2">
      <c r="I85" s="488" t="s">
        <v>72</v>
      </c>
      <c r="J85" s="489"/>
      <c r="K85" s="231">
        <f>SUM(K60:K84)</f>
        <v>1.0000000000000004</v>
      </c>
      <c r="L85" s="231">
        <f>SUM(L60:L84)</f>
        <v>1</v>
      </c>
      <c r="M85" s="230"/>
    </row>
    <row r="86" spans="2:21" s="229" customFormat="1" x14ac:dyDescent="0.2"/>
    <row r="87" spans="2:21" s="6" customFormat="1" ht="18.75" x14ac:dyDescent="0.2">
      <c r="B87" s="6" t="s">
        <v>675</v>
      </c>
    </row>
    <row r="88" spans="2:21" s="229" customFormat="1" x14ac:dyDescent="0.2"/>
    <row r="89" spans="2:21" s="6" customFormat="1" ht="18.75" x14ac:dyDescent="0.2">
      <c r="B89" s="6" t="s">
        <v>676</v>
      </c>
    </row>
    <row r="90" spans="2:21" s="229" customFormat="1" x14ac:dyDescent="0.2"/>
    <row r="91" spans="2:21" s="121" customFormat="1" ht="15.75" x14ac:dyDescent="0.2">
      <c r="C91" s="121" t="s">
        <v>553</v>
      </c>
    </row>
    <row r="93" spans="2:21" x14ac:dyDescent="0.2">
      <c r="P93" s="272" t="s">
        <v>272</v>
      </c>
      <c r="Q93" s="272" t="str">
        <f>LookupTab!W$43</f>
        <v>2024/25</v>
      </c>
      <c r="R93" s="272" t="str">
        <f>LookupTab!X$43</f>
        <v>2025/26</v>
      </c>
      <c r="S93" s="272" t="str">
        <f>LookupTab!Y$43</f>
        <v>2026/27</v>
      </c>
      <c r="T93" s="272" t="str">
        <f>LookupTab!Z$43</f>
        <v>2027/28</v>
      </c>
      <c r="U93" s="272" t="str">
        <f>LookupTab!AA$43</f>
        <v>2028/29</v>
      </c>
    </row>
    <row r="94" spans="2:21" x14ac:dyDescent="0.2">
      <c r="P94" s="272" t="s">
        <v>1576</v>
      </c>
      <c r="Q94" s="46">
        <v>1052.5</v>
      </c>
      <c r="R94" s="46">
        <v>1231.5</v>
      </c>
      <c r="S94" s="46">
        <v>1331.25</v>
      </c>
      <c r="T94" s="46">
        <v>1482</v>
      </c>
      <c r="U94" s="46">
        <v>1641.875</v>
      </c>
    </row>
    <row r="95" spans="2:21" x14ac:dyDescent="0.2">
      <c r="P95" s="272" t="s">
        <v>1577</v>
      </c>
      <c r="Q95" s="46">
        <v>1254</v>
      </c>
      <c r="R95" s="46">
        <v>1231.1873487908158</v>
      </c>
      <c r="S95" s="46">
        <v>1331.0951326134102</v>
      </c>
      <c r="T95" s="46">
        <v>1482.1049288391189</v>
      </c>
      <c r="U95" s="46">
        <v>1642.3006822611997</v>
      </c>
    </row>
    <row r="97" spans="3:17" x14ac:dyDescent="0.2">
      <c r="P97" s="272" t="s">
        <v>546</v>
      </c>
      <c r="Q97" s="280" t="s">
        <v>548</v>
      </c>
    </row>
    <row r="111" spans="3:17" s="121" customFormat="1" ht="15.75" x14ac:dyDescent="0.2">
      <c r="C111" s="121" t="s">
        <v>552</v>
      </c>
    </row>
    <row r="113" spans="16:21" x14ac:dyDescent="0.2">
      <c r="P113" s="272" t="s">
        <v>272</v>
      </c>
      <c r="Q113" s="272" t="str">
        <f>LookupTab!W$43</f>
        <v>2024/25</v>
      </c>
      <c r="R113" s="272" t="str">
        <f>LookupTab!X$43</f>
        <v>2025/26</v>
      </c>
      <c r="S113" s="272" t="str">
        <f>LookupTab!Y$43</f>
        <v>2026/27</v>
      </c>
      <c r="T113" s="272" t="str">
        <f>LookupTab!Z$43</f>
        <v>2027/28</v>
      </c>
      <c r="U113" s="272" t="str">
        <f>LookupTab!AA$43</f>
        <v>2028/29</v>
      </c>
    </row>
    <row r="114" spans="16:21" x14ac:dyDescent="0.2">
      <c r="P114" s="272" t="s">
        <v>1576</v>
      </c>
      <c r="Q114" s="113">
        <v>0.17007125890736341</v>
      </c>
      <c r="R114" s="113">
        <v>8.0998781973203413E-2</v>
      </c>
      <c r="S114" s="113">
        <v>0.1132394366197183</v>
      </c>
      <c r="T114" s="113">
        <v>0.1078778677462888</v>
      </c>
      <c r="U114" s="113">
        <v>2.5504377617053674E-2</v>
      </c>
    </row>
    <row r="115" spans="16:21" x14ac:dyDescent="0.2">
      <c r="P115" s="272" t="s">
        <v>1577</v>
      </c>
      <c r="Q115" s="113">
        <v>-1.8191906865378148E-2</v>
      </c>
      <c r="R115" s="113">
        <v>8.1147506852402837E-2</v>
      </c>
      <c r="S115" s="113">
        <v>0.11344778635710512</v>
      </c>
      <c r="T115" s="113">
        <v>0.10808664778380875</v>
      </c>
      <c r="U115" s="113">
        <v>2.5779932341424037E-2</v>
      </c>
    </row>
    <row r="117" spans="16:21" x14ac:dyDescent="0.2">
      <c r="P117" s="272" t="s">
        <v>546</v>
      </c>
      <c r="Q117" s="280" t="s">
        <v>547</v>
      </c>
    </row>
    <row r="132" spans="3:11" s="121" customFormat="1" ht="15.75" x14ac:dyDescent="0.2">
      <c r="C132" s="121" t="s">
        <v>551</v>
      </c>
    </row>
    <row r="134" spans="3:11" ht="38.25" x14ac:dyDescent="0.2">
      <c r="J134" s="103" t="s">
        <v>545</v>
      </c>
      <c r="K134" s="279" t="s">
        <v>950</v>
      </c>
    </row>
    <row r="135" spans="3:11" x14ac:dyDescent="0.2">
      <c r="J135" s="278">
        <v>-0.18882725711447981</v>
      </c>
      <c r="K135" s="376">
        <v>0.1122328118842657</v>
      </c>
    </row>
    <row r="136" spans="3:11" x14ac:dyDescent="0.2">
      <c r="J136" s="278">
        <v>-0.13900349252692187</v>
      </c>
      <c r="K136" s="376">
        <v>0.1122328118842657</v>
      </c>
    </row>
    <row r="137" spans="3:11" x14ac:dyDescent="0.2">
      <c r="J137" s="278">
        <v>-0.13076096242074176</v>
      </c>
      <c r="K137" s="376">
        <v>0.1122328118842657</v>
      </c>
    </row>
    <row r="138" spans="3:11" x14ac:dyDescent="0.2">
      <c r="J138" s="278">
        <v>-0.11988485400468367</v>
      </c>
      <c r="K138" s="376">
        <v>0.1122328118842657</v>
      </c>
    </row>
    <row r="139" spans="3:11" x14ac:dyDescent="0.2">
      <c r="J139" s="278">
        <v>-9.9973753411121261E-2</v>
      </c>
      <c r="K139" s="376">
        <v>0.1122328118842657</v>
      </c>
    </row>
    <row r="140" spans="3:11" x14ac:dyDescent="0.2">
      <c r="J140" s="278">
        <v>-9.9294126702905702E-2</v>
      </c>
      <c r="K140" s="376">
        <v>0.1122328118842657</v>
      </c>
    </row>
    <row r="141" spans="3:11" x14ac:dyDescent="0.2">
      <c r="J141" s="278">
        <v>-9.7330860683964071E-2</v>
      </c>
      <c r="K141" s="376">
        <v>0.1122328118842657</v>
      </c>
    </row>
    <row r="142" spans="3:11" x14ac:dyDescent="0.2">
      <c r="J142" s="278">
        <v>-9.7314815834521479E-2</v>
      </c>
      <c r="K142" s="376">
        <v>0.1122328118842657</v>
      </c>
    </row>
    <row r="143" spans="3:11" x14ac:dyDescent="0.2">
      <c r="J143" s="278">
        <v>-9.599682247552567E-2</v>
      </c>
      <c r="K143" s="376">
        <v>0.1122328118842657</v>
      </c>
    </row>
    <row r="144" spans="3:11" x14ac:dyDescent="0.2">
      <c r="J144" s="278">
        <v>-9.523648587007616E-2</v>
      </c>
      <c r="K144" s="376">
        <v>0.1122328118842657</v>
      </c>
    </row>
    <row r="145" spans="10:11" x14ac:dyDescent="0.2">
      <c r="J145" s="278">
        <v>-9.1221127035423052E-2</v>
      </c>
      <c r="K145" s="376">
        <v>0.1122328118842657</v>
      </c>
    </row>
    <row r="146" spans="10:11" x14ac:dyDescent="0.2">
      <c r="J146" s="278">
        <v>-9.0429460349449486E-2</v>
      </c>
      <c r="K146" s="376">
        <v>0.1122328118842657</v>
      </c>
    </row>
    <row r="147" spans="10:11" x14ac:dyDescent="0.2">
      <c r="J147" s="278">
        <v>-9.0381262511824323E-2</v>
      </c>
      <c r="K147" s="376">
        <v>0.1122328118842657</v>
      </c>
    </row>
    <row r="148" spans="10:11" x14ac:dyDescent="0.2">
      <c r="J148" s="278">
        <v>-9.036011230135825E-2</v>
      </c>
      <c r="K148" s="376">
        <v>0.1122328118842657</v>
      </c>
    </row>
    <row r="149" spans="10:11" x14ac:dyDescent="0.2">
      <c r="J149" s="278">
        <v>-8.5810727067428025E-2</v>
      </c>
      <c r="K149" s="376">
        <v>0.1122328118842657</v>
      </c>
    </row>
    <row r="150" spans="10:11" x14ac:dyDescent="0.2">
      <c r="J150" s="278">
        <v>-8.0728849595447461E-2</v>
      </c>
      <c r="K150" s="376">
        <v>0.1122328118842657</v>
      </c>
    </row>
    <row r="151" spans="10:11" x14ac:dyDescent="0.2">
      <c r="J151" s="278">
        <v>-7.9820251067397582E-2</v>
      </c>
      <c r="K151" s="376">
        <v>0.1122328118842657</v>
      </c>
    </row>
    <row r="152" spans="10:11" x14ac:dyDescent="0.2">
      <c r="J152" s="278">
        <v>-6.4899076699458061E-2</v>
      </c>
      <c r="K152" s="376">
        <v>0.1122328118842657</v>
      </c>
    </row>
    <row r="153" spans="10:11" x14ac:dyDescent="0.2">
      <c r="J153" s="278">
        <v>-6.4855722868962642E-2</v>
      </c>
      <c r="K153" s="376">
        <v>0.1122328118842657</v>
      </c>
    </row>
    <row r="154" spans="10:11" x14ac:dyDescent="0.2">
      <c r="J154" s="278">
        <v>-6.4703493743359194E-2</v>
      </c>
      <c r="K154" s="376">
        <v>0.1122328118842657</v>
      </c>
    </row>
    <row r="155" spans="10:11" x14ac:dyDescent="0.2">
      <c r="J155" s="278">
        <v>-5.910017598373557E-2</v>
      </c>
      <c r="K155" s="376">
        <v>0.1122328118842657</v>
      </c>
    </row>
    <row r="156" spans="10:11" x14ac:dyDescent="0.2">
      <c r="J156" s="278">
        <v>-5.737091430412971E-2</v>
      </c>
      <c r="K156" s="376">
        <v>0.1122328118842657</v>
      </c>
    </row>
    <row r="157" spans="10:11" x14ac:dyDescent="0.2">
      <c r="J157" s="278">
        <v>-5.2860010682834795E-2</v>
      </c>
      <c r="K157" s="376">
        <v>0.1122328118842657</v>
      </c>
    </row>
    <row r="158" spans="10:11" x14ac:dyDescent="0.2">
      <c r="J158" s="278">
        <v>-4.7182008117809225E-2</v>
      </c>
      <c r="K158" s="376">
        <v>0.1122328118842657</v>
      </c>
    </row>
    <row r="159" spans="10:11" x14ac:dyDescent="0.2">
      <c r="J159" s="278">
        <v>-4.3481308230450114E-2</v>
      </c>
      <c r="K159" s="376">
        <v>0.1122328118842657</v>
      </c>
    </row>
    <row r="160" spans="10:11" x14ac:dyDescent="0.2">
      <c r="J160" s="278">
        <v>-3.2635744129926446E-2</v>
      </c>
      <c r="K160" s="376">
        <v>0.1122328118842657</v>
      </c>
    </row>
    <row r="161" spans="10:11" x14ac:dyDescent="0.2">
      <c r="J161" s="278">
        <v>-3.2108837604418718E-2</v>
      </c>
      <c r="K161" s="376">
        <v>0.1122328118842657</v>
      </c>
    </row>
    <row r="162" spans="10:11" x14ac:dyDescent="0.2">
      <c r="J162" s="278">
        <v>-2.8491958214856748E-2</v>
      </c>
      <c r="K162" s="376">
        <v>0.1122328118842657</v>
      </c>
    </row>
    <row r="163" spans="10:11" x14ac:dyDescent="0.2">
      <c r="J163" s="278">
        <v>-2.6770453482209546E-2</v>
      </c>
      <c r="K163" s="376">
        <v>0.1122328118842657</v>
      </c>
    </row>
    <row r="164" spans="10:11" x14ac:dyDescent="0.2">
      <c r="J164" s="278">
        <v>-2.5401132465296548E-2</v>
      </c>
      <c r="K164" s="376">
        <v>0.1122328118842657</v>
      </c>
    </row>
    <row r="165" spans="10:11" x14ac:dyDescent="0.2">
      <c r="J165" s="278">
        <v>-2.508792091687042E-2</v>
      </c>
      <c r="K165" s="376">
        <v>0.1122328118842657</v>
      </c>
    </row>
    <row r="166" spans="10:11" x14ac:dyDescent="0.2">
      <c r="J166" s="278">
        <v>-1.9588124441091728E-2</v>
      </c>
      <c r="K166" s="376">
        <v>0.1122328118842657</v>
      </c>
    </row>
    <row r="167" spans="10:11" x14ac:dyDescent="0.2">
      <c r="J167" s="278">
        <v>-1.8297334764632744E-2</v>
      </c>
      <c r="K167" s="376">
        <v>0.1122328118842657</v>
      </c>
    </row>
    <row r="168" spans="10:11" x14ac:dyDescent="0.2">
      <c r="J168" s="278">
        <v>-1.7482316792807498E-2</v>
      </c>
      <c r="K168" s="376">
        <v>0.1122328118842657</v>
      </c>
    </row>
    <row r="169" spans="10:11" x14ac:dyDescent="0.2">
      <c r="J169" s="278">
        <v>-1.5614877459299006E-2</v>
      </c>
      <c r="K169" s="376">
        <v>0.1122328118842657</v>
      </c>
    </row>
    <row r="170" spans="10:11" x14ac:dyDescent="0.2">
      <c r="J170" s="278">
        <v>-1.4293890296946997E-2</v>
      </c>
      <c r="K170" s="376">
        <v>0.1122328118842657</v>
      </c>
    </row>
    <row r="171" spans="10:11" x14ac:dyDescent="0.2">
      <c r="J171" s="278">
        <v>-1.3961299129028248E-2</v>
      </c>
      <c r="K171" s="376">
        <v>0.1122328118842657</v>
      </c>
    </row>
    <row r="172" spans="10:11" x14ac:dyDescent="0.2">
      <c r="J172" s="278">
        <v>-1.0569461217144723E-2</v>
      </c>
      <c r="K172" s="376">
        <v>0.1122328118842657</v>
      </c>
    </row>
    <row r="173" spans="10:11" x14ac:dyDescent="0.2">
      <c r="J173" s="278">
        <v>-8.2776710341285701E-3</v>
      </c>
      <c r="K173" s="376">
        <v>0.1122328118842657</v>
      </c>
    </row>
    <row r="174" spans="10:11" x14ac:dyDescent="0.2">
      <c r="J174" s="278">
        <v>-3.5261373059112967E-3</v>
      </c>
      <c r="K174" s="376">
        <v>0.1122328118842657</v>
      </c>
    </row>
    <row r="175" spans="10:11" x14ac:dyDescent="0.2">
      <c r="J175" s="278">
        <v>-2.4551151356803249E-3</v>
      </c>
      <c r="K175" s="376">
        <v>0.1122328118842657</v>
      </c>
    </row>
    <row r="176" spans="10:11" x14ac:dyDescent="0.2">
      <c r="J176" s="278">
        <v>3.7182774108928248E-3</v>
      </c>
      <c r="K176" s="376">
        <v>0.1122328118842657</v>
      </c>
    </row>
    <row r="177" spans="10:11" x14ac:dyDescent="0.2">
      <c r="J177" s="278">
        <v>4.6556096092726955E-3</v>
      </c>
      <c r="K177" s="376">
        <v>0.1122328118842657</v>
      </c>
    </row>
    <row r="178" spans="10:11" x14ac:dyDescent="0.2">
      <c r="J178" s="278">
        <v>8.9468767854772209E-3</v>
      </c>
      <c r="K178" s="376">
        <v>0.1122328118842657</v>
      </c>
    </row>
    <row r="179" spans="10:11" x14ac:dyDescent="0.2">
      <c r="J179" s="278">
        <v>1.0670728813247436E-2</v>
      </c>
      <c r="K179" s="376">
        <v>0.1122328118842657</v>
      </c>
    </row>
    <row r="180" spans="10:11" x14ac:dyDescent="0.2">
      <c r="J180" s="278">
        <v>1.2282463858278185E-2</v>
      </c>
      <c r="K180" s="376">
        <v>0.1122328118842657</v>
      </c>
    </row>
    <row r="181" spans="10:11" x14ac:dyDescent="0.2">
      <c r="J181" s="278">
        <v>1.2672089736356274E-2</v>
      </c>
      <c r="K181" s="376">
        <v>0.1122328118842657</v>
      </c>
    </row>
    <row r="182" spans="10:11" x14ac:dyDescent="0.2">
      <c r="J182" s="278">
        <v>1.271965014549622E-2</v>
      </c>
      <c r="K182" s="376">
        <v>0.1122328118842657</v>
      </c>
    </row>
    <row r="183" spans="10:11" x14ac:dyDescent="0.2">
      <c r="J183" s="278">
        <v>1.3929016484080559E-2</v>
      </c>
      <c r="K183" s="376">
        <v>0.1122328118842657</v>
      </c>
    </row>
    <row r="184" spans="10:11" x14ac:dyDescent="0.2">
      <c r="J184" s="278">
        <v>1.5554225705909634E-2</v>
      </c>
      <c r="K184" s="376">
        <v>0.1122328118842657</v>
      </c>
    </row>
    <row r="185" spans="10:11" x14ac:dyDescent="0.2">
      <c r="J185" s="278">
        <v>1.6482790388196621E-2</v>
      </c>
      <c r="K185" s="376">
        <v>0.1122328118842657</v>
      </c>
    </row>
    <row r="186" spans="10:11" x14ac:dyDescent="0.2">
      <c r="J186" s="278">
        <v>1.6972679195296988E-2</v>
      </c>
      <c r="K186" s="376">
        <v>0.1122328118842657</v>
      </c>
    </row>
    <row r="187" spans="10:11" x14ac:dyDescent="0.2">
      <c r="J187" s="278">
        <v>1.8975950972787394E-2</v>
      </c>
      <c r="K187" s="376">
        <v>0.1122328118842657</v>
      </c>
    </row>
    <row r="188" spans="10:11" x14ac:dyDescent="0.2">
      <c r="J188" s="278">
        <v>1.9918722213049873E-2</v>
      </c>
      <c r="K188" s="376">
        <v>0.1122328118842657</v>
      </c>
    </row>
    <row r="189" spans="10:11" x14ac:dyDescent="0.2">
      <c r="J189" s="278">
        <v>3.0293610456135503E-2</v>
      </c>
      <c r="K189" s="376">
        <v>0.1122328118842657</v>
      </c>
    </row>
    <row r="190" spans="10:11" x14ac:dyDescent="0.2">
      <c r="J190" s="278">
        <v>3.0353339394786252E-2</v>
      </c>
      <c r="K190" s="376">
        <v>0.1122328118842657</v>
      </c>
    </row>
    <row r="191" spans="10:11" x14ac:dyDescent="0.2">
      <c r="J191" s="278">
        <v>3.0928842942981677E-2</v>
      </c>
      <c r="K191" s="376">
        <v>0.1122328118842657</v>
      </c>
    </row>
    <row r="192" spans="10:11" x14ac:dyDescent="0.2">
      <c r="J192" s="278">
        <v>3.1754171183599258E-2</v>
      </c>
      <c r="K192" s="376">
        <v>0.1122328118842657</v>
      </c>
    </row>
    <row r="193" spans="10:11" x14ac:dyDescent="0.2">
      <c r="J193" s="278">
        <v>3.7944408173042954E-2</v>
      </c>
      <c r="K193" s="376">
        <v>0.1122328118842657</v>
      </c>
    </row>
    <row r="194" spans="10:11" x14ac:dyDescent="0.2">
      <c r="J194" s="278">
        <v>4.055226972606385E-2</v>
      </c>
      <c r="K194" s="376">
        <v>0.1122328118842657</v>
      </c>
    </row>
    <row r="195" spans="10:11" x14ac:dyDescent="0.2">
      <c r="J195" s="278">
        <v>4.139275177290222E-2</v>
      </c>
      <c r="K195" s="376">
        <v>0.1122328118842657</v>
      </c>
    </row>
    <row r="196" spans="10:11" x14ac:dyDescent="0.2">
      <c r="J196" s="278">
        <v>4.2988118104570462E-2</v>
      </c>
      <c r="K196" s="376">
        <v>0.1122328118842657</v>
      </c>
    </row>
    <row r="197" spans="10:11" x14ac:dyDescent="0.2">
      <c r="J197" s="278">
        <v>4.3974877877907742E-2</v>
      </c>
      <c r="K197" s="376">
        <v>0.1122328118842657</v>
      </c>
    </row>
    <row r="198" spans="10:11" x14ac:dyDescent="0.2">
      <c r="J198" s="278">
        <v>4.6829813039374259E-2</v>
      </c>
      <c r="K198" s="376">
        <v>0.1122328118842657</v>
      </c>
    </row>
    <row r="199" spans="10:11" x14ac:dyDescent="0.2">
      <c r="J199" s="278">
        <v>4.7203646376646063E-2</v>
      </c>
      <c r="K199" s="376">
        <v>0.1122328118842657</v>
      </c>
    </row>
    <row r="200" spans="10:11" x14ac:dyDescent="0.2">
      <c r="J200" s="278">
        <v>4.833119516923913E-2</v>
      </c>
      <c r="K200" s="376">
        <v>0.1122328118842657</v>
      </c>
    </row>
    <row r="201" spans="10:11" x14ac:dyDescent="0.2">
      <c r="J201" s="278">
        <v>4.9873319357820634E-2</v>
      </c>
      <c r="K201" s="376">
        <v>0.1122328118842657</v>
      </c>
    </row>
    <row r="202" spans="10:11" x14ac:dyDescent="0.2">
      <c r="J202" s="278">
        <v>5.2303056572180297E-2</v>
      </c>
      <c r="K202" s="376">
        <v>0.1122328118842657</v>
      </c>
    </row>
    <row r="203" spans="10:11" x14ac:dyDescent="0.2">
      <c r="J203" s="278">
        <v>5.2983635472529211E-2</v>
      </c>
      <c r="K203" s="376">
        <v>0.1122328118842657</v>
      </c>
    </row>
    <row r="204" spans="10:11" x14ac:dyDescent="0.2">
      <c r="J204" s="278">
        <v>5.4348457105506433E-2</v>
      </c>
      <c r="K204" s="376">
        <v>0.1122328118842657</v>
      </c>
    </row>
    <row r="205" spans="10:11" x14ac:dyDescent="0.2">
      <c r="J205" s="278">
        <v>5.4396378066283717E-2</v>
      </c>
      <c r="K205" s="376">
        <v>0.1122328118842657</v>
      </c>
    </row>
    <row r="206" spans="10:11" x14ac:dyDescent="0.2">
      <c r="J206" s="278">
        <v>5.5419539851011418E-2</v>
      </c>
      <c r="K206" s="376">
        <v>0.1122328118842657</v>
      </c>
    </row>
    <row r="207" spans="10:11" x14ac:dyDescent="0.2">
      <c r="J207" s="278">
        <v>5.9246708554538584E-2</v>
      </c>
      <c r="K207" s="376">
        <v>0.1122328118842657</v>
      </c>
    </row>
    <row r="208" spans="10:11" x14ac:dyDescent="0.2">
      <c r="J208" s="278">
        <v>6.0433506710704799E-2</v>
      </c>
      <c r="K208" s="376">
        <v>0.1122328118842657</v>
      </c>
    </row>
    <row r="209" spans="10:11" x14ac:dyDescent="0.2">
      <c r="J209" s="278">
        <v>6.403449398502864E-2</v>
      </c>
      <c r="K209" s="376">
        <v>0.1122328118842657</v>
      </c>
    </row>
    <row r="210" spans="10:11" x14ac:dyDescent="0.2">
      <c r="J210" s="278">
        <v>6.4707051752853448E-2</v>
      </c>
      <c r="K210" s="376">
        <v>0.1122328118842657</v>
      </c>
    </row>
    <row r="211" spans="10:11" x14ac:dyDescent="0.2">
      <c r="J211" s="278">
        <v>6.6210633321691942E-2</v>
      </c>
      <c r="K211" s="376">
        <v>0.1122328118842657</v>
      </c>
    </row>
    <row r="212" spans="10:11" x14ac:dyDescent="0.2">
      <c r="J212" s="278">
        <v>6.6378404046690029E-2</v>
      </c>
      <c r="K212" s="376">
        <v>0.1122328118842657</v>
      </c>
    </row>
    <row r="213" spans="10:11" x14ac:dyDescent="0.2">
      <c r="J213" s="278">
        <v>6.7078899330452163E-2</v>
      </c>
      <c r="K213" s="376">
        <v>0.1122328118842657</v>
      </c>
    </row>
    <row r="214" spans="10:11" x14ac:dyDescent="0.2">
      <c r="J214" s="278">
        <v>6.7428852022473576E-2</v>
      </c>
      <c r="K214" s="376">
        <v>0.1122328118842657</v>
      </c>
    </row>
    <row r="215" spans="10:11" x14ac:dyDescent="0.2">
      <c r="J215" s="278">
        <v>6.8451801524280695E-2</v>
      </c>
      <c r="K215" s="376">
        <v>0.1122328118842657</v>
      </c>
    </row>
    <row r="216" spans="10:11" x14ac:dyDescent="0.2">
      <c r="J216" s="278">
        <v>6.8610257459872703E-2</v>
      </c>
      <c r="K216" s="376">
        <v>0.1122328118842657</v>
      </c>
    </row>
    <row r="217" spans="10:11" x14ac:dyDescent="0.2">
      <c r="J217" s="278">
        <v>6.8986638201086192E-2</v>
      </c>
      <c r="K217" s="376">
        <v>0.1122328118842657</v>
      </c>
    </row>
    <row r="218" spans="10:11" x14ac:dyDescent="0.2">
      <c r="J218" s="278">
        <v>6.927650758883637E-2</v>
      </c>
      <c r="K218" s="376">
        <v>0.1122328118842657</v>
      </c>
    </row>
    <row r="219" spans="10:11" x14ac:dyDescent="0.2">
      <c r="J219" s="278">
        <v>7.0066542955208477E-2</v>
      </c>
      <c r="K219" s="376">
        <v>0.1122328118842657</v>
      </c>
    </row>
    <row r="220" spans="10:11" x14ac:dyDescent="0.2">
      <c r="J220" s="278">
        <v>7.1275155370214588E-2</v>
      </c>
      <c r="K220" s="376">
        <v>0.1122328118842657</v>
      </c>
    </row>
    <row r="221" spans="10:11" x14ac:dyDescent="0.2">
      <c r="J221" s="278">
        <v>7.3507299636621434E-2</v>
      </c>
      <c r="K221" s="376">
        <v>0.1122328118842657</v>
      </c>
    </row>
    <row r="222" spans="10:11" x14ac:dyDescent="0.2">
      <c r="J222" s="278">
        <v>7.4706393262441384E-2</v>
      </c>
      <c r="K222" s="376">
        <v>0.1122328118842657</v>
      </c>
    </row>
    <row r="223" spans="10:11" x14ac:dyDescent="0.2">
      <c r="J223" s="278">
        <v>7.5342601046754679E-2</v>
      </c>
      <c r="K223" s="376">
        <v>0.1122328118842657</v>
      </c>
    </row>
    <row r="224" spans="10:11" x14ac:dyDescent="0.2">
      <c r="J224" s="278">
        <v>7.5386635378867542E-2</v>
      </c>
      <c r="K224" s="376">
        <v>0.1122328118842657</v>
      </c>
    </row>
    <row r="225" spans="10:11" x14ac:dyDescent="0.2">
      <c r="J225" s="278">
        <v>7.5738810641686236E-2</v>
      </c>
      <c r="K225" s="376">
        <v>0.1122328118842657</v>
      </c>
    </row>
    <row r="226" spans="10:11" x14ac:dyDescent="0.2">
      <c r="J226" s="278">
        <v>7.623117773821031E-2</v>
      </c>
      <c r="K226" s="376">
        <v>0.1122328118842657</v>
      </c>
    </row>
    <row r="227" spans="10:11" x14ac:dyDescent="0.2">
      <c r="J227" s="278">
        <v>7.6768425602739165E-2</v>
      </c>
      <c r="K227" s="376">
        <v>0.1122328118842657</v>
      </c>
    </row>
    <row r="228" spans="10:11" x14ac:dyDescent="0.2">
      <c r="J228" s="278">
        <v>8.1624906994801336E-2</v>
      </c>
      <c r="K228" s="376">
        <v>0.1122328118842657</v>
      </c>
    </row>
    <row r="229" spans="10:11" x14ac:dyDescent="0.2">
      <c r="J229" s="278">
        <v>8.1796002826923495E-2</v>
      </c>
      <c r="K229" s="376">
        <v>0.1122328118842657</v>
      </c>
    </row>
    <row r="230" spans="10:11" x14ac:dyDescent="0.2">
      <c r="J230" s="278">
        <v>8.244259901023189E-2</v>
      </c>
      <c r="K230" s="376">
        <v>0.1122328118842657</v>
      </c>
    </row>
    <row r="231" spans="10:11" x14ac:dyDescent="0.2">
      <c r="J231" s="278">
        <v>8.2883549019453981E-2</v>
      </c>
      <c r="K231" s="376">
        <v>0.1122328118842657</v>
      </c>
    </row>
    <row r="232" spans="10:11" x14ac:dyDescent="0.2">
      <c r="J232" s="278">
        <v>8.3923388628387732E-2</v>
      </c>
      <c r="K232" s="376">
        <v>0.1122328118842657</v>
      </c>
    </row>
    <row r="233" spans="10:11" x14ac:dyDescent="0.2">
      <c r="J233" s="278">
        <v>8.4231128199944758E-2</v>
      </c>
      <c r="K233" s="376">
        <v>0.1122328118842657</v>
      </c>
    </row>
    <row r="234" spans="10:11" x14ac:dyDescent="0.2">
      <c r="J234" s="278">
        <v>8.4783821902782594E-2</v>
      </c>
      <c r="K234" s="376">
        <v>0.1122328118842657</v>
      </c>
    </row>
    <row r="235" spans="10:11" x14ac:dyDescent="0.2">
      <c r="J235" s="278">
        <v>8.5003729189253807E-2</v>
      </c>
      <c r="K235" s="376">
        <v>0.1122328118842657</v>
      </c>
    </row>
    <row r="236" spans="10:11" x14ac:dyDescent="0.2">
      <c r="J236" s="278">
        <v>8.5035949115196671E-2</v>
      </c>
      <c r="K236" s="376">
        <v>0.1122328118842657</v>
      </c>
    </row>
    <row r="237" spans="10:11" x14ac:dyDescent="0.2">
      <c r="J237" s="278">
        <v>8.5261127108484866E-2</v>
      </c>
      <c r="K237" s="376">
        <v>0.1122328118842657</v>
      </c>
    </row>
    <row r="238" spans="10:11" x14ac:dyDescent="0.2">
      <c r="J238" s="278">
        <v>8.592421797836472E-2</v>
      </c>
      <c r="K238" s="376">
        <v>0.1122328118842657</v>
      </c>
    </row>
    <row r="239" spans="10:11" x14ac:dyDescent="0.2">
      <c r="J239" s="278">
        <v>8.712545985853816E-2</v>
      </c>
      <c r="K239" s="376">
        <v>0.1122328118842657</v>
      </c>
    </row>
    <row r="240" spans="10:11" x14ac:dyDescent="0.2">
      <c r="J240" s="278">
        <v>8.8710050765899703E-2</v>
      </c>
      <c r="K240" s="376">
        <v>0.1122328118842657</v>
      </c>
    </row>
    <row r="241" spans="10:11" x14ac:dyDescent="0.2">
      <c r="J241" s="278">
        <v>9.1208492362797475E-2</v>
      </c>
      <c r="K241" s="376">
        <v>0.1122328118842657</v>
      </c>
    </row>
    <row r="242" spans="10:11" x14ac:dyDescent="0.2">
      <c r="J242" s="278">
        <v>9.2702221733732382E-2</v>
      </c>
      <c r="K242" s="376">
        <v>0.1122328118842657</v>
      </c>
    </row>
    <row r="243" spans="10:11" x14ac:dyDescent="0.2">
      <c r="J243" s="278">
        <v>9.3153963988403615E-2</v>
      </c>
      <c r="K243" s="376">
        <v>0.1122328118842657</v>
      </c>
    </row>
    <row r="244" spans="10:11" x14ac:dyDescent="0.2">
      <c r="J244" s="278">
        <v>9.3685827333789246E-2</v>
      </c>
      <c r="K244" s="376">
        <v>0.1122328118842657</v>
      </c>
    </row>
    <row r="245" spans="10:11" x14ac:dyDescent="0.2">
      <c r="J245" s="278">
        <v>9.3860757188752364E-2</v>
      </c>
      <c r="K245" s="376">
        <v>0.1122328118842657</v>
      </c>
    </row>
    <row r="246" spans="10:11" x14ac:dyDescent="0.2">
      <c r="J246" s="278">
        <v>9.4956498915901466E-2</v>
      </c>
      <c r="K246" s="376">
        <v>0.1122328118842657</v>
      </c>
    </row>
    <row r="247" spans="10:11" x14ac:dyDescent="0.2">
      <c r="J247" s="278">
        <v>9.6692427453249116E-2</v>
      </c>
      <c r="K247" s="376">
        <v>0.1122328118842657</v>
      </c>
    </row>
    <row r="248" spans="10:11" x14ac:dyDescent="0.2">
      <c r="J248" s="278">
        <v>9.7943332033236866E-2</v>
      </c>
      <c r="K248" s="376">
        <v>0.1122328118842657</v>
      </c>
    </row>
    <row r="249" spans="10:11" x14ac:dyDescent="0.2">
      <c r="J249" s="278">
        <v>9.8040510267686953E-2</v>
      </c>
      <c r="K249" s="376">
        <v>0.1122328118842657</v>
      </c>
    </row>
    <row r="250" spans="10:11" x14ac:dyDescent="0.2">
      <c r="J250" s="278">
        <v>9.9303411242097267E-2</v>
      </c>
      <c r="K250" s="376">
        <v>0.1122328118842657</v>
      </c>
    </row>
    <row r="251" spans="10:11" x14ac:dyDescent="0.2">
      <c r="J251" s="278">
        <v>9.9392775005353845E-2</v>
      </c>
      <c r="K251" s="376">
        <v>0.1122328118842657</v>
      </c>
    </row>
    <row r="252" spans="10:11" x14ac:dyDescent="0.2">
      <c r="J252" s="278">
        <v>0.10160392837183095</v>
      </c>
      <c r="K252" s="376">
        <v>0.1122328118842657</v>
      </c>
    </row>
    <row r="253" spans="10:11" x14ac:dyDescent="0.2">
      <c r="J253" s="278">
        <v>0.101748139232437</v>
      </c>
      <c r="K253" s="376">
        <v>0.1122328118842657</v>
      </c>
    </row>
    <row r="254" spans="10:11" x14ac:dyDescent="0.2">
      <c r="J254" s="278">
        <v>0.10252666642691345</v>
      </c>
      <c r="K254" s="376">
        <v>0.1122328118842657</v>
      </c>
    </row>
    <row r="255" spans="10:11" x14ac:dyDescent="0.2">
      <c r="J255" s="278">
        <v>0.10365495493348925</v>
      </c>
      <c r="K255" s="376">
        <v>0.1122328118842657</v>
      </c>
    </row>
    <row r="256" spans="10:11" x14ac:dyDescent="0.2">
      <c r="J256" s="278">
        <v>0.10650405345817276</v>
      </c>
      <c r="K256" s="376">
        <v>0.1122328118842657</v>
      </c>
    </row>
    <row r="257" spans="10:11" x14ac:dyDescent="0.2">
      <c r="J257" s="278">
        <v>0.10769917834619777</v>
      </c>
      <c r="K257" s="376">
        <v>0.1122328118842657</v>
      </c>
    </row>
    <row r="258" spans="10:11" x14ac:dyDescent="0.2">
      <c r="J258" s="278">
        <v>0.10803074242464944</v>
      </c>
      <c r="K258" s="376">
        <v>0.1122328118842657</v>
      </c>
    </row>
    <row r="259" spans="10:11" x14ac:dyDescent="0.2">
      <c r="J259" s="278">
        <v>0.1088939210134931</v>
      </c>
      <c r="K259" s="376">
        <v>0.1122328118842657</v>
      </c>
    </row>
    <row r="260" spans="10:11" x14ac:dyDescent="0.2">
      <c r="J260" s="278">
        <v>0.10895006239374753</v>
      </c>
      <c r="K260" s="376">
        <v>0.1122328118842657</v>
      </c>
    </row>
    <row r="261" spans="10:11" x14ac:dyDescent="0.2">
      <c r="J261" s="278">
        <v>0.10908897734494449</v>
      </c>
      <c r="K261" s="376">
        <v>0.1122328118842657</v>
      </c>
    </row>
    <row r="262" spans="10:11" x14ac:dyDescent="0.2">
      <c r="J262" s="278">
        <v>0.10929880467909303</v>
      </c>
      <c r="K262" s="376">
        <v>0.1122328118842657</v>
      </c>
    </row>
    <row r="263" spans="10:11" x14ac:dyDescent="0.2">
      <c r="J263" s="278">
        <v>0.10965947674947887</v>
      </c>
      <c r="K263" s="376">
        <v>0.1122328118842657</v>
      </c>
    </row>
    <row r="264" spans="10:11" x14ac:dyDescent="0.2">
      <c r="J264" s="278">
        <v>0.11111988166139371</v>
      </c>
      <c r="K264" s="376">
        <v>0.1122328118842657</v>
      </c>
    </row>
    <row r="265" spans="10:11" x14ac:dyDescent="0.2">
      <c r="J265" s="278">
        <v>0.11227667249384594</v>
      </c>
      <c r="K265" s="376">
        <v>0.1122328118842657</v>
      </c>
    </row>
    <row r="266" spans="10:11" x14ac:dyDescent="0.2">
      <c r="J266" s="278">
        <v>0.11240757009977075</v>
      </c>
      <c r="K266" s="376">
        <v>0.1122328118842657</v>
      </c>
    </row>
    <row r="267" spans="10:11" x14ac:dyDescent="0.2">
      <c r="J267" s="278">
        <v>0.1127101404871543</v>
      </c>
      <c r="K267" s="376">
        <v>0.1122328118842657</v>
      </c>
    </row>
    <row r="268" spans="10:11" x14ac:dyDescent="0.2">
      <c r="J268" s="278">
        <v>0.11281001162415792</v>
      </c>
      <c r="K268" s="376">
        <v>0.1122328118842657</v>
      </c>
    </row>
    <row r="269" spans="10:11" x14ac:dyDescent="0.2">
      <c r="J269" s="278">
        <v>0.11307996786579705</v>
      </c>
      <c r="K269" s="376">
        <v>0.1122328118842657</v>
      </c>
    </row>
    <row r="270" spans="10:11" x14ac:dyDescent="0.2">
      <c r="J270" s="278">
        <v>0.11482027358407883</v>
      </c>
      <c r="K270" s="376">
        <v>0.1122328118842657</v>
      </c>
    </row>
    <row r="271" spans="10:11" x14ac:dyDescent="0.2">
      <c r="J271" s="278">
        <v>0.11507144929332284</v>
      </c>
      <c r="K271" s="376">
        <v>0.1122328118842657</v>
      </c>
    </row>
    <row r="272" spans="10:11" x14ac:dyDescent="0.2">
      <c r="J272" s="278">
        <v>0.11619163408301864</v>
      </c>
      <c r="K272" s="376">
        <v>0.1122328118842657</v>
      </c>
    </row>
    <row r="273" spans="10:11" x14ac:dyDescent="0.2">
      <c r="J273" s="278">
        <v>0.11705087037706825</v>
      </c>
      <c r="K273" s="376">
        <v>0.1122328118842657</v>
      </c>
    </row>
    <row r="274" spans="10:11" x14ac:dyDescent="0.2">
      <c r="J274" s="278">
        <v>0.1181709841957909</v>
      </c>
      <c r="K274" s="376">
        <v>0.1122328118842657</v>
      </c>
    </row>
    <row r="275" spans="10:11" x14ac:dyDescent="0.2">
      <c r="J275" s="278">
        <v>0.11923454957574921</v>
      </c>
      <c r="K275" s="376">
        <v>0.1122328118842657</v>
      </c>
    </row>
    <row r="276" spans="10:11" x14ac:dyDescent="0.2">
      <c r="J276" s="278">
        <v>0.12047345405911075</v>
      </c>
      <c r="K276" s="376">
        <v>0.1122328118842657</v>
      </c>
    </row>
    <row r="277" spans="10:11" x14ac:dyDescent="0.2">
      <c r="J277" s="278">
        <v>0.1246324642663227</v>
      </c>
      <c r="K277" s="376">
        <v>0.1122328118842657</v>
      </c>
    </row>
    <row r="278" spans="10:11" x14ac:dyDescent="0.2">
      <c r="J278" s="278">
        <v>0.12584014324019077</v>
      </c>
      <c r="K278" s="376">
        <v>0.1122328118842657</v>
      </c>
    </row>
    <row r="279" spans="10:11" x14ac:dyDescent="0.2">
      <c r="J279" s="278">
        <v>0.12662632495156428</v>
      </c>
      <c r="K279" s="376">
        <v>0.1122328118842657</v>
      </c>
    </row>
    <row r="280" spans="10:11" x14ac:dyDescent="0.2">
      <c r="J280" s="278">
        <v>0.12720692233777495</v>
      </c>
      <c r="K280" s="376">
        <v>0.1122328118842657</v>
      </c>
    </row>
    <row r="281" spans="10:11" x14ac:dyDescent="0.2">
      <c r="J281" s="278">
        <v>0.1281133789718851</v>
      </c>
      <c r="K281" s="376">
        <v>0.1122328118842657</v>
      </c>
    </row>
    <row r="282" spans="10:11" x14ac:dyDescent="0.2">
      <c r="J282" s="278">
        <v>0.13057106278329692</v>
      </c>
      <c r="K282" s="376">
        <v>0.1122328118842657</v>
      </c>
    </row>
    <row r="283" spans="10:11" x14ac:dyDescent="0.2">
      <c r="J283" s="278">
        <v>0.1308635507115361</v>
      </c>
      <c r="K283" s="376">
        <v>0.1122328118842657</v>
      </c>
    </row>
    <row r="284" spans="10:11" x14ac:dyDescent="0.2">
      <c r="J284" s="278">
        <v>0.13256727764503948</v>
      </c>
      <c r="K284" s="376">
        <v>0.1122328118842657</v>
      </c>
    </row>
    <row r="285" spans="10:11" x14ac:dyDescent="0.2">
      <c r="J285" s="278">
        <v>0.13380751608806832</v>
      </c>
      <c r="K285" s="376">
        <v>0.1122328118842657</v>
      </c>
    </row>
    <row r="286" spans="10:11" x14ac:dyDescent="0.2">
      <c r="J286" s="278">
        <v>0.13484758867323332</v>
      </c>
      <c r="K286" s="376">
        <v>0.1122328118842657</v>
      </c>
    </row>
    <row r="287" spans="10:11" x14ac:dyDescent="0.2">
      <c r="J287" s="278">
        <v>0.15127737410037229</v>
      </c>
      <c r="K287" s="376">
        <v>0.1122328118842657</v>
      </c>
    </row>
    <row r="288" spans="10:11" x14ac:dyDescent="0.2">
      <c r="J288" s="278">
        <v>0.1535406388662888</v>
      </c>
      <c r="K288" s="376">
        <v>0.1122328118842657</v>
      </c>
    </row>
    <row r="289" spans="3:19" x14ac:dyDescent="0.2">
      <c r="J289" s="278">
        <v>0.15980497049544307</v>
      </c>
      <c r="K289" s="376">
        <v>0.1122328118842657</v>
      </c>
    </row>
    <row r="290" spans="3:19" x14ac:dyDescent="0.2">
      <c r="J290" s="278">
        <v>0.16004255217806621</v>
      </c>
      <c r="K290" s="376">
        <v>0.1122328118842657</v>
      </c>
    </row>
    <row r="291" spans="3:19" x14ac:dyDescent="0.2">
      <c r="J291" s="278">
        <v>0.16934297905682114</v>
      </c>
      <c r="K291" s="376">
        <v>0.1122328118842657</v>
      </c>
    </row>
    <row r="292" spans="3:19" x14ac:dyDescent="0.2">
      <c r="J292" s="278">
        <v>0.17264104523526258</v>
      </c>
      <c r="K292" s="376">
        <v>0.1122328118842657</v>
      </c>
    </row>
    <row r="295" spans="3:19" s="121" customFormat="1" ht="15.75" x14ac:dyDescent="0.2">
      <c r="C295" s="121" t="s">
        <v>1065</v>
      </c>
    </row>
    <row r="296" spans="3:19" x14ac:dyDescent="0.2">
      <c r="S296" s="277"/>
    </row>
    <row r="297" spans="3:19" ht="38.25" x14ac:dyDescent="0.2">
      <c r="J297" s="103" t="s">
        <v>545</v>
      </c>
      <c r="K297" s="279" t="s">
        <v>950</v>
      </c>
    </row>
    <row r="298" spans="3:19" x14ac:dyDescent="0.2">
      <c r="J298" s="278">
        <v>-0.34663381948202676</v>
      </c>
      <c r="K298" s="376">
        <v>0.1122328118842657</v>
      </c>
    </row>
    <row r="299" spans="3:19" x14ac:dyDescent="0.2">
      <c r="J299" s="278">
        <v>-0.237696562363753</v>
      </c>
      <c r="K299" s="376">
        <v>0.1122328118842657</v>
      </c>
    </row>
    <row r="300" spans="3:19" x14ac:dyDescent="0.2">
      <c r="J300" s="278">
        <v>-0.10725260869206832</v>
      </c>
      <c r="K300" s="376">
        <v>0.1122328118842657</v>
      </c>
    </row>
    <row r="301" spans="3:19" x14ac:dyDescent="0.2">
      <c r="J301" s="278">
        <v>-0.10592684432290711</v>
      </c>
      <c r="K301" s="376">
        <v>0.1122328118842657</v>
      </c>
    </row>
    <row r="302" spans="3:19" x14ac:dyDescent="0.2">
      <c r="J302" s="278">
        <v>-0.10208620705854651</v>
      </c>
      <c r="K302" s="376">
        <v>0.1122328118842657</v>
      </c>
    </row>
    <row r="303" spans="3:19" x14ac:dyDescent="0.2">
      <c r="J303" s="278">
        <v>-9.7791784863753894E-2</v>
      </c>
      <c r="K303" s="376">
        <v>0.1122328118842657</v>
      </c>
    </row>
    <row r="304" spans="3:19" x14ac:dyDescent="0.2">
      <c r="J304" s="278">
        <v>-8.3863958100959105E-2</v>
      </c>
      <c r="K304" s="376">
        <v>0.1122328118842657</v>
      </c>
    </row>
    <row r="305" spans="10:11" x14ac:dyDescent="0.2">
      <c r="J305" s="278">
        <v>-6.6300078422906999E-2</v>
      </c>
      <c r="K305" s="376">
        <v>0.1122328118842657</v>
      </c>
    </row>
    <row r="306" spans="10:11" x14ac:dyDescent="0.2">
      <c r="J306" s="278">
        <v>-6.1548024356816756E-2</v>
      </c>
      <c r="K306" s="376">
        <v>0.1122328118842657</v>
      </c>
    </row>
    <row r="307" spans="10:11" x14ac:dyDescent="0.2">
      <c r="J307" s="278">
        <v>-6.1413997178586859E-2</v>
      </c>
      <c r="K307" s="376">
        <v>0.1122328118842657</v>
      </c>
    </row>
    <row r="308" spans="10:11" x14ac:dyDescent="0.2">
      <c r="J308" s="278">
        <v>-4.3740542274417309E-2</v>
      </c>
      <c r="K308" s="376">
        <v>0.1122328118842657</v>
      </c>
    </row>
    <row r="309" spans="10:11" x14ac:dyDescent="0.2">
      <c r="J309" s="278">
        <v>-4.0990419619962533E-2</v>
      </c>
      <c r="K309" s="376">
        <v>0.1122328118842657</v>
      </c>
    </row>
    <row r="310" spans="10:11" x14ac:dyDescent="0.2">
      <c r="J310" s="278">
        <v>-3.0833465886462776E-2</v>
      </c>
      <c r="K310" s="376">
        <v>0.1122328118842657</v>
      </c>
    </row>
    <row r="311" spans="10:11" x14ac:dyDescent="0.2">
      <c r="J311" s="278">
        <v>-2.9510301250199062E-2</v>
      </c>
      <c r="K311" s="376">
        <v>0.1122328118842657</v>
      </c>
    </row>
    <row r="312" spans="10:11" x14ac:dyDescent="0.2">
      <c r="J312" s="278">
        <v>-2.4809989692188741E-2</v>
      </c>
      <c r="K312" s="376">
        <v>0.1122328118842657</v>
      </c>
    </row>
    <row r="313" spans="10:11" x14ac:dyDescent="0.2">
      <c r="J313" s="278">
        <v>-2.3851854318814075E-2</v>
      </c>
      <c r="K313" s="376">
        <v>0.1122328118842657</v>
      </c>
    </row>
    <row r="314" spans="10:11" x14ac:dyDescent="0.2">
      <c r="J314" s="278">
        <v>-2.0630286596776799E-2</v>
      </c>
      <c r="K314" s="376">
        <v>0.1122328118842657</v>
      </c>
    </row>
    <row r="315" spans="10:11" x14ac:dyDescent="0.2">
      <c r="J315" s="278">
        <v>-4.6924457886590451E-3</v>
      </c>
      <c r="K315" s="376">
        <v>0.1122328118842657</v>
      </c>
    </row>
    <row r="316" spans="10:11" x14ac:dyDescent="0.2">
      <c r="J316" s="278">
        <v>-2.2771310515587136E-4</v>
      </c>
      <c r="K316" s="376">
        <v>0.1122328118842657</v>
      </c>
    </row>
    <row r="317" spans="10:11" x14ac:dyDescent="0.2">
      <c r="J317" s="278">
        <v>4.581583804173187E-4</v>
      </c>
      <c r="K317" s="376">
        <v>0.1122328118842657</v>
      </c>
    </row>
    <row r="318" spans="10:11" x14ac:dyDescent="0.2">
      <c r="J318" s="278">
        <v>1.0172654707937505E-2</v>
      </c>
      <c r="K318" s="376">
        <v>0.1122328118842657</v>
      </c>
    </row>
    <row r="319" spans="10:11" x14ac:dyDescent="0.2">
      <c r="J319" s="278">
        <v>1.0424175144729732E-2</v>
      </c>
      <c r="K319" s="376">
        <v>0.1122328118842657</v>
      </c>
    </row>
    <row r="320" spans="10:11" x14ac:dyDescent="0.2">
      <c r="J320" s="278">
        <v>1.5114795180549421E-2</v>
      </c>
      <c r="K320" s="376">
        <v>0.1122328118842657</v>
      </c>
    </row>
    <row r="321" spans="10:11" x14ac:dyDescent="0.2">
      <c r="J321" s="278">
        <v>1.6072098843383623E-2</v>
      </c>
      <c r="K321" s="376">
        <v>0.1122328118842657</v>
      </c>
    </row>
    <row r="322" spans="10:11" x14ac:dyDescent="0.2">
      <c r="J322" s="278">
        <v>1.6796581671116518E-2</v>
      </c>
      <c r="K322" s="376">
        <v>0.1122328118842657</v>
      </c>
    </row>
    <row r="323" spans="10:11" x14ac:dyDescent="0.2">
      <c r="J323" s="278">
        <v>2.2353806615985152E-2</v>
      </c>
      <c r="K323" s="376">
        <v>0.1122328118842657</v>
      </c>
    </row>
    <row r="324" spans="10:11" x14ac:dyDescent="0.2">
      <c r="J324" s="278">
        <v>2.7439554698770047E-2</v>
      </c>
      <c r="K324" s="376">
        <v>0.1122328118842657</v>
      </c>
    </row>
    <row r="325" spans="10:11" x14ac:dyDescent="0.2">
      <c r="J325" s="278">
        <v>2.9550585449906051E-2</v>
      </c>
      <c r="K325" s="376">
        <v>0.1122328118842657</v>
      </c>
    </row>
    <row r="326" spans="10:11" x14ac:dyDescent="0.2">
      <c r="J326" s="278">
        <v>3.8262752215596725E-2</v>
      </c>
      <c r="K326" s="376">
        <v>0.1122328118842657</v>
      </c>
    </row>
    <row r="327" spans="10:11" x14ac:dyDescent="0.2">
      <c r="J327" s="278">
        <v>3.9028382495852242E-2</v>
      </c>
      <c r="K327" s="376">
        <v>0.1122328118842657</v>
      </c>
    </row>
    <row r="328" spans="10:11" x14ac:dyDescent="0.2">
      <c r="J328" s="278">
        <v>4.0453320053697048E-2</v>
      </c>
      <c r="K328" s="376">
        <v>0.1122328118842657</v>
      </c>
    </row>
    <row r="329" spans="10:11" x14ac:dyDescent="0.2">
      <c r="J329" s="278">
        <v>4.7496665046676767E-2</v>
      </c>
      <c r="K329" s="376">
        <v>0.1122328118842657</v>
      </c>
    </row>
    <row r="330" spans="10:11" x14ac:dyDescent="0.2">
      <c r="J330" s="278">
        <v>4.9616512614626407E-2</v>
      </c>
      <c r="K330" s="376">
        <v>0.1122328118842657</v>
      </c>
    </row>
    <row r="331" spans="10:11" x14ac:dyDescent="0.2">
      <c r="J331" s="278">
        <v>5.3606148965675962E-2</v>
      </c>
      <c r="K331" s="376">
        <v>0.1122328118842657</v>
      </c>
    </row>
    <row r="332" spans="10:11" x14ac:dyDescent="0.2">
      <c r="J332" s="278">
        <v>5.5796093136179774E-2</v>
      </c>
      <c r="K332" s="376">
        <v>0.1122328118842657</v>
      </c>
    </row>
    <row r="333" spans="10:11" x14ac:dyDescent="0.2">
      <c r="J333" s="278">
        <v>5.617796891895923E-2</v>
      </c>
      <c r="K333" s="376">
        <v>0.1122328118842657</v>
      </c>
    </row>
    <row r="334" spans="10:11" x14ac:dyDescent="0.2">
      <c r="J334" s="278">
        <v>5.7054492785158471E-2</v>
      </c>
      <c r="K334" s="376">
        <v>0.1122328118842657</v>
      </c>
    </row>
    <row r="335" spans="10:11" x14ac:dyDescent="0.2">
      <c r="J335" s="278">
        <v>5.7211241264578744E-2</v>
      </c>
      <c r="K335" s="376">
        <v>0.1122328118842657</v>
      </c>
    </row>
    <row r="336" spans="10:11" x14ac:dyDescent="0.2">
      <c r="J336" s="278">
        <v>6.3433643084674113E-2</v>
      </c>
      <c r="K336" s="376">
        <v>0.1122328118842657</v>
      </c>
    </row>
    <row r="337" spans="10:11" x14ac:dyDescent="0.2">
      <c r="J337" s="278">
        <v>6.4373718092624641E-2</v>
      </c>
      <c r="K337" s="376">
        <v>0.1122328118842657</v>
      </c>
    </row>
    <row r="338" spans="10:11" x14ac:dyDescent="0.2">
      <c r="J338" s="278">
        <v>7.0537764446639076E-2</v>
      </c>
      <c r="K338" s="376">
        <v>0.1122328118842657</v>
      </c>
    </row>
    <row r="339" spans="10:11" x14ac:dyDescent="0.2">
      <c r="J339" s="278">
        <v>7.2811069991305988E-2</v>
      </c>
      <c r="K339" s="376">
        <v>0.1122328118842657</v>
      </c>
    </row>
    <row r="340" spans="10:11" x14ac:dyDescent="0.2">
      <c r="J340" s="278">
        <v>7.6962769076460311E-2</v>
      </c>
      <c r="K340" s="376">
        <v>0.1122328118842657</v>
      </c>
    </row>
    <row r="341" spans="10:11" x14ac:dyDescent="0.2">
      <c r="J341" s="278">
        <v>7.839786980061296E-2</v>
      </c>
      <c r="K341" s="376">
        <v>0.1122328118842657</v>
      </c>
    </row>
    <row r="342" spans="10:11" x14ac:dyDescent="0.2">
      <c r="J342" s="278">
        <v>8.1839013842212538E-2</v>
      </c>
      <c r="K342" s="376">
        <v>0.1122328118842657</v>
      </c>
    </row>
    <row r="343" spans="10:11" x14ac:dyDescent="0.2">
      <c r="J343" s="278">
        <v>8.8646322551245854E-2</v>
      </c>
      <c r="K343" s="376">
        <v>0.1122328118842657</v>
      </c>
    </row>
    <row r="344" spans="10:11" x14ac:dyDescent="0.2">
      <c r="J344" s="278">
        <v>9.084853050277425E-2</v>
      </c>
      <c r="K344" s="376">
        <v>0.1122328118842657</v>
      </c>
    </row>
    <row r="345" spans="10:11" x14ac:dyDescent="0.2">
      <c r="J345" s="278">
        <v>9.699453551912568E-2</v>
      </c>
      <c r="K345" s="376">
        <v>0.1122328118842657</v>
      </c>
    </row>
    <row r="346" spans="10:11" x14ac:dyDescent="0.2">
      <c r="J346" s="278">
        <v>9.699453551912568E-2</v>
      </c>
      <c r="K346" s="376">
        <v>0.1122328118842657</v>
      </c>
    </row>
    <row r="347" spans="10:11" x14ac:dyDescent="0.2">
      <c r="J347" s="278">
        <v>9.699453551912568E-2</v>
      </c>
      <c r="K347" s="376">
        <v>0.1122328118842657</v>
      </c>
    </row>
    <row r="348" spans="10:11" x14ac:dyDescent="0.2">
      <c r="J348" s="278">
        <v>9.699453551912568E-2</v>
      </c>
      <c r="K348" s="376">
        <v>0.1122328118842657</v>
      </c>
    </row>
    <row r="349" spans="10:11" x14ac:dyDescent="0.2">
      <c r="J349" s="278">
        <v>9.699453551912568E-2</v>
      </c>
      <c r="K349" s="376">
        <v>0.1122328118842657</v>
      </c>
    </row>
    <row r="350" spans="10:11" x14ac:dyDescent="0.2">
      <c r="J350" s="278">
        <v>9.699453551912568E-2</v>
      </c>
      <c r="K350" s="376">
        <v>0.1122328118842657</v>
      </c>
    </row>
    <row r="351" spans="10:11" x14ac:dyDescent="0.2">
      <c r="J351" s="278">
        <v>9.699453551912568E-2</v>
      </c>
      <c r="K351" s="376">
        <v>0.1122328118842657</v>
      </c>
    </row>
    <row r="352" spans="10:11" x14ac:dyDescent="0.2">
      <c r="J352" s="278">
        <v>9.9685683827416702E-2</v>
      </c>
      <c r="K352" s="376">
        <v>0.1122328118842657</v>
      </c>
    </row>
    <row r="353" spans="3:14" x14ac:dyDescent="0.2">
      <c r="J353" s="278">
        <v>0.10626246612573952</v>
      </c>
      <c r="K353" s="376">
        <v>0.1122328118842657</v>
      </c>
    </row>
    <row r="354" spans="3:14" x14ac:dyDescent="0.2">
      <c r="J354" s="278">
        <v>0.10697611724306327</v>
      </c>
      <c r="K354" s="376">
        <v>0.1122328118842657</v>
      </c>
    </row>
    <row r="355" spans="3:14" x14ac:dyDescent="0.2">
      <c r="J355" s="278">
        <v>0.10993923618414154</v>
      </c>
      <c r="K355" s="376">
        <v>0.1122328118842657</v>
      </c>
    </row>
    <row r="356" spans="3:14" x14ac:dyDescent="0.2">
      <c r="J356" s="278">
        <v>0.12025757771267176</v>
      </c>
      <c r="K356" s="376">
        <v>0.1122328118842657</v>
      </c>
    </row>
    <row r="357" spans="3:14" x14ac:dyDescent="0.2">
      <c r="J357" s="278">
        <v>0.12114752549235358</v>
      </c>
      <c r="K357" s="376">
        <v>0.1122328118842657</v>
      </c>
    </row>
    <row r="358" spans="3:14" x14ac:dyDescent="0.2">
      <c r="J358" s="278">
        <v>0.13803504854629253</v>
      </c>
      <c r="K358" s="376">
        <v>0.1122328118842657</v>
      </c>
    </row>
    <row r="359" spans="3:14" x14ac:dyDescent="0.2">
      <c r="J359" s="278">
        <v>0.14542142895091439</v>
      </c>
      <c r="K359" s="376">
        <v>0.1122328118842657</v>
      </c>
    </row>
    <row r="362" spans="3:14" s="121" customFormat="1" ht="15.75" x14ac:dyDescent="0.2">
      <c r="C362" s="121" t="s">
        <v>550</v>
      </c>
    </row>
    <row r="363" spans="3:14" ht="13.5" thickBot="1" x14ac:dyDescent="0.25"/>
    <row r="364" spans="3:14" ht="41.1" customHeight="1" x14ac:dyDescent="0.2">
      <c r="C364" s="297" t="s">
        <v>272</v>
      </c>
      <c r="D364" s="298" t="s">
        <v>425</v>
      </c>
      <c r="E364" s="298" t="s">
        <v>426</v>
      </c>
      <c r="F364" s="299" t="s">
        <v>427</v>
      </c>
      <c r="G364" s="299" t="s">
        <v>428</v>
      </c>
      <c r="H364" s="299" t="s">
        <v>429</v>
      </c>
      <c r="I364" s="300" t="s">
        <v>430</v>
      </c>
      <c r="J364" s="301"/>
      <c r="K364" s="302" t="s">
        <v>431</v>
      </c>
      <c r="L364" s="299"/>
      <c r="M364" s="303" t="s">
        <v>634</v>
      </c>
      <c r="N364" s="304" t="s">
        <v>433</v>
      </c>
    </row>
    <row r="365" spans="3:14" ht="15" x14ac:dyDescent="0.2">
      <c r="C365" s="305"/>
      <c r="D365" s="241"/>
      <c r="E365" s="241" t="s">
        <v>434</v>
      </c>
      <c r="F365" s="241" t="s">
        <v>434</v>
      </c>
      <c r="G365" s="241"/>
      <c r="H365" s="241"/>
      <c r="I365" s="241" t="s">
        <v>327</v>
      </c>
      <c r="J365" s="241" t="s">
        <v>314</v>
      </c>
      <c r="K365" s="241" t="s">
        <v>28</v>
      </c>
      <c r="L365" s="241" t="s">
        <v>435</v>
      </c>
      <c r="M365" s="244"/>
      <c r="N365" s="306"/>
    </row>
    <row r="366" spans="3:14" ht="15" x14ac:dyDescent="0.2">
      <c r="C366" s="307">
        <v>1</v>
      </c>
      <c r="D366" s="242" t="s">
        <v>436</v>
      </c>
      <c r="E366" s="218">
        <v>41039.439552051139</v>
      </c>
      <c r="F366" s="218">
        <v>9000.0751010344975</v>
      </c>
      <c r="G366" s="218">
        <v>8500</v>
      </c>
      <c r="H366" s="225">
        <v>0</v>
      </c>
      <c r="I366" s="218">
        <v>1052.5</v>
      </c>
      <c r="J366" s="218">
        <v>1231.5</v>
      </c>
      <c r="K366" s="218">
        <v>179</v>
      </c>
      <c r="L366" s="226">
        <v>0.17007125890736341</v>
      </c>
      <c r="M366" s="226">
        <v>0.52256044240017596</v>
      </c>
      <c r="N366" s="308" t="s">
        <v>1578</v>
      </c>
    </row>
    <row r="367" spans="3:14" ht="15" x14ac:dyDescent="0.2">
      <c r="C367" s="309">
        <v>2</v>
      </c>
      <c r="D367" s="243" t="s">
        <v>437</v>
      </c>
      <c r="E367" s="217">
        <v>1882.6493037629057</v>
      </c>
      <c r="F367" s="222">
        <v>0</v>
      </c>
      <c r="G367" s="217">
        <v>30000</v>
      </c>
      <c r="H367" s="222">
        <v>0</v>
      </c>
      <c r="I367" s="217">
        <v>2967.3</v>
      </c>
      <c r="J367" s="217">
        <v>2849.5</v>
      </c>
      <c r="K367" s="217">
        <v>-117.80000000000018</v>
      </c>
      <c r="L367" s="223">
        <v>-3.9699390017861415E-2</v>
      </c>
      <c r="M367" s="223">
        <v>0.30937741709589339</v>
      </c>
      <c r="N367" s="310" t="s">
        <v>1578</v>
      </c>
    </row>
    <row r="368" spans="3:14" ht="15" x14ac:dyDescent="0.2">
      <c r="C368" s="307" t="s">
        <v>438</v>
      </c>
      <c r="D368" s="242" t="s">
        <v>439</v>
      </c>
      <c r="E368" s="218">
        <v>32776</v>
      </c>
      <c r="F368" s="218">
        <v>65818</v>
      </c>
      <c r="G368" s="218">
        <v>8500</v>
      </c>
      <c r="H368" s="225">
        <v>20</v>
      </c>
      <c r="I368" s="218">
        <v>1254</v>
      </c>
      <c r="J368" s="218">
        <v>1231.1873487908158</v>
      </c>
      <c r="K368" s="218">
        <v>-22.812651209184196</v>
      </c>
      <c r="L368" s="226">
        <v>-1.8191906865378148E-2</v>
      </c>
      <c r="M368" s="226">
        <v>0.52242777560830567</v>
      </c>
      <c r="N368" s="308" t="s">
        <v>1578</v>
      </c>
    </row>
    <row r="369" spans="2:14" ht="15" x14ac:dyDescent="0.2">
      <c r="C369" s="309" t="s">
        <v>440</v>
      </c>
      <c r="D369" s="243" t="s">
        <v>441</v>
      </c>
      <c r="E369" s="217">
        <v>9315</v>
      </c>
      <c r="F369" s="217">
        <v>11185</v>
      </c>
      <c r="G369" s="217">
        <v>30000</v>
      </c>
      <c r="H369" s="222">
        <v>150</v>
      </c>
      <c r="I369" s="217">
        <v>4242</v>
      </c>
      <c r="J369" s="217">
        <v>2848.7417193644933</v>
      </c>
      <c r="K369" s="217">
        <v>-1393.2582806355067</v>
      </c>
      <c r="L369" s="223">
        <v>-0.32844372480799311</v>
      </c>
      <c r="M369" s="223">
        <v>0.30929508865074623</v>
      </c>
      <c r="N369" s="310" t="s">
        <v>1578</v>
      </c>
    </row>
    <row r="370" spans="2:14" ht="15" x14ac:dyDescent="0.2">
      <c r="C370" s="307" t="s">
        <v>442</v>
      </c>
      <c r="D370" s="242" t="s">
        <v>443</v>
      </c>
      <c r="E370" s="218">
        <v>846</v>
      </c>
      <c r="F370" s="218">
        <v>1015</v>
      </c>
      <c r="G370" s="218">
        <v>250000</v>
      </c>
      <c r="H370" s="225">
        <v>500</v>
      </c>
      <c r="I370" s="218">
        <v>14232</v>
      </c>
      <c r="J370" s="218">
        <v>24401.040934839992</v>
      </c>
      <c r="K370" s="218">
        <v>10169.040934839992</v>
      </c>
      <c r="L370" s="226">
        <v>0.71451945860314725</v>
      </c>
      <c r="M370" s="226">
        <v>0.32690750672775926</v>
      </c>
      <c r="N370" s="308" t="s">
        <v>1578</v>
      </c>
    </row>
    <row r="371" spans="2:14" ht="15" x14ac:dyDescent="0.2">
      <c r="C371" s="309">
        <v>5</v>
      </c>
      <c r="D371" s="243" t="s">
        <v>396</v>
      </c>
      <c r="E371" s="217">
        <v>158.05598277652086</v>
      </c>
      <c r="F371" s="217">
        <v>160.18930373745121</v>
      </c>
      <c r="G371" s="217">
        <v>3200000</v>
      </c>
      <c r="H371" s="217">
        <v>6675</v>
      </c>
      <c r="I371" s="217">
        <v>159395.6</v>
      </c>
      <c r="J371" s="217">
        <v>174042.60169289462</v>
      </c>
      <c r="K371" s="217">
        <v>14647.001692894613</v>
      </c>
      <c r="L371" s="223">
        <v>9.1890878373647789E-2</v>
      </c>
      <c r="M371" s="223">
        <v>0.18868102307318632</v>
      </c>
      <c r="N371" s="311">
        <v>1.7338064942633596E-2</v>
      </c>
    </row>
    <row r="372" spans="2:14" ht="15.75" thickBot="1" x14ac:dyDescent="0.25">
      <c r="C372" s="312">
        <v>6</v>
      </c>
      <c r="D372" s="313" t="s">
        <v>447</v>
      </c>
      <c r="E372" s="314">
        <v>67</v>
      </c>
      <c r="F372" s="314">
        <v>67.715354198829516</v>
      </c>
      <c r="G372" s="314">
        <v>5400000</v>
      </c>
      <c r="H372" s="314">
        <v>6850</v>
      </c>
      <c r="I372" s="314">
        <v>182150</v>
      </c>
      <c r="J372" s="314">
        <v>231317.36027999999</v>
      </c>
      <c r="K372" s="314">
        <v>49167.360279999994</v>
      </c>
      <c r="L372" s="315">
        <v>0.26992786318967882</v>
      </c>
      <c r="M372" s="315">
        <v>0.15738202139649679</v>
      </c>
      <c r="N372" s="316">
        <v>4.2481792740028688E-2</v>
      </c>
    </row>
    <row r="374" spans="2:14" s="6" customFormat="1" ht="18.75" x14ac:dyDescent="0.2">
      <c r="B374" s="6" t="s">
        <v>677</v>
      </c>
    </row>
    <row r="376" spans="2:14" s="6" customFormat="1" ht="18.75" x14ac:dyDescent="0.2">
      <c r="B376" s="6" t="s">
        <v>678</v>
      </c>
    </row>
    <row r="378" spans="2:14" s="6" customFormat="1" ht="18.75" x14ac:dyDescent="0.2">
      <c r="B378" s="6" t="s">
        <v>679</v>
      </c>
    </row>
    <row r="380" spans="2:14" s="121" customFormat="1" ht="15.75" x14ac:dyDescent="0.2">
      <c r="C380" s="121" t="s">
        <v>680</v>
      </c>
    </row>
    <row r="382" spans="2:14" x14ac:dyDescent="0.2">
      <c r="D382" s="45" t="s">
        <v>664</v>
      </c>
    </row>
    <row r="384" spans="2:14" s="6" customFormat="1" ht="18.75" x14ac:dyDescent="0.2">
      <c r="B384" s="6" t="s">
        <v>681</v>
      </c>
    </row>
    <row r="386" spans="2:4" s="121" customFormat="1" ht="15.75" x14ac:dyDescent="0.2">
      <c r="C386" s="121" t="s">
        <v>682</v>
      </c>
    </row>
    <row r="388" spans="2:4" x14ac:dyDescent="0.2">
      <c r="D388" s="45" t="s">
        <v>664</v>
      </c>
    </row>
    <row r="390" spans="2:4" s="6" customFormat="1" ht="18.75" x14ac:dyDescent="0.2">
      <c r="B390" s="6" t="s">
        <v>683</v>
      </c>
    </row>
    <row r="392" spans="2:4" s="121" customFormat="1" ht="15.75" x14ac:dyDescent="0.2">
      <c r="C392" s="121" t="s">
        <v>684</v>
      </c>
    </row>
    <row r="394" spans="2:4" x14ac:dyDescent="0.2">
      <c r="D394" s="45" t="s">
        <v>664</v>
      </c>
    </row>
    <row r="396" spans="2:4" s="6" customFormat="1" ht="18.75" x14ac:dyDescent="0.2">
      <c r="B396" s="6" t="s">
        <v>685</v>
      </c>
    </row>
    <row r="398" spans="2:4" s="6" customFormat="1" ht="18.75" x14ac:dyDescent="0.2">
      <c r="B398" s="6" t="s">
        <v>686</v>
      </c>
    </row>
    <row r="400" spans="2:4" s="121" customFormat="1" ht="15.75" x14ac:dyDescent="0.2">
      <c r="C400" s="121" t="s">
        <v>687</v>
      </c>
    </row>
    <row r="402" spans="2:4" x14ac:dyDescent="0.2">
      <c r="D402" s="45" t="s">
        <v>664</v>
      </c>
    </row>
    <row r="404" spans="2:4" s="121" customFormat="1" ht="15.75" x14ac:dyDescent="0.2">
      <c r="C404" s="121" t="s">
        <v>688</v>
      </c>
    </row>
    <row r="406" spans="2:4" x14ac:dyDescent="0.2">
      <c r="D406" s="45" t="s">
        <v>664</v>
      </c>
    </row>
    <row r="408" spans="2:4" s="6" customFormat="1" ht="18.75" x14ac:dyDescent="0.2">
      <c r="B408" s="6" t="s">
        <v>689</v>
      </c>
    </row>
    <row r="410" spans="2:4" s="121" customFormat="1" ht="15.75" x14ac:dyDescent="0.2">
      <c r="C410" s="121" t="s">
        <v>690</v>
      </c>
    </row>
    <row r="412" spans="2:4" x14ac:dyDescent="0.2">
      <c r="D412" s="45" t="s">
        <v>664</v>
      </c>
    </row>
    <row r="414" spans="2:4" s="121" customFormat="1" ht="15.75" x14ac:dyDescent="0.2">
      <c r="C414" s="121" t="s">
        <v>691</v>
      </c>
    </row>
    <row r="416" spans="2:4" x14ac:dyDescent="0.2">
      <c r="D416" s="45" t="s">
        <v>664</v>
      </c>
    </row>
    <row r="418" spans="2:8" s="121" customFormat="1" ht="15.75" x14ac:dyDescent="0.2">
      <c r="C418" s="121" t="s">
        <v>692</v>
      </c>
    </row>
    <row r="420" spans="2:8" x14ac:dyDescent="0.2">
      <c r="D420" s="45" t="s">
        <v>664</v>
      </c>
    </row>
    <row r="422" spans="2:8" s="6" customFormat="1" ht="18.75" x14ac:dyDescent="0.2">
      <c r="B422" s="6" t="s">
        <v>693</v>
      </c>
    </row>
    <row r="424" spans="2:8" s="6" customFormat="1" ht="18.75" x14ac:dyDescent="0.2">
      <c r="B424" s="6" t="s">
        <v>694</v>
      </c>
    </row>
    <row r="426" spans="2:8" s="6" customFormat="1" ht="18.75" x14ac:dyDescent="0.2">
      <c r="B426" s="6" t="s">
        <v>695</v>
      </c>
    </row>
    <row r="428" spans="2:8" s="121" customFormat="1" ht="15.75" x14ac:dyDescent="0.2">
      <c r="C428" s="121" t="s">
        <v>448</v>
      </c>
    </row>
    <row r="430" spans="2:8" x14ac:dyDescent="0.2">
      <c r="H430" s="201" t="s">
        <v>940</v>
      </c>
    </row>
    <row r="448" spans="2:2" s="6" customFormat="1" ht="18.75" x14ac:dyDescent="0.2">
      <c r="B448" s="6" t="s">
        <v>696</v>
      </c>
    </row>
    <row r="450" spans="2:9" s="6" customFormat="1" ht="18.75" x14ac:dyDescent="0.2">
      <c r="B450" s="6" t="s">
        <v>697</v>
      </c>
    </row>
    <row r="452" spans="2:9" s="6" customFormat="1" ht="18.75" x14ac:dyDescent="0.2">
      <c r="B452" s="6" t="s">
        <v>698</v>
      </c>
    </row>
    <row r="454" spans="2:9" s="6" customFormat="1" ht="18.75" x14ac:dyDescent="0.2">
      <c r="B454" s="6" t="s">
        <v>699</v>
      </c>
    </row>
    <row r="456" spans="2:9" s="121" customFormat="1" ht="15.75" x14ac:dyDescent="0.2">
      <c r="C456" s="121" t="s">
        <v>700</v>
      </c>
    </row>
    <row r="458" spans="2:9" x14ac:dyDescent="0.2">
      <c r="D458" s="45" t="s">
        <v>664</v>
      </c>
    </row>
    <row r="460" spans="2:9" s="6" customFormat="1" ht="18.75" x14ac:dyDescent="0.2">
      <c r="B460" s="6" t="s">
        <v>941</v>
      </c>
    </row>
    <row r="462" spans="2:9" s="121" customFormat="1" ht="15.75" x14ac:dyDescent="0.2">
      <c r="C462" s="121" t="s">
        <v>701</v>
      </c>
    </row>
    <row r="463" spans="2:9" ht="13.5" thickBot="1" x14ac:dyDescent="0.25"/>
    <row r="464" spans="2:9" ht="15" x14ac:dyDescent="0.2">
      <c r="C464" s="478" t="s">
        <v>272</v>
      </c>
      <c r="D464" s="479"/>
      <c r="E464" s="482" t="s">
        <v>449</v>
      </c>
      <c r="F464" s="483"/>
      <c r="G464" s="483"/>
      <c r="H464" s="483"/>
      <c r="I464" s="484"/>
    </row>
    <row r="465" spans="3:9" ht="15" x14ac:dyDescent="0.2">
      <c r="C465" s="480"/>
      <c r="D465" s="481"/>
      <c r="E465" s="250" t="s">
        <v>314</v>
      </c>
      <c r="F465" s="250" t="s">
        <v>315</v>
      </c>
      <c r="G465" s="250" t="s">
        <v>316</v>
      </c>
      <c r="H465" s="250" t="s">
        <v>317</v>
      </c>
      <c r="I465" s="250" t="s">
        <v>318</v>
      </c>
    </row>
    <row r="466" spans="3:9" ht="15" x14ac:dyDescent="0.2">
      <c r="C466" s="252">
        <v>1</v>
      </c>
      <c r="D466" s="248" t="s">
        <v>444</v>
      </c>
      <c r="E466" s="251"/>
      <c r="F466" s="251"/>
      <c r="G466" s="251"/>
      <c r="H466" s="251"/>
      <c r="I466" s="251"/>
    </row>
    <row r="467" spans="3:9" ht="15" x14ac:dyDescent="0.2">
      <c r="C467" s="252"/>
      <c r="D467" s="214" t="s">
        <v>450</v>
      </c>
      <c r="E467" s="340">
        <v>1.9455294340682776</v>
      </c>
      <c r="F467" s="340">
        <v>2.1291101880896433</v>
      </c>
      <c r="G467" s="340">
        <v>2.3012480773905821</v>
      </c>
      <c r="H467" s="340">
        <v>2.4624302283110264</v>
      </c>
      <c r="I467" s="340">
        <v>2.3953652442592852</v>
      </c>
    </row>
    <row r="468" spans="3:9" ht="15" x14ac:dyDescent="0.2">
      <c r="C468" s="252"/>
      <c r="D468" s="214" t="s">
        <v>451</v>
      </c>
      <c r="E468" s="340">
        <v>5.7393118305014187E-2</v>
      </c>
      <c r="F468" s="340">
        <v>5.6776271682390488E-2</v>
      </c>
      <c r="G468" s="340">
        <v>6.1673448474067603E-2</v>
      </c>
      <c r="H468" s="340">
        <v>6.6933330751363346E-2</v>
      </c>
      <c r="I468" s="340">
        <v>6.9683352560270126E-2</v>
      </c>
    </row>
    <row r="469" spans="3:9" ht="15" x14ac:dyDescent="0.2">
      <c r="C469" s="253">
        <v>2</v>
      </c>
      <c r="D469" s="249" t="s">
        <v>445</v>
      </c>
      <c r="E469" s="341"/>
      <c r="F469" s="341"/>
      <c r="G469" s="341"/>
      <c r="H469" s="341"/>
      <c r="I469" s="341"/>
    </row>
    <row r="470" spans="3:9" ht="15" x14ac:dyDescent="0.2">
      <c r="C470" s="253"/>
      <c r="D470" s="215" t="s">
        <v>450</v>
      </c>
      <c r="E470" s="341">
        <v>1.9455294340682776</v>
      </c>
      <c r="F470" s="341">
        <v>2.1291101880896433</v>
      </c>
      <c r="G470" s="341">
        <v>2.3012480773905821</v>
      </c>
      <c r="H470" s="341">
        <v>2.4624302283110264</v>
      </c>
      <c r="I470" s="341">
        <v>2.6131257210101295</v>
      </c>
    </row>
    <row r="471" spans="3:9" ht="15" x14ac:dyDescent="0.2">
      <c r="C471" s="253"/>
      <c r="D471" s="215" t="s">
        <v>451</v>
      </c>
      <c r="E471" s="341">
        <v>6.8725827258461908E-2</v>
      </c>
      <c r="F471" s="341">
        <v>6.9361678571987051E-2</v>
      </c>
      <c r="G471" s="341">
        <v>7.0878440783629926E-2</v>
      </c>
      <c r="H471" s="341">
        <v>7.1723876831895711E-2</v>
      </c>
      <c r="I471" s="341">
        <v>7.0989915420775179E-2</v>
      </c>
    </row>
    <row r="472" spans="3:9" ht="15" x14ac:dyDescent="0.2">
      <c r="C472" s="252" t="s">
        <v>438</v>
      </c>
      <c r="D472" s="248" t="s">
        <v>452</v>
      </c>
      <c r="E472" s="340"/>
      <c r="F472" s="340"/>
      <c r="G472" s="340"/>
      <c r="H472" s="340"/>
      <c r="I472" s="340"/>
    </row>
    <row r="473" spans="3:9" ht="15" x14ac:dyDescent="0.2">
      <c r="C473" s="252"/>
      <c r="D473" s="214" t="s">
        <v>450</v>
      </c>
      <c r="E473" s="340">
        <v>1.9455294340682776</v>
      </c>
      <c r="F473" s="340">
        <v>2.1291101880896433</v>
      </c>
      <c r="G473" s="340">
        <v>2.3012480773905821</v>
      </c>
      <c r="H473" s="340">
        <v>2.4624302283110264</v>
      </c>
      <c r="I473" s="340">
        <v>2.3953652442592852</v>
      </c>
    </row>
    <row r="474" spans="3:9" ht="15" x14ac:dyDescent="0.2">
      <c r="C474" s="252"/>
      <c r="D474" s="214" t="s">
        <v>453</v>
      </c>
      <c r="E474" s="340">
        <v>0.18482529623648639</v>
      </c>
      <c r="F474" s="340">
        <v>0.18452288296776909</v>
      </c>
      <c r="G474" s="340">
        <v>0.18409984619124659</v>
      </c>
      <c r="H474" s="340">
        <v>0.18804012652556928</v>
      </c>
      <c r="I474" s="340">
        <v>0.19162921954074283</v>
      </c>
    </row>
    <row r="475" spans="3:9" ht="15" x14ac:dyDescent="0.2">
      <c r="C475" s="252"/>
      <c r="D475" s="214" t="s">
        <v>454</v>
      </c>
      <c r="E475" s="340">
        <v>4.8638235851706943E-2</v>
      </c>
      <c r="F475" s="340">
        <v>4.7786695332678666E-2</v>
      </c>
      <c r="G475" s="340">
        <v>5.5414053703565211E-2</v>
      </c>
      <c r="H475" s="340">
        <v>6.2680042175189771E-2</v>
      </c>
      <c r="I475" s="340">
        <v>6.6199184932256613E-2</v>
      </c>
    </row>
    <row r="476" spans="3:9" ht="15.75" thickBot="1" x14ac:dyDescent="0.25">
      <c r="C476" s="252"/>
      <c r="D476" s="214" t="s">
        <v>455</v>
      </c>
      <c r="E476" s="340">
        <v>0</v>
      </c>
      <c r="F476" s="340">
        <v>0</v>
      </c>
      <c r="G476" s="340">
        <v>0</v>
      </c>
      <c r="H476" s="340">
        <v>0</v>
      </c>
      <c r="I476" s="340">
        <v>0</v>
      </c>
    </row>
    <row r="477" spans="3:9" ht="15" x14ac:dyDescent="0.2">
      <c r="C477" s="317" t="s">
        <v>440</v>
      </c>
      <c r="D477" s="318" t="s">
        <v>456</v>
      </c>
      <c r="E477" s="342"/>
      <c r="F477" s="342"/>
      <c r="G477" s="342"/>
      <c r="H477" s="342"/>
      <c r="I477" s="343"/>
    </row>
    <row r="478" spans="3:9" ht="15" x14ac:dyDescent="0.2">
      <c r="C478" s="319"/>
      <c r="D478" s="215" t="s">
        <v>450</v>
      </c>
      <c r="E478" s="341">
        <v>2.4319117925853471</v>
      </c>
      <c r="F478" s="341">
        <v>2.6022457854428973</v>
      </c>
      <c r="G478" s="341">
        <v>2.7614976928686983</v>
      </c>
      <c r="H478" s="341">
        <v>2.9101448152766674</v>
      </c>
      <c r="I478" s="344">
        <v>3.0486466745118177</v>
      </c>
    </row>
    <row r="479" spans="3:9" ht="15" x14ac:dyDescent="0.2">
      <c r="C479" s="319"/>
      <c r="D479" s="215" t="s">
        <v>453</v>
      </c>
      <c r="E479" s="341">
        <v>0.2431911792585347</v>
      </c>
      <c r="F479" s="341">
        <v>0.24603051062369213</v>
      </c>
      <c r="G479" s="341">
        <v>0.24393229620340171</v>
      </c>
      <c r="H479" s="341">
        <v>0.24176587696144625</v>
      </c>
      <c r="I479" s="344">
        <v>0.2373589196584201</v>
      </c>
    </row>
    <row r="480" spans="3:9" ht="15" x14ac:dyDescent="0.2">
      <c r="C480" s="319"/>
      <c r="D480" s="215" t="s">
        <v>454</v>
      </c>
      <c r="E480" s="341">
        <v>5.5933971229462982E-2</v>
      </c>
      <c r="F480" s="341">
        <v>5.6776271682390488E-2</v>
      </c>
      <c r="G480" s="341">
        <v>6.0338724589181061E-2</v>
      </c>
      <c r="H480" s="341">
        <v>6.2680042175189771E-2</v>
      </c>
      <c r="I480" s="344">
        <v>6.2715017304243101E-2</v>
      </c>
    </row>
    <row r="481" spans="3:9" ht="15" x14ac:dyDescent="0.2">
      <c r="C481" s="319"/>
      <c r="D481" s="215" t="s">
        <v>455</v>
      </c>
      <c r="E481" s="341">
        <v>0</v>
      </c>
      <c r="F481" s="341">
        <v>0</v>
      </c>
      <c r="G481" s="341">
        <v>0</v>
      </c>
      <c r="H481" s="341">
        <v>0</v>
      </c>
      <c r="I481" s="344">
        <v>0</v>
      </c>
    </row>
    <row r="482" spans="3:9" ht="15" x14ac:dyDescent="0.2">
      <c r="C482" s="320" t="s">
        <v>442</v>
      </c>
      <c r="D482" s="248" t="s">
        <v>457</v>
      </c>
      <c r="E482" s="340"/>
      <c r="F482" s="340"/>
      <c r="G482" s="340"/>
      <c r="H482" s="340"/>
      <c r="I482" s="345"/>
    </row>
    <row r="483" spans="3:9" ht="15" x14ac:dyDescent="0.2">
      <c r="C483" s="320"/>
      <c r="D483" s="214" t="s">
        <v>450</v>
      </c>
      <c r="E483" s="340">
        <v>8.2685000947901806</v>
      </c>
      <c r="F483" s="340">
        <v>8.516440752358573</v>
      </c>
      <c r="G483" s="340">
        <v>8.7447426940842128</v>
      </c>
      <c r="H483" s="340">
        <v>8.7304344458300029</v>
      </c>
      <c r="I483" s="345">
        <v>8.7104190700337654</v>
      </c>
    </row>
    <row r="484" spans="3:9" ht="15" x14ac:dyDescent="0.2">
      <c r="C484" s="320"/>
      <c r="D484" s="214" t="s">
        <v>453</v>
      </c>
      <c r="E484" s="340">
        <v>0.29182941511024163</v>
      </c>
      <c r="F484" s="340">
        <v>0.30044110431931631</v>
      </c>
      <c r="G484" s="340">
        <v>0.29455975390599454</v>
      </c>
      <c r="H484" s="340">
        <v>0.31563878381077698</v>
      </c>
      <c r="I484" s="345">
        <v>0.33186696656828646</v>
      </c>
    </row>
    <row r="485" spans="3:9" ht="15" x14ac:dyDescent="0.2">
      <c r="C485" s="320"/>
      <c r="D485" s="214" t="s">
        <v>454</v>
      </c>
      <c r="E485" s="340">
        <v>7.78211773627311E-2</v>
      </c>
      <c r="F485" s="340">
        <v>9.462711947065082E-2</v>
      </c>
      <c r="G485" s="340">
        <v>9.9413916943273145E-2</v>
      </c>
      <c r="H485" s="340">
        <v>0.10297435500209746</v>
      </c>
      <c r="I485" s="345">
        <v>0.120475548241451</v>
      </c>
    </row>
    <row r="486" spans="3:9" ht="15" x14ac:dyDescent="0.2">
      <c r="C486" s="320"/>
      <c r="D486" s="214" t="s">
        <v>455</v>
      </c>
      <c r="E486" s="340">
        <v>0</v>
      </c>
      <c r="F486" s="340">
        <v>0</v>
      </c>
      <c r="G486" s="340">
        <v>0</v>
      </c>
      <c r="H486" s="340">
        <v>0</v>
      </c>
      <c r="I486" s="345">
        <v>0</v>
      </c>
    </row>
    <row r="487" spans="3:9" ht="15" x14ac:dyDescent="0.2">
      <c r="C487" s="319">
        <v>4</v>
      </c>
      <c r="D487" s="249" t="s">
        <v>458</v>
      </c>
      <c r="E487" s="341"/>
      <c r="F487" s="341"/>
      <c r="G487" s="341"/>
      <c r="H487" s="341"/>
      <c r="I487" s="344"/>
    </row>
    <row r="488" spans="3:9" ht="15" x14ac:dyDescent="0.2">
      <c r="C488" s="319"/>
      <c r="D488" s="215" t="s">
        <v>451</v>
      </c>
      <c r="E488" s="341">
        <v>9.5471993153315546E-2</v>
      </c>
      <c r="F488" s="341">
        <v>0.1417457473398667</v>
      </c>
      <c r="G488" s="341">
        <v>0.14716021205297294</v>
      </c>
      <c r="H488" s="341">
        <v>0.14652803002211504</v>
      </c>
      <c r="I488" s="344">
        <v>0.15290879364872173</v>
      </c>
    </row>
    <row r="489" spans="3:9" ht="15" x14ac:dyDescent="0.2">
      <c r="C489" s="320">
        <v>5</v>
      </c>
      <c r="D489" s="248" t="s">
        <v>446</v>
      </c>
      <c r="E489" s="340"/>
      <c r="F489" s="340"/>
      <c r="G489" s="340"/>
      <c r="H489" s="340"/>
      <c r="I489" s="345"/>
    </row>
    <row r="490" spans="3:9" ht="15" x14ac:dyDescent="0.2">
      <c r="C490" s="320"/>
      <c r="D490" s="214" t="s">
        <v>450</v>
      </c>
      <c r="E490" s="340">
        <v>92.412648118243183</v>
      </c>
      <c r="F490" s="340">
        <v>94.627119470650811</v>
      </c>
      <c r="G490" s="340">
        <v>101.25491540518561</v>
      </c>
      <c r="H490" s="340">
        <v>102.97435500209747</v>
      </c>
      <c r="I490" s="345">
        <v>104.52502884040517</v>
      </c>
    </row>
    <row r="491" spans="3:9" ht="15" x14ac:dyDescent="0.2">
      <c r="C491" s="320"/>
      <c r="D491" s="214" t="s">
        <v>451</v>
      </c>
      <c r="E491" s="340">
        <v>2.4319117925853471E-2</v>
      </c>
      <c r="F491" s="340">
        <v>2.6022457854428974E-2</v>
      </c>
      <c r="G491" s="340">
        <v>2.7614976928686984E-2</v>
      </c>
      <c r="H491" s="340">
        <v>2.9101448152766676E-2</v>
      </c>
      <c r="I491" s="345">
        <v>3.0486466745118179E-2</v>
      </c>
    </row>
    <row r="492" spans="3:9" ht="15" x14ac:dyDescent="0.2">
      <c r="C492" s="320"/>
      <c r="D492" s="214" t="s">
        <v>459</v>
      </c>
      <c r="E492" s="340">
        <v>14.591470755512082</v>
      </c>
      <c r="F492" s="340">
        <v>15.14033911530413</v>
      </c>
      <c r="G492" s="340">
        <v>15.648486926255957</v>
      </c>
      <c r="H492" s="340">
        <v>17.013154304694364</v>
      </c>
      <c r="I492" s="345">
        <v>17.420838140067531</v>
      </c>
    </row>
    <row r="493" spans="3:9" ht="15" x14ac:dyDescent="0.2">
      <c r="C493" s="320"/>
      <c r="D493" s="214" t="s">
        <v>460</v>
      </c>
      <c r="E493" s="340">
        <v>2.1400823774751054</v>
      </c>
      <c r="F493" s="340">
        <v>2.8388135841195243</v>
      </c>
      <c r="G493" s="340">
        <v>3.6819969238249315</v>
      </c>
      <c r="H493" s="340">
        <v>5.3725750435876938</v>
      </c>
      <c r="I493" s="345">
        <v>6.0972933490236354</v>
      </c>
    </row>
    <row r="494" spans="3:9" ht="15" x14ac:dyDescent="0.2">
      <c r="C494" s="319">
        <v>6</v>
      </c>
      <c r="D494" s="249" t="s">
        <v>447</v>
      </c>
      <c r="E494" s="341"/>
      <c r="F494" s="341"/>
      <c r="G494" s="341"/>
      <c r="H494" s="341"/>
      <c r="I494" s="344"/>
    </row>
    <row r="495" spans="3:9" ht="15" x14ac:dyDescent="0.2">
      <c r="C495" s="319"/>
      <c r="D495" s="215" t="s">
        <v>450</v>
      </c>
      <c r="E495" s="341">
        <v>107.00411887375527</v>
      </c>
      <c r="F495" s="341">
        <v>108.82118739124843</v>
      </c>
      <c r="G495" s="341">
        <v>110.45990771474794</v>
      </c>
      <c r="H495" s="341">
        <v>111.92864674141029</v>
      </c>
      <c r="I495" s="344">
        <v>113.23544791043894</v>
      </c>
    </row>
    <row r="496" spans="3:9" ht="15" x14ac:dyDescent="0.2">
      <c r="C496" s="319"/>
      <c r="D496" s="215" t="s">
        <v>451</v>
      </c>
      <c r="E496" s="341">
        <v>2.9182941511024164E-2</v>
      </c>
      <c r="F496" s="341">
        <v>3.0753813827961517E-2</v>
      </c>
      <c r="G496" s="341">
        <v>3.2217473083468152E-2</v>
      </c>
      <c r="H496" s="341">
        <v>3.3578594022423087E-2</v>
      </c>
      <c r="I496" s="344">
        <v>3.4841676280135063E-2</v>
      </c>
    </row>
    <row r="497" spans="2:16" ht="15" x14ac:dyDescent="0.2">
      <c r="C497" s="319"/>
      <c r="D497" s="215" t="s">
        <v>459</v>
      </c>
      <c r="E497" s="341">
        <v>6.3229706607219018</v>
      </c>
      <c r="F497" s="341">
        <v>7.5701695576520649</v>
      </c>
      <c r="G497" s="341">
        <v>8.2844930786060953</v>
      </c>
      <c r="H497" s="341">
        <v>9.8497209132441057</v>
      </c>
      <c r="I497" s="344">
        <v>10.452502884040518</v>
      </c>
    </row>
    <row r="498" spans="2:16" ht="15.75" thickBot="1" x14ac:dyDescent="0.25">
      <c r="C498" s="321"/>
      <c r="D498" s="322" t="s">
        <v>460</v>
      </c>
      <c r="E498" s="346">
        <v>1.7793666289280912</v>
      </c>
      <c r="F498" s="346">
        <v>2.0708577333435105</v>
      </c>
      <c r="G498" s="346">
        <v>2.4505254376747545</v>
      </c>
      <c r="H498" s="346">
        <v>3.6014653861561836</v>
      </c>
      <c r="I498" s="347">
        <v>4.3464991159468491</v>
      </c>
    </row>
    <row r="500" spans="2:16" s="6" customFormat="1" ht="18.75" x14ac:dyDescent="0.2">
      <c r="B500" s="6" t="s">
        <v>942</v>
      </c>
    </row>
    <row r="502" spans="2:16" s="121" customFormat="1" ht="15.75" x14ac:dyDescent="0.2">
      <c r="C502" s="121" t="s">
        <v>702</v>
      </c>
    </row>
    <row r="503" spans="2:16" ht="13.5" thickBot="1" x14ac:dyDescent="0.25"/>
    <row r="504" spans="2:16" ht="30" x14ac:dyDescent="0.2">
      <c r="D504" s="158" t="s">
        <v>461</v>
      </c>
      <c r="E504" s="219" t="s">
        <v>462</v>
      </c>
      <c r="F504" s="216" t="s">
        <v>463</v>
      </c>
      <c r="G504" s="216" t="s">
        <v>464</v>
      </c>
      <c r="H504" s="216" t="s">
        <v>465</v>
      </c>
      <c r="I504" s="216" t="s">
        <v>466</v>
      </c>
      <c r="J504" s="216" t="s">
        <v>467</v>
      </c>
      <c r="K504" s="76" t="s">
        <v>379</v>
      </c>
    </row>
    <row r="505" spans="2:16" ht="15.75" thickBot="1" x14ac:dyDescent="0.25">
      <c r="D505" s="221" t="s">
        <v>362</v>
      </c>
      <c r="E505" s="247" t="s">
        <v>468</v>
      </c>
      <c r="F505" s="254">
        <v>2529.9871259912493</v>
      </c>
      <c r="G505" s="254">
        <f t="shared" ref="G505:G515" si="0">F505*(1-M$507)</f>
        <v>2566.1676905437753</v>
      </c>
      <c r="H505" s="254">
        <f t="shared" ref="H505:H515" si="1">G505*(1-N$507)</f>
        <v>2589.8478593541136</v>
      </c>
      <c r="I505" s="254">
        <f t="shared" ref="I505:I515" si="2">H505*(1-O$507)</f>
        <v>2613.346146015147</v>
      </c>
      <c r="J505" s="254">
        <f t="shared" ref="J505:J515" si="3">I505*(1-P$507)</f>
        <v>2640.5756049051492</v>
      </c>
    </row>
    <row r="506" spans="2:16" ht="15.75" thickBot="1" x14ac:dyDescent="0.25">
      <c r="D506" s="224" t="s">
        <v>363</v>
      </c>
      <c r="E506" s="257" t="s">
        <v>468</v>
      </c>
      <c r="F506" s="255">
        <v>1077.1969731781414</v>
      </c>
      <c r="G506" s="255">
        <f t="shared" si="0"/>
        <v>1092.6016344206714</v>
      </c>
      <c r="H506" s="255">
        <f t="shared" si="1"/>
        <v>1102.68398065271</v>
      </c>
      <c r="I506" s="255">
        <f t="shared" si="2"/>
        <v>1112.6888866089885</v>
      </c>
      <c r="J506" s="255">
        <f t="shared" si="3"/>
        <v>1124.2824201871867</v>
      </c>
      <c r="M506" s="166" t="s">
        <v>315</v>
      </c>
      <c r="N506" s="166" t="s">
        <v>316</v>
      </c>
      <c r="O506" s="166" t="s">
        <v>317</v>
      </c>
      <c r="P506" s="166" t="s">
        <v>318</v>
      </c>
    </row>
    <row r="507" spans="2:16" ht="15" x14ac:dyDescent="0.2">
      <c r="D507" s="221" t="s">
        <v>364</v>
      </c>
      <c r="E507" s="247" t="s">
        <v>468</v>
      </c>
      <c r="F507" s="254">
        <v>172.34870317002884</v>
      </c>
      <c r="G507" s="254">
        <f t="shared" si="0"/>
        <v>174.81340874758953</v>
      </c>
      <c r="H507" s="254">
        <f t="shared" si="1"/>
        <v>176.42655781992332</v>
      </c>
      <c r="I507" s="254">
        <f t="shared" si="2"/>
        <v>178.02731665033039</v>
      </c>
      <c r="J507" s="254">
        <f t="shared" si="3"/>
        <v>179.88225175237159</v>
      </c>
      <c r="L507" s="200" t="s">
        <v>204</v>
      </c>
      <c r="M507" s="207">
        <v>-1.430069116986124E-2</v>
      </c>
      <c r="N507" s="207">
        <v>-9.2278337450817042E-3</v>
      </c>
      <c r="O507" s="207">
        <v>-9.0732305282571479E-3</v>
      </c>
      <c r="P507" s="207">
        <v>-1.0419384715462198E-2</v>
      </c>
    </row>
    <row r="508" spans="2:16" ht="15" x14ac:dyDescent="0.2">
      <c r="D508" s="224" t="s">
        <v>365</v>
      </c>
      <c r="E508" s="257" t="s">
        <v>468</v>
      </c>
      <c r="F508" s="255">
        <v>1983.076368876081</v>
      </c>
      <c r="G508" s="255">
        <f t="shared" si="0"/>
        <v>2011.4357315936279</v>
      </c>
      <c r="H508" s="255">
        <f t="shared" si="1"/>
        <v>2029.9969261136907</v>
      </c>
      <c r="I508" s="255">
        <f t="shared" si="2"/>
        <v>2048.4155561959737</v>
      </c>
      <c r="J508" s="255">
        <f t="shared" si="3"/>
        <v>2069.758785933117</v>
      </c>
    </row>
    <row r="509" spans="2:16" ht="30" x14ac:dyDescent="0.2">
      <c r="D509" s="221" t="s">
        <v>469</v>
      </c>
      <c r="E509" s="247" t="s">
        <v>468</v>
      </c>
      <c r="F509" s="254">
        <v>636.74024798932749</v>
      </c>
      <c r="G509" s="254">
        <f t="shared" si="0"/>
        <v>645.84607363124383</v>
      </c>
      <c r="H509" s="254">
        <f t="shared" si="1"/>
        <v>651.80583382362681</v>
      </c>
      <c r="I509" s="254">
        <f t="shared" si="2"/>
        <v>657.71981841357149</v>
      </c>
      <c r="J509" s="254">
        <f t="shared" si="3"/>
        <v>664.57285423660642</v>
      </c>
    </row>
    <row r="510" spans="2:16" ht="30" x14ac:dyDescent="0.2">
      <c r="D510" s="224" t="s">
        <v>470</v>
      </c>
      <c r="E510" s="257" t="s">
        <v>468</v>
      </c>
      <c r="F510" s="255">
        <v>1998.9544650882708</v>
      </c>
      <c r="G510" s="255">
        <f t="shared" si="0"/>
        <v>2027.5408955561136</v>
      </c>
      <c r="H510" s="255">
        <f t="shared" si="1"/>
        <v>2046.2507058516596</v>
      </c>
      <c r="I510" s="255">
        <f t="shared" si="2"/>
        <v>2064.8168102244608</v>
      </c>
      <c r="J510" s="255">
        <f t="shared" si="3"/>
        <v>2086.330930937143</v>
      </c>
    </row>
    <row r="511" spans="2:16" ht="15" x14ac:dyDescent="0.2">
      <c r="D511" s="221" t="s">
        <v>366</v>
      </c>
      <c r="E511" s="247" t="s">
        <v>468</v>
      </c>
      <c r="F511" s="254">
        <v>730.87132476315571</v>
      </c>
      <c r="G511" s="254">
        <f t="shared" si="0"/>
        <v>741.32328986350103</v>
      </c>
      <c r="H511" s="254">
        <f t="shared" si="1"/>
        <v>748.16409793371849</v>
      </c>
      <c r="I511" s="254">
        <f t="shared" si="2"/>
        <v>754.95236326723682</v>
      </c>
      <c r="J511" s="254">
        <f t="shared" si="3"/>
        <v>762.81850238196546</v>
      </c>
    </row>
    <row r="512" spans="2:16" ht="15" x14ac:dyDescent="0.2">
      <c r="D512" s="224" t="s">
        <v>367</v>
      </c>
      <c r="E512" s="257" t="s">
        <v>468</v>
      </c>
      <c r="F512" s="255">
        <v>87.63057962991337</v>
      </c>
      <c r="G512" s="255">
        <f t="shared" si="0"/>
        <v>88.883757486236703</v>
      </c>
      <c r="H512" s="255">
        <f t="shared" si="1"/>
        <v>89.703962022957853</v>
      </c>
      <c r="I512" s="255">
        <f t="shared" si="2"/>
        <v>90.517866749690185</v>
      </c>
      <c r="J512" s="255">
        <f t="shared" si="3"/>
        <v>91.46100722697814</v>
      </c>
    </row>
    <row r="513" spans="4:10" ht="15" x14ac:dyDescent="0.2">
      <c r="D513" s="221" t="s">
        <v>368</v>
      </c>
      <c r="E513" s="247" t="s">
        <v>468</v>
      </c>
      <c r="F513" s="254">
        <v>89.890889407827999</v>
      </c>
      <c r="G513" s="254">
        <f t="shared" si="0"/>
        <v>91.176391256233501</v>
      </c>
      <c r="H513" s="254">
        <f t="shared" si="1"/>
        <v>92.017751836222544</v>
      </c>
      <c r="I513" s="254">
        <f t="shared" si="2"/>
        <v>92.852650111324564</v>
      </c>
      <c r="J513" s="254">
        <f t="shared" si="3"/>
        <v>93.820117594684646</v>
      </c>
    </row>
    <row r="514" spans="4:10" ht="15" x14ac:dyDescent="0.2">
      <c r="D514" s="224" t="s">
        <v>471</v>
      </c>
      <c r="E514" s="257" t="s">
        <v>468</v>
      </c>
      <c r="F514" s="255">
        <v>706.5224554777559</v>
      </c>
      <c r="G514" s="255">
        <f t="shared" si="0"/>
        <v>716.62621491811535</v>
      </c>
      <c r="H514" s="255">
        <f t="shared" si="1"/>
        <v>723.23912248674696</v>
      </c>
      <c r="I514" s="255">
        <f t="shared" si="2"/>
        <v>729.80123777212373</v>
      </c>
      <c r="J514" s="255">
        <f t="shared" si="3"/>
        <v>737.40531763429192</v>
      </c>
    </row>
    <row r="515" spans="4:10" ht="15" x14ac:dyDescent="0.2">
      <c r="D515" s="221" t="s">
        <v>369</v>
      </c>
      <c r="E515" s="247" t="s">
        <v>468</v>
      </c>
      <c r="F515" s="254">
        <v>309.10139200619119</v>
      </c>
      <c r="G515" s="254">
        <f t="shared" si="0"/>
        <v>313.52175555344598</v>
      </c>
      <c r="H515" s="254">
        <f t="shared" si="1"/>
        <v>316.41488218915936</v>
      </c>
      <c r="I515" s="254">
        <f t="shared" si="2"/>
        <v>319.28578735783299</v>
      </c>
      <c r="J515" s="254">
        <f t="shared" si="3"/>
        <v>322.61254881049348</v>
      </c>
    </row>
    <row r="516" spans="4:10" ht="30" x14ac:dyDescent="0.2">
      <c r="D516" s="224" t="s">
        <v>472</v>
      </c>
      <c r="E516" s="257" t="s">
        <v>468</v>
      </c>
      <c r="F516" s="255">
        <v>1.23</v>
      </c>
      <c r="G516" s="255">
        <v>1.23</v>
      </c>
      <c r="H516" s="255">
        <v>1.23</v>
      </c>
      <c r="I516" s="255">
        <v>1.23</v>
      </c>
      <c r="J516" s="255">
        <v>1.23</v>
      </c>
    </row>
    <row r="517" spans="4:10" ht="15" x14ac:dyDescent="0.2">
      <c r="D517" s="221" t="s">
        <v>288</v>
      </c>
      <c r="E517" s="247" t="s">
        <v>468</v>
      </c>
      <c r="F517" s="254">
        <v>170.72046109510092</v>
      </c>
      <c r="G517" s="254">
        <f t="shared" ref="G517:G533" si="4">F517*(1-M$507)</f>
        <v>173.16188168559827</v>
      </c>
      <c r="H517" s="254">
        <f t="shared" ref="H517:H533" si="5">G517*(1-N$507)</f>
        <v>174.7597907407785</v>
      </c>
      <c r="I517" s="254">
        <f t="shared" ref="I517:I533" si="6">H517*(1-O$507)</f>
        <v>176.34542660923958</v>
      </c>
      <c r="J517" s="254">
        <f t="shared" ref="J517:J533" si="7">I517*(1-P$507)</f>
        <v>178.18283745189353</v>
      </c>
    </row>
    <row r="518" spans="4:10" ht="15" x14ac:dyDescent="0.2">
      <c r="D518" s="224" t="s">
        <v>289</v>
      </c>
      <c r="E518" s="257" t="s">
        <v>468</v>
      </c>
      <c r="F518" s="255">
        <v>56.906820365033639</v>
      </c>
      <c r="G518" s="255">
        <f t="shared" si="4"/>
        <v>57.720627228532763</v>
      </c>
      <c r="H518" s="255">
        <f t="shared" si="5"/>
        <v>58.2532635802595</v>
      </c>
      <c r="I518" s="255">
        <f t="shared" si="6"/>
        <v>58.781808869746527</v>
      </c>
      <c r="J518" s="255">
        <f t="shared" si="7"/>
        <v>59.394279150631178</v>
      </c>
    </row>
    <row r="519" spans="4:10" ht="15" x14ac:dyDescent="0.2">
      <c r="D519" s="221" t="s">
        <v>380</v>
      </c>
      <c r="E519" s="247" t="s">
        <v>468</v>
      </c>
      <c r="F519" s="254">
        <v>227.62728146013455</v>
      </c>
      <c r="G519" s="254">
        <f t="shared" si="4"/>
        <v>230.88250891413105</v>
      </c>
      <c r="H519" s="254">
        <f t="shared" si="5"/>
        <v>233.013054321038</v>
      </c>
      <c r="I519" s="254">
        <f t="shared" si="6"/>
        <v>235.12723547898611</v>
      </c>
      <c r="J519" s="254">
        <f t="shared" si="7"/>
        <v>237.57711660252471</v>
      </c>
    </row>
    <row r="520" spans="4:10" ht="15" x14ac:dyDescent="0.2">
      <c r="D520" s="224" t="s">
        <v>211</v>
      </c>
      <c r="E520" s="257" t="s">
        <v>468</v>
      </c>
      <c r="F520" s="255">
        <v>56.906820365033639</v>
      </c>
      <c r="G520" s="255">
        <f t="shared" si="4"/>
        <v>57.720627228532763</v>
      </c>
      <c r="H520" s="255">
        <f t="shared" si="5"/>
        <v>58.2532635802595</v>
      </c>
      <c r="I520" s="255">
        <f t="shared" si="6"/>
        <v>58.781808869746527</v>
      </c>
      <c r="J520" s="255">
        <f t="shared" si="7"/>
        <v>59.394279150631178</v>
      </c>
    </row>
    <row r="521" spans="4:10" ht="15" x14ac:dyDescent="0.2">
      <c r="D521" s="221" t="s">
        <v>370</v>
      </c>
      <c r="E521" s="247" t="s">
        <v>468</v>
      </c>
      <c r="F521" s="254">
        <v>756.88237183328067</v>
      </c>
      <c r="G521" s="254">
        <f t="shared" si="4"/>
        <v>767.70631288478057</v>
      </c>
      <c r="H521" s="254">
        <f t="shared" si="5"/>
        <v>774.79057910513097</v>
      </c>
      <c r="I521" s="254">
        <f t="shared" si="6"/>
        <v>781.82043264047377</v>
      </c>
      <c r="J521" s="254">
        <f t="shared" si="7"/>
        <v>789.96652050656394</v>
      </c>
    </row>
    <row r="522" spans="4:10" ht="15" x14ac:dyDescent="0.2">
      <c r="D522" s="224" t="s">
        <v>294</v>
      </c>
      <c r="E522" s="257" t="s">
        <v>468</v>
      </c>
      <c r="F522" s="255">
        <v>534.6201239946638</v>
      </c>
      <c r="G522" s="255">
        <f t="shared" si="4"/>
        <v>542.26556128110451</v>
      </c>
      <c r="H522" s="255">
        <f t="shared" si="5"/>
        <v>547.26949772628996</v>
      </c>
      <c r="I522" s="255">
        <f t="shared" si="6"/>
        <v>552.23500004024413</v>
      </c>
      <c r="J522" s="255">
        <f t="shared" si="7"/>
        <v>557.98894895900662</v>
      </c>
    </row>
    <row r="523" spans="4:10" ht="15" x14ac:dyDescent="0.2">
      <c r="D523" s="221" t="s">
        <v>283</v>
      </c>
      <c r="E523" s="247" t="s">
        <v>468</v>
      </c>
      <c r="F523" s="254">
        <v>419.1782411896686</v>
      </c>
      <c r="G523" s="254">
        <f t="shared" si="4"/>
        <v>425.1727797620477</v>
      </c>
      <c r="H523" s="254">
        <f t="shared" si="5"/>
        <v>429.09620348662611</v>
      </c>
      <c r="I523" s="254">
        <f t="shared" si="6"/>
        <v>432.98949225966027</v>
      </c>
      <c r="J523" s="254">
        <f t="shared" si="7"/>
        <v>437.50097635726627</v>
      </c>
    </row>
    <row r="524" spans="4:10" ht="15" x14ac:dyDescent="0.2">
      <c r="D524" s="224" t="s">
        <v>473</v>
      </c>
      <c r="E524" s="257" t="s">
        <v>468</v>
      </c>
      <c r="F524" s="255">
        <v>361.457299787171</v>
      </c>
      <c r="G524" s="255">
        <f t="shared" si="4"/>
        <v>366.62638900251932</v>
      </c>
      <c r="H524" s="255">
        <f t="shared" si="5"/>
        <v>370.00955636679424</v>
      </c>
      <c r="I524" s="255">
        <f t="shared" si="6"/>
        <v>373.36673836936836</v>
      </c>
      <c r="J524" s="255">
        <f t="shared" si="7"/>
        <v>377.25699005639609</v>
      </c>
    </row>
    <row r="525" spans="4:10" ht="15" x14ac:dyDescent="0.2">
      <c r="D525" s="221" t="s">
        <v>284</v>
      </c>
      <c r="E525" s="247" t="s">
        <v>468</v>
      </c>
      <c r="F525" s="254">
        <v>557.70850055566291</v>
      </c>
      <c r="G525" s="254">
        <f t="shared" si="4"/>
        <v>565.68411758491584</v>
      </c>
      <c r="H525" s="254">
        <f t="shared" si="5"/>
        <v>570.90415657422272</v>
      </c>
      <c r="I525" s="254">
        <f t="shared" si="6"/>
        <v>576.08410159636094</v>
      </c>
      <c r="J525" s="254">
        <f t="shared" si="7"/>
        <v>582.08654347935476</v>
      </c>
    </row>
    <row r="526" spans="4:10" ht="15" x14ac:dyDescent="0.2">
      <c r="D526" s="224" t="s">
        <v>285</v>
      </c>
      <c r="E526" s="257" t="s">
        <v>468</v>
      </c>
      <c r="F526" s="255">
        <v>557.70850055566291</v>
      </c>
      <c r="G526" s="255">
        <f t="shared" si="4"/>
        <v>565.68411758491584</v>
      </c>
      <c r="H526" s="255">
        <f t="shared" si="5"/>
        <v>570.90415657422272</v>
      </c>
      <c r="I526" s="255">
        <f t="shared" si="6"/>
        <v>576.08410159636094</v>
      </c>
      <c r="J526" s="255">
        <f t="shared" si="7"/>
        <v>582.08654347935476</v>
      </c>
    </row>
    <row r="527" spans="4:10" ht="15" x14ac:dyDescent="0.2">
      <c r="D527" s="221" t="s">
        <v>286</v>
      </c>
      <c r="E527" s="247" t="s">
        <v>468</v>
      </c>
      <c r="F527" s="254">
        <v>257.55960526267529</v>
      </c>
      <c r="G527" s="254">
        <f t="shared" si="4"/>
        <v>261.24288563536822</v>
      </c>
      <c r="H527" s="254">
        <f t="shared" si="5"/>
        <v>263.65359155109678</v>
      </c>
      <c r="I527" s="254">
        <f t="shared" si="6"/>
        <v>266.04578136684285</v>
      </c>
      <c r="J527" s="254">
        <f t="shared" si="7"/>
        <v>268.81781471482969</v>
      </c>
    </row>
    <row r="528" spans="4:10" ht="15" x14ac:dyDescent="0.2">
      <c r="D528" s="224" t="s">
        <v>474</v>
      </c>
      <c r="E528" s="257" t="s">
        <v>468</v>
      </c>
      <c r="F528" s="255">
        <v>59.446291864406575</v>
      </c>
      <c r="G528" s="255">
        <f t="shared" si="4"/>
        <v>60.296414925552895</v>
      </c>
      <c r="H528" s="255">
        <f t="shared" si="5"/>
        <v>60.852820217910363</v>
      </c>
      <c r="I528" s="255">
        <f t="shared" si="6"/>
        <v>61.404951884042056</v>
      </c>
      <c r="J528" s="255">
        <f t="shared" si="7"/>
        <v>62.044753701156331</v>
      </c>
    </row>
    <row r="529" spans="3:16" ht="15" x14ac:dyDescent="0.2">
      <c r="D529" s="221" t="s">
        <v>475</v>
      </c>
      <c r="E529" s="247" t="s">
        <v>468</v>
      </c>
      <c r="F529" s="254">
        <v>129.58776456714909</v>
      </c>
      <c r="G529" s="254">
        <f t="shared" si="4"/>
        <v>131.4409591676166</v>
      </c>
      <c r="H529" s="254">
        <f t="shared" si="5"/>
        <v>132.65387448610943</v>
      </c>
      <c r="I529" s="254">
        <f t="shared" si="6"/>
        <v>133.85747366978842</v>
      </c>
      <c r="J529" s="254">
        <f t="shared" si="7"/>
        <v>135.25218618499377</v>
      </c>
    </row>
    <row r="530" spans="3:16" ht="15" x14ac:dyDescent="0.2">
      <c r="D530" s="224" t="s">
        <v>287</v>
      </c>
      <c r="E530" s="257" t="s">
        <v>468</v>
      </c>
      <c r="F530" s="255">
        <v>303.73635838467328</v>
      </c>
      <c r="G530" s="255">
        <f t="shared" si="4"/>
        <v>308.07999824299083</v>
      </c>
      <c r="H530" s="255">
        <f t="shared" si="5"/>
        <v>310.92290924696221</v>
      </c>
      <c r="I530" s="255">
        <f t="shared" si="6"/>
        <v>313.74398447907629</v>
      </c>
      <c r="J530" s="255">
        <f t="shared" si="7"/>
        <v>317.01300375552574</v>
      </c>
    </row>
    <row r="531" spans="3:16" ht="15" x14ac:dyDescent="0.2">
      <c r="D531" s="221" t="s">
        <v>371</v>
      </c>
      <c r="E531" s="247" t="s">
        <v>468</v>
      </c>
      <c r="F531" s="254">
        <v>303.73635838467328</v>
      </c>
      <c r="G531" s="254">
        <f t="shared" si="4"/>
        <v>308.07999824299083</v>
      </c>
      <c r="H531" s="254">
        <f t="shared" si="5"/>
        <v>310.92290924696221</v>
      </c>
      <c r="I531" s="254">
        <f t="shared" si="6"/>
        <v>313.74398447907629</v>
      </c>
      <c r="J531" s="254">
        <f t="shared" si="7"/>
        <v>317.01300375552574</v>
      </c>
    </row>
    <row r="532" spans="3:16" ht="15" x14ac:dyDescent="0.2">
      <c r="D532" s="224" t="s">
        <v>372</v>
      </c>
      <c r="E532" s="257" t="s">
        <v>468</v>
      </c>
      <c r="F532" s="255">
        <v>0.60674552259609715</v>
      </c>
      <c r="G532" s="255">
        <f t="shared" si="4"/>
        <v>0.61542240293344008</v>
      </c>
      <c r="H532" s="255">
        <f t="shared" si="5"/>
        <v>0.62110141855070855</v>
      </c>
      <c r="I532" s="255">
        <f t="shared" si="6"/>
        <v>0.62673681490264677</v>
      </c>
      <c r="J532" s="255">
        <f t="shared" si="7"/>
        <v>0.63326702689246084</v>
      </c>
    </row>
    <row r="533" spans="3:16" ht="15.75" thickBot="1" x14ac:dyDescent="0.25">
      <c r="D533" s="220" t="s">
        <v>373</v>
      </c>
      <c r="E533" s="289" t="s">
        <v>468</v>
      </c>
      <c r="F533" s="259">
        <v>134.41082292667309</v>
      </c>
      <c r="G533" s="259">
        <f t="shared" si="4"/>
        <v>136.33299059523435</v>
      </c>
      <c r="H533" s="259">
        <f t="shared" si="5"/>
        <v>137.59104876641698</v>
      </c>
      <c r="I533" s="259">
        <f t="shared" si="6"/>
        <v>138.83944407049935</v>
      </c>
      <c r="J533" s="259">
        <f t="shared" si="7"/>
        <v>140.28606565195076</v>
      </c>
    </row>
    <row r="536" spans="3:16" s="121" customFormat="1" ht="15.75" x14ac:dyDescent="0.2">
      <c r="C536" s="121" t="s">
        <v>476</v>
      </c>
    </row>
    <row r="537" spans="3:16" ht="13.5" thickBot="1" x14ac:dyDescent="0.25"/>
    <row r="538" spans="3:16" ht="30" x14ac:dyDescent="0.2">
      <c r="D538" s="158" t="s">
        <v>461</v>
      </c>
      <c r="E538" s="219" t="s">
        <v>462</v>
      </c>
      <c r="F538" s="216" t="s">
        <v>477</v>
      </c>
      <c r="G538" s="216" t="s">
        <v>478</v>
      </c>
      <c r="H538" s="216" t="s">
        <v>479</v>
      </c>
      <c r="I538" s="216" t="s">
        <v>480</v>
      </c>
      <c r="J538" s="216" t="s">
        <v>481</v>
      </c>
      <c r="K538" s="76" t="s">
        <v>379</v>
      </c>
    </row>
    <row r="539" spans="3:16" ht="15.75" thickBot="1" x14ac:dyDescent="0.25">
      <c r="D539" s="159" t="s">
        <v>381</v>
      </c>
      <c r="E539" s="247"/>
      <c r="F539" s="222"/>
      <c r="G539" s="222"/>
      <c r="H539" s="222"/>
      <c r="I539" s="222"/>
      <c r="J539" s="222"/>
    </row>
    <row r="540" spans="3:16" ht="15.75" thickBot="1" x14ac:dyDescent="0.25">
      <c r="D540" s="224" t="s">
        <v>374</v>
      </c>
      <c r="E540" s="257" t="s">
        <v>482</v>
      </c>
      <c r="F540" s="255">
        <v>230.88376560999043</v>
      </c>
      <c r="G540" s="255">
        <f t="shared" ref="G540:J543" si="8">F540*(1-M$541)</f>
        <v>234.18556303811354</v>
      </c>
      <c r="H540" s="255">
        <f t="shared" si="8"/>
        <v>236.34658847932761</v>
      </c>
      <c r="I540" s="255">
        <f t="shared" si="8"/>
        <v>238.4910155611677</v>
      </c>
      <c r="J540" s="255">
        <f t="shared" si="8"/>
        <v>240.97594520348076</v>
      </c>
      <c r="M540" s="166" t="s">
        <v>315</v>
      </c>
      <c r="N540" s="166" t="s">
        <v>316</v>
      </c>
      <c r="O540" s="166" t="s">
        <v>317</v>
      </c>
      <c r="P540" s="166" t="s">
        <v>318</v>
      </c>
    </row>
    <row r="541" spans="3:16" ht="15" x14ac:dyDescent="0.2">
      <c r="D541" s="221" t="s">
        <v>375</v>
      </c>
      <c r="E541" s="247" t="s">
        <v>482</v>
      </c>
      <c r="F541" s="254">
        <v>113.81364073006726</v>
      </c>
      <c r="G541" s="254">
        <f t="shared" si="8"/>
        <v>115.44125445706551</v>
      </c>
      <c r="H541" s="254">
        <f t="shared" si="8"/>
        <v>116.50652716051898</v>
      </c>
      <c r="I541" s="254">
        <f t="shared" si="8"/>
        <v>117.56361773949304</v>
      </c>
      <c r="J541" s="254">
        <f t="shared" si="8"/>
        <v>118.78855830126234</v>
      </c>
      <c r="L541" s="200" t="s">
        <v>204</v>
      </c>
      <c r="M541" s="473">
        <v>-1.430069116986124E-2</v>
      </c>
      <c r="N541" s="473">
        <v>-9.2278337450817042E-3</v>
      </c>
      <c r="O541" s="473">
        <v>-9.0732305282571479E-3</v>
      </c>
      <c r="P541" s="473">
        <v>-1.0419384715462198E-2</v>
      </c>
    </row>
    <row r="542" spans="3:16" ht="15" x14ac:dyDescent="0.2">
      <c r="D542" s="224" t="s">
        <v>376</v>
      </c>
      <c r="E542" s="257" t="s">
        <v>482</v>
      </c>
      <c r="F542" s="255">
        <v>230.88376560999043</v>
      </c>
      <c r="G542" s="255">
        <f t="shared" si="8"/>
        <v>234.18556303811354</v>
      </c>
      <c r="H542" s="255">
        <f t="shared" si="8"/>
        <v>236.34658847932761</v>
      </c>
      <c r="I542" s="255">
        <f t="shared" si="8"/>
        <v>238.4910155611677</v>
      </c>
      <c r="J542" s="255">
        <f t="shared" si="8"/>
        <v>240.97594520348076</v>
      </c>
    </row>
    <row r="543" spans="3:16" ht="15" x14ac:dyDescent="0.2">
      <c r="D543" s="221" t="s">
        <v>377</v>
      </c>
      <c r="E543" s="247" t="s">
        <v>482</v>
      </c>
      <c r="F543" s="254">
        <v>252.92026897214225</v>
      </c>
      <c r="G543" s="254">
        <f t="shared" si="8"/>
        <v>256.53720362931114</v>
      </c>
      <c r="H543" s="254">
        <f t="shared" si="8"/>
        <v>258.90448629383059</v>
      </c>
      <c r="I543" s="254">
        <f t="shared" si="8"/>
        <v>261.25358638277453</v>
      </c>
      <c r="J543" s="254">
        <f t="shared" si="8"/>
        <v>263.97568800759086</v>
      </c>
    </row>
    <row r="544" spans="3:16" ht="15" x14ac:dyDescent="0.2">
      <c r="D544" s="159" t="s">
        <v>378</v>
      </c>
      <c r="E544" s="247"/>
      <c r="F544" s="222"/>
      <c r="G544" s="222"/>
      <c r="H544" s="222"/>
      <c r="I544" s="222"/>
      <c r="J544" s="222"/>
    </row>
    <row r="545" spans="2:11" ht="15" x14ac:dyDescent="0.2">
      <c r="D545" s="224" t="s">
        <v>374</v>
      </c>
      <c r="E545" s="257" t="s">
        <v>482</v>
      </c>
      <c r="F545" s="255">
        <v>292.81235690388996</v>
      </c>
      <c r="G545" s="255">
        <f t="shared" ref="G545:J548" si="9">F545*(1-M$541)</f>
        <v>296.99977599069172</v>
      </c>
      <c r="H545" s="255">
        <f t="shared" si="9"/>
        <v>299.74044054586034</v>
      </c>
      <c r="I545" s="255">
        <f t="shared" si="9"/>
        <v>302.4600546615743</v>
      </c>
      <c r="J545" s="255">
        <f t="shared" si="9"/>
        <v>305.61150233215295</v>
      </c>
    </row>
    <row r="546" spans="2:11" ht="15" x14ac:dyDescent="0.2">
      <c r="D546" s="221" t="s">
        <v>375</v>
      </c>
      <c r="E546" s="247" t="s">
        <v>482</v>
      </c>
      <c r="F546" s="254">
        <v>199.17387127761771</v>
      </c>
      <c r="G546" s="254">
        <f t="shared" si="9"/>
        <v>202.02219529986462</v>
      </c>
      <c r="H546" s="254">
        <f t="shared" si="9"/>
        <v>203.88642253090819</v>
      </c>
      <c r="I546" s="254">
        <f t="shared" si="9"/>
        <v>205.73633104411277</v>
      </c>
      <c r="J546" s="254">
        <f t="shared" si="9"/>
        <v>207.87997702720907</v>
      </c>
    </row>
    <row r="547" spans="2:11" ht="15" x14ac:dyDescent="0.2">
      <c r="D547" s="224" t="s">
        <v>376</v>
      </c>
      <c r="E547" s="257" t="s">
        <v>482</v>
      </c>
      <c r="F547" s="255">
        <v>292.81235690388996</v>
      </c>
      <c r="G547" s="255">
        <f t="shared" si="9"/>
        <v>296.99977599069172</v>
      </c>
      <c r="H547" s="255">
        <f t="shared" si="9"/>
        <v>299.74044054586034</v>
      </c>
      <c r="I547" s="255">
        <f t="shared" si="9"/>
        <v>302.4600546615743</v>
      </c>
      <c r="J547" s="255">
        <f t="shared" si="9"/>
        <v>305.61150233215295</v>
      </c>
    </row>
    <row r="548" spans="2:11" ht="15.75" thickBot="1" x14ac:dyDescent="0.25">
      <c r="D548" s="220" t="s">
        <v>377</v>
      </c>
      <c r="E548" s="289" t="s">
        <v>482</v>
      </c>
      <c r="F548" s="259">
        <v>349.57401688687804</v>
      </c>
      <c r="G548" s="259">
        <f t="shared" si="9"/>
        <v>354.57316694338516</v>
      </c>
      <c r="H548" s="259">
        <f t="shared" si="9"/>
        <v>357.84510917840583</v>
      </c>
      <c r="I548" s="259">
        <f t="shared" si="9"/>
        <v>361.0919203473909</v>
      </c>
      <c r="J548" s="259">
        <f t="shared" si="9"/>
        <v>364.85427598313538</v>
      </c>
    </row>
    <row r="550" spans="2:11" s="121" customFormat="1" ht="15.75" x14ac:dyDescent="0.2">
      <c r="C550" s="121" t="s">
        <v>483</v>
      </c>
    </row>
    <row r="551" spans="2:11" ht="13.5" thickBot="1" x14ac:dyDescent="0.25"/>
    <row r="552" spans="2:11" ht="30" x14ac:dyDescent="0.2">
      <c r="D552" s="158" t="s">
        <v>461</v>
      </c>
      <c r="E552" s="219" t="s">
        <v>462</v>
      </c>
      <c r="F552" s="216" t="s">
        <v>477</v>
      </c>
      <c r="G552" s="216" t="s">
        <v>478</v>
      </c>
      <c r="H552" s="216" t="s">
        <v>479</v>
      </c>
      <c r="I552" s="216" t="s">
        <v>480</v>
      </c>
      <c r="J552" s="216" t="s">
        <v>481</v>
      </c>
      <c r="K552" s="76" t="s">
        <v>1174</v>
      </c>
    </row>
    <row r="553" spans="2:11" ht="15" x14ac:dyDescent="0.2">
      <c r="D553" s="221" t="s">
        <v>279</v>
      </c>
      <c r="E553" s="247" t="s">
        <v>484</v>
      </c>
      <c r="F553" s="254">
        <v>82.253500493464514</v>
      </c>
      <c r="G553" s="254">
        <v>127.51331643673787</v>
      </c>
      <c r="H553" s="254">
        <v>127.51331643673784</v>
      </c>
      <c r="I553" s="254">
        <v>127.51331643673785</v>
      </c>
      <c r="J553" s="254">
        <v>127.51331643673784</v>
      </c>
    </row>
    <row r="554" spans="2:11" ht="30" x14ac:dyDescent="0.2">
      <c r="D554" s="224" t="s">
        <v>280</v>
      </c>
      <c r="E554" s="257" t="s">
        <v>484</v>
      </c>
      <c r="F554" s="255">
        <v>108.97685003125703</v>
      </c>
      <c r="G554" s="255">
        <v>168.94113294811953</v>
      </c>
      <c r="H554" s="255">
        <v>168.94113294811953</v>
      </c>
      <c r="I554" s="255">
        <v>168.94113294811953</v>
      </c>
      <c r="J554" s="255">
        <v>168.94113294811953</v>
      </c>
    </row>
    <row r="555" spans="2:11" ht="15" x14ac:dyDescent="0.2">
      <c r="D555" s="221" t="s">
        <v>281</v>
      </c>
      <c r="E555" s="247" t="s">
        <v>484</v>
      </c>
      <c r="F555" s="254">
        <v>434.89182862899219</v>
      </c>
      <c r="G555" s="254">
        <v>674.19014421308941</v>
      </c>
      <c r="H555" s="254">
        <v>674.19014421308941</v>
      </c>
      <c r="I555" s="254">
        <v>674.19014421308941</v>
      </c>
      <c r="J555" s="254">
        <v>674.19014421308952</v>
      </c>
    </row>
    <row r="556" spans="2:11" ht="15.75" thickBot="1" x14ac:dyDescent="0.25">
      <c r="D556" s="227" t="s">
        <v>282</v>
      </c>
      <c r="E556" s="258" t="s">
        <v>484</v>
      </c>
      <c r="F556" s="256">
        <v>1500.448918983554</v>
      </c>
      <c r="G556" s="256">
        <v>2326.0677862422785</v>
      </c>
      <c r="H556" s="256">
        <v>2326.0677862422781</v>
      </c>
      <c r="I556" s="256">
        <v>2326.0677862422781</v>
      </c>
      <c r="J556" s="256">
        <v>2326.0677862422781</v>
      </c>
    </row>
    <row r="558" spans="2:11" s="6" customFormat="1" ht="18.75" x14ac:dyDescent="0.2">
      <c r="B558" s="6" t="s">
        <v>703</v>
      </c>
    </row>
    <row r="560" spans="2:11" s="121" customFormat="1" ht="15.75" x14ac:dyDescent="0.2">
      <c r="C560" s="121" t="s">
        <v>704</v>
      </c>
    </row>
    <row r="562" spans="2:4" x14ac:dyDescent="0.2">
      <c r="D562" s="45" t="s">
        <v>664</v>
      </c>
    </row>
    <row r="564" spans="2:4" s="6" customFormat="1" ht="18.75" x14ac:dyDescent="0.2">
      <c r="B564" s="6" t="s">
        <v>705</v>
      </c>
    </row>
    <row r="566" spans="2:4" s="121" customFormat="1" ht="15.75" x14ac:dyDescent="0.2">
      <c r="C566" s="121" t="s">
        <v>706</v>
      </c>
    </row>
    <row r="568" spans="2:4" x14ac:dyDescent="0.2">
      <c r="D568" s="45" t="s">
        <v>664</v>
      </c>
    </row>
    <row r="569" spans="2:4" x14ac:dyDescent="0.2">
      <c r="D569" s="45"/>
    </row>
    <row r="570" spans="2:4" s="6" customFormat="1" ht="18.75" x14ac:dyDescent="0.2">
      <c r="B570" s="6" t="s">
        <v>707</v>
      </c>
    </row>
    <row r="571" spans="2:4" x14ac:dyDescent="0.2">
      <c r="D571" s="45"/>
    </row>
    <row r="572" spans="2:4" s="6" customFormat="1" ht="18.75" x14ac:dyDescent="0.2">
      <c r="B572" s="6" t="s">
        <v>708</v>
      </c>
    </row>
    <row r="573" spans="2:4" x14ac:dyDescent="0.2">
      <c r="D573" s="45"/>
    </row>
    <row r="574" spans="2:4" s="6" customFormat="1" ht="18.75" x14ac:dyDescent="0.2">
      <c r="B574" s="6" t="s">
        <v>709</v>
      </c>
    </row>
    <row r="575" spans="2:4" x14ac:dyDescent="0.2">
      <c r="D575" s="45"/>
    </row>
    <row r="576" spans="2:4" s="6" customFormat="1" ht="18.75" x14ac:dyDescent="0.2">
      <c r="B576" s="6" t="s">
        <v>710</v>
      </c>
    </row>
    <row r="578" spans="2:2" s="6" customFormat="1" ht="18.75" x14ac:dyDescent="0.2">
      <c r="B578" s="6" t="s">
        <v>711</v>
      </c>
    </row>
    <row r="580" spans="2:2" s="6" customFormat="1" ht="18.75" x14ac:dyDescent="0.2">
      <c r="B580" s="6" t="s">
        <v>712</v>
      </c>
    </row>
    <row r="582" spans="2:2" s="6" customFormat="1" ht="18.75" x14ac:dyDescent="0.2">
      <c r="B582" s="6" t="s">
        <v>43</v>
      </c>
    </row>
  </sheetData>
  <mergeCells count="10">
    <mergeCell ref="I60:I61"/>
    <mergeCell ref="I62:I63"/>
    <mergeCell ref="I64:I67"/>
    <mergeCell ref="I68:I71"/>
    <mergeCell ref="I72:I75"/>
    <mergeCell ref="C464:D465"/>
    <mergeCell ref="E464:I464"/>
    <mergeCell ref="I77:I80"/>
    <mergeCell ref="I81:I84"/>
    <mergeCell ref="I85:J85"/>
  </mergeCells>
  <hyperlinks>
    <hyperlink ref="B4" location="ToC!A1" display="ToC!A1" xr:uid="{12719F07-4278-4B29-9268-C92F1F8C9D49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BA9E7-C0F8-4FC1-BE2B-650B239F7B4B}">
  <sheetPr>
    <tabColor theme="3"/>
  </sheetPr>
  <dimension ref="A1:BB597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x14ac:dyDescent="0.2"/>
  <cols>
    <col min="1" max="3" width="3.7109375" customWidth="1"/>
    <col min="4" max="4" width="51.7109375" customWidth="1"/>
    <col min="5" max="12" width="13.5703125" customWidth="1"/>
    <col min="13" max="13" width="16.7109375" bestFit="1" customWidth="1"/>
    <col min="14" max="43" width="10.5703125" customWidth="1"/>
  </cols>
  <sheetData>
    <row r="1" spans="1:4" ht="23.25" x14ac:dyDescent="0.35">
      <c r="A1" s="52">
        <f>IF(SUM(A5:A597)&lt;&gt;0,1,0)</f>
        <v>0</v>
      </c>
      <c r="B1" s="16" t="s">
        <v>1600</v>
      </c>
    </row>
    <row r="2" spans="1:4" ht="15" x14ac:dyDescent="0.2">
      <c r="B2" s="34" t="str">
        <f>Model_Name</f>
        <v>Power and Water - Revised Proposal - Tables and Charts</v>
      </c>
    </row>
    <row r="3" spans="1:4" x14ac:dyDescent="0.2">
      <c r="B3" s="37" t="str">
        <f>"Model Checks:"&amp;IF(Model_Checks=0," OK"," Check")</f>
        <v>Model Checks: OK</v>
      </c>
    </row>
    <row r="4" spans="1:4" x14ac:dyDescent="0.2">
      <c r="B4" s="29" t="str">
        <f>ToC!$B$1</f>
        <v>Table of contents</v>
      </c>
    </row>
    <row r="5" spans="1:4" x14ac:dyDescent="0.2">
      <c r="B5" t="s">
        <v>237</v>
      </c>
    </row>
    <row r="6" spans="1:4" s="6" customFormat="1" ht="18.75" x14ac:dyDescent="0.2">
      <c r="B6" s="6" t="s">
        <v>393</v>
      </c>
    </row>
    <row r="8" spans="1:4" s="6" customFormat="1" ht="18.75" x14ac:dyDescent="0.2">
      <c r="B8" s="6" t="s">
        <v>159</v>
      </c>
    </row>
    <row r="10" spans="1:4" s="121" customFormat="1" ht="15.75" x14ac:dyDescent="0.2">
      <c r="C10" s="121" t="s">
        <v>714</v>
      </c>
    </row>
    <row r="12" spans="1:4" x14ac:dyDescent="0.2">
      <c r="D12" s="45" t="s">
        <v>664</v>
      </c>
    </row>
    <row r="14" spans="1:4" s="6" customFormat="1" ht="18.75" x14ac:dyDescent="0.2">
      <c r="B14" s="6" t="s">
        <v>713</v>
      </c>
    </row>
    <row r="16" spans="1:4" s="6" customFormat="1" ht="18.75" x14ac:dyDescent="0.2">
      <c r="B16" s="6" t="s">
        <v>715</v>
      </c>
    </row>
    <row r="18" spans="2:4" s="121" customFormat="1" ht="15.75" x14ac:dyDescent="0.2">
      <c r="C18" s="121" t="s">
        <v>716</v>
      </c>
    </row>
    <row r="20" spans="2:4" x14ac:dyDescent="0.2">
      <c r="D20" s="45" t="s">
        <v>664</v>
      </c>
    </row>
    <row r="22" spans="2:4" s="121" customFormat="1" ht="15.75" x14ac:dyDescent="0.2">
      <c r="C22" s="121" t="s">
        <v>717</v>
      </c>
    </row>
    <row r="24" spans="2:4" x14ac:dyDescent="0.2">
      <c r="D24" s="45" t="s">
        <v>664</v>
      </c>
    </row>
    <row r="26" spans="2:4" s="121" customFormat="1" ht="15.75" x14ac:dyDescent="0.2">
      <c r="C26" s="121" t="s">
        <v>718</v>
      </c>
    </row>
    <row r="28" spans="2:4" x14ac:dyDescent="0.2">
      <c r="D28" s="45" t="s">
        <v>664</v>
      </c>
    </row>
    <row r="30" spans="2:4" s="6" customFormat="1" ht="18.75" x14ac:dyDescent="0.2">
      <c r="B30" s="6" t="s">
        <v>719</v>
      </c>
    </row>
    <row r="32" spans="2:4" s="6" customFormat="1" ht="18.75" x14ac:dyDescent="0.2">
      <c r="B32" s="6" t="s">
        <v>720</v>
      </c>
    </row>
    <row r="34" spans="2:4" s="6" customFormat="1" ht="18.75" x14ac:dyDescent="0.2">
      <c r="B34" s="6" t="s">
        <v>721</v>
      </c>
    </row>
    <row r="36" spans="2:4" s="121" customFormat="1" ht="15.75" x14ac:dyDescent="0.2">
      <c r="C36" s="121" t="s">
        <v>722</v>
      </c>
    </row>
    <row r="38" spans="2:4" x14ac:dyDescent="0.2">
      <c r="D38" s="45" t="s">
        <v>664</v>
      </c>
    </row>
    <row r="40" spans="2:4" s="6" customFormat="1" ht="18.75" x14ac:dyDescent="0.2">
      <c r="B40" s="6" t="s">
        <v>723</v>
      </c>
    </row>
    <row r="42" spans="2:4" s="121" customFormat="1" ht="15.75" x14ac:dyDescent="0.2">
      <c r="C42" s="121" t="s">
        <v>724</v>
      </c>
    </row>
    <row r="44" spans="2:4" x14ac:dyDescent="0.2">
      <c r="D44" s="45" t="s">
        <v>664</v>
      </c>
    </row>
    <row r="46" spans="2:4" s="6" customFormat="1" ht="18.75" x14ac:dyDescent="0.2">
      <c r="B46" s="6" t="s">
        <v>725</v>
      </c>
    </row>
    <row r="48" spans="2:4" s="6" customFormat="1" ht="18.75" x14ac:dyDescent="0.2">
      <c r="B48" s="6" t="s">
        <v>726</v>
      </c>
    </row>
    <row r="50" spans="3:25" s="121" customFormat="1" ht="15.75" x14ac:dyDescent="0.2">
      <c r="C50" s="121" t="s">
        <v>727</v>
      </c>
    </row>
    <row r="52" spans="3:25" x14ac:dyDescent="0.2">
      <c r="D52" s="45" t="s">
        <v>664</v>
      </c>
    </row>
    <row r="54" spans="3:25" s="121" customFormat="1" ht="15.75" x14ac:dyDescent="0.2">
      <c r="C54" s="121" t="s">
        <v>728</v>
      </c>
    </row>
    <row r="56" spans="3:25" x14ac:dyDescent="0.2">
      <c r="D56" s="45" t="s">
        <v>664</v>
      </c>
    </row>
    <row r="58" spans="3:25" s="121" customFormat="1" ht="15.75" x14ac:dyDescent="0.2">
      <c r="C58" s="121" t="s">
        <v>729</v>
      </c>
    </row>
    <row r="60" spans="3:25" x14ac:dyDescent="0.2">
      <c r="D60" s="45" t="s">
        <v>664</v>
      </c>
    </row>
    <row r="62" spans="3:25" s="121" customFormat="1" ht="15.75" x14ac:dyDescent="0.2">
      <c r="C62" s="121" t="s">
        <v>485</v>
      </c>
    </row>
    <row r="64" spans="3:25" x14ac:dyDescent="0.2">
      <c r="P64" s="170" t="s">
        <v>230</v>
      </c>
      <c r="Q64" s="170"/>
      <c r="R64" s="170"/>
      <c r="S64" s="170"/>
      <c r="T64" s="170"/>
      <c r="U64" s="170" t="s">
        <v>382</v>
      </c>
      <c r="V64" s="170"/>
      <c r="W64" s="170"/>
      <c r="X64" s="170"/>
      <c r="Y64" s="170"/>
    </row>
    <row r="65" spans="15:25" x14ac:dyDescent="0.2">
      <c r="P65" s="271" t="str">
        <f>LookupTab!R$42</f>
        <v>Actual</v>
      </c>
      <c r="Q65" s="209"/>
      <c r="R65" s="209"/>
      <c r="S65" s="271" t="str">
        <f>LookupTab!V$42</f>
        <v>Estimate</v>
      </c>
      <c r="T65" s="271"/>
      <c r="U65" s="271" t="str">
        <f>LookupTab!W$42</f>
        <v>Forecast</v>
      </c>
      <c r="V65" s="209"/>
      <c r="W65" s="209"/>
      <c r="X65" s="209"/>
      <c r="Y65" s="209"/>
    </row>
    <row r="66" spans="15:25" x14ac:dyDescent="0.2">
      <c r="P66" s="169" t="str">
        <f>LookupTab!R$43</f>
        <v>2019/20</v>
      </c>
      <c r="Q66" s="169" t="str">
        <f>LookupTab!S$43</f>
        <v>2020/21</v>
      </c>
      <c r="R66" s="169" t="str">
        <f>LookupTab!T$43</f>
        <v>2021/22</v>
      </c>
      <c r="S66" s="169" t="str">
        <f>LookupTab!U$43</f>
        <v>2022/23</v>
      </c>
      <c r="T66" s="169" t="str">
        <f>LookupTab!V$43</f>
        <v>2023/24</v>
      </c>
      <c r="U66" s="169" t="str">
        <f>LookupTab!W$43</f>
        <v>2024/25</v>
      </c>
      <c r="V66" s="169" t="str">
        <f>LookupTab!X$43</f>
        <v>2025/26</v>
      </c>
      <c r="W66" s="169" t="str">
        <f>LookupTab!Y$43</f>
        <v>2026/27</v>
      </c>
      <c r="X66" s="169" t="str">
        <f>LookupTab!Z$43</f>
        <v>2027/28</v>
      </c>
      <c r="Y66" s="169" t="str">
        <f>LookupTab!AA$43</f>
        <v>2028/29</v>
      </c>
    </row>
    <row r="67" spans="15:25" x14ac:dyDescent="0.2">
      <c r="O67" s="272" t="s">
        <v>526</v>
      </c>
      <c r="P67" s="57">
        <v>13185</v>
      </c>
      <c r="Q67" s="57">
        <v>16513</v>
      </c>
      <c r="R67" s="57">
        <v>19014.248979533069</v>
      </c>
      <c r="S67" s="269" t="e">
        <f>NA()</f>
        <v>#N/A</v>
      </c>
      <c r="T67" s="269" t="e">
        <f>NA()</f>
        <v>#N/A</v>
      </c>
      <c r="U67" s="269" t="e">
        <f>NA()</f>
        <v>#N/A</v>
      </c>
      <c r="V67" s="269" t="e">
        <f>NA()</f>
        <v>#N/A</v>
      </c>
      <c r="W67" s="269" t="e">
        <f>NA()</f>
        <v>#N/A</v>
      </c>
      <c r="X67" s="269" t="e">
        <f>NA()</f>
        <v>#N/A</v>
      </c>
      <c r="Y67" s="269" t="e">
        <f>NA()</f>
        <v>#N/A</v>
      </c>
    </row>
    <row r="68" spans="15:25" x14ac:dyDescent="0.2">
      <c r="O68" s="272" t="s">
        <v>527</v>
      </c>
      <c r="P68" s="269" t="e">
        <f>NA()</f>
        <v>#N/A</v>
      </c>
      <c r="Q68" s="269" t="e">
        <f>NA()</f>
        <v>#N/A</v>
      </c>
      <c r="R68" s="269" t="e">
        <f>NA()</f>
        <v>#N/A</v>
      </c>
      <c r="S68" s="57">
        <v>20834.226041842332</v>
      </c>
      <c r="T68" s="57">
        <v>22838.757417753688</v>
      </c>
      <c r="U68" s="57">
        <v>24940.91699164172</v>
      </c>
      <c r="V68" s="57">
        <v>27131.894351325442</v>
      </c>
      <c r="W68" s="57">
        <v>29401.599042069185</v>
      </c>
      <c r="X68" s="57">
        <v>31738.748308443613</v>
      </c>
      <c r="Y68" s="57">
        <v>34122.872649459547</v>
      </c>
    </row>
    <row r="70" spans="15:25" x14ac:dyDescent="0.2">
      <c r="O70" s="147" t="s">
        <v>522</v>
      </c>
      <c r="P70" s="270" t="s">
        <v>528</v>
      </c>
    </row>
    <row r="71" spans="15:25" x14ac:dyDescent="0.2">
      <c r="O71" s="147"/>
    </row>
    <row r="72" spans="15:25" x14ac:dyDescent="0.2">
      <c r="O72" s="147"/>
    </row>
    <row r="82" spans="1:54" s="121" customFormat="1" ht="15.75" x14ac:dyDescent="0.2">
      <c r="C82" s="121" t="s">
        <v>486</v>
      </c>
    </row>
    <row r="84" spans="1:54" x14ac:dyDescent="0.2">
      <c r="N84">
        <v>2010</v>
      </c>
      <c r="O84">
        <f>N84+1</f>
        <v>2011</v>
      </c>
      <c r="P84">
        <f t="shared" ref="P84:AW84" si="0">O84+1</f>
        <v>2012</v>
      </c>
      <c r="Q84">
        <f t="shared" si="0"/>
        <v>2013</v>
      </c>
      <c r="R84">
        <f t="shared" si="0"/>
        <v>2014</v>
      </c>
      <c r="S84">
        <f t="shared" si="0"/>
        <v>2015</v>
      </c>
      <c r="T84">
        <f t="shared" si="0"/>
        <v>2016</v>
      </c>
      <c r="U84">
        <f t="shared" si="0"/>
        <v>2017</v>
      </c>
      <c r="V84">
        <f t="shared" si="0"/>
        <v>2018</v>
      </c>
      <c r="W84">
        <f t="shared" si="0"/>
        <v>2019</v>
      </c>
      <c r="X84">
        <f t="shared" si="0"/>
        <v>2020</v>
      </c>
      <c r="Y84">
        <f t="shared" si="0"/>
        <v>2021</v>
      </c>
      <c r="Z84">
        <f t="shared" si="0"/>
        <v>2022</v>
      </c>
      <c r="AA84">
        <f t="shared" si="0"/>
        <v>2023</v>
      </c>
      <c r="AB84">
        <f t="shared" si="0"/>
        <v>2024</v>
      </c>
      <c r="AC84">
        <f t="shared" si="0"/>
        <v>2025</v>
      </c>
      <c r="AD84">
        <f t="shared" si="0"/>
        <v>2026</v>
      </c>
      <c r="AE84">
        <f t="shared" si="0"/>
        <v>2027</v>
      </c>
      <c r="AF84">
        <f t="shared" si="0"/>
        <v>2028</v>
      </c>
      <c r="AG84">
        <f t="shared" si="0"/>
        <v>2029</v>
      </c>
      <c r="AH84">
        <f t="shared" si="0"/>
        <v>2030</v>
      </c>
      <c r="AI84">
        <f t="shared" si="0"/>
        <v>2031</v>
      </c>
      <c r="AJ84">
        <f t="shared" si="0"/>
        <v>2032</v>
      </c>
      <c r="AK84">
        <f t="shared" si="0"/>
        <v>2033</v>
      </c>
      <c r="AL84">
        <f t="shared" si="0"/>
        <v>2034</v>
      </c>
      <c r="AM84">
        <f t="shared" si="0"/>
        <v>2035</v>
      </c>
      <c r="AN84">
        <f t="shared" si="0"/>
        <v>2036</v>
      </c>
      <c r="AO84">
        <f t="shared" si="0"/>
        <v>2037</v>
      </c>
      <c r="AP84">
        <f t="shared" si="0"/>
        <v>2038</v>
      </c>
      <c r="AQ84">
        <f t="shared" si="0"/>
        <v>2039</v>
      </c>
      <c r="AR84">
        <f t="shared" si="0"/>
        <v>2040</v>
      </c>
      <c r="AS84">
        <f t="shared" si="0"/>
        <v>2041</v>
      </c>
      <c r="AT84">
        <f t="shared" si="0"/>
        <v>2042</v>
      </c>
      <c r="AU84">
        <f t="shared" si="0"/>
        <v>2043</v>
      </c>
      <c r="AV84">
        <f t="shared" si="0"/>
        <v>2044</v>
      </c>
      <c r="AW84">
        <f t="shared" si="0"/>
        <v>2045</v>
      </c>
      <c r="AX84">
        <f>AW84+1</f>
        <v>2046</v>
      </c>
      <c r="AY84">
        <f>AX84+1</f>
        <v>2047</v>
      </c>
      <c r="AZ84">
        <f>AY84+1</f>
        <v>2048</v>
      </c>
      <c r="BA84">
        <f>AZ84+1</f>
        <v>2049</v>
      </c>
      <c r="BB84">
        <f>BA84+1</f>
        <v>2050</v>
      </c>
    </row>
    <row r="85" spans="1:54" x14ac:dyDescent="0.2">
      <c r="L85" s="108"/>
      <c r="N85" s="169" t="str">
        <f>LEFT(N84,4)-1&amp;"/"&amp;RIGHT(N84,2)</f>
        <v>2009/10</v>
      </c>
      <c r="O85" s="169" t="str">
        <f t="shared" ref="O85:AW85" si="1">LEFT(O84,4)-1&amp;"/"&amp;RIGHT(O84,2)</f>
        <v>2010/11</v>
      </c>
      <c r="P85" s="169" t="str">
        <f t="shared" si="1"/>
        <v>2011/12</v>
      </c>
      <c r="Q85" s="169" t="str">
        <f t="shared" si="1"/>
        <v>2012/13</v>
      </c>
      <c r="R85" s="169" t="str">
        <f t="shared" si="1"/>
        <v>2013/14</v>
      </c>
      <c r="S85" s="169" t="str">
        <f t="shared" si="1"/>
        <v>2014/15</v>
      </c>
      <c r="T85" s="169" t="str">
        <f t="shared" si="1"/>
        <v>2015/16</v>
      </c>
      <c r="U85" s="169" t="str">
        <f t="shared" si="1"/>
        <v>2016/17</v>
      </c>
      <c r="V85" s="169" t="str">
        <f t="shared" si="1"/>
        <v>2017/18</v>
      </c>
      <c r="W85" s="169" t="str">
        <f t="shared" si="1"/>
        <v>2018/19</v>
      </c>
      <c r="X85" s="169" t="str">
        <f t="shared" si="1"/>
        <v>2019/20</v>
      </c>
      <c r="Y85" s="169" t="str">
        <f t="shared" si="1"/>
        <v>2020/21</v>
      </c>
      <c r="Z85" s="169" t="str">
        <f t="shared" si="1"/>
        <v>2021/22</v>
      </c>
      <c r="AA85" s="169" t="str">
        <f t="shared" si="1"/>
        <v>2022/23</v>
      </c>
      <c r="AB85" s="169" t="str">
        <f t="shared" si="1"/>
        <v>2023/24</v>
      </c>
      <c r="AC85" s="169" t="str">
        <f t="shared" si="1"/>
        <v>2024/25</v>
      </c>
      <c r="AD85" s="169" t="str">
        <f t="shared" si="1"/>
        <v>2025/26</v>
      </c>
      <c r="AE85" s="169" t="str">
        <f t="shared" si="1"/>
        <v>2026/27</v>
      </c>
      <c r="AF85" s="169" t="str">
        <f t="shared" si="1"/>
        <v>2027/28</v>
      </c>
      <c r="AG85" s="169" t="str">
        <f t="shared" si="1"/>
        <v>2028/29</v>
      </c>
      <c r="AH85" s="169" t="str">
        <f t="shared" si="1"/>
        <v>2029/30</v>
      </c>
      <c r="AI85" s="169" t="str">
        <f t="shared" si="1"/>
        <v>2030/31</v>
      </c>
      <c r="AJ85" s="169" t="str">
        <f t="shared" si="1"/>
        <v>2031/32</v>
      </c>
      <c r="AK85" s="169" t="str">
        <f t="shared" si="1"/>
        <v>2032/33</v>
      </c>
      <c r="AL85" s="169" t="str">
        <f t="shared" si="1"/>
        <v>2033/34</v>
      </c>
      <c r="AM85" s="169" t="str">
        <f t="shared" si="1"/>
        <v>2034/35</v>
      </c>
      <c r="AN85" s="169" t="str">
        <f t="shared" si="1"/>
        <v>2035/36</v>
      </c>
      <c r="AO85" s="169" t="str">
        <f t="shared" si="1"/>
        <v>2036/37</v>
      </c>
      <c r="AP85" s="169" t="str">
        <f t="shared" si="1"/>
        <v>2037/38</v>
      </c>
      <c r="AQ85" s="169" t="str">
        <f t="shared" si="1"/>
        <v>2038/39</v>
      </c>
      <c r="AR85" s="169" t="str">
        <f t="shared" si="1"/>
        <v>2039/40</v>
      </c>
      <c r="AS85" s="169" t="str">
        <f t="shared" si="1"/>
        <v>2040/41</v>
      </c>
      <c r="AT85" s="169" t="str">
        <f t="shared" si="1"/>
        <v>2041/42</v>
      </c>
      <c r="AU85" s="169" t="str">
        <f t="shared" si="1"/>
        <v>2042/43</v>
      </c>
      <c r="AV85" s="169" t="str">
        <f t="shared" si="1"/>
        <v>2043/44</v>
      </c>
      <c r="AW85" s="169" t="str">
        <f t="shared" si="1"/>
        <v>2044/45</v>
      </c>
      <c r="AX85" s="169" t="str">
        <f>LEFT(AX84,4)-1&amp;"/"&amp;RIGHT(AX84,2)</f>
        <v>2045/46</v>
      </c>
      <c r="AY85" s="169" t="str">
        <f>LEFT(AY84,4)-1&amp;"/"&amp;RIGHT(AY84,2)</f>
        <v>2046/47</v>
      </c>
      <c r="AZ85" s="169" t="str">
        <f>LEFT(AZ84,4)-1&amp;"/"&amp;RIGHT(AZ84,2)</f>
        <v>2047/48</v>
      </c>
      <c r="BA85" s="169" t="str">
        <f>LEFT(BA84,4)-1&amp;"/"&amp;RIGHT(BA84,2)</f>
        <v>2048/49</v>
      </c>
      <c r="BB85" s="169" t="str">
        <f>LEFT(BB84,4)-1&amp;"/"&amp;RIGHT(BB84,2)</f>
        <v>2049/50</v>
      </c>
    </row>
    <row r="86" spans="1:54" x14ac:dyDescent="0.2">
      <c r="L86" s="108"/>
      <c r="M86" s="108" t="s">
        <v>632</v>
      </c>
      <c r="N86" s="281">
        <v>0</v>
      </c>
      <c r="O86" s="281">
        <v>1E-3</v>
      </c>
      <c r="P86" s="281">
        <v>2.5000000000000001E-3</v>
      </c>
      <c r="Q86" s="281">
        <v>5.0000000000000001E-3</v>
      </c>
      <c r="R86" s="281">
        <v>7.4999999999999997E-3</v>
      </c>
      <c r="S86" s="281">
        <v>0.01</v>
      </c>
      <c r="T86" s="281">
        <v>1.2999999999999999E-2</v>
      </c>
      <c r="U86" s="281">
        <v>0.02</v>
      </c>
      <c r="V86" s="281">
        <v>2.8000000000000001E-2</v>
      </c>
      <c r="W86" s="281">
        <v>0.04</v>
      </c>
      <c r="X86" s="281">
        <v>5.8000000000000003E-2</v>
      </c>
      <c r="Y86" s="281">
        <v>8.2000000000000003E-2</v>
      </c>
      <c r="Z86" s="281">
        <v>9.9000000000000005E-2</v>
      </c>
      <c r="AA86" s="281">
        <v>0.122</v>
      </c>
      <c r="AB86" s="281">
        <v>0.15</v>
      </c>
      <c r="AC86" s="281">
        <v>0.185</v>
      </c>
      <c r="AD86" s="281">
        <v>0.22800000000000001</v>
      </c>
      <c r="AE86" s="281">
        <v>0.26500000000000001</v>
      </c>
      <c r="AF86" s="281">
        <v>0.29899999999999999</v>
      </c>
      <c r="AG86" s="281">
        <v>0.33300000000000002</v>
      </c>
      <c r="AH86" s="281">
        <v>0.36499999999999999</v>
      </c>
      <c r="AI86" s="281">
        <v>0.39900000000000002</v>
      </c>
      <c r="AJ86" s="281">
        <v>0.42599999999999999</v>
      </c>
      <c r="AK86" s="281">
        <v>0.45100000000000001</v>
      </c>
      <c r="AL86" s="281">
        <v>0.47</v>
      </c>
      <c r="AM86" s="281">
        <v>0.49</v>
      </c>
      <c r="AN86" s="281">
        <v>0.51</v>
      </c>
      <c r="AO86" s="281">
        <v>0.52900000000000003</v>
      </c>
      <c r="AP86" s="281">
        <v>0.54700000000000004</v>
      </c>
      <c r="AQ86" s="281">
        <v>0.56000000000000005</v>
      </c>
      <c r="AR86" s="281">
        <v>0.57199999999999995</v>
      </c>
      <c r="AS86" s="281">
        <v>0.58099999999999996</v>
      </c>
      <c r="AT86" s="281">
        <v>0.59</v>
      </c>
      <c r="AU86" s="281">
        <v>0.59799999999999998</v>
      </c>
      <c r="AV86" s="281">
        <v>0.60499999999999998</v>
      </c>
      <c r="AW86" s="281">
        <v>0.61099999999999999</v>
      </c>
      <c r="AX86" s="281">
        <v>0.61499999999999999</v>
      </c>
      <c r="AY86" s="281">
        <v>0.61799999999999999</v>
      </c>
      <c r="AZ86" s="281">
        <v>0.621</v>
      </c>
      <c r="BA86" s="281">
        <v>0.623</v>
      </c>
      <c r="BB86" s="281">
        <v>0.625</v>
      </c>
    </row>
    <row r="87" spans="1:54" x14ac:dyDescent="0.2">
      <c r="L87" s="108"/>
      <c r="M87" s="108" t="s">
        <v>633</v>
      </c>
      <c r="N87" s="281">
        <v>0</v>
      </c>
      <c r="O87" s="281">
        <v>1E-4</v>
      </c>
      <c r="P87" s="281">
        <v>4.0000000000000002E-4</v>
      </c>
      <c r="Q87" s="281">
        <v>1E-3</v>
      </c>
      <c r="R87" s="281">
        <v>1.8E-3</v>
      </c>
      <c r="S87" s="281">
        <v>2.7000000000000001E-3</v>
      </c>
      <c r="T87" s="281">
        <v>4.0000000000000001E-3</v>
      </c>
      <c r="U87" s="281">
        <v>5.7999999999999996E-3</v>
      </c>
      <c r="V87" s="281">
        <v>7.4999999999999997E-3</v>
      </c>
      <c r="W87" s="281">
        <v>0.01</v>
      </c>
      <c r="X87" s="281">
        <v>1.4999999999999999E-2</v>
      </c>
      <c r="Y87" s="281">
        <v>2.2499999999999999E-2</v>
      </c>
      <c r="Z87" s="281">
        <v>3.2000000000000001E-2</v>
      </c>
      <c r="AA87" s="281">
        <v>4.4999999999999998E-2</v>
      </c>
      <c r="AB87" s="281">
        <v>6.3E-2</v>
      </c>
      <c r="AC87" s="281">
        <v>7.9000000000000001E-2</v>
      </c>
      <c r="AD87" s="281">
        <v>0.1</v>
      </c>
      <c r="AE87" s="281">
        <v>0.13400000000000001</v>
      </c>
      <c r="AF87" s="281">
        <v>0.17199999999999999</v>
      </c>
      <c r="AG87" s="281">
        <v>0.224</v>
      </c>
      <c r="AH87" s="281">
        <v>0.27</v>
      </c>
      <c r="AI87" s="281">
        <v>0.318</v>
      </c>
      <c r="AJ87" s="281">
        <v>0.36499999999999999</v>
      </c>
      <c r="AK87" s="281">
        <v>0.40899999999999997</v>
      </c>
      <c r="AL87" s="281">
        <v>0.45</v>
      </c>
      <c r="AM87" s="281">
        <v>0.49</v>
      </c>
      <c r="AN87" s="281">
        <v>0.52500000000000002</v>
      </c>
      <c r="AO87" s="281">
        <v>0.55500000000000005</v>
      </c>
      <c r="AP87" s="281">
        <v>0.57499999999999996</v>
      </c>
      <c r="AQ87" s="281">
        <v>0.59</v>
      </c>
      <c r="AR87" s="281">
        <v>0.6</v>
      </c>
      <c r="AS87" s="281">
        <v>0.60699999999999998</v>
      </c>
      <c r="AT87" s="281">
        <v>0.61299999999999999</v>
      </c>
      <c r="AU87" s="281">
        <v>0.61799999999999999</v>
      </c>
      <c r="AV87" s="281">
        <v>0.624</v>
      </c>
      <c r="AW87" s="281">
        <v>0.629</v>
      </c>
      <c r="AX87" s="281">
        <v>0.63400000000000001</v>
      </c>
      <c r="AY87" s="281">
        <v>0.63700000000000001</v>
      </c>
      <c r="AZ87" s="281">
        <v>0.63900000000000001</v>
      </c>
      <c r="BA87" s="281">
        <v>0.64100000000000001</v>
      </c>
      <c r="BB87" s="281">
        <v>0.64200000000000002</v>
      </c>
    </row>
    <row r="88" spans="1:54" x14ac:dyDescent="0.2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</row>
    <row r="90" spans="1:54" x14ac:dyDescent="0.2">
      <c r="M90" s="147" t="s">
        <v>522</v>
      </c>
      <c r="N90" s="275" t="s">
        <v>541</v>
      </c>
    </row>
    <row r="102" spans="3:25" s="121" customFormat="1" ht="15.75" x14ac:dyDescent="0.2">
      <c r="C102" s="121" t="s">
        <v>487</v>
      </c>
    </row>
    <row r="104" spans="3:25" x14ac:dyDescent="0.2">
      <c r="M104" s="146"/>
      <c r="N104" s="170" t="s">
        <v>345</v>
      </c>
      <c r="O104" s="170"/>
      <c r="P104" s="170" t="s">
        <v>230</v>
      </c>
      <c r="Q104" s="170"/>
      <c r="R104" s="170"/>
      <c r="S104" s="170"/>
      <c r="T104" s="170"/>
      <c r="U104" s="170" t="s">
        <v>382</v>
      </c>
      <c r="V104" s="170"/>
      <c r="W104" s="170"/>
      <c r="X104" s="170"/>
      <c r="Y104" s="170"/>
    </row>
    <row r="105" spans="3:25" x14ac:dyDescent="0.2">
      <c r="N105" s="169" t="str">
        <f>LookupTab!P$43</f>
        <v>2017/18</v>
      </c>
      <c r="O105" s="169" t="str">
        <f>LookupTab!Q$43</f>
        <v>2018/19</v>
      </c>
      <c r="P105" s="169" t="str">
        <f>LookupTab!R$43</f>
        <v>2019/20</v>
      </c>
      <c r="Q105" s="169" t="str">
        <f>LookupTab!S$43</f>
        <v>2020/21</v>
      </c>
      <c r="R105" s="169" t="str">
        <f>LookupTab!T$43</f>
        <v>2021/22</v>
      </c>
      <c r="S105" s="169" t="str">
        <f>LookupTab!U$43</f>
        <v>2022/23</v>
      </c>
      <c r="T105" s="169" t="str">
        <f>LookupTab!V$43</f>
        <v>2023/24</v>
      </c>
      <c r="U105" s="169" t="str">
        <f>LookupTab!W$43</f>
        <v>2024/25</v>
      </c>
      <c r="V105" s="169" t="str">
        <f>LookupTab!X$43</f>
        <v>2025/26</v>
      </c>
      <c r="W105" s="169" t="str">
        <f>LookupTab!Y$43</f>
        <v>2026/27</v>
      </c>
      <c r="X105" s="169" t="str">
        <f>LookupTab!Z$43</f>
        <v>2027/28</v>
      </c>
      <c r="Y105" s="169" t="str">
        <f>LookupTab!AA$43</f>
        <v>2028/29</v>
      </c>
    </row>
    <row r="106" spans="3:25" x14ac:dyDescent="0.2">
      <c r="M106" s="108" t="s">
        <v>329</v>
      </c>
      <c r="N106" s="57">
        <v>15427</v>
      </c>
      <c r="O106" s="57">
        <v>15233</v>
      </c>
      <c r="P106" s="57">
        <v>15727</v>
      </c>
      <c r="Q106" s="57">
        <v>21546</v>
      </c>
      <c r="R106" s="57">
        <v>24039</v>
      </c>
      <c r="S106" s="57">
        <v>35705.397749794749</v>
      </c>
      <c r="T106" s="57">
        <v>45637.388650272864</v>
      </c>
      <c r="U106" s="57">
        <v>55909.443480661212</v>
      </c>
      <c r="V106" s="57">
        <v>66002.347722079023</v>
      </c>
      <c r="W106" s="57">
        <v>75836.713643098628</v>
      </c>
      <c r="X106" s="57">
        <v>85476.217085110213</v>
      </c>
      <c r="Y106" s="57">
        <v>91672.534971068919</v>
      </c>
    </row>
    <row r="107" spans="3:25" x14ac:dyDescent="0.2">
      <c r="M107" s="108" t="s">
        <v>330</v>
      </c>
      <c r="N107" s="57">
        <v>71612</v>
      </c>
      <c r="O107" s="57">
        <v>72292</v>
      </c>
      <c r="P107" s="57">
        <v>70599</v>
      </c>
      <c r="Q107" s="57">
        <v>65526</v>
      </c>
      <c r="R107" s="57">
        <v>63555</v>
      </c>
      <c r="S107" s="57">
        <v>52602.578584229297</v>
      </c>
      <c r="T107" s="57">
        <v>43225.401322761318</v>
      </c>
      <c r="U107" s="57">
        <v>33510.901714357555</v>
      </c>
      <c r="V107" s="57">
        <v>23977.300845586171</v>
      </c>
      <c r="W107" s="57">
        <v>14705.036757529502</v>
      </c>
      <c r="X107" s="57">
        <v>5629.5615060955488</v>
      </c>
      <c r="Y107" s="57">
        <v>5.9216463608208869E-2</v>
      </c>
    </row>
    <row r="108" spans="3:25" x14ac:dyDescent="0.2">
      <c r="M108" s="108" t="s">
        <v>325</v>
      </c>
      <c r="N108" s="59">
        <f t="shared" ref="N108:Y108" si="2">SUM(N106:N107)</f>
        <v>87039</v>
      </c>
      <c r="O108" s="59">
        <f t="shared" si="2"/>
        <v>87525</v>
      </c>
      <c r="P108" s="59">
        <f t="shared" si="2"/>
        <v>86326</v>
      </c>
      <c r="Q108" s="59">
        <f t="shared" si="2"/>
        <v>87072</v>
      </c>
      <c r="R108" s="59">
        <f t="shared" si="2"/>
        <v>87594</v>
      </c>
      <c r="S108" s="59">
        <f t="shared" si="2"/>
        <v>88307.976334024046</v>
      </c>
      <c r="T108" s="59">
        <f t="shared" si="2"/>
        <v>88862.789973034174</v>
      </c>
      <c r="U108" s="59">
        <f t="shared" si="2"/>
        <v>89420.345195018774</v>
      </c>
      <c r="V108" s="59">
        <f t="shared" si="2"/>
        <v>89979.648567665194</v>
      </c>
      <c r="W108" s="59">
        <f t="shared" si="2"/>
        <v>90541.750400628138</v>
      </c>
      <c r="X108" s="59">
        <f t="shared" si="2"/>
        <v>91105.778591205759</v>
      </c>
      <c r="Y108" s="59">
        <f t="shared" si="2"/>
        <v>91672.594187532522</v>
      </c>
    </row>
    <row r="122" spans="2:3" s="6" customFormat="1" ht="18.75" x14ac:dyDescent="0.2">
      <c r="B122" s="6" t="s">
        <v>730</v>
      </c>
    </row>
    <row r="124" spans="2:3" s="6" customFormat="1" ht="18.75" x14ac:dyDescent="0.2">
      <c r="B124" s="6" t="s">
        <v>731</v>
      </c>
    </row>
    <row r="126" spans="2:3" s="6" customFormat="1" ht="18.75" x14ac:dyDescent="0.2">
      <c r="B126" s="6" t="s">
        <v>732</v>
      </c>
    </row>
    <row r="128" spans="2:3" s="121" customFormat="1" ht="15.75" x14ac:dyDescent="0.2">
      <c r="C128" s="121" t="s">
        <v>554</v>
      </c>
    </row>
    <row r="129" spans="3:20" ht="13.5" thickBot="1" x14ac:dyDescent="0.25"/>
    <row r="130" spans="3:20" ht="30" x14ac:dyDescent="0.2">
      <c r="D130" s="158" t="s">
        <v>488</v>
      </c>
      <c r="E130" s="219" t="s">
        <v>489</v>
      </c>
      <c r="F130" s="219" t="s">
        <v>490</v>
      </c>
      <c r="G130" s="219" t="s">
        <v>491</v>
      </c>
      <c r="H130" s="219" t="s">
        <v>492</v>
      </c>
      <c r="I130" s="219" t="s">
        <v>406</v>
      </c>
      <c r="J130" s="201" t="s">
        <v>493</v>
      </c>
    </row>
    <row r="131" spans="3:20" ht="15" x14ac:dyDescent="0.2">
      <c r="D131" s="159" t="s">
        <v>407</v>
      </c>
      <c r="E131" s="247" t="s">
        <v>212</v>
      </c>
      <c r="F131" s="265">
        <f>TSS!F51</f>
        <v>26.855847649191041</v>
      </c>
      <c r="G131" s="265">
        <f>TSS!G51</f>
        <v>85.108128215359443</v>
      </c>
      <c r="H131" s="265">
        <f>TSS!H51</f>
        <v>59.596643445701432</v>
      </c>
      <c r="I131" s="265">
        <f>TSS!I51</f>
        <v>171.56061931025192</v>
      </c>
    </row>
    <row r="132" spans="3:20" ht="15.75" thickBot="1" x14ac:dyDescent="0.25">
      <c r="D132" s="161" t="s">
        <v>408</v>
      </c>
      <c r="E132" s="258" t="s">
        <v>212</v>
      </c>
      <c r="F132" s="266">
        <f>TSS!F52</f>
        <v>34.036225798703427</v>
      </c>
      <c r="G132" s="266">
        <f>TSS!G52</f>
        <v>31.479062253487228</v>
      </c>
      <c r="H132" s="266">
        <f>TSS!H52</f>
        <v>34.872745739328927</v>
      </c>
      <c r="I132" s="266">
        <f>TSS!I52</f>
        <v>100.38803379151956</v>
      </c>
    </row>
    <row r="134" spans="3:20" s="121" customFormat="1" ht="15.75" x14ac:dyDescent="0.2">
      <c r="C134" s="121" t="s">
        <v>1173</v>
      </c>
    </row>
    <row r="136" spans="3:20" x14ac:dyDescent="0.2">
      <c r="P136" s="169" t="str">
        <f>LookupTab!W$43</f>
        <v>2024/25</v>
      </c>
      <c r="Q136" s="169" t="str">
        <f>LookupTab!X$43</f>
        <v>2025/26</v>
      </c>
      <c r="R136" s="169" t="str">
        <f>LookupTab!Y$43</f>
        <v>2026/27</v>
      </c>
      <c r="S136" s="169" t="str">
        <f>LookupTab!Z$43</f>
        <v>2027/28</v>
      </c>
      <c r="T136" s="169" t="str">
        <f>LookupTab!AA$43</f>
        <v>2028/29</v>
      </c>
    </row>
    <row r="137" spans="3:20" x14ac:dyDescent="0.2">
      <c r="O137" s="272" t="s">
        <v>1579</v>
      </c>
      <c r="P137" s="213">
        <v>53.615632240101498</v>
      </c>
      <c r="Q137" s="213">
        <v>55.043021058144994</v>
      </c>
      <c r="R137" s="213">
        <v>56.157459394952042</v>
      </c>
      <c r="S137" s="213">
        <v>57.320764755708616</v>
      </c>
      <c r="T137" s="213">
        <v>58.291460183025073</v>
      </c>
    </row>
    <row r="138" spans="3:20" x14ac:dyDescent="0.2">
      <c r="O138" s="272" t="s">
        <v>396</v>
      </c>
      <c r="P138" s="213">
        <v>7.34693836191581</v>
      </c>
      <c r="Q138" s="213">
        <v>7.5425331395301232</v>
      </c>
      <c r="R138" s="213">
        <v>7.6952443811324081</v>
      </c>
      <c r="S138" s="213">
        <v>7.8546518603409128</v>
      </c>
      <c r="T138" s="213">
        <v>7.9876660424874677</v>
      </c>
    </row>
    <row r="139" spans="3:20" x14ac:dyDescent="0.2">
      <c r="O139" s="272" t="s">
        <v>254</v>
      </c>
      <c r="P139" s="213">
        <v>6.3322568290959707</v>
      </c>
      <c r="Q139" s="213">
        <v>6.5008381217748408</v>
      </c>
      <c r="R139" s="213">
        <v>6.6324584995268099</v>
      </c>
      <c r="S139" s="213">
        <v>6.7698503012682645</v>
      </c>
      <c r="T139" s="213">
        <v>6.8844939693886138</v>
      </c>
    </row>
    <row r="142" spans="3:20" x14ac:dyDescent="0.2">
      <c r="O142" s="147" t="s">
        <v>522</v>
      </c>
      <c r="P142" s="275" t="s">
        <v>549</v>
      </c>
    </row>
    <row r="153" spans="2:11" s="6" customFormat="1" ht="18.75" x14ac:dyDescent="0.2">
      <c r="B153" s="6" t="s">
        <v>733</v>
      </c>
    </row>
    <row r="155" spans="2:11" s="121" customFormat="1" ht="15.75" x14ac:dyDescent="0.2">
      <c r="C155" s="121" t="s">
        <v>517</v>
      </c>
    </row>
    <row r="156" spans="2:11" ht="13.5" thickBot="1" x14ac:dyDescent="0.25"/>
    <row r="157" spans="2:11" ht="15" x14ac:dyDescent="0.2">
      <c r="D157" s="410" t="s">
        <v>494</v>
      </c>
      <c r="E157" s="411" t="s">
        <v>495</v>
      </c>
      <c r="F157" s="411" t="s">
        <v>496</v>
      </c>
      <c r="G157" s="411" t="s">
        <v>497</v>
      </c>
      <c r="H157" s="411" t="s">
        <v>498</v>
      </c>
      <c r="I157" s="411" t="s">
        <v>499</v>
      </c>
      <c r="J157" s="411" t="s">
        <v>500</v>
      </c>
      <c r="K157" s="412" t="s">
        <v>501</v>
      </c>
    </row>
    <row r="158" spans="2:11" ht="15" x14ac:dyDescent="0.2">
      <c r="D158" s="413">
        <v>1</v>
      </c>
      <c r="E158" s="267">
        <v>19.106065851589964</v>
      </c>
      <c r="F158" s="267"/>
      <c r="G158" s="267"/>
      <c r="H158" s="267"/>
      <c r="I158" s="267">
        <v>22.595215069619158</v>
      </c>
      <c r="J158" s="267" t="s">
        <v>1580</v>
      </c>
      <c r="K158" s="414" t="s">
        <v>1581</v>
      </c>
    </row>
    <row r="159" spans="2:11" ht="15" x14ac:dyDescent="0.2">
      <c r="D159" s="415">
        <v>2</v>
      </c>
      <c r="E159" s="268">
        <v>2.2358742191245673</v>
      </c>
      <c r="F159" s="268"/>
      <c r="G159" s="268"/>
      <c r="H159" s="268"/>
      <c r="I159" s="268">
        <v>2.1166446573079711</v>
      </c>
      <c r="J159" s="268">
        <v>0.11922956181659616</v>
      </c>
      <c r="K159" s="416" t="s">
        <v>1581</v>
      </c>
    </row>
    <row r="160" spans="2:11" ht="15" x14ac:dyDescent="0.2">
      <c r="D160" s="413" t="s">
        <v>438</v>
      </c>
      <c r="E160" s="267">
        <v>15.258990405009428</v>
      </c>
      <c r="F160" s="267">
        <v>5.3754821612420809</v>
      </c>
      <c r="G160" s="267"/>
      <c r="H160" s="267"/>
      <c r="I160" s="267"/>
      <c r="J160" s="267">
        <v>9.8835082437673467</v>
      </c>
      <c r="K160" s="414" t="s">
        <v>1581</v>
      </c>
    </row>
    <row r="161" spans="2:11" ht="15" x14ac:dyDescent="0.2">
      <c r="D161" s="415" t="s">
        <v>440</v>
      </c>
      <c r="E161" s="268">
        <v>10.824784104421191</v>
      </c>
      <c r="F161" s="268">
        <v>7.7895473413306791</v>
      </c>
      <c r="G161" s="268"/>
      <c r="H161" s="268"/>
      <c r="I161" s="268"/>
      <c r="J161" s="268">
        <v>3.0352367630905119</v>
      </c>
      <c r="K161" s="416" t="s">
        <v>1581</v>
      </c>
    </row>
    <row r="162" spans="2:11" ht="15" x14ac:dyDescent="0.2">
      <c r="D162" s="413" t="s">
        <v>442</v>
      </c>
      <c r="E162" s="267">
        <v>7.9716292359275984</v>
      </c>
      <c r="F162" s="267">
        <v>7.6133612794404089</v>
      </c>
      <c r="G162" s="267"/>
      <c r="H162" s="267"/>
      <c r="I162" s="267"/>
      <c r="J162" s="267">
        <v>0.35826795648718956</v>
      </c>
      <c r="K162" s="414" t="s">
        <v>1581</v>
      </c>
    </row>
    <row r="163" spans="2:11" ht="15" x14ac:dyDescent="0.2">
      <c r="D163" s="415">
        <v>4</v>
      </c>
      <c r="E163" s="268">
        <v>0</v>
      </c>
      <c r="F163" s="268"/>
      <c r="G163" s="268"/>
      <c r="H163" s="268"/>
      <c r="I163" s="268">
        <v>0</v>
      </c>
      <c r="J163" s="268" t="s">
        <v>1580</v>
      </c>
      <c r="K163" s="416" t="s">
        <v>1581</v>
      </c>
    </row>
    <row r="164" spans="2:11" ht="15" x14ac:dyDescent="0.2">
      <c r="D164" s="413">
        <v>5</v>
      </c>
      <c r="E164" s="267">
        <v>8.5528170504445793</v>
      </c>
      <c r="F164" s="267"/>
      <c r="G164" s="267">
        <v>5.3560821964713057</v>
      </c>
      <c r="H164" s="267">
        <v>0.71655025712936393</v>
      </c>
      <c r="I164" s="267"/>
      <c r="J164" s="267">
        <v>2.4801845968439098</v>
      </c>
      <c r="K164" s="414" t="s">
        <v>1581</v>
      </c>
    </row>
    <row r="165" spans="2:11" ht="15.75" thickBot="1" x14ac:dyDescent="0.25">
      <c r="D165" s="417">
        <v>6</v>
      </c>
      <c r="E165" s="418">
        <v>3.3446665645959541</v>
      </c>
      <c r="F165" s="418"/>
      <c r="G165" s="418">
        <v>2.42058323577323</v>
      </c>
      <c r="H165" s="418">
        <v>0.62878502430218053</v>
      </c>
      <c r="I165" s="418"/>
      <c r="J165" s="418">
        <v>0.29529830452054373</v>
      </c>
      <c r="K165" s="419" t="s">
        <v>1581</v>
      </c>
    </row>
    <row r="167" spans="2:11" s="6" customFormat="1" ht="18.75" x14ac:dyDescent="0.2">
      <c r="B167" s="6" t="s">
        <v>734</v>
      </c>
    </row>
    <row r="169" spans="2:11" s="121" customFormat="1" ht="15.75" x14ac:dyDescent="0.2">
      <c r="C169" s="121" t="s">
        <v>1176</v>
      </c>
    </row>
    <row r="171" spans="2:11" x14ac:dyDescent="0.2">
      <c r="J171" s="201" t="s">
        <v>502</v>
      </c>
    </row>
    <row r="189" spans="3:10" s="121" customFormat="1" ht="15.75" x14ac:dyDescent="0.2">
      <c r="C189" s="121" t="s">
        <v>1177</v>
      </c>
    </row>
    <row r="191" spans="3:10" x14ac:dyDescent="0.2">
      <c r="J191" s="201" t="s">
        <v>502</v>
      </c>
    </row>
    <row r="209" spans="2:4" s="6" customFormat="1" ht="18.75" x14ac:dyDescent="0.2">
      <c r="B209" s="6" t="s">
        <v>735</v>
      </c>
    </row>
    <row r="211" spans="2:4" s="6" customFormat="1" ht="18.75" x14ac:dyDescent="0.2">
      <c r="B211" s="6" t="s">
        <v>736</v>
      </c>
    </row>
    <row r="213" spans="2:4" s="6" customFormat="1" ht="18.75" x14ac:dyDescent="0.2">
      <c r="B213" s="6" t="s">
        <v>1310</v>
      </c>
    </row>
    <row r="215" spans="2:4" s="121" customFormat="1" ht="15.75" x14ac:dyDescent="0.2">
      <c r="C215" s="121" t="s">
        <v>737</v>
      </c>
    </row>
    <row r="217" spans="2:4" x14ac:dyDescent="0.2">
      <c r="D217" s="45" t="s">
        <v>664</v>
      </c>
    </row>
    <row r="218" spans="2:4" x14ac:dyDescent="0.2">
      <c r="D218" s="45"/>
    </row>
    <row r="219" spans="2:4" s="121" customFormat="1" ht="15.75" x14ac:dyDescent="0.2">
      <c r="C219" s="121" t="s">
        <v>738</v>
      </c>
    </row>
    <row r="221" spans="2:4" x14ac:dyDescent="0.2">
      <c r="D221" s="45" t="s">
        <v>664</v>
      </c>
    </row>
    <row r="222" spans="2:4" x14ac:dyDescent="0.2">
      <c r="D222" s="45"/>
    </row>
    <row r="223" spans="2:4" s="121" customFormat="1" ht="15.75" x14ac:dyDescent="0.2">
      <c r="C223" s="121" t="s">
        <v>739</v>
      </c>
    </row>
    <row r="225" spans="2:4" x14ac:dyDescent="0.2">
      <c r="D225" s="45" t="s">
        <v>664</v>
      </c>
    </row>
    <row r="226" spans="2:4" x14ac:dyDescent="0.2">
      <c r="D226" s="45"/>
    </row>
    <row r="227" spans="2:4" s="6" customFormat="1" ht="18.75" x14ac:dyDescent="0.2">
      <c r="B227" s="6" t="s">
        <v>943</v>
      </c>
    </row>
    <row r="228" spans="2:4" x14ac:dyDescent="0.2">
      <c r="D228" s="45"/>
    </row>
    <row r="229" spans="2:4" s="6" customFormat="1" ht="18.75" x14ac:dyDescent="0.2">
      <c r="B229" s="6" t="s">
        <v>944</v>
      </c>
    </row>
    <row r="231" spans="2:4" s="121" customFormat="1" ht="15.75" x14ac:dyDescent="0.2">
      <c r="C231" s="121" t="s">
        <v>740</v>
      </c>
    </row>
    <row r="233" spans="2:4" x14ac:dyDescent="0.2">
      <c r="D233" s="45" t="s">
        <v>664</v>
      </c>
    </row>
    <row r="235" spans="2:4" s="6" customFormat="1" ht="18.75" x14ac:dyDescent="0.2">
      <c r="B235" s="6" t="s">
        <v>945</v>
      </c>
    </row>
    <row r="237" spans="2:4" s="6" customFormat="1" ht="18.75" x14ac:dyDescent="0.2">
      <c r="B237" s="6" t="s">
        <v>946</v>
      </c>
    </row>
    <row r="239" spans="2:4" s="121" customFormat="1" ht="15.75" x14ac:dyDescent="0.2">
      <c r="C239" s="121" t="s">
        <v>947</v>
      </c>
    </row>
    <row r="241" spans="2:4" x14ac:dyDescent="0.2">
      <c r="D241" s="45" t="s">
        <v>664</v>
      </c>
    </row>
    <row r="243" spans="2:4" s="6" customFormat="1" ht="18.75" x14ac:dyDescent="0.2">
      <c r="B243" s="6" t="s">
        <v>741</v>
      </c>
    </row>
    <row r="245" spans="2:4" s="6" customFormat="1" ht="18.75" x14ac:dyDescent="0.2">
      <c r="B245" s="6" t="s">
        <v>742</v>
      </c>
    </row>
    <row r="247" spans="2:4" s="121" customFormat="1" ht="15.75" x14ac:dyDescent="0.2">
      <c r="C247" s="121" t="s">
        <v>743</v>
      </c>
    </row>
    <row r="249" spans="2:4" x14ac:dyDescent="0.2">
      <c r="D249" s="45" t="s">
        <v>664</v>
      </c>
    </row>
    <row r="251" spans="2:4" s="6" customFormat="1" ht="18.75" x14ac:dyDescent="0.2">
      <c r="B251" s="6" t="s">
        <v>744</v>
      </c>
    </row>
    <row r="253" spans="2:4" s="121" customFormat="1" ht="15.75" x14ac:dyDescent="0.2">
      <c r="C253" s="121" t="s">
        <v>745</v>
      </c>
    </row>
    <row r="255" spans="2:4" x14ac:dyDescent="0.2">
      <c r="D255" s="45" t="s">
        <v>664</v>
      </c>
    </row>
    <row r="257" spans="2:4" s="6" customFormat="1" ht="18.75" x14ac:dyDescent="0.2">
      <c r="B257" s="6" t="s">
        <v>746</v>
      </c>
    </row>
    <row r="259" spans="2:4" s="121" customFormat="1" ht="15.75" x14ac:dyDescent="0.2">
      <c r="C259" s="121" t="s">
        <v>747</v>
      </c>
    </row>
    <row r="261" spans="2:4" x14ac:dyDescent="0.2">
      <c r="D261" s="45" t="s">
        <v>664</v>
      </c>
    </row>
    <row r="263" spans="2:4" s="6" customFormat="1" ht="18.75" x14ac:dyDescent="0.2">
      <c r="B263" s="6" t="s">
        <v>748</v>
      </c>
    </row>
    <row r="265" spans="2:4" s="121" customFormat="1" ht="15.75" x14ac:dyDescent="0.2">
      <c r="C265" s="121" t="s">
        <v>749</v>
      </c>
    </row>
    <row r="267" spans="2:4" x14ac:dyDescent="0.2">
      <c r="D267" s="45" t="s">
        <v>664</v>
      </c>
    </row>
    <row r="269" spans="2:4" s="121" customFormat="1" ht="15.75" x14ac:dyDescent="0.2">
      <c r="C269" s="121" t="s">
        <v>750</v>
      </c>
    </row>
    <row r="271" spans="2:4" x14ac:dyDescent="0.2">
      <c r="D271" s="45" t="s">
        <v>664</v>
      </c>
    </row>
    <row r="273" spans="2:4" s="6" customFormat="1" ht="18.75" x14ac:dyDescent="0.2">
      <c r="B273" s="6" t="s">
        <v>751</v>
      </c>
    </row>
    <row r="275" spans="2:4" s="121" customFormat="1" ht="15.75" x14ac:dyDescent="0.2">
      <c r="C275" s="121" t="s">
        <v>752</v>
      </c>
    </row>
    <row r="277" spans="2:4" x14ac:dyDescent="0.2">
      <c r="D277" s="45" t="s">
        <v>664</v>
      </c>
    </row>
    <row r="279" spans="2:4" s="121" customFormat="1" ht="15.75" x14ac:dyDescent="0.2">
      <c r="C279" s="121" t="s">
        <v>753</v>
      </c>
    </row>
    <row r="281" spans="2:4" x14ac:dyDescent="0.2">
      <c r="D281" s="45" t="s">
        <v>664</v>
      </c>
    </row>
    <row r="283" spans="2:4" s="121" customFormat="1" ht="15.75" x14ac:dyDescent="0.2">
      <c r="C283" s="121" t="s">
        <v>754</v>
      </c>
    </row>
    <row r="285" spans="2:4" x14ac:dyDescent="0.2">
      <c r="D285" s="45" t="s">
        <v>664</v>
      </c>
    </row>
    <row r="287" spans="2:4" s="121" customFormat="1" ht="15.75" x14ac:dyDescent="0.2">
      <c r="C287" s="121" t="s">
        <v>503</v>
      </c>
    </row>
    <row r="289" spans="10:10" x14ac:dyDescent="0.2">
      <c r="J289" s="201" t="s">
        <v>948</v>
      </c>
    </row>
    <row r="309" spans="2:10" s="6" customFormat="1" ht="18.75" x14ac:dyDescent="0.2">
      <c r="B309" s="6" t="s">
        <v>755</v>
      </c>
    </row>
    <row r="311" spans="2:10" s="121" customFormat="1" ht="15.75" x14ac:dyDescent="0.2">
      <c r="C311" s="121" t="s">
        <v>1179</v>
      </c>
    </row>
    <row r="313" spans="2:10" x14ac:dyDescent="0.2">
      <c r="J313" s="201" t="s">
        <v>502</v>
      </c>
    </row>
    <row r="331" spans="2:2" s="6" customFormat="1" ht="18.75" x14ac:dyDescent="0.2">
      <c r="B331" s="6" t="s">
        <v>756</v>
      </c>
    </row>
    <row r="333" spans="2:2" s="6" customFormat="1" ht="18.75" x14ac:dyDescent="0.2">
      <c r="B333" s="6" t="s">
        <v>757</v>
      </c>
    </row>
    <row r="335" spans="2:2" s="6" customFormat="1" ht="18.75" x14ac:dyDescent="0.2">
      <c r="B335" s="6" t="s">
        <v>758</v>
      </c>
    </row>
    <row r="337" spans="2:16" s="121" customFormat="1" ht="15.75" x14ac:dyDescent="0.2">
      <c r="C337" s="121" t="s">
        <v>759</v>
      </c>
    </row>
    <row r="338" spans="2:16" ht="13.5" thickBot="1" x14ac:dyDescent="0.25"/>
    <row r="339" spans="2:16" ht="41.1" customHeight="1" x14ac:dyDescent="0.2">
      <c r="C339" s="297" t="str">
        <f>TSS!C364</f>
        <v>Tariff</v>
      </c>
      <c r="D339" s="298" t="str">
        <f>TSS!D364</f>
        <v>Description</v>
      </c>
      <c r="E339" s="299" t="str">
        <f>TSS!E364</f>
        <v>2024/25 (Year 1)</v>
      </c>
      <c r="F339" s="299" t="str">
        <f>TSS!F364</f>
        <v>2028/29 (Year 5)</v>
      </c>
      <c r="G339" s="299" t="str">
        <f>TSS!G364</f>
        <v>Consumption</v>
      </c>
      <c r="H339" s="299" t="str">
        <f>TSS!H364</f>
        <v>Demand</v>
      </c>
      <c r="I339" s="302" t="str">
        <f>TSS!I364</f>
        <v>Network bill ($)</v>
      </c>
      <c r="J339" s="299"/>
      <c r="K339" s="302" t="str">
        <f>TSS!K364</f>
        <v>Network bill impact</v>
      </c>
      <c r="L339" s="299"/>
      <c r="M339" s="303" t="str">
        <f>TSS!M364</f>
        <v>Network component of retail bill1</v>
      </c>
      <c r="N339" s="304" t="str">
        <f>TSS!N364</f>
        <v>Increase in total retail invoice2</v>
      </c>
      <c r="P339" s="201" t="s">
        <v>504</v>
      </c>
    </row>
    <row r="340" spans="2:16" ht="15" x14ac:dyDescent="0.2">
      <c r="C340" s="305"/>
      <c r="D340" s="241"/>
      <c r="E340" s="241" t="str">
        <f>TSS!E365</f>
        <v>NMIs</v>
      </c>
      <c r="F340" s="241" t="str">
        <f>TSS!F365</f>
        <v>NMIs</v>
      </c>
      <c r="G340" s="241"/>
      <c r="H340" s="241"/>
      <c r="I340" s="241" t="str">
        <f>TSS!I365</f>
        <v>2023/24</v>
      </c>
      <c r="J340" s="241" t="str">
        <f>TSS!J365</f>
        <v>2024/25</v>
      </c>
      <c r="K340" s="241" t="str">
        <f>TSS!K365</f>
        <v>$</v>
      </c>
      <c r="L340" s="241" t="str">
        <f>TSS!L365</f>
        <v>%</v>
      </c>
      <c r="M340" s="244"/>
      <c r="N340" s="306"/>
    </row>
    <row r="341" spans="2:16" ht="15" x14ac:dyDescent="0.2">
      <c r="C341" s="307">
        <f>TSS!C366</f>
        <v>1</v>
      </c>
      <c r="D341" s="242" t="str">
        <f>TSS!D366</f>
        <v>Residential accumulation</v>
      </c>
      <c r="E341" s="218">
        <f>TSS!E366</f>
        <v>41039.439552051139</v>
      </c>
      <c r="F341" s="218">
        <f>TSS!F366</f>
        <v>9000.0751010344975</v>
      </c>
      <c r="G341" s="218">
        <f>TSS!G366</f>
        <v>8500</v>
      </c>
      <c r="H341" s="225">
        <f>TSS!H366</f>
        <v>0</v>
      </c>
      <c r="I341" s="218">
        <f>TSS!I366</f>
        <v>1052.5</v>
      </c>
      <c r="J341" s="218">
        <f>TSS!J366</f>
        <v>1231.5</v>
      </c>
      <c r="K341" s="218">
        <f>TSS!K366</f>
        <v>179</v>
      </c>
      <c r="L341" s="226">
        <f>TSS!L366</f>
        <v>0.17007125890736341</v>
      </c>
      <c r="M341" s="226">
        <f>TSS!M366</f>
        <v>0.52256044240017596</v>
      </c>
      <c r="N341" s="308" t="str">
        <f>TSS!N366</f>
        <v>EPO3</v>
      </c>
    </row>
    <row r="342" spans="2:16" ht="15" x14ac:dyDescent="0.2">
      <c r="C342" s="309">
        <f>TSS!C367</f>
        <v>2</v>
      </c>
      <c r="D342" s="243" t="str">
        <f>TSS!D367</f>
        <v>Non-residential accumulation</v>
      </c>
      <c r="E342" s="217">
        <f>TSS!E367</f>
        <v>1882.6493037629057</v>
      </c>
      <c r="F342" s="222">
        <f>TSS!F367</f>
        <v>0</v>
      </c>
      <c r="G342" s="217">
        <f>TSS!G367</f>
        <v>30000</v>
      </c>
      <c r="H342" s="222">
        <f>TSS!H367</f>
        <v>0</v>
      </c>
      <c r="I342" s="217">
        <f>TSS!I367</f>
        <v>2967.3</v>
      </c>
      <c r="J342" s="217">
        <f>TSS!J367</f>
        <v>2849.5</v>
      </c>
      <c r="K342" s="217">
        <f>TSS!K367</f>
        <v>-117.80000000000018</v>
      </c>
      <c r="L342" s="223">
        <f>TSS!L367</f>
        <v>-3.9699390017861415E-2</v>
      </c>
      <c r="M342" s="223">
        <f>TSS!M367</f>
        <v>0.30937741709589339</v>
      </c>
      <c r="N342" s="310" t="str">
        <f>TSS!N367</f>
        <v>EPO3</v>
      </c>
    </row>
    <row r="343" spans="2:16" ht="15" x14ac:dyDescent="0.2">
      <c r="C343" s="307" t="str">
        <f>TSS!C368</f>
        <v>3a</v>
      </c>
      <c r="D343" s="242" t="str">
        <f>TSS!D368</f>
        <v>Residential 0-160MWh</v>
      </c>
      <c r="E343" s="218">
        <f>TSS!E368</f>
        <v>32776</v>
      </c>
      <c r="F343" s="218">
        <f>TSS!F368</f>
        <v>65818</v>
      </c>
      <c r="G343" s="218">
        <f>TSS!G368</f>
        <v>8500</v>
      </c>
      <c r="H343" s="225">
        <f>TSS!H368</f>
        <v>20</v>
      </c>
      <c r="I343" s="218">
        <f>TSS!I368</f>
        <v>1254</v>
      </c>
      <c r="J343" s="218">
        <f>TSS!J368</f>
        <v>1231.1873487908158</v>
      </c>
      <c r="K343" s="218">
        <f>TSS!K368</f>
        <v>-22.812651209184196</v>
      </c>
      <c r="L343" s="226">
        <f>TSS!L368</f>
        <v>-1.8191906865378148E-2</v>
      </c>
      <c r="M343" s="226">
        <f>TSS!M368</f>
        <v>0.52242777560830567</v>
      </c>
      <c r="N343" s="308" t="str">
        <f>TSS!N368</f>
        <v>EPO3</v>
      </c>
    </row>
    <row r="344" spans="2:16" ht="15" x14ac:dyDescent="0.2">
      <c r="C344" s="309" t="str">
        <f>TSS!C369</f>
        <v>3b</v>
      </c>
      <c r="D344" s="243" t="str">
        <f>TSS!D369</f>
        <v>Non-residential 0-160MWh</v>
      </c>
      <c r="E344" s="217">
        <f>TSS!E369</f>
        <v>9315</v>
      </c>
      <c r="F344" s="217">
        <f>TSS!F369</f>
        <v>11185</v>
      </c>
      <c r="G344" s="217">
        <f>TSS!G369</f>
        <v>30000</v>
      </c>
      <c r="H344" s="222">
        <f>TSS!H369</f>
        <v>150</v>
      </c>
      <c r="I344" s="217">
        <f>TSS!I369</f>
        <v>4242</v>
      </c>
      <c r="J344" s="217">
        <f>TSS!J369</f>
        <v>2848.7417193644933</v>
      </c>
      <c r="K344" s="217">
        <f>TSS!K369</f>
        <v>-1393.2582806355067</v>
      </c>
      <c r="L344" s="223">
        <f>TSS!L369</f>
        <v>-0.32844372480799311</v>
      </c>
      <c r="M344" s="223">
        <f>TSS!M369</f>
        <v>0.30929508865074623</v>
      </c>
      <c r="N344" s="310" t="str">
        <f>TSS!N369</f>
        <v>EPO3</v>
      </c>
    </row>
    <row r="345" spans="2:16" ht="15" x14ac:dyDescent="0.2">
      <c r="C345" s="307" t="str">
        <f>TSS!C370</f>
        <v>3c</v>
      </c>
      <c r="D345" s="242" t="str">
        <f>TSS!D370</f>
        <v>Smart meter 160-750MWh</v>
      </c>
      <c r="E345" s="218">
        <f>TSS!E370</f>
        <v>846</v>
      </c>
      <c r="F345" s="218">
        <f>TSS!F370</f>
        <v>1015</v>
      </c>
      <c r="G345" s="218">
        <f>TSS!G370</f>
        <v>250000</v>
      </c>
      <c r="H345" s="225">
        <f>TSS!H370</f>
        <v>500</v>
      </c>
      <c r="I345" s="218">
        <f>TSS!I370</f>
        <v>14232</v>
      </c>
      <c r="J345" s="218">
        <f>TSS!J370</f>
        <v>24401.040934839992</v>
      </c>
      <c r="K345" s="218">
        <f>TSS!K370</f>
        <v>10169.040934839992</v>
      </c>
      <c r="L345" s="226">
        <f>TSS!L370</f>
        <v>0.71451945860314725</v>
      </c>
      <c r="M345" s="226">
        <f>TSS!M370</f>
        <v>0.32690750672775926</v>
      </c>
      <c r="N345" s="308" t="str">
        <f>TSS!N370</f>
        <v>EPO3</v>
      </c>
    </row>
    <row r="346" spans="2:16" ht="15" x14ac:dyDescent="0.2">
      <c r="C346" s="309">
        <f>TSS!C371</f>
        <v>5</v>
      </c>
      <c r="D346" s="243" t="str">
        <f>TSS!D371</f>
        <v>LV &gt;750MWh</v>
      </c>
      <c r="E346" s="217">
        <f>TSS!E371</f>
        <v>158.05598277652086</v>
      </c>
      <c r="F346" s="217">
        <f>TSS!F371</f>
        <v>160.18930373745121</v>
      </c>
      <c r="G346" s="217">
        <f>TSS!G371</f>
        <v>3200000</v>
      </c>
      <c r="H346" s="217">
        <f>TSS!H371</f>
        <v>6675</v>
      </c>
      <c r="I346" s="217">
        <f>TSS!I371</f>
        <v>159395.6</v>
      </c>
      <c r="J346" s="217">
        <f>TSS!J371</f>
        <v>174042.60169289462</v>
      </c>
      <c r="K346" s="217">
        <f>TSS!K371</f>
        <v>14647.001692894613</v>
      </c>
      <c r="L346" s="223">
        <f>TSS!L371</f>
        <v>9.1890878373647789E-2</v>
      </c>
      <c r="M346" s="223">
        <f>TSS!M371</f>
        <v>0.18868102307318632</v>
      </c>
      <c r="N346" s="311">
        <f>TSS!N371</f>
        <v>1.7338064942633596E-2</v>
      </c>
    </row>
    <row r="347" spans="2:16" ht="15.75" thickBot="1" x14ac:dyDescent="0.25">
      <c r="C347" s="312">
        <f>TSS!C372</f>
        <v>6</v>
      </c>
      <c r="D347" s="313" t="str">
        <f>TSS!D372</f>
        <v>HV Smart Meters</v>
      </c>
      <c r="E347" s="314">
        <f>TSS!E372</f>
        <v>67</v>
      </c>
      <c r="F347" s="314">
        <f>TSS!F372</f>
        <v>67.715354198829516</v>
      </c>
      <c r="G347" s="314">
        <f>TSS!G372</f>
        <v>5400000</v>
      </c>
      <c r="H347" s="314">
        <f>TSS!H372</f>
        <v>6850</v>
      </c>
      <c r="I347" s="314">
        <f>TSS!I372</f>
        <v>182150</v>
      </c>
      <c r="J347" s="314">
        <f>TSS!J372</f>
        <v>231317.36027999999</v>
      </c>
      <c r="K347" s="314">
        <f>TSS!K372</f>
        <v>49167.360279999994</v>
      </c>
      <c r="L347" s="315">
        <f>TSS!L372</f>
        <v>0.26992786318967882</v>
      </c>
      <c r="M347" s="315">
        <f>TSS!M372</f>
        <v>0.15738202139649679</v>
      </c>
      <c r="N347" s="316">
        <f>TSS!N372</f>
        <v>4.2481792740028688E-2</v>
      </c>
    </row>
    <row r="349" spans="2:16" s="6" customFormat="1" ht="18.75" x14ac:dyDescent="0.2">
      <c r="B349" s="6" t="s">
        <v>760</v>
      </c>
    </row>
    <row r="351" spans="2:16" s="121" customFormat="1" ht="15.75" x14ac:dyDescent="0.2">
      <c r="C351" s="121" t="s">
        <v>557</v>
      </c>
    </row>
    <row r="353" spans="10:10" x14ac:dyDescent="0.2">
      <c r="J353" s="201" t="s">
        <v>502</v>
      </c>
    </row>
    <row r="371" spans="2:21" s="6" customFormat="1" ht="18.75" x14ac:dyDescent="0.2">
      <c r="B371" s="6" t="s">
        <v>761</v>
      </c>
    </row>
    <row r="373" spans="2:21" s="121" customFormat="1" ht="15.75" x14ac:dyDescent="0.2">
      <c r="C373" s="121" t="s">
        <v>556</v>
      </c>
    </row>
    <row r="375" spans="2:21" x14ac:dyDescent="0.2">
      <c r="P375" s="272" t="s">
        <v>272</v>
      </c>
      <c r="Q375" s="272" t="str">
        <f>LookupTab!W$43</f>
        <v>2024/25</v>
      </c>
      <c r="R375" s="272" t="str">
        <f>LookupTab!X$43</f>
        <v>2025/26</v>
      </c>
      <c r="S375" s="272" t="str">
        <f>LookupTab!Y$43</f>
        <v>2026/27</v>
      </c>
      <c r="T375" s="272" t="str">
        <f>LookupTab!Z$43</f>
        <v>2027/28</v>
      </c>
      <c r="U375" s="272" t="str">
        <f>LookupTab!AA$43</f>
        <v>2028/29</v>
      </c>
    </row>
    <row r="376" spans="2:21" x14ac:dyDescent="0.2">
      <c r="P376" s="272" t="s">
        <v>1582</v>
      </c>
      <c r="Q376" s="46">
        <v>2849.5</v>
      </c>
      <c r="R376" s="46">
        <v>3020.25</v>
      </c>
      <c r="S376" s="46">
        <v>3222.5</v>
      </c>
      <c r="T376" s="46">
        <v>3409.5</v>
      </c>
      <c r="U376" s="46">
        <v>3540</v>
      </c>
    </row>
    <row r="377" spans="2:21" x14ac:dyDescent="0.2">
      <c r="P377" s="272" t="s">
        <v>1583</v>
      </c>
      <c r="Q377" s="46">
        <v>2848.7417193644933</v>
      </c>
      <c r="R377" s="46">
        <v>3020.6865678898525</v>
      </c>
      <c r="S377" s="46">
        <v>3222.0553567942929</v>
      </c>
      <c r="T377" s="46">
        <v>3408.8256570694466</v>
      </c>
      <c r="U377" s="46">
        <v>3539.3099799873958</v>
      </c>
    </row>
    <row r="379" spans="2:21" x14ac:dyDescent="0.2">
      <c r="P379" s="272" t="s">
        <v>546</v>
      </c>
      <c r="Q379" s="280" t="s">
        <v>548</v>
      </c>
    </row>
    <row r="393" spans="2:10" s="6" customFormat="1" ht="18.75" x14ac:dyDescent="0.2">
      <c r="B393" s="6" t="s">
        <v>762</v>
      </c>
    </row>
    <row r="395" spans="2:10" s="121" customFormat="1" ht="15.75" x14ac:dyDescent="0.2">
      <c r="C395" s="121" t="s">
        <v>555</v>
      </c>
    </row>
    <row r="397" spans="2:10" x14ac:dyDescent="0.2">
      <c r="J397" s="201" t="s">
        <v>502</v>
      </c>
    </row>
    <row r="415" spans="2:2" s="6" customFormat="1" ht="18.75" x14ac:dyDescent="0.2">
      <c r="B415" s="6" t="s">
        <v>763</v>
      </c>
    </row>
    <row r="417" spans="3:10" s="121" customFormat="1" ht="15.75" x14ac:dyDescent="0.2">
      <c r="C417" s="121" t="s">
        <v>1066</v>
      </c>
    </row>
    <row r="419" spans="3:10" x14ac:dyDescent="0.2">
      <c r="J419" s="201" t="s">
        <v>502</v>
      </c>
    </row>
    <row r="437" spans="3:11" s="121" customFormat="1" ht="15.75" x14ac:dyDescent="0.2">
      <c r="C437" s="121" t="s">
        <v>949</v>
      </c>
    </row>
    <row r="439" spans="3:11" ht="38.25" x14ac:dyDescent="0.2">
      <c r="J439" s="103" t="s">
        <v>545</v>
      </c>
      <c r="K439" s="279" t="s">
        <v>950</v>
      </c>
    </row>
    <row r="440" spans="3:11" x14ac:dyDescent="0.2">
      <c r="J440" s="278">
        <v>-2.9510301250199062E-2</v>
      </c>
      <c r="K440" s="376">
        <v>0.1122328118842657</v>
      </c>
    </row>
    <row r="441" spans="3:11" x14ac:dyDescent="0.2">
      <c r="J441" s="278">
        <v>-2.0630286596776799E-2</v>
      </c>
      <c r="K441" s="376">
        <v>0.1122328118842657</v>
      </c>
    </row>
    <row r="442" spans="3:11" x14ac:dyDescent="0.2">
      <c r="J442" s="278">
        <v>1.0424175144729732E-2</v>
      </c>
      <c r="K442" s="376">
        <v>0.1122328118842657</v>
      </c>
    </row>
    <row r="443" spans="3:11" x14ac:dyDescent="0.2">
      <c r="J443" s="278">
        <v>3.9028382495852242E-2</v>
      </c>
      <c r="K443" s="376">
        <v>0.1122328118842657</v>
      </c>
    </row>
    <row r="444" spans="3:11" x14ac:dyDescent="0.2">
      <c r="J444" s="278">
        <v>5.5796093136179774E-2</v>
      </c>
      <c r="K444" s="376">
        <v>0.1122328118842657</v>
      </c>
    </row>
    <row r="445" spans="3:11" x14ac:dyDescent="0.2">
      <c r="J445" s="278">
        <v>5.617796891895923E-2</v>
      </c>
      <c r="K445" s="376">
        <v>0.1122328118842657</v>
      </c>
    </row>
    <row r="446" spans="3:11" x14ac:dyDescent="0.2">
      <c r="J446" s="278">
        <v>7.839786980061296E-2</v>
      </c>
      <c r="K446" s="376">
        <v>0.1122328118842657</v>
      </c>
    </row>
    <row r="447" spans="3:11" x14ac:dyDescent="0.2">
      <c r="J447" s="278">
        <v>8.8646322551245854E-2</v>
      </c>
      <c r="K447" s="376">
        <v>0.1122328118842657</v>
      </c>
    </row>
    <row r="448" spans="3:11" x14ac:dyDescent="0.2">
      <c r="J448" s="278">
        <v>0.10626246612573952</v>
      </c>
      <c r="K448" s="376">
        <v>0.1122328118842657</v>
      </c>
    </row>
    <row r="449" spans="2:11" x14ac:dyDescent="0.2">
      <c r="J449" s="278">
        <v>0.10697611724306327</v>
      </c>
      <c r="K449" s="376">
        <v>0.1122328118842657</v>
      </c>
    </row>
    <row r="450" spans="2:11" x14ac:dyDescent="0.2">
      <c r="J450" s="278">
        <v>0.10993923618414154</v>
      </c>
      <c r="K450" s="376">
        <v>0.1122328118842657</v>
      </c>
    </row>
    <row r="451" spans="2:11" x14ac:dyDescent="0.2">
      <c r="J451" s="278">
        <v>0.12025757771267176</v>
      </c>
      <c r="K451" s="376">
        <v>0.1122328118842657</v>
      </c>
    </row>
    <row r="452" spans="2:11" x14ac:dyDescent="0.2">
      <c r="J452" s="278">
        <v>0.12114752549235358</v>
      </c>
      <c r="K452" s="376">
        <v>0.1122328118842657</v>
      </c>
    </row>
    <row r="456" spans="2:11" s="6" customFormat="1" ht="18.75" x14ac:dyDescent="0.2">
      <c r="B456" s="6" t="s">
        <v>764</v>
      </c>
    </row>
    <row r="458" spans="2:11" s="6" customFormat="1" ht="18.75" x14ac:dyDescent="0.2">
      <c r="B458" s="6" t="s">
        <v>694</v>
      </c>
    </row>
    <row r="460" spans="2:11" s="6" customFormat="1" ht="18.75" x14ac:dyDescent="0.2">
      <c r="B460" s="6" t="s">
        <v>765</v>
      </c>
    </row>
    <row r="462" spans="2:11" s="121" customFormat="1" ht="15.75" x14ac:dyDescent="0.2">
      <c r="C462" s="121" t="s">
        <v>766</v>
      </c>
    </row>
    <row r="464" spans="2:11" x14ac:dyDescent="0.2">
      <c r="D464" s="45" t="s">
        <v>664</v>
      </c>
    </row>
    <row r="465" spans="2:49" x14ac:dyDescent="0.2">
      <c r="D465" s="45"/>
    </row>
    <row r="466" spans="2:49" s="6" customFormat="1" ht="18.75" x14ac:dyDescent="0.2">
      <c r="B466" s="6" t="s">
        <v>767</v>
      </c>
    </row>
    <row r="467" spans="2:49" x14ac:dyDescent="0.2">
      <c r="D467" s="45"/>
    </row>
    <row r="468" spans="2:49" s="121" customFormat="1" ht="15.75" x14ac:dyDescent="0.2">
      <c r="C468" s="121" t="s">
        <v>505</v>
      </c>
    </row>
    <row r="469" spans="2:49" ht="12.4" customHeight="1" x14ac:dyDescent="0.2"/>
    <row r="470" spans="2:49" ht="12.4" customHeight="1" x14ac:dyDescent="0.2">
      <c r="K470" s="170" t="s">
        <v>231</v>
      </c>
      <c r="L470" s="170"/>
      <c r="M470" s="170"/>
      <c r="N470" s="170"/>
      <c r="O470" s="170"/>
      <c r="P470" s="170" t="s">
        <v>230</v>
      </c>
      <c r="Q470" s="170"/>
      <c r="R470" s="170"/>
      <c r="S470" s="170"/>
      <c r="T470" s="170"/>
      <c r="U470" s="170" t="s">
        <v>382</v>
      </c>
      <c r="V470" s="170"/>
      <c r="W470" s="170"/>
      <c r="X470" s="170"/>
      <c r="Y470" s="170"/>
      <c r="AA470" s="145" t="s">
        <v>529</v>
      </c>
      <c r="AG470" s="145" t="s">
        <v>205</v>
      </c>
      <c r="AM470" s="145" t="s">
        <v>206</v>
      </c>
      <c r="AS470" s="145" t="s">
        <v>72</v>
      </c>
    </row>
    <row r="471" spans="2:49" ht="12.4" customHeight="1" x14ac:dyDescent="0.2">
      <c r="K471" s="271" t="str">
        <f>LookupTab!M$42</f>
        <v>Actual</v>
      </c>
      <c r="L471" s="209"/>
      <c r="M471" s="209"/>
      <c r="N471" s="271"/>
      <c r="O471" s="209"/>
      <c r="P471" s="271" t="str">
        <f>LookupTab!R$42</f>
        <v>Actual</v>
      </c>
      <c r="Q471" s="209"/>
      <c r="R471" s="209"/>
      <c r="S471" s="271"/>
      <c r="T471" s="271" t="str">
        <f>LookupTab!V$42</f>
        <v>Estimate</v>
      </c>
      <c r="U471" s="271" t="str">
        <f>LookupTab!W$42</f>
        <v>Forecast</v>
      </c>
      <c r="V471" s="209"/>
      <c r="W471" s="209"/>
      <c r="X471" s="209"/>
      <c r="Y471" s="209"/>
      <c r="AA471" s="272" t="s">
        <v>319</v>
      </c>
      <c r="AB471" s="272" t="s">
        <v>321</v>
      </c>
      <c r="AC471" s="272" t="s">
        <v>322</v>
      </c>
      <c r="AD471" s="272" t="s">
        <v>323</v>
      </c>
      <c r="AE471" s="272" t="s">
        <v>324</v>
      </c>
      <c r="AG471" s="272" t="s">
        <v>319</v>
      </c>
      <c r="AH471" s="272" t="s">
        <v>321</v>
      </c>
      <c r="AI471" s="272" t="s">
        <v>322</v>
      </c>
      <c r="AJ471" s="272" t="s">
        <v>323</v>
      </c>
      <c r="AK471" s="272" t="s">
        <v>324</v>
      </c>
      <c r="AM471" s="272" t="s">
        <v>319</v>
      </c>
      <c r="AN471" s="272" t="s">
        <v>321</v>
      </c>
      <c r="AO471" s="272" t="s">
        <v>322</v>
      </c>
      <c r="AP471" s="272" t="s">
        <v>323</v>
      </c>
      <c r="AQ471" s="272" t="s">
        <v>324</v>
      </c>
      <c r="AS471" s="272" t="s">
        <v>319</v>
      </c>
      <c r="AT471" s="272" t="s">
        <v>321</v>
      </c>
      <c r="AU471" s="272" t="s">
        <v>322</v>
      </c>
      <c r="AV471" s="272" t="s">
        <v>323</v>
      </c>
      <c r="AW471" s="272" t="s">
        <v>324</v>
      </c>
    </row>
    <row r="472" spans="2:49" ht="12.4" customHeight="1" x14ac:dyDescent="0.2">
      <c r="K472" s="169" t="str">
        <f>LookupTab!M$43</f>
        <v>2014/15</v>
      </c>
      <c r="L472" s="169" t="str">
        <f>LookupTab!N$43</f>
        <v>2015/16</v>
      </c>
      <c r="M472" s="169" t="str">
        <f>LookupTab!O$43</f>
        <v>2016/17</v>
      </c>
      <c r="N472" s="169" t="str">
        <f>LookupTab!P$43</f>
        <v>2017/18</v>
      </c>
      <c r="O472" s="169" t="str">
        <f>LookupTab!Q$43</f>
        <v>2018/19</v>
      </c>
      <c r="P472" s="169" t="str">
        <f>LookupTab!R$43</f>
        <v>2019/20</v>
      </c>
      <c r="Q472" s="169" t="str">
        <f>LookupTab!S$43</f>
        <v>2020/21</v>
      </c>
      <c r="R472" s="169" t="str">
        <f>LookupTab!T$43</f>
        <v>2021/22</v>
      </c>
      <c r="S472" s="169" t="str">
        <f>LookupTab!U$43</f>
        <v>2022/23</v>
      </c>
      <c r="T472" s="169" t="str">
        <f>LookupTab!V$43</f>
        <v>2023/24</v>
      </c>
      <c r="U472" s="169" t="str">
        <f>LookupTab!W$43</f>
        <v>2024/25</v>
      </c>
      <c r="V472" s="169" t="str">
        <f>LookupTab!X$43</f>
        <v>2025/26</v>
      </c>
      <c r="W472" s="169" t="str">
        <f>LookupTab!Y$43</f>
        <v>2026/27</v>
      </c>
      <c r="X472" s="169" t="str">
        <f>LookupTab!Z$43</f>
        <v>2027/28</v>
      </c>
      <c r="Y472" s="169" t="str">
        <f>LookupTab!AA$43</f>
        <v>2028/29</v>
      </c>
      <c r="AA472" s="272" t="s">
        <v>530</v>
      </c>
      <c r="AB472" s="213">
        <v>290.82</v>
      </c>
      <c r="AC472" s="47"/>
      <c r="AD472" s="47"/>
      <c r="AE472" s="47"/>
      <c r="AG472" s="272" t="s">
        <v>530</v>
      </c>
      <c r="AH472" s="213">
        <v>51.15</v>
      </c>
      <c r="AI472" s="47"/>
      <c r="AJ472" s="47"/>
      <c r="AK472" s="47"/>
      <c r="AM472" s="272" t="s">
        <v>530</v>
      </c>
      <c r="AN472" s="213">
        <v>6.72</v>
      </c>
      <c r="AO472" s="47"/>
      <c r="AP472" s="47"/>
      <c r="AQ472" s="47"/>
      <c r="AS472" s="272" t="s">
        <v>530</v>
      </c>
      <c r="AT472" s="274">
        <f>AB472+AH472+AN472</f>
        <v>348.69</v>
      </c>
      <c r="AU472" s="47" t="e">
        <f>NA()</f>
        <v>#N/A</v>
      </c>
      <c r="AV472" s="47" t="e">
        <f>NA()</f>
        <v>#N/A</v>
      </c>
      <c r="AW472" s="47" t="e">
        <f>NA()</f>
        <v>#N/A</v>
      </c>
    </row>
    <row r="473" spans="2:49" ht="12.4" customHeight="1" x14ac:dyDescent="0.2">
      <c r="J473" s="272" t="s">
        <v>321</v>
      </c>
      <c r="K473" s="273">
        <f t="array" ref="K473:Y473">TRANSPOSE(AT472:AT486)</f>
        <v>348.69</v>
      </c>
      <c r="L473" s="273">
        <v>353.65000000000003</v>
      </c>
      <c r="M473" s="273">
        <v>347.6</v>
      </c>
      <c r="N473" s="273">
        <v>345.62</v>
      </c>
      <c r="O473" s="273">
        <v>347.01000000000005</v>
      </c>
      <c r="P473" s="273">
        <v>329.7</v>
      </c>
      <c r="Q473" s="273">
        <v>346.21</v>
      </c>
      <c r="R473" s="273">
        <v>339.8139496452003</v>
      </c>
      <c r="S473" s="269">
        <v>341.11907906737855</v>
      </c>
      <c r="T473" s="269" t="e">
        <v>#N/A</v>
      </c>
      <c r="U473" s="269" t="e">
        <v>#N/A</v>
      </c>
      <c r="V473" s="269" t="e">
        <v>#N/A</v>
      </c>
      <c r="W473" s="269" t="e">
        <v>#N/A</v>
      </c>
      <c r="X473" s="269" t="e">
        <v>#N/A</v>
      </c>
      <c r="Y473" s="269" t="e">
        <v>#N/A</v>
      </c>
      <c r="AA473" s="272" t="s">
        <v>531</v>
      </c>
      <c r="AB473" s="213">
        <v>293.92</v>
      </c>
      <c r="AC473" s="47"/>
      <c r="AD473" s="47"/>
      <c r="AE473" s="47"/>
      <c r="AG473" s="272" t="s">
        <v>531</v>
      </c>
      <c r="AH473" s="213">
        <v>53.11</v>
      </c>
      <c r="AI473" s="47"/>
      <c r="AJ473" s="47"/>
      <c r="AK473" s="47"/>
      <c r="AM473" s="272" t="s">
        <v>531</v>
      </c>
      <c r="AN473" s="213">
        <v>6.62</v>
      </c>
      <c r="AO473" s="47"/>
      <c r="AP473" s="47"/>
      <c r="AQ473" s="47"/>
      <c r="AS473" s="272" t="s">
        <v>531</v>
      </c>
      <c r="AT473" s="274">
        <f t="shared" ref="AT473:AT480" si="3">AB473+AH473+AN473</f>
        <v>353.65000000000003</v>
      </c>
      <c r="AU473" s="47" t="e">
        <f>NA()</f>
        <v>#N/A</v>
      </c>
      <c r="AV473" s="47" t="e">
        <f>NA()</f>
        <v>#N/A</v>
      </c>
      <c r="AW473" s="47" t="e">
        <f>NA()</f>
        <v>#N/A</v>
      </c>
    </row>
    <row r="474" spans="2:49" ht="12.4" customHeight="1" x14ac:dyDescent="0.2">
      <c r="J474" s="272" t="s">
        <v>534</v>
      </c>
      <c r="K474" s="269" t="e">
        <f t="array" ref="K474:Y474">TRANSPOSE(AU472:AU486)</f>
        <v>#N/A</v>
      </c>
      <c r="L474" s="269" t="e">
        <v>#N/A</v>
      </c>
      <c r="M474" s="269" t="e">
        <v>#N/A</v>
      </c>
      <c r="N474" s="269" t="e">
        <v>#N/A</v>
      </c>
      <c r="O474" s="269" t="e">
        <v>#N/A</v>
      </c>
      <c r="P474" s="269" t="e">
        <v>#N/A</v>
      </c>
      <c r="Q474" s="269" t="e">
        <v>#N/A</v>
      </c>
      <c r="R474" s="269" t="e">
        <v>#N/A</v>
      </c>
      <c r="S474" s="273" t="e">
        <v>#N/A</v>
      </c>
      <c r="T474" s="273">
        <v>367.99948989665114</v>
      </c>
      <c r="U474" s="273">
        <v>378.50118146990025</v>
      </c>
      <c r="V474" s="273">
        <v>391.46657108308085</v>
      </c>
      <c r="W474" s="273">
        <v>402.65508373771189</v>
      </c>
      <c r="X474" s="273">
        <v>410.83509608490567</v>
      </c>
      <c r="Y474" s="273">
        <v>417.63350837051854</v>
      </c>
      <c r="AA474" s="272" t="s">
        <v>532</v>
      </c>
      <c r="AB474" s="213">
        <v>289.10000000000002</v>
      </c>
      <c r="AC474" s="47"/>
      <c r="AD474" s="47"/>
      <c r="AE474" s="47"/>
      <c r="AG474" s="272" t="s">
        <v>532</v>
      </c>
      <c r="AH474" s="213">
        <v>51.86</v>
      </c>
      <c r="AI474" s="47"/>
      <c r="AJ474" s="47"/>
      <c r="AK474" s="47"/>
      <c r="AM474" s="272" t="s">
        <v>532</v>
      </c>
      <c r="AN474" s="213">
        <v>6.64</v>
      </c>
      <c r="AO474" s="47"/>
      <c r="AP474" s="47"/>
      <c r="AQ474" s="47"/>
      <c r="AS474" s="272" t="s">
        <v>532</v>
      </c>
      <c r="AT474" s="274">
        <f t="shared" si="3"/>
        <v>347.6</v>
      </c>
      <c r="AU474" s="47" t="e">
        <f>NA()</f>
        <v>#N/A</v>
      </c>
      <c r="AV474" s="47" t="e">
        <f>NA()</f>
        <v>#N/A</v>
      </c>
      <c r="AW474" s="47" t="e">
        <f>NA()</f>
        <v>#N/A</v>
      </c>
    </row>
    <row r="475" spans="2:49" ht="12.4" customHeight="1" x14ac:dyDescent="0.2">
      <c r="J475" s="272" t="s">
        <v>535</v>
      </c>
      <c r="K475" s="269" t="e">
        <f t="array" ref="K475:Y475">TRANSPOSE(AV472:AV486)</f>
        <v>#N/A</v>
      </c>
      <c r="L475" s="269" t="e">
        <v>#N/A</v>
      </c>
      <c r="M475" s="269" t="e">
        <v>#N/A</v>
      </c>
      <c r="N475" s="269" t="e">
        <v>#N/A</v>
      </c>
      <c r="O475" s="269" t="e">
        <v>#N/A</v>
      </c>
      <c r="P475" s="269" t="e">
        <v>#N/A</v>
      </c>
      <c r="Q475" s="269" t="e">
        <v>#N/A</v>
      </c>
      <c r="R475" s="269" t="e">
        <v>#N/A</v>
      </c>
      <c r="S475" s="273" t="e">
        <v>#N/A</v>
      </c>
      <c r="T475" s="273">
        <v>366.44614418435708</v>
      </c>
      <c r="U475" s="273">
        <v>376.88611942581161</v>
      </c>
      <c r="V475" s="273">
        <v>387.06128919682959</v>
      </c>
      <c r="W475" s="273">
        <v>394.89787883648046</v>
      </c>
      <c r="X475" s="273">
        <v>403.0768197551028</v>
      </c>
      <c r="Y475" s="273">
        <v>409.87416061214424</v>
      </c>
      <c r="AA475" s="272" t="s">
        <v>533</v>
      </c>
      <c r="AB475" s="213">
        <v>286.38</v>
      </c>
      <c r="AC475" s="47"/>
      <c r="AD475" s="47"/>
      <c r="AE475" s="47"/>
      <c r="AG475" s="272" t="s">
        <v>533</v>
      </c>
      <c r="AH475" s="213">
        <v>52.67</v>
      </c>
      <c r="AI475" s="47"/>
      <c r="AJ475" s="47"/>
      <c r="AK475" s="47"/>
      <c r="AM475" s="272" t="s">
        <v>533</v>
      </c>
      <c r="AN475" s="213">
        <v>6.57</v>
      </c>
      <c r="AO475" s="47"/>
      <c r="AP475" s="47"/>
      <c r="AQ475" s="47"/>
      <c r="AS475" s="272" t="s">
        <v>533</v>
      </c>
      <c r="AT475" s="274">
        <f t="shared" si="3"/>
        <v>345.62</v>
      </c>
      <c r="AU475" s="47" t="e">
        <f>NA()</f>
        <v>#N/A</v>
      </c>
      <c r="AV475" s="47" t="e">
        <f>NA()</f>
        <v>#N/A</v>
      </c>
      <c r="AW475" s="47" t="e">
        <f>NA()</f>
        <v>#N/A</v>
      </c>
    </row>
    <row r="476" spans="2:49" ht="12.4" customHeight="1" x14ac:dyDescent="0.2">
      <c r="J476" s="272" t="s">
        <v>536</v>
      </c>
      <c r="K476" s="269" t="e">
        <f t="array" ref="K476:Y476">TRANSPOSE(AW472:AW486)</f>
        <v>#N/A</v>
      </c>
      <c r="L476" s="269" t="e">
        <v>#N/A</v>
      </c>
      <c r="M476" s="269" t="e">
        <v>#N/A</v>
      </c>
      <c r="N476" s="269" t="e">
        <v>#N/A</v>
      </c>
      <c r="O476" s="269" t="e">
        <v>#N/A</v>
      </c>
      <c r="P476" s="269" t="e">
        <v>#N/A</v>
      </c>
      <c r="Q476" s="269" t="e">
        <v>#N/A</v>
      </c>
      <c r="R476" s="269" t="e">
        <v>#N/A</v>
      </c>
      <c r="S476" s="273" t="e">
        <v>#N/A</v>
      </c>
      <c r="T476" s="273">
        <v>364.89632805725228</v>
      </c>
      <c r="U476" s="273">
        <v>375.29985187243744</v>
      </c>
      <c r="V476" s="273">
        <v>385.45492731084516</v>
      </c>
      <c r="W476" s="273">
        <v>391.48950142199766</v>
      </c>
      <c r="X476" s="273">
        <v>399.9196335286602</v>
      </c>
      <c r="Y476" s="273">
        <v>407.41665985864472</v>
      </c>
      <c r="AA476" s="272" t="s">
        <v>354</v>
      </c>
      <c r="AB476" s="213">
        <v>286.99</v>
      </c>
      <c r="AC476" s="47"/>
      <c r="AD476" s="47"/>
      <c r="AE476" s="47"/>
      <c r="AG476" s="272" t="s">
        <v>354</v>
      </c>
      <c r="AH476" s="213">
        <v>52.85</v>
      </c>
      <c r="AI476" s="47"/>
      <c r="AJ476" s="47"/>
      <c r="AK476" s="47"/>
      <c r="AM476" s="272" t="s">
        <v>354</v>
      </c>
      <c r="AN476" s="213">
        <v>7.17</v>
      </c>
      <c r="AO476" s="47"/>
      <c r="AP476" s="47"/>
      <c r="AQ476" s="47"/>
      <c r="AS476" s="272" t="s">
        <v>354</v>
      </c>
      <c r="AT476" s="274">
        <f t="shared" si="3"/>
        <v>347.01000000000005</v>
      </c>
      <c r="AU476" s="47" t="e">
        <f>NA()</f>
        <v>#N/A</v>
      </c>
      <c r="AV476" s="47" t="e">
        <f>NA()</f>
        <v>#N/A</v>
      </c>
      <c r="AW476" s="47" t="e">
        <f>NA()</f>
        <v>#N/A</v>
      </c>
    </row>
    <row r="477" spans="2:49" ht="12.4" customHeight="1" x14ac:dyDescent="0.2">
      <c r="AA477" s="272" t="s">
        <v>293</v>
      </c>
      <c r="AB477" s="213">
        <v>272</v>
      </c>
      <c r="AC477" s="47"/>
      <c r="AD477" s="47"/>
      <c r="AE477" s="47"/>
      <c r="AG477" s="272" t="s">
        <v>293</v>
      </c>
      <c r="AH477" s="213">
        <v>50.9</v>
      </c>
      <c r="AI477" s="47"/>
      <c r="AJ477" s="47"/>
      <c r="AK477" s="47"/>
      <c r="AM477" s="272" t="s">
        <v>293</v>
      </c>
      <c r="AN477" s="213">
        <v>6.8</v>
      </c>
      <c r="AO477" s="47"/>
      <c r="AP477" s="47"/>
      <c r="AQ477" s="47"/>
      <c r="AS477" s="272" t="s">
        <v>293</v>
      </c>
      <c r="AT477" s="274">
        <f t="shared" si="3"/>
        <v>329.7</v>
      </c>
      <c r="AU477" s="47" t="e">
        <f>NA()</f>
        <v>#N/A</v>
      </c>
      <c r="AV477" s="47" t="e">
        <f>NA()</f>
        <v>#N/A</v>
      </c>
      <c r="AW477" s="47" t="e">
        <f>NA()</f>
        <v>#N/A</v>
      </c>
    </row>
    <row r="478" spans="2:49" ht="12.4" customHeight="1" x14ac:dyDescent="0.2">
      <c r="J478" s="147" t="s">
        <v>522</v>
      </c>
      <c r="K478" s="275" t="s">
        <v>360</v>
      </c>
      <c r="AA478" s="272" t="s">
        <v>292</v>
      </c>
      <c r="AB478" s="213">
        <v>285.86</v>
      </c>
      <c r="AC478" s="47"/>
      <c r="AD478" s="47"/>
      <c r="AE478" s="47"/>
      <c r="AG478" s="272" t="s">
        <v>292</v>
      </c>
      <c r="AH478" s="213">
        <v>53.27</v>
      </c>
      <c r="AI478" s="47"/>
      <c r="AJ478" s="47"/>
      <c r="AK478" s="47"/>
      <c r="AM478" s="272" t="s">
        <v>292</v>
      </c>
      <c r="AN478" s="213">
        <v>7.08</v>
      </c>
      <c r="AO478" s="47"/>
      <c r="AP478" s="47"/>
      <c r="AQ478" s="47"/>
      <c r="AS478" s="272" t="s">
        <v>292</v>
      </c>
      <c r="AT478" s="274">
        <f t="shared" si="3"/>
        <v>346.21</v>
      </c>
      <c r="AU478" s="47" t="e">
        <f>NA()</f>
        <v>#N/A</v>
      </c>
      <c r="AV478" s="47" t="e">
        <f>NA()</f>
        <v>#N/A</v>
      </c>
      <c r="AW478" s="47" t="e">
        <f>NA()</f>
        <v>#N/A</v>
      </c>
    </row>
    <row r="479" spans="2:49" ht="12.4" customHeight="1" x14ac:dyDescent="0.2">
      <c r="AA479" s="272" t="s">
        <v>291</v>
      </c>
      <c r="AB479" s="213">
        <v>284.62</v>
      </c>
      <c r="AC479" s="47"/>
      <c r="AD479" s="47"/>
      <c r="AE479" s="47"/>
      <c r="AG479" s="272" t="s">
        <v>291</v>
      </c>
      <c r="AH479" s="213">
        <v>48.8</v>
      </c>
      <c r="AI479" s="47"/>
      <c r="AJ479" s="47"/>
      <c r="AK479" s="47"/>
      <c r="AM479" s="272" t="s">
        <v>291</v>
      </c>
      <c r="AN479" s="213">
        <v>6.393949645200296</v>
      </c>
      <c r="AO479" s="47"/>
      <c r="AP479" s="47"/>
      <c r="AQ479" s="47"/>
      <c r="AS479" s="272" t="s">
        <v>291</v>
      </c>
      <c r="AT479" s="274">
        <f t="shared" si="3"/>
        <v>339.8139496452003</v>
      </c>
      <c r="AU479" s="47" t="e">
        <f>NA()</f>
        <v>#N/A</v>
      </c>
      <c r="AV479" s="47" t="e">
        <f>NA()</f>
        <v>#N/A</v>
      </c>
      <c r="AW479" s="47" t="e">
        <f>NA()</f>
        <v>#N/A</v>
      </c>
    </row>
    <row r="480" spans="2:49" ht="12.4" customHeight="1" x14ac:dyDescent="0.2">
      <c r="AA480" s="272" t="s">
        <v>290</v>
      </c>
      <c r="AB480" s="213">
        <v>289.35000000000002</v>
      </c>
      <c r="AC480" s="213">
        <v>293.67913880911885</v>
      </c>
      <c r="AD480" s="213">
        <v>293.67913880911885</v>
      </c>
      <c r="AE480" s="213">
        <v>293.67913880911885</v>
      </c>
      <c r="AG480" s="272" t="s">
        <v>290</v>
      </c>
      <c r="AH480" s="213">
        <v>44.92</v>
      </c>
      <c r="AI480" s="213">
        <v>51.357144677341189</v>
      </c>
      <c r="AJ480" s="213">
        <v>49.897013250761411</v>
      </c>
      <c r="AK480" s="213">
        <v>48.483982837942257</v>
      </c>
      <c r="AM480" s="272" t="s">
        <v>290</v>
      </c>
      <c r="AN480" s="213">
        <v>6.8490790673785291</v>
      </c>
      <c r="AO480" s="213">
        <v>6.5159800478183145</v>
      </c>
      <c r="AP480" s="213">
        <v>6.4238371906754566</v>
      </c>
      <c r="AQ480" s="213">
        <v>6.2859800478183141</v>
      </c>
      <c r="AS480" s="272" t="s">
        <v>290</v>
      </c>
      <c r="AT480" s="274">
        <f t="shared" si="3"/>
        <v>341.11907906737855</v>
      </c>
      <c r="AU480" s="47" t="e">
        <f>NA()</f>
        <v>#N/A</v>
      </c>
      <c r="AV480" s="47" t="e">
        <f>NA()</f>
        <v>#N/A</v>
      </c>
      <c r="AW480" s="47" t="e">
        <f>NA()</f>
        <v>#N/A</v>
      </c>
    </row>
    <row r="481" spans="3:49" ht="12.4" customHeight="1" x14ac:dyDescent="0.2">
      <c r="AA481" s="272" t="s">
        <v>252</v>
      </c>
      <c r="AB481" s="47"/>
      <c r="AC481" s="213">
        <v>306.2915359323365</v>
      </c>
      <c r="AD481" s="213">
        <v>306.2915359323365</v>
      </c>
      <c r="AE481" s="213">
        <v>306.2915359323365</v>
      </c>
      <c r="AG481" s="272" t="s">
        <v>252</v>
      </c>
      <c r="AH481" s="47"/>
      <c r="AI481" s="213">
        <v>55.159462935527323</v>
      </c>
      <c r="AJ481" s="213">
        <v>53.699331508947544</v>
      </c>
      <c r="AK481" s="213">
        <v>52.28630109612839</v>
      </c>
      <c r="AM481" s="272" t="s">
        <v>252</v>
      </c>
      <c r="AN481" s="47"/>
      <c r="AO481" s="213">
        <v>6.5484910287873648</v>
      </c>
      <c r="AP481" s="213">
        <v>6.4552767430730791</v>
      </c>
      <c r="AQ481" s="213">
        <v>6.3184910287873652</v>
      </c>
      <c r="AS481" s="272" t="s">
        <v>252</v>
      </c>
      <c r="AT481" s="47" t="e">
        <f>NA()</f>
        <v>#N/A</v>
      </c>
      <c r="AU481" s="274">
        <f t="shared" ref="AU481:AU486" si="4">AC481+AI481+AO481</f>
        <v>367.99948989665114</v>
      </c>
      <c r="AV481" s="274">
        <f t="shared" ref="AV481:AV486" si="5">AD481+AJ481+AP481</f>
        <v>366.44614418435708</v>
      </c>
      <c r="AW481" s="274">
        <f t="shared" ref="AW481:AW486" si="6">AE481+AK481+AQ481</f>
        <v>364.89632805725228</v>
      </c>
    </row>
    <row r="482" spans="3:49" ht="12.4" customHeight="1" x14ac:dyDescent="0.2">
      <c r="AA482" s="272" t="s">
        <v>199</v>
      </c>
      <c r="AB482" s="47"/>
      <c r="AC482" s="213">
        <v>313.20647781465283</v>
      </c>
      <c r="AD482" s="213">
        <v>313.20647781465283</v>
      </c>
      <c r="AE482" s="213">
        <v>313.20647781465283</v>
      </c>
      <c r="AG482" s="272" t="s">
        <v>199</v>
      </c>
      <c r="AH482" s="47"/>
      <c r="AI482" s="213">
        <v>58.710643873744132</v>
      </c>
      <c r="AJ482" s="213">
        <v>57.189867543941205</v>
      </c>
      <c r="AK482" s="213">
        <v>55.739314276281313</v>
      </c>
      <c r="AM482" s="272" t="s">
        <v>199</v>
      </c>
      <c r="AN482" s="47"/>
      <c r="AO482" s="213">
        <v>6.5840597815032913</v>
      </c>
      <c r="AP482" s="213">
        <v>6.489774067217577</v>
      </c>
      <c r="AQ482" s="213">
        <v>6.3540597815032918</v>
      </c>
      <c r="AS482" s="272" t="s">
        <v>199</v>
      </c>
      <c r="AT482" s="47" t="e">
        <f>NA()</f>
        <v>#N/A</v>
      </c>
      <c r="AU482" s="274">
        <f t="shared" si="4"/>
        <v>378.50118146990025</v>
      </c>
      <c r="AV482" s="274">
        <f t="shared" si="5"/>
        <v>376.88611942581161</v>
      </c>
      <c r="AW482" s="274">
        <f t="shared" si="6"/>
        <v>375.29985187243744</v>
      </c>
    </row>
    <row r="483" spans="3:49" ht="12.4" customHeight="1" x14ac:dyDescent="0.2">
      <c r="AA483" s="272" t="s">
        <v>200</v>
      </c>
      <c r="AB483" s="47"/>
      <c r="AC483" s="213">
        <v>325.0194109932587</v>
      </c>
      <c r="AD483" s="213">
        <v>322.23026257966745</v>
      </c>
      <c r="AE483" s="213">
        <v>322.23026257966745</v>
      </c>
      <c r="AG483" s="272" t="s">
        <v>200</v>
      </c>
      <c r="AH483" s="47"/>
      <c r="AI483" s="213">
        <v>59.82434172705176</v>
      </c>
      <c r="AJ483" s="213">
        <v>58.303565397248832</v>
      </c>
      <c r="AK483" s="213">
        <v>56.831846368407284</v>
      </c>
      <c r="AM483" s="272" t="s">
        <v>200</v>
      </c>
      <c r="AN483" s="47"/>
      <c r="AO483" s="213">
        <v>6.6228183627704009</v>
      </c>
      <c r="AP483" s="213">
        <v>6.527461219913258</v>
      </c>
      <c r="AQ483" s="213">
        <v>6.3928183627704014</v>
      </c>
      <c r="AS483" s="272" t="s">
        <v>200</v>
      </c>
      <c r="AT483" s="47" t="e">
        <f>NA()</f>
        <v>#N/A</v>
      </c>
      <c r="AU483" s="274">
        <f t="shared" si="4"/>
        <v>391.46657108308085</v>
      </c>
      <c r="AV483" s="274">
        <f t="shared" si="5"/>
        <v>387.06128919682959</v>
      </c>
      <c r="AW483" s="274">
        <f t="shared" si="6"/>
        <v>385.45492731084516</v>
      </c>
    </row>
    <row r="484" spans="3:49" ht="12.4" customHeight="1" x14ac:dyDescent="0.2">
      <c r="AA484" s="272" t="s">
        <v>201</v>
      </c>
      <c r="AB484" s="47"/>
      <c r="AC484" s="213">
        <v>335.47714082506042</v>
      </c>
      <c r="AD484" s="213">
        <v>329.33714082506049</v>
      </c>
      <c r="AE484" s="213">
        <v>327.53405386799062</v>
      </c>
      <c r="AG484" s="272" t="s">
        <v>201</v>
      </c>
      <c r="AH484" s="47"/>
      <c r="AI484" s="213">
        <v>60.506160066914589</v>
      </c>
      <c r="AJ484" s="213">
        <v>58.985383737111661</v>
      </c>
      <c r="AK484" s="213">
        <v>57.513664708270113</v>
      </c>
      <c r="AM484" s="272" t="s">
        <v>201</v>
      </c>
      <c r="AN484" s="47"/>
      <c r="AO484" s="213">
        <v>6.6717828457369199</v>
      </c>
      <c r="AP484" s="213">
        <v>6.5753542743083484</v>
      </c>
      <c r="AQ484" s="213">
        <v>6.4417828457369195</v>
      </c>
      <c r="AS484" s="272" t="s">
        <v>201</v>
      </c>
      <c r="AT484" s="47" t="e">
        <f>NA()</f>
        <v>#N/A</v>
      </c>
      <c r="AU484" s="274">
        <f t="shared" si="4"/>
        <v>402.65508373771189</v>
      </c>
      <c r="AV484" s="274">
        <f t="shared" si="5"/>
        <v>394.89787883648046</v>
      </c>
      <c r="AW484" s="274">
        <f t="shared" si="6"/>
        <v>391.48950142199766</v>
      </c>
    </row>
    <row r="485" spans="3:49" ht="12.4" customHeight="1" x14ac:dyDescent="0.2">
      <c r="AA485" s="272" t="s">
        <v>202</v>
      </c>
      <c r="AB485" s="47"/>
      <c r="AC485" s="213">
        <v>342.91835138221984</v>
      </c>
      <c r="AD485" s="213">
        <v>336.77835138221985</v>
      </c>
      <c r="AE485" s="213">
        <v>335.2253841846188</v>
      </c>
      <c r="AG485" s="272" t="s">
        <v>202</v>
      </c>
      <c r="AH485" s="47"/>
      <c r="AI485" s="213">
        <v>61.194682506742353</v>
      </c>
      <c r="AJ485" s="213">
        <v>59.673906176939433</v>
      </c>
      <c r="AK485" s="213">
        <v>58.202187148097885</v>
      </c>
      <c r="AM485" s="272" t="s">
        <v>202</v>
      </c>
      <c r="AN485" s="47"/>
      <c r="AO485" s="213">
        <v>6.7220621959434768</v>
      </c>
      <c r="AP485" s="213">
        <v>6.6245621959434766</v>
      </c>
      <c r="AQ485" s="213">
        <v>6.4920621959434763</v>
      </c>
      <c r="AS485" s="272" t="s">
        <v>202</v>
      </c>
      <c r="AT485" s="47" t="e">
        <f>NA()</f>
        <v>#N/A</v>
      </c>
      <c r="AU485" s="274">
        <f t="shared" si="4"/>
        <v>410.83509608490567</v>
      </c>
      <c r="AV485" s="274">
        <f t="shared" si="5"/>
        <v>403.0768197551028</v>
      </c>
      <c r="AW485" s="274">
        <f t="shared" si="6"/>
        <v>399.9196335286602</v>
      </c>
    </row>
    <row r="486" spans="3:49" ht="12.4" customHeight="1" x14ac:dyDescent="0.2">
      <c r="AA486" s="272" t="s">
        <v>203</v>
      </c>
      <c r="AB486" s="47"/>
      <c r="AC486" s="213">
        <v>348.96364535964437</v>
      </c>
      <c r="AD486" s="213">
        <v>342.82364535964439</v>
      </c>
      <c r="AE486" s="213">
        <v>341.96929220641499</v>
      </c>
      <c r="AG486" s="272" t="s">
        <v>203</v>
      </c>
      <c r="AH486" s="47"/>
      <c r="AI486" s="213">
        <v>61.894324097071262</v>
      </c>
      <c r="AJ486" s="213">
        <v>60.373547767268334</v>
      </c>
      <c r="AK486" s="213">
        <v>58.901828738426786</v>
      </c>
      <c r="AM486" s="272" t="s">
        <v>203</v>
      </c>
      <c r="AN486" s="47"/>
      <c r="AO486" s="213">
        <v>6.7755389138029249</v>
      </c>
      <c r="AP486" s="213">
        <v>6.6769674852314962</v>
      </c>
      <c r="AQ486" s="213">
        <v>6.5455389138029245</v>
      </c>
      <c r="AS486" s="272" t="s">
        <v>203</v>
      </c>
      <c r="AT486" s="47" t="e">
        <f>NA()</f>
        <v>#N/A</v>
      </c>
      <c r="AU486" s="274">
        <f t="shared" si="4"/>
        <v>417.63350837051854</v>
      </c>
      <c r="AV486" s="274">
        <f t="shared" si="5"/>
        <v>409.87416061214424</v>
      </c>
      <c r="AW486" s="274">
        <f t="shared" si="6"/>
        <v>407.41665985864472</v>
      </c>
    </row>
    <row r="487" spans="3:49" ht="12.4" customHeight="1" x14ac:dyDescent="0.2"/>
    <row r="488" spans="3:49" s="121" customFormat="1" ht="15.75" x14ac:dyDescent="0.2">
      <c r="C488" s="121" t="s">
        <v>506</v>
      </c>
    </row>
    <row r="489" spans="3:49" ht="12.4" customHeight="1" x14ac:dyDescent="0.2"/>
    <row r="490" spans="3:49" ht="12.4" customHeight="1" x14ac:dyDescent="0.2">
      <c r="M490" s="147" t="s">
        <v>539</v>
      </c>
      <c r="N490" s="276">
        <v>0</v>
      </c>
      <c r="O490" s="276">
        <v>4.1666666666666664E-2</v>
      </c>
      <c r="P490" s="276">
        <v>8.3333333333333301E-2</v>
      </c>
      <c r="Q490" s="276">
        <v>0.125</v>
      </c>
      <c r="R490" s="276">
        <v>0.16666666666666599</v>
      </c>
      <c r="S490" s="276">
        <v>0.20833333333333334</v>
      </c>
      <c r="T490" s="276">
        <v>0.25</v>
      </c>
      <c r="U490" s="276">
        <v>0.29166666666666669</v>
      </c>
      <c r="V490" s="276">
        <v>0.33333333333333331</v>
      </c>
      <c r="W490" s="276">
        <v>0.375</v>
      </c>
      <c r="X490" s="276">
        <v>0.41666666666666669</v>
      </c>
      <c r="Y490" s="276">
        <v>0.45833333333333331</v>
      </c>
      <c r="Z490" s="276">
        <v>0.5</v>
      </c>
      <c r="AA490" s="276">
        <v>0.54166666666666663</v>
      </c>
      <c r="AB490" s="276">
        <v>0.58333333333333337</v>
      </c>
      <c r="AC490" s="276">
        <v>0.625</v>
      </c>
      <c r="AD490" s="276">
        <v>0.66666666666666663</v>
      </c>
      <c r="AE490" s="276">
        <v>0.70833333333333337</v>
      </c>
      <c r="AF490" s="276">
        <v>0.75</v>
      </c>
      <c r="AG490" s="276">
        <v>0.79166666666666663</v>
      </c>
      <c r="AH490" s="276">
        <v>0.83333333333333337</v>
      </c>
      <c r="AI490" s="276">
        <v>0.875</v>
      </c>
      <c r="AJ490" s="276">
        <v>0.91666666666666663</v>
      </c>
      <c r="AK490" s="276">
        <v>0.95833333333333337</v>
      </c>
    </row>
    <row r="491" spans="3:49" ht="12.4" customHeight="1" x14ac:dyDescent="0.2">
      <c r="M491" s="147" t="s">
        <v>628</v>
      </c>
      <c r="N491" s="213">
        <v>200.7</v>
      </c>
      <c r="O491" s="213">
        <v>174.17</v>
      </c>
      <c r="P491" s="213">
        <v>164.56</v>
      </c>
      <c r="Q491" s="213">
        <v>160.65</v>
      </c>
      <c r="R491" s="213">
        <v>158.25</v>
      </c>
      <c r="S491" s="213">
        <v>157.29</v>
      </c>
      <c r="T491" s="213">
        <v>163.92282855183967</v>
      </c>
      <c r="U491" s="213">
        <v>188.03428337694541</v>
      </c>
      <c r="V491" s="213">
        <v>231.99532699138837</v>
      </c>
      <c r="W491" s="213">
        <v>248.97603656442837</v>
      </c>
      <c r="X491" s="213">
        <v>254.61568053551255</v>
      </c>
      <c r="Y491" s="213">
        <v>261.85910733415648</v>
      </c>
      <c r="Z491" s="213">
        <v>281.76908057058051</v>
      </c>
      <c r="AA491" s="213">
        <v>282.8116973482492</v>
      </c>
      <c r="AB491" s="213">
        <v>282.44517284197639</v>
      </c>
      <c r="AC491" s="213">
        <v>281.16649504899112</v>
      </c>
      <c r="AD491" s="213">
        <v>285.45221288456753</v>
      </c>
      <c r="AE491" s="213">
        <v>288.08353894091641</v>
      </c>
      <c r="AF491" s="213">
        <v>283.24373327452349</v>
      </c>
      <c r="AG491" s="213">
        <v>283.64</v>
      </c>
      <c r="AH491" s="213">
        <v>282.02999999999997</v>
      </c>
      <c r="AI491" s="213">
        <v>265.20999999999998</v>
      </c>
      <c r="AJ491" s="213">
        <v>242.94</v>
      </c>
      <c r="AK491" s="213">
        <v>218.86</v>
      </c>
    </row>
    <row r="492" spans="3:49" ht="12.4" customHeight="1" x14ac:dyDescent="0.2">
      <c r="M492" s="147" t="s">
        <v>629</v>
      </c>
      <c r="N492" s="213">
        <v>200.7</v>
      </c>
      <c r="O492" s="213">
        <v>174.17</v>
      </c>
      <c r="P492" s="213">
        <v>164.56</v>
      </c>
      <c r="Q492" s="213">
        <v>160.65</v>
      </c>
      <c r="R492" s="213">
        <v>158.25</v>
      </c>
      <c r="S492" s="213">
        <v>157.29</v>
      </c>
      <c r="T492" s="213">
        <v>163.52000000000001</v>
      </c>
      <c r="U492" s="213">
        <v>184.21</v>
      </c>
      <c r="V492" s="213">
        <v>216.06</v>
      </c>
      <c r="W492" s="213">
        <v>218.85</v>
      </c>
      <c r="X492" s="213">
        <v>213.39</v>
      </c>
      <c r="Y492" s="213">
        <v>213.48</v>
      </c>
      <c r="Z492" s="213">
        <v>228.85</v>
      </c>
      <c r="AA492" s="213">
        <v>232.16</v>
      </c>
      <c r="AB492" s="213">
        <v>237.93</v>
      </c>
      <c r="AC492" s="213">
        <v>245</v>
      </c>
      <c r="AD492" s="213">
        <v>259.56</v>
      </c>
      <c r="AE492" s="213">
        <v>274.49</v>
      </c>
      <c r="AF492" s="213">
        <v>279.85000000000002</v>
      </c>
      <c r="AG492" s="213">
        <v>283.64</v>
      </c>
      <c r="AH492" s="213">
        <v>282.02999999999997</v>
      </c>
      <c r="AI492" s="213">
        <v>265.20999999999998</v>
      </c>
      <c r="AJ492" s="213">
        <v>242.94</v>
      </c>
      <c r="AK492" s="213">
        <v>218.86</v>
      </c>
    </row>
    <row r="493" spans="3:49" ht="12.4" customHeight="1" x14ac:dyDescent="0.2"/>
    <row r="494" spans="3:49" ht="12.4" customHeight="1" x14ac:dyDescent="0.2">
      <c r="M494" s="147" t="s">
        <v>522</v>
      </c>
      <c r="N494" s="275" t="s">
        <v>540</v>
      </c>
    </row>
    <row r="495" spans="3:49" ht="12.4" customHeight="1" x14ac:dyDescent="0.2"/>
    <row r="496" spans="3:49" ht="12.4" customHeight="1" x14ac:dyDescent="0.2"/>
    <row r="497" spans="3:37" ht="12.4" customHeight="1" x14ac:dyDescent="0.2"/>
    <row r="498" spans="3:37" ht="12.4" customHeight="1" x14ac:dyDescent="0.2"/>
    <row r="499" spans="3:37" ht="12.4" customHeight="1" x14ac:dyDescent="0.2"/>
    <row r="500" spans="3:37" ht="12.4" customHeight="1" x14ac:dyDescent="0.2"/>
    <row r="501" spans="3:37" ht="12.4" customHeight="1" x14ac:dyDescent="0.2"/>
    <row r="508" spans="3:37" s="121" customFormat="1" ht="15.75" x14ac:dyDescent="0.2">
      <c r="C508" s="121" t="s">
        <v>507</v>
      </c>
    </row>
    <row r="510" spans="3:37" x14ac:dyDescent="0.2">
      <c r="M510" s="147" t="s">
        <v>539</v>
      </c>
      <c r="N510" s="276">
        <v>0</v>
      </c>
      <c r="O510" s="276">
        <v>4.1666666666666664E-2</v>
      </c>
      <c r="P510" s="276">
        <v>8.3333333333333301E-2</v>
      </c>
      <c r="Q510" s="276">
        <v>0.125</v>
      </c>
      <c r="R510" s="276">
        <v>0.16666666666666599</v>
      </c>
      <c r="S510" s="276">
        <v>0.20833333333333334</v>
      </c>
      <c r="T510" s="276">
        <v>0.25</v>
      </c>
      <c r="U510" s="276">
        <v>0.29166666666666669</v>
      </c>
      <c r="V510" s="276">
        <v>0.33333333333333331</v>
      </c>
      <c r="W510" s="276">
        <v>0.375</v>
      </c>
      <c r="X510" s="276">
        <v>0.41666666666666669</v>
      </c>
      <c r="Y510" s="276">
        <v>0.45833333333333331</v>
      </c>
      <c r="Z510" s="276">
        <v>0.5</v>
      </c>
      <c r="AA510" s="276">
        <v>0.54166666666666663</v>
      </c>
      <c r="AB510" s="276">
        <v>0.58333333333333337</v>
      </c>
      <c r="AC510" s="276">
        <v>0.625</v>
      </c>
      <c r="AD510" s="276">
        <v>0.66666666666666663</v>
      </c>
      <c r="AE510" s="276">
        <v>0.70833333333333337</v>
      </c>
      <c r="AF510" s="276">
        <v>0.75</v>
      </c>
      <c r="AG510" s="276">
        <v>0.79166666666666663</v>
      </c>
      <c r="AH510" s="276">
        <v>0.83333333333333337</v>
      </c>
      <c r="AI510" s="276">
        <v>0.875</v>
      </c>
      <c r="AJ510" s="276">
        <v>0.91666666666666663</v>
      </c>
      <c r="AK510" s="276">
        <v>0.95833333333333337</v>
      </c>
    </row>
    <row r="511" spans="3:37" x14ac:dyDescent="0.2">
      <c r="M511" s="286" t="s">
        <v>1175</v>
      </c>
      <c r="N511" s="213">
        <v>206.45398970564386</v>
      </c>
      <c r="O511" s="213">
        <v>195.92677035415491</v>
      </c>
      <c r="P511" s="213">
        <v>189.23014326246238</v>
      </c>
      <c r="Q511" s="213">
        <v>183.00622709430601</v>
      </c>
      <c r="R511" s="213">
        <v>183.04561585910986</v>
      </c>
      <c r="S511" s="213">
        <v>190.52550893515175</v>
      </c>
      <c r="T511" s="213">
        <v>211.67418816856025</v>
      </c>
      <c r="U511" s="213">
        <v>237.94604387261148</v>
      </c>
      <c r="V511" s="213">
        <v>238.58837258881573</v>
      </c>
      <c r="W511" s="213">
        <v>229.47838251675373</v>
      </c>
      <c r="X511" s="213">
        <v>217.36096315220016</v>
      </c>
      <c r="Y511" s="213">
        <v>222.83933644502136</v>
      </c>
      <c r="Z511" s="213">
        <v>227.69887139318899</v>
      </c>
      <c r="AA511" s="213">
        <v>233.8390756910492</v>
      </c>
      <c r="AB511" s="213">
        <v>249.39378322487514</v>
      </c>
      <c r="AC511" s="213">
        <v>273.08646092389637</v>
      </c>
      <c r="AD511" s="213">
        <v>297.0267550424316</v>
      </c>
      <c r="AE511" s="213">
        <v>314.81999438269281</v>
      </c>
      <c r="AF511" s="213">
        <v>314.96775997261233</v>
      </c>
      <c r="AG511" s="213">
        <v>313.38520738724168</v>
      </c>
      <c r="AH511" s="213">
        <v>303.38021443312306</v>
      </c>
      <c r="AI511" s="213">
        <v>277.72455029705105</v>
      </c>
      <c r="AJ511" s="213">
        <v>247.68049330367626</v>
      </c>
      <c r="AK511" s="213">
        <v>222.72232141285383</v>
      </c>
    </row>
    <row r="512" spans="3:37" x14ac:dyDescent="0.2">
      <c r="M512" s="147" t="s">
        <v>630</v>
      </c>
      <c r="N512" s="213">
        <v>260.90999999999997</v>
      </c>
      <c r="O512" s="213">
        <v>226.42099999999999</v>
      </c>
      <c r="P512" s="213">
        <v>213.928</v>
      </c>
      <c r="Q512" s="213">
        <v>208.84500000000003</v>
      </c>
      <c r="R512" s="213">
        <v>205.72499999999999</v>
      </c>
      <c r="S512" s="213">
        <v>204.477</v>
      </c>
      <c r="T512" s="213">
        <v>212.05232288260848</v>
      </c>
      <c r="U512" s="213">
        <v>234.50143160997098</v>
      </c>
      <c r="V512" s="213">
        <v>260.16207491119513</v>
      </c>
      <c r="W512" s="213">
        <v>245.34115246624313</v>
      </c>
      <c r="X512" s="213">
        <v>223.8136153038337</v>
      </c>
      <c r="Y512" s="213">
        <v>214.63116046559659</v>
      </c>
      <c r="Z512" s="213">
        <v>228.71019525824534</v>
      </c>
      <c r="AA512" s="213">
        <v>235.9607934472761</v>
      </c>
      <c r="AB512" s="213">
        <v>251.4392753054307</v>
      </c>
      <c r="AC512" s="213">
        <v>271.48355643631157</v>
      </c>
      <c r="AD512" s="213">
        <v>303.76812325006222</v>
      </c>
      <c r="AE512" s="213">
        <v>339.16539937680869</v>
      </c>
      <c r="AF512" s="213">
        <v>359.39314674311953</v>
      </c>
      <c r="AG512" s="213">
        <v>368.73199999999997</v>
      </c>
      <c r="AH512" s="213">
        <v>366.63899999999995</v>
      </c>
      <c r="AI512" s="213">
        <v>344.77299999999997</v>
      </c>
      <c r="AJ512" s="213">
        <v>315.822</v>
      </c>
      <c r="AK512" s="213">
        <v>284.51800000000003</v>
      </c>
    </row>
    <row r="513" spans="13:37" x14ac:dyDescent="0.2">
      <c r="M513" s="147" t="s">
        <v>631</v>
      </c>
      <c r="N513" s="213">
        <v>245.25539999999995</v>
      </c>
      <c r="O513" s="213">
        <v>226.42099999999999</v>
      </c>
      <c r="P513" s="213">
        <v>213.928</v>
      </c>
      <c r="Q513" s="213">
        <v>208.84500000000003</v>
      </c>
      <c r="R513" s="213">
        <v>205.72499999999999</v>
      </c>
      <c r="S513" s="213">
        <v>204.477</v>
      </c>
      <c r="T513" s="213">
        <v>212.05232288260848</v>
      </c>
      <c r="U513" s="213">
        <v>234.50143160997098</v>
      </c>
      <c r="V513" s="213">
        <v>260.16207491119513</v>
      </c>
      <c r="W513" s="213">
        <v>230.62068331826856</v>
      </c>
      <c r="X513" s="213">
        <v>254.812837497852</v>
      </c>
      <c r="Y513" s="213">
        <v>243.53626413785381</v>
      </c>
      <c r="Z513" s="213">
        <v>257.33494052302871</v>
      </c>
      <c r="AA513" s="213">
        <v>265.3841300598595</v>
      </c>
      <c r="AB513" s="213">
        <v>282.83340154018083</v>
      </c>
      <c r="AC513" s="213">
        <v>264.69646752540382</v>
      </c>
      <c r="AD513" s="213">
        <v>296.17392016881064</v>
      </c>
      <c r="AE513" s="213">
        <v>330.68626439238847</v>
      </c>
      <c r="AF513" s="213">
        <v>327.04776353623879</v>
      </c>
      <c r="AG513" s="213">
        <v>335.54611999999997</v>
      </c>
      <c r="AH513" s="213">
        <v>333.64148999999998</v>
      </c>
      <c r="AI513" s="213">
        <v>313.74342999999999</v>
      </c>
      <c r="AJ513" s="213">
        <v>296.87268</v>
      </c>
      <c r="AK513" s="213">
        <v>267.44692000000003</v>
      </c>
    </row>
    <row r="515" spans="13:37" x14ac:dyDescent="0.2">
      <c r="M515" s="147" t="s">
        <v>522</v>
      </c>
      <c r="N515" s="275" t="s">
        <v>540</v>
      </c>
    </row>
    <row r="530" spans="3:25" s="121" customFormat="1" ht="15.75" x14ac:dyDescent="0.2">
      <c r="C530" s="121" t="s">
        <v>508</v>
      </c>
    </row>
    <row r="532" spans="3:25" x14ac:dyDescent="0.2">
      <c r="P532" s="477" t="s">
        <v>230</v>
      </c>
      <c r="Q532" s="477"/>
      <c r="R532" s="477"/>
      <c r="S532" s="477"/>
      <c r="T532" s="477"/>
      <c r="U532" s="477" t="s">
        <v>382</v>
      </c>
      <c r="V532" s="477"/>
      <c r="W532" s="477"/>
      <c r="X532" s="477"/>
      <c r="Y532" s="477"/>
    </row>
    <row r="533" spans="3:25" x14ac:dyDescent="0.2">
      <c r="P533" s="170" t="str">
        <f>LookupTab!R$42</f>
        <v>Actual</v>
      </c>
      <c r="Q533" s="209"/>
      <c r="R533" s="209"/>
      <c r="S533" s="170"/>
      <c r="T533" s="170" t="str">
        <f>LookupTab!V$42</f>
        <v>Estimate</v>
      </c>
      <c r="U533" s="170" t="str">
        <f>LookupTab!W$42</f>
        <v>Forecast</v>
      </c>
      <c r="V533" s="209"/>
      <c r="W533" s="209"/>
      <c r="X533" s="209"/>
      <c r="Y533" s="209"/>
    </row>
    <row r="534" spans="3:25" x14ac:dyDescent="0.2">
      <c r="P534" s="145" t="str">
        <f>LookupTab!R$43</f>
        <v>2019/20</v>
      </c>
      <c r="Q534" s="145" t="str">
        <f>LookupTab!S$43</f>
        <v>2020/21</v>
      </c>
      <c r="R534" s="145" t="str">
        <f>LookupTab!T$43</f>
        <v>2021/22</v>
      </c>
      <c r="S534" s="145" t="str">
        <f>LookupTab!U$43</f>
        <v>2022/23</v>
      </c>
      <c r="T534" s="145" t="str">
        <f>LookupTab!V$43</f>
        <v>2023/24</v>
      </c>
      <c r="U534" s="145" t="str">
        <f>LookupTab!W$43</f>
        <v>2024/25</v>
      </c>
      <c r="V534" s="145" t="str">
        <f>LookupTab!X$43</f>
        <v>2025/26</v>
      </c>
      <c r="W534" s="145" t="str">
        <f>LookupTab!Y$43</f>
        <v>2026/27</v>
      </c>
      <c r="X534" s="145" t="str">
        <f>LookupTab!Z$43</f>
        <v>2027/28</v>
      </c>
      <c r="Y534" s="145" t="str">
        <f>LookupTab!AA$43</f>
        <v>2028/29</v>
      </c>
    </row>
    <row r="535" spans="3:25" x14ac:dyDescent="0.2">
      <c r="O535" s="145" t="s">
        <v>519</v>
      </c>
      <c r="P535" s="269">
        <f>Model_Links!O$10</f>
        <v>86263</v>
      </c>
      <c r="Q535" s="269">
        <f>Model_Links!P$10</f>
        <v>83236</v>
      </c>
      <c r="R535" s="269">
        <f>Model_Links!Q$10</f>
        <v>84065</v>
      </c>
      <c r="S535" s="269">
        <f>Model_Links!R$10</f>
        <v>85906</v>
      </c>
      <c r="T535" s="269" t="e">
        <f>NA()</f>
        <v>#N/A</v>
      </c>
      <c r="U535" s="269" t="e">
        <f>NA()</f>
        <v>#N/A</v>
      </c>
      <c r="V535" s="269" t="e">
        <f>NA()</f>
        <v>#N/A</v>
      </c>
      <c r="W535" s="269" t="e">
        <f>NA()</f>
        <v>#N/A</v>
      </c>
      <c r="X535" s="269" t="e">
        <f>NA()</f>
        <v>#N/A</v>
      </c>
      <c r="Y535" s="269" t="e">
        <f>NA()</f>
        <v>#N/A</v>
      </c>
    </row>
    <row r="536" spans="3:25" x14ac:dyDescent="0.2">
      <c r="O536" s="145" t="s">
        <v>520</v>
      </c>
      <c r="P536" s="269" t="e">
        <f>NA()</f>
        <v>#N/A</v>
      </c>
      <c r="Q536" s="269" t="e">
        <f>NA()</f>
        <v>#N/A</v>
      </c>
      <c r="R536" s="269" t="e">
        <f>NA()</f>
        <v>#N/A</v>
      </c>
      <c r="S536" s="269" t="e">
        <f>NA()</f>
        <v>#N/A</v>
      </c>
      <c r="T536" s="269">
        <f>Model_Links!S$10</f>
        <v>86516.01146704983</v>
      </c>
      <c r="U536" s="269" t="e">
        <f>NA()</f>
        <v>#N/A</v>
      </c>
      <c r="V536" s="269" t="e">
        <f>NA()</f>
        <v>#N/A</v>
      </c>
      <c r="W536" s="269" t="e">
        <f>NA()</f>
        <v>#N/A</v>
      </c>
      <c r="X536" s="269" t="e">
        <f>NA()</f>
        <v>#N/A</v>
      </c>
      <c r="Y536" s="269" t="e">
        <f>NA()</f>
        <v>#N/A</v>
      </c>
    </row>
    <row r="537" spans="3:25" x14ac:dyDescent="0.2">
      <c r="O537" s="145" t="s">
        <v>521</v>
      </c>
      <c r="P537" s="269" t="e">
        <f>NA()</f>
        <v>#N/A</v>
      </c>
      <c r="Q537" s="269" t="e">
        <f>NA()</f>
        <v>#N/A</v>
      </c>
      <c r="R537" s="269" t="e">
        <f>NA()</f>
        <v>#N/A</v>
      </c>
      <c r="S537" s="269" t="e">
        <f>NA()</f>
        <v>#N/A</v>
      </c>
      <c r="T537" s="269" t="e">
        <f>NA()</f>
        <v>#N/A</v>
      </c>
      <c r="U537" s="269">
        <f>Model_Links!T$10</f>
        <v>86481.144838590568</v>
      </c>
      <c r="V537" s="269">
        <f>Model_Links!U$10</f>
        <v>86769.958614888892</v>
      </c>
      <c r="W537" s="269">
        <f>Model_Links!V$10</f>
        <v>87060.543851075097</v>
      </c>
      <c r="X537" s="269">
        <f>Model_Links!W$10</f>
        <v>87350.879635657082</v>
      </c>
      <c r="Y537" s="269">
        <f>Model_Links!X$10</f>
        <v>87642.97975897076</v>
      </c>
    </row>
    <row r="538" spans="3:25" x14ac:dyDescent="0.2">
      <c r="O538" s="147" t="s">
        <v>518</v>
      </c>
      <c r="P538" s="57">
        <v>329.7</v>
      </c>
      <c r="Q538" s="57">
        <v>346.21</v>
      </c>
      <c r="R538" s="57">
        <v>339.8139496452003</v>
      </c>
      <c r="S538" s="57">
        <f>AT480</f>
        <v>341.11907906737855</v>
      </c>
      <c r="T538" s="57">
        <v>366.44614418435708</v>
      </c>
      <c r="U538" s="57">
        <v>376.88611942581161</v>
      </c>
      <c r="V538" s="57">
        <v>387.06128919682959</v>
      </c>
      <c r="W538" s="57">
        <v>394.89787883648046</v>
      </c>
      <c r="X538" s="57">
        <v>403.0768197551028</v>
      </c>
      <c r="Y538" s="57">
        <v>409.87416061214424</v>
      </c>
    </row>
    <row r="540" spans="3:25" x14ac:dyDescent="0.2">
      <c r="O540" s="147" t="s">
        <v>522</v>
      </c>
      <c r="P540" s="148" t="s">
        <v>524</v>
      </c>
    </row>
    <row r="541" spans="3:25" x14ac:dyDescent="0.2">
      <c r="O541" s="147" t="s">
        <v>523</v>
      </c>
      <c r="P541" s="148" t="s">
        <v>525</v>
      </c>
    </row>
    <row r="552" spans="3:19" s="121" customFormat="1" ht="15.75" x14ac:dyDescent="0.2">
      <c r="C552" s="121" t="s">
        <v>509</v>
      </c>
    </row>
    <row r="554" spans="3:19" x14ac:dyDescent="0.2">
      <c r="O554" s="272" t="s">
        <v>319</v>
      </c>
      <c r="P554" s="272" t="s">
        <v>321</v>
      </c>
      <c r="Q554" s="272" t="s">
        <v>322</v>
      </c>
      <c r="R554" s="272" t="s">
        <v>323</v>
      </c>
      <c r="S554" s="272" t="s">
        <v>324</v>
      </c>
    </row>
    <row r="555" spans="3:19" x14ac:dyDescent="0.2">
      <c r="O555" s="272" t="s">
        <v>530</v>
      </c>
      <c r="P555" s="57">
        <v>93.73</v>
      </c>
      <c r="Q555" s="58"/>
      <c r="R555" s="58"/>
      <c r="S555" s="58"/>
    </row>
    <row r="556" spans="3:19" x14ac:dyDescent="0.2">
      <c r="O556" s="272" t="s">
        <v>531</v>
      </c>
      <c r="P556" s="57">
        <v>95.62</v>
      </c>
      <c r="Q556" s="58"/>
      <c r="R556" s="58"/>
      <c r="S556" s="58"/>
    </row>
    <row r="557" spans="3:19" x14ac:dyDescent="0.2">
      <c r="O557" s="272" t="s">
        <v>532</v>
      </c>
      <c r="P557" s="57">
        <v>107.77</v>
      </c>
      <c r="Q557" s="58"/>
      <c r="R557" s="58"/>
      <c r="S557" s="58"/>
    </row>
    <row r="558" spans="3:19" x14ac:dyDescent="0.2">
      <c r="O558" s="272" t="s">
        <v>533</v>
      </c>
      <c r="P558" s="57">
        <v>97.51</v>
      </c>
      <c r="Q558" s="58"/>
      <c r="R558" s="58"/>
      <c r="S558" s="58"/>
    </row>
    <row r="559" spans="3:19" x14ac:dyDescent="0.2">
      <c r="O559" s="272" t="s">
        <v>354</v>
      </c>
      <c r="P559" s="57">
        <v>93.97</v>
      </c>
      <c r="Q559" s="58"/>
      <c r="R559" s="58"/>
      <c r="S559" s="58"/>
    </row>
    <row r="560" spans="3:19" x14ac:dyDescent="0.2">
      <c r="O560" s="272" t="s">
        <v>293</v>
      </c>
      <c r="P560" s="57">
        <v>67.67</v>
      </c>
      <c r="Q560" s="58"/>
      <c r="R560" s="58"/>
      <c r="S560" s="58"/>
    </row>
    <row r="561" spans="2:19" x14ac:dyDescent="0.2">
      <c r="O561" s="272" t="s">
        <v>292</v>
      </c>
      <c r="P561" s="57">
        <v>81.72</v>
      </c>
      <c r="Q561" s="58"/>
      <c r="R561" s="58"/>
      <c r="S561" s="58"/>
    </row>
    <row r="562" spans="2:19" x14ac:dyDescent="0.2">
      <c r="O562" s="272" t="s">
        <v>291</v>
      </c>
      <c r="P562" s="57">
        <v>82.23</v>
      </c>
      <c r="Q562" s="58"/>
      <c r="R562" s="58"/>
      <c r="S562" s="58"/>
    </row>
    <row r="563" spans="2:19" x14ac:dyDescent="0.2">
      <c r="O563" s="272" t="s">
        <v>290</v>
      </c>
      <c r="P563" s="57">
        <v>66.75</v>
      </c>
      <c r="Q563" s="58"/>
      <c r="R563" s="58"/>
      <c r="S563" s="58"/>
    </row>
    <row r="564" spans="2:19" x14ac:dyDescent="0.2">
      <c r="O564" s="272" t="s">
        <v>252</v>
      </c>
      <c r="P564" s="58"/>
      <c r="Q564" s="57">
        <v>72.954012199976205</v>
      </c>
      <c r="R564" s="57">
        <v>69.520279084700348</v>
      </c>
      <c r="S564" s="57">
        <v>65.68257736762736</v>
      </c>
    </row>
    <row r="565" spans="2:19" x14ac:dyDescent="0.2">
      <c r="O565" s="272" t="s">
        <v>199</v>
      </c>
      <c r="P565" s="58"/>
      <c r="Q565" s="57">
        <v>65.439779108492516</v>
      </c>
      <c r="R565" s="57">
        <v>62.006045993216659</v>
      </c>
      <c r="S565" s="57">
        <v>58.168344276143685</v>
      </c>
    </row>
    <row r="566" spans="2:19" x14ac:dyDescent="0.2">
      <c r="O566" s="272" t="s">
        <v>200</v>
      </c>
      <c r="P566" s="58"/>
      <c r="Q566" s="57">
        <v>57.420784684668178</v>
      </c>
      <c r="R566" s="57">
        <v>54.596613674996185</v>
      </c>
      <c r="S566" s="57">
        <v>50.758911957923196</v>
      </c>
    </row>
    <row r="567" spans="2:19" x14ac:dyDescent="0.2">
      <c r="O567" s="272" t="s">
        <v>201</v>
      </c>
      <c r="P567" s="58"/>
      <c r="Q567" s="57">
        <v>47.749205911887046</v>
      </c>
      <c r="R567" s="57">
        <v>46.482613345235642</v>
      </c>
      <c r="S567" s="57">
        <v>42.644911628162667</v>
      </c>
    </row>
    <row r="568" spans="2:19" x14ac:dyDescent="0.2">
      <c r="O568" s="272" t="s">
        <v>202</v>
      </c>
      <c r="P568" s="58"/>
      <c r="Q568" s="57">
        <v>37.665922726450681</v>
      </c>
      <c r="R568" s="57">
        <v>37.665922726450681</v>
      </c>
      <c r="S568" s="57">
        <v>33.828221009377707</v>
      </c>
    </row>
    <row r="569" spans="2:19" x14ac:dyDescent="0.2">
      <c r="O569" s="272" t="s">
        <v>203</v>
      </c>
      <c r="P569" s="58"/>
      <c r="Q569" s="57">
        <v>26.566612031917252</v>
      </c>
      <c r="R569" s="57">
        <v>26.566612031917252</v>
      </c>
      <c r="S569" s="57">
        <v>24.686538887042516</v>
      </c>
    </row>
    <row r="570" spans="2:19" x14ac:dyDescent="0.2">
      <c r="O570" s="272" t="s">
        <v>346</v>
      </c>
      <c r="P570" s="58"/>
      <c r="Q570" s="57">
        <v>15.834454771162278</v>
      </c>
      <c r="R570" s="57">
        <v>15.834454771162278</v>
      </c>
      <c r="S570" s="57">
        <v>15.607579577646497</v>
      </c>
    </row>
    <row r="571" spans="2:19" x14ac:dyDescent="0.2">
      <c r="O571" s="272" t="s">
        <v>347</v>
      </c>
      <c r="P571" s="58"/>
      <c r="Q571" s="57">
        <v>5.3059108110691007</v>
      </c>
      <c r="R571" s="57">
        <v>5.3059108110691007</v>
      </c>
      <c r="S571" s="57">
        <v>5.3059108110691007</v>
      </c>
    </row>
    <row r="572" spans="2:19" x14ac:dyDescent="0.2">
      <c r="O572" s="272" t="s">
        <v>348</v>
      </c>
      <c r="P572" s="58"/>
      <c r="Q572" s="57">
        <v>-4.9831086767535755</v>
      </c>
      <c r="R572" s="57">
        <v>-4.9831086767535755</v>
      </c>
      <c r="S572" s="57">
        <v>-4.9188592146534234</v>
      </c>
    </row>
    <row r="573" spans="2:19" x14ac:dyDescent="0.2">
      <c r="O573" s="147" t="s">
        <v>522</v>
      </c>
      <c r="P573" s="275" t="s">
        <v>538</v>
      </c>
    </row>
    <row r="575" spans="2:19" s="6" customFormat="1" ht="18.75" x14ac:dyDescent="0.2">
      <c r="B575" s="6" t="s">
        <v>768</v>
      </c>
    </row>
    <row r="577" spans="2:3" s="6" customFormat="1" ht="18.75" x14ac:dyDescent="0.2">
      <c r="B577" s="6" t="s">
        <v>769</v>
      </c>
    </row>
    <row r="579" spans="2:3" s="6" customFormat="1" ht="18.75" x14ac:dyDescent="0.2">
      <c r="B579" s="6" t="s">
        <v>770</v>
      </c>
    </row>
    <row r="581" spans="2:3" s="6" customFormat="1" ht="18.75" x14ac:dyDescent="0.2">
      <c r="B581" s="6" t="s">
        <v>771</v>
      </c>
    </row>
    <row r="583" spans="2:3" s="6" customFormat="1" ht="18.75" x14ac:dyDescent="0.2">
      <c r="B583" s="6" t="s">
        <v>772</v>
      </c>
    </row>
    <row r="585" spans="2:3" s="6" customFormat="1" ht="18.75" x14ac:dyDescent="0.2">
      <c r="B585" s="6" t="s">
        <v>773</v>
      </c>
    </row>
    <row r="587" spans="2:3" s="6" customFormat="1" ht="18.75" x14ac:dyDescent="0.2">
      <c r="B587" s="6" t="s">
        <v>774</v>
      </c>
    </row>
    <row r="589" spans="2:3" s="6" customFormat="1" ht="18.75" x14ac:dyDescent="0.2">
      <c r="B589" s="6" t="s">
        <v>775</v>
      </c>
    </row>
    <row r="591" spans="2:3" s="121" customFormat="1" ht="15.75" x14ac:dyDescent="0.2">
      <c r="C591" s="121" t="s">
        <v>776</v>
      </c>
    </row>
    <row r="593" spans="2:4" x14ac:dyDescent="0.2">
      <c r="D593" s="45" t="s">
        <v>664</v>
      </c>
    </row>
    <row r="594" spans="2:4" x14ac:dyDescent="0.2">
      <c r="D594" s="45"/>
    </row>
    <row r="595" spans="2:4" s="6" customFormat="1" ht="18.75" x14ac:dyDescent="0.2">
      <c r="B595" s="6" t="s">
        <v>777</v>
      </c>
    </row>
    <row r="597" spans="2:4" s="6" customFormat="1" ht="18.75" x14ac:dyDescent="0.2">
      <c r="B597" s="6" t="s">
        <v>43</v>
      </c>
    </row>
  </sheetData>
  <mergeCells count="2">
    <mergeCell ref="U532:Y532"/>
    <mergeCell ref="P532:T532"/>
  </mergeCells>
  <hyperlinks>
    <hyperlink ref="B4" location="ToC!A1" display="ToC!A1" xr:uid="{DCD87584-8B23-45DB-9B5C-D29ADE9D3A51}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6451-C95C-435E-BE7C-AFC439501344}">
  <sheetPr>
    <tabColor theme="3"/>
  </sheetPr>
  <dimension ref="A1:P336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x14ac:dyDescent="0.2"/>
  <cols>
    <col min="1" max="3" width="3.7109375" customWidth="1"/>
    <col min="4" max="4" width="51.7109375" customWidth="1"/>
    <col min="5" max="12" width="13.5703125" customWidth="1"/>
    <col min="13" max="13" width="16.7109375" bestFit="1" customWidth="1"/>
    <col min="14" max="43" width="10.5703125" customWidth="1"/>
  </cols>
  <sheetData>
    <row r="1" spans="1:4" ht="23.25" x14ac:dyDescent="0.35">
      <c r="A1" s="52">
        <f>IF(SUM(A5:A336)&lt;&gt;0,1,0)</f>
        <v>0</v>
      </c>
      <c r="B1" s="16" t="s">
        <v>1601</v>
      </c>
    </row>
    <row r="2" spans="1:4" ht="15" x14ac:dyDescent="0.2">
      <c r="B2" s="34" t="str">
        <f>Model_Name</f>
        <v>Power and Water - Revised Proposal - Tables and Charts</v>
      </c>
    </row>
    <row r="3" spans="1:4" x14ac:dyDescent="0.2">
      <c r="B3" s="37" t="str">
        <f>"Model Checks:"&amp;IF(Model_Checks=0," OK"," Check")</f>
        <v>Model Checks: OK</v>
      </c>
    </row>
    <row r="4" spans="1:4" x14ac:dyDescent="0.2">
      <c r="B4" s="29" t="str">
        <f>ToC!$B$1</f>
        <v>Table of contents</v>
      </c>
    </row>
    <row r="5" spans="1:4" x14ac:dyDescent="0.2">
      <c r="B5" t="s">
        <v>237</v>
      </c>
    </row>
    <row r="6" spans="1:4" s="6" customFormat="1" ht="18.75" x14ac:dyDescent="0.2">
      <c r="B6" s="6" t="s">
        <v>393</v>
      </c>
    </row>
    <row r="8" spans="1:4" s="6" customFormat="1" ht="18.75" x14ac:dyDescent="0.2">
      <c r="B8" s="6" t="s">
        <v>925</v>
      </c>
    </row>
    <row r="10" spans="1:4" s="121" customFormat="1" ht="15.75" x14ac:dyDescent="0.2">
      <c r="C10" s="121" t="s">
        <v>951</v>
      </c>
    </row>
    <row r="12" spans="1:4" x14ac:dyDescent="0.2">
      <c r="D12" s="45" t="s">
        <v>664</v>
      </c>
    </row>
    <row r="14" spans="1:4" s="6" customFormat="1" ht="18.75" x14ac:dyDescent="0.2">
      <c r="B14" s="6" t="s">
        <v>926</v>
      </c>
    </row>
    <row r="16" spans="1:4" s="121" customFormat="1" ht="15.75" x14ac:dyDescent="0.2">
      <c r="C16" s="121" t="s">
        <v>952</v>
      </c>
    </row>
    <row r="18" spans="2:4" x14ac:dyDescent="0.2">
      <c r="D18" s="45" t="s">
        <v>664</v>
      </c>
    </row>
    <row r="20" spans="2:4" s="6" customFormat="1" ht="18.75" x14ac:dyDescent="0.2">
      <c r="B20" s="6" t="s">
        <v>927</v>
      </c>
    </row>
    <row r="22" spans="2:4" s="6" customFormat="1" ht="18.75" x14ac:dyDescent="0.2">
      <c r="B22" s="6" t="s">
        <v>928</v>
      </c>
    </row>
    <row r="24" spans="2:4" s="121" customFormat="1" ht="15.75" x14ac:dyDescent="0.2">
      <c r="C24" s="121" t="s">
        <v>953</v>
      </c>
    </row>
    <row r="26" spans="2:4" x14ac:dyDescent="0.2">
      <c r="D26" s="45" t="s">
        <v>664</v>
      </c>
    </row>
    <row r="28" spans="2:4" s="6" customFormat="1" ht="18.75" x14ac:dyDescent="0.2">
      <c r="B28" s="6" t="s">
        <v>929</v>
      </c>
    </row>
    <row r="30" spans="2:4" s="121" customFormat="1" ht="15.75" x14ac:dyDescent="0.2">
      <c r="C30" s="121" t="s">
        <v>954</v>
      </c>
    </row>
    <row r="32" spans="2:4" x14ac:dyDescent="0.2">
      <c r="D32" s="45" t="s">
        <v>664</v>
      </c>
    </row>
    <row r="34" spans="2:4" s="6" customFormat="1" ht="18.75" x14ac:dyDescent="0.2">
      <c r="B34" s="6" t="s">
        <v>930</v>
      </c>
    </row>
    <row r="36" spans="2:4" s="121" customFormat="1" ht="15.75" x14ac:dyDescent="0.2">
      <c r="C36" s="121" t="s">
        <v>955</v>
      </c>
    </row>
    <row r="38" spans="2:4" x14ac:dyDescent="0.2">
      <c r="D38" s="45" t="s">
        <v>664</v>
      </c>
    </row>
    <row r="40" spans="2:4" s="6" customFormat="1" ht="18.75" x14ac:dyDescent="0.2">
      <c r="B40" s="6" t="s">
        <v>931</v>
      </c>
    </row>
    <row r="42" spans="2:4" s="121" customFormat="1" ht="15.75" x14ac:dyDescent="0.2">
      <c r="C42" s="121" t="s">
        <v>956</v>
      </c>
    </row>
    <row r="44" spans="2:4" x14ac:dyDescent="0.2">
      <c r="D44" s="45" t="s">
        <v>664</v>
      </c>
    </row>
    <row r="46" spans="2:4" s="6" customFormat="1" ht="18.75" x14ac:dyDescent="0.2">
      <c r="B46" s="6" t="s">
        <v>932</v>
      </c>
    </row>
    <row r="48" spans="2:4" s="121" customFormat="1" ht="15.75" x14ac:dyDescent="0.2">
      <c r="C48" s="121" t="s">
        <v>957</v>
      </c>
    </row>
    <row r="50" spans="3:4" x14ac:dyDescent="0.2">
      <c r="D50" s="45" t="s">
        <v>664</v>
      </c>
    </row>
    <row r="52" spans="3:4" s="6" customFormat="1" ht="18.75" x14ac:dyDescent="0.2">
      <c r="C52" s="6" t="s">
        <v>933</v>
      </c>
    </row>
    <row r="54" spans="3:4" s="121" customFormat="1" ht="15.75" x14ac:dyDescent="0.2">
      <c r="C54" s="121" t="s">
        <v>958</v>
      </c>
    </row>
    <row r="56" spans="3:4" x14ac:dyDescent="0.2">
      <c r="D56" s="45" t="s">
        <v>664</v>
      </c>
    </row>
    <row r="58" spans="3:4" s="6" customFormat="1" ht="18.75" x14ac:dyDescent="0.2">
      <c r="C58" s="6" t="s">
        <v>934</v>
      </c>
    </row>
    <row r="60" spans="3:4" s="6" customFormat="1" ht="18.75" x14ac:dyDescent="0.2">
      <c r="C60" s="6" t="s">
        <v>935</v>
      </c>
    </row>
    <row r="62" spans="3:4" s="121" customFormat="1" ht="15.75" x14ac:dyDescent="0.2">
      <c r="C62" s="121" t="s">
        <v>959</v>
      </c>
    </row>
    <row r="64" spans="3:4" x14ac:dyDescent="0.2">
      <c r="D64" s="45" t="s">
        <v>664</v>
      </c>
    </row>
    <row r="66" spans="2:10" s="6" customFormat="1" ht="18.75" x14ac:dyDescent="0.2">
      <c r="B66" s="6" t="s">
        <v>936</v>
      </c>
    </row>
    <row r="68" spans="2:10" s="121" customFormat="1" ht="15.75" x14ac:dyDescent="0.2">
      <c r="C68" s="121" t="s">
        <v>960</v>
      </c>
    </row>
    <row r="70" spans="2:10" x14ac:dyDescent="0.2">
      <c r="D70" s="45" t="s">
        <v>664</v>
      </c>
    </row>
    <row r="72" spans="2:10" s="6" customFormat="1" ht="18.75" x14ac:dyDescent="0.2">
      <c r="B72" s="6" t="s">
        <v>937</v>
      </c>
    </row>
    <row r="74" spans="2:10" s="121" customFormat="1" ht="15.75" x14ac:dyDescent="0.2">
      <c r="C74" s="121" t="s">
        <v>510</v>
      </c>
    </row>
    <row r="76" spans="2:10" x14ac:dyDescent="0.2">
      <c r="J76" s="201" t="s">
        <v>537</v>
      </c>
    </row>
    <row r="94" spans="2:3" s="6" customFormat="1" ht="18.75" x14ac:dyDescent="0.2">
      <c r="C94" s="6" t="s">
        <v>938</v>
      </c>
    </row>
    <row r="96" spans="2:3" s="6" customFormat="1" ht="18.75" x14ac:dyDescent="0.2">
      <c r="B96" s="6" t="s">
        <v>939</v>
      </c>
    </row>
    <row r="98" spans="3:16" s="121" customFormat="1" ht="15.75" x14ac:dyDescent="0.2">
      <c r="C98" s="121" t="s">
        <v>511</v>
      </c>
    </row>
    <row r="99" spans="3:16" ht="13.5" thickBot="1" x14ac:dyDescent="0.25"/>
    <row r="100" spans="3:16" ht="30" customHeight="1" x14ac:dyDescent="0.2">
      <c r="C100" s="158" t="s">
        <v>272</v>
      </c>
      <c r="D100" s="240" t="s">
        <v>425</v>
      </c>
      <c r="E100" s="240" t="s">
        <v>426</v>
      </c>
      <c r="F100" s="216" t="s">
        <v>427</v>
      </c>
      <c r="G100" s="216" t="s">
        <v>428</v>
      </c>
      <c r="H100" s="216" t="s">
        <v>429</v>
      </c>
      <c r="I100" s="493" t="s">
        <v>430</v>
      </c>
      <c r="J100" s="494"/>
      <c r="K100" s="495" t="s">
        <v>431</v>
      </c>
      <c r="L100" s="496"/>
      <c r="M100" s="491" t="s">
        <v>432</v>
      </c>
      <c r="N100" s="491" t="s">
        <v>433</v>
      </c>
      <c r="P100" s="201" t="s">
        <v>512</v>
      </c>
    </row>
    <row r="101" spans="3:16" ht="15" x14ac:dyDescent="0.2">
      <c r="C101" s="260"/>
      <c r="D101" s="241"/>
      <c r="E101" s="241" t="s">
        <v>434</v>
      </c>
      <c r="F101" s="241" t="s">
        <v>434</v>
      </c>
      <c r="G101" s="241"/>
      <c r="H101" s="241"/>
      <c r="I101" s="241" t="s">
        <v>327</v>
      </c>
      <c r="J101" s="241" t="s">
        <v>314</v>
      </c>
      <c r="K101" s="241" t="s">
        <v>28</v>
      </c>
      <c r="L101" s="241" t="s">
        <v>435</v>
      </c>
      <c r="M101" s="492"/>
      <c r="N101" s="492"/>
    </row>
    <row r="102" spans="3:16" ht="15" x14ac:dyDescent="0.2">
      <c r="C102" s="245">
        <f>TSS!C366</f>
        <v>1</v>
      </c>
      <c r="D102" s="242" t="str">
        <f>TSS!D366</f>
        <v>Residential accumulation</v>
      </c>
      <c r="E102" s="218">
        <f>TSS!E366</f>
        <v>41039.439552051139</v>
      </c>
      <c r="F102" s="218">
        <f>TSS!F366</f>
        <v>9000.0751010344975</v>
      </c>
      <c r="G102" s="218">
        <f>TSS!G366</f>
        <v>8500</v>
      </c>
      <c r="H102" s="225">
        <f>TSS!H366</f>
        <v>0</v>
      </c>
      <c r="I102" s="218">
        <f>TSS!I366</f>
        <v>1052.5</v>
      </c>
      <c r="J102" s="218">
        <f>TSS!J366</f>
        <v>1231.5</v>
      </c>
      <c r="K102" s="218">
        <f>TSS!K366</f>
        <v>179</v>
      </c>
      <c r="L102" s="226">
        <f>TSS!L366</f>
        <v>0.17007125890736341</v>
      </c>
      <c r="M102" s="226">
        <f>TSS!M366</f>
        <v>0.52256044240017596</v>
      </c>
      <c r="N102" s="225" t="str">
        <f>TSS!N366</f>
        <v>EPO3</v>
      </c>
    </row>
    <row r="103" spans="3:16" ht="15" x14ac:dyDescent="0.2">
      <c r="C103" s="246">
        <f>TSS!C367</f>
        <v>2</v>
      </c>
      <c r="D103" s="243" t="str">
        <f>TSS!D367</f>
        <v>Non-residential accumulation</v>
      </c>
      <c r="E103" s="217">
        <f>TSS!E367</f>
        <v>1882.6493037629057</v>
      </c>
      <c r="F103" s="222">
        <f>TSS!F367</f>
        <v>0</v>
      </c>
      <c r="G103" s="217">
        <f>TSS!G367</f>
        <v>30000</v>
      </c>
      <c r="H103" s="222">
        <f>TSS!H367</f>
        <v>0</v>
      </c>
      <c r="I103" s="217">
        <f>TSS!I367</f>
        <v>2967.3</v>
      </c>
      <c r="J103" s="217">
        <f>TSS!J367</f>
        <v>2849.5</v>
      </c>
      <c r="K103" s="217">
        <f>TSS!K367</f>
        <v>-117.80000000000018</v>
      </c>
      <c r="L103" s="223">
        <f>TSS!L367</f>
        <v>-3.9699390017861415E-2</v>
      </c>
      <c r="M103" s="223">
        <f>TSS!M367</f>
        <v>0.30937741709589339</v>
      </c>
      <c r="N103" s="222" t="str">
        <f>TSS!N367</f>
        <v>EPO3</v>
      </c>
    </row>
    <row r="104" spans="3:16" ht="15" x14ac:dyDescent="0.2">
      <c r="C104" s="245" t="str">
        <f>TSS!C368</f>
        <v>3a</v>
      </c>
      <c r="D104" s="242" t="str">
        <f>TSS!D368</f>
        <v>Residential 0-160MWh</v>
      </c>
      <c r="E104" s="218">
        <f>TSS!E368</f>
        <v>32776</v>
      </c>
      <c r="F104" s="218">
        <f>TSS!F368</f>
        <v>65818</v>
      </c>
      <c r="G104" s="218">
        <f>TSS!G368</f>
        <v>8500</v>
      </c>
      <c r="H104" s="225">
        <f>TSS!H368</f>
        <v>20</v>
      </c>
      <c r="I104" s="218">
        <f>TSS!I368</f>
        <v>1254</v>
      </c>
      <c r="J104" s="218">
        <f>TSS!J368</f>
        <v>1231.1873487908158</v>
      </c>
      <c r="K104" s="218">
        <f>TSS!K368</f>
        <v>-22.812651209184196</v>
      </c>
      <c r="L104" s="226">
        <f>TSS!L368</f>
        <v>-1.8191906865378148E-2</v>
      </c>
      <c r="M104" s="226">
        <f>TSS!M368</f>
        <v>0.52242777560830567</v>
      </c>
      <c r="N104" s="225" t="str">
        <f>TSS!N368</f>
        <v>EPO3</v>
      </c>
    </row>
    <row r="105" spans="3:16" ht="15" x14ac:dyDescent="0.2">
      <c r="C105" s="246" t="str">
        <f>TSS!C369</f>
        <v>3b</v>
      </c>
      <c r="D105" s="243" t="str">
        <f>TSS!D369</f>
        <v>Non-residential 0-160MWh</v>
      </c>
      <c r="E105" s="217">
        <f>TSS!E369</f>
        <v>9315</v>
      </c>
      <c r="F105" s="217">
        <f>TSS!F369</f>
        <v>11185</v>
      </c>
      <c r="G105" s="217">
        <f>TSS!G369</f>
        <v>30000</v>
      </c>
      <c r="H105" s="222">
        <f>TSS!H369</f>
        <v>150</v>
      </c>
      <c r="I105" s="217">
        <f>TSS!I369</f>
        <v>4242</v>
      </c>
      <c r="J105" s="217">
        <f>TSS!J369</f>
        <v>2848.7417193644933</v>
      </c>
      <c r="K105" s="217">
        <f>TSS!K369</f>
        <v>-1393.2582806355067</v>
      </c>
      <c r="L105" s="223">
        <f>TSS!L369</f>
        <v>-0.32844372480799311</v>
      </c>
      <c r="M105" s="223">
        <f>TSS!M369</f>
        <v>0.30929508865074623</v>
      </c>
      <c r="N105" s="222" t="str">
        <f>TSS!N369</f>
        <v>EPO3</v>
      </c>
    </row>
    <row r="106" spans="3:16" ht="15" x14ac:dyDescent="0.2">
      <c r="C106" s="245" t="str">
        <f>TSS!C370</f>
        <v>3c</v>
      </c>
      <c r="D106" s="242" t="str">
        <f>TSS!D370</f>
        <v>Smart meter 160-750MWh</v>
      </c>
      <c r="E106" s="218">
        <f>TSS!E370</f>
        <v>846</v>
      </c>
      <c r="F106" s="218">
        <f>TSS!F370</f>
        <v>1015</v>
      </c>
      <c r="G106" s="218">
        <f>TSS!G370</f>
        <v>250000</v>
      </c>
      <c r="H106" s="225">
        <f>TSS!H370</f>
        <v>500</v>
      </c>
      <c r="I106" s="218">
        <f>TSS!I370</f>
        <v>14232</v>
      </c>
      <c r="J106" s="218">
        <f>TSS!J370</f>
        <v>24401.040934839992</v>
      </c>
      <c r="K106" s="218">
        <f>TSS!K370</f>
        <v>10169.040934839992</v>
      </c>
      <c r="L106" s="226">
        <f>TSS!L370</f>
        <v>0.71451945860314725</v>
      </c>
      <c r="M106" s="226">
        <f>TSS!M370</f>
        <v>0.32690750672775926</v>
      </c>
      <c r="N106" s="225" t="str">
        <f>TSS!N370</f>
        <v>EPO3</v>
      </c>
    </row>
    <row r="107" spans="3:16" ht="15" x14ac:dyDescent="0.2">
      <c r="C107" s="246">
        <f>TSS!C371</f>
        <v>5</v>
      </c>
      <c r="D107" s="243" t="str">
        <f>TSS!D371</f>
        <v>LV &gt;750MWh</v>
      </c>
      <c r="E107" s="217">
        <f>TSS!E371</f>
        <v>158.05598277652086</v>
      </c>
      <c r="F107" s="217">
        <f>TSS!F371</f>
        <v>160.18930373745121</v>
      </c>
      <c r="G107" s="217">
        <f>TSS!G371</f>
        <v>3200000</v>
      </c>
      <c r="H107" s="217">
        <f>TSS!H371</f>
        <v>6675</v>
      </c>
      <c r="I107" s="217">
        <f>TSS!I371</f>
        <v>159395.6</v>
      </c>
      <c r="J107" s="217">
        <f>TSS!J371</f>
        <v>174042.60169289462</v>
      </c>
      <c r="K107" s="217">
        <f>TSS!K371</f>
        <v>14647.001692894613</v>
      </c>
      <c r="L107" s="223">
        <f>TSS!L371</f>
        <v>9.1890878373647789E-2</v>
      </c>
      <c r="M107" s="223">
        <f>TSS!M371</f>
        <v>0.18868102307318632</v>
      </c>
      <c r="N107" s="223">
        <f>TSS!N371</f>
        <v>1.7338064942633596E-2</v>
      </c>
    </row>
    <row r="108" spans="3:16" ht="15.75" thickBot="1" x14ac:dyDescent="0.25">
      <c r="C108" s="312">
        <f>TSS!C372</f>
        <v>6</v>
      </c>
      <c r="D108" s="313" t="str">
        <f>TSS!D372</f>
        <v>HV Smart Meters</v>
      </c>
      <c r="E108" s="314">
        <f>TSS!E372</f>
        <v>67</v>
      </c>
      <c r="F108" s="314">
        <f>TSS!F372</f>
        <v>67.715354198829516</v>
      </c>
      <c r="G108" s="314">
        <f>TSS!G372</f>
        <v>5400000</v>
      </c>
      <c r="H108" s="314">
        <f>TSS!H372</f>
        <v>6850</v>
      </c>
      <c r="I108" s="314">
        <f>TSS!I372</f>
        <v>182150</v>
      </c>
      <c r="J108" s="314">
        <f>TSS!J372</f>
        <v>231317.36027999999</v>
      </c>
      <c r="K108" s="314">
        <f>TSS!K372</f>
        <v>49167.360279999994</v>
      </c>
      <c r="L108" s="315">
        <f>TSS!L372</f>
        <v>0.26992786318967882</v>
      </c>
      <c r="M108" s="315">
        <f>TSS!M372</f>
        <v>0.15738202139649679</v>
      </c>
      <c r="N108" s="316">
        <f>TSS!N372</f>
        <v>4.2481792740028688E-2</v>
      </c>
    </row>
    <row r="110" spans="3:16" s="121" customFormat="1" ht="15.75" x14ac:dyDescent="0.2">
      <c r="C110" s="121" t="s">
        <v>513</v>
      </c>
    </row>
    <row r="112" spans="3:16" x14ac:dyDescent="0.2">
      <c r="J112" t="s">
        <v>543</v>
      </c>
      <c r="K112" t="s">
        <v>542</v>
      </c>
      <c r="L112" t="s">
        <v>950</v>
      </c>
    </row>
    <row r="113" spans="4:15" x14ac:dyDescent="0.2">
      <c r="J113" s="284">
        <v>1</v>
      </c>
      <c r="K113" s="285">
        <v>-0.34663381948202676</v>
      </c>
      <c r="L113" s="285">
        <v>0.1122328118842657</v>
      </c>
    </row>
    <row r="114" spans="4:15" x14ac:dyDescent="0.2">
      <c r="J114" s="284">
        <v>2</v>
      </c>
      <c r="K114" s="285">
        <v>-0.237696562363753</v>
      </c>
      <c r="L114" s="285">
        <v>0.1122328118842657</v>
      </c>
      <c r="N114" s="400">
        <f>COUNTIF(K113:K332,"&gt;11.2%")/COUNT(K113:K332)</f>
        <v>0.14545454545454545</v>
      </c>
      <c r="O114" t="s">
        <v>1163</v>
      </c>
    </row>
    <row r="115" spans="4:15" x14ac:dyDescent="0.2">
      <c r="J115" s="284">
        <v>3</v>
      </c>
      <c r="K115" s="285">
        <v>-0.18882725711447981</v>
      </c>
      <c r="L115" s="285">
        <v>0.1122328118842657</v>
      </c>
    </row>
    <row r="116" spans="4:15" x14ac:dyDescent="0.2">
      <c r="J116" s="284">
        <v>4</v>
      </c>
      <c r="K116" s="285">
        <v>-0.13900349252692187</v>
      </c>
      <c r="L116" s="285">
        <v>0.1122328118842657</v>
      </c>
    </row>
    <row r="117" spans="4:15" x14ac:dyDescent="0.2">
      <c r="J117" s="284">
        <v>5</v>
      </c>
      <c r="K117" s="285">
        <v>-0.13076096242074176</v>
      </c>
      <c r="L117" s="285">
        <v>0.1122328118842657</v>
      </c>
    </row>
    <row r="118" spans="4:15" x14ac:dyDescent="0.2">
      <c r="J118" s="284">
        <v>6</v>
      </c>
      <c r="K118" s="285">
        <v>-0.11988485400468367</v>
      </c>
      <c r="L118" s="285">
        <v>0.1122328118842657</v>
      </c>
    </row>
    <row r="119" spans="4:15" x14ac:dyDescent="0.2">
      <c r="D119" s="45"/>
      <c r="I119" s="74"/>
      <c r="J119" s="284">
        <v>7</v>
      </c>
      <c r="K119" s="285">
        <v>-0.10725260869206832</v>
      </c>
      <c r="L119" s="285">
        <v>0.1122328118842657</v>
      </c>
    </row>
    <row r="120" spans="4:15" x14ac:dyDescent="0.2">
      <c r="D120" s="45"/>
      <c r="I120" s="74"/>
      <c r="J120" s="284">
        <v>8</v>
      </c>
      <c r="K120" s="285">
        <v>-0.10592684432290711</v>
      </c>
      <c r="L120" s="285">
        <v>0.1122328118842657</v>
      </c>
    </row>
    <row r="121" spans="4:15" x14ac:dyDescent="0.2">
      <c r="D121" s="45"/>
      <c r="I121" s="74"/>
      <c r="J121" s="284">
        <v>9</v>
      </c>
      <c r="K121" s="285">
        <v>-0.10208620705854651</v>
      </c>
      <c r="L121" s="285">
        <v>0.1122328118842657</v>
      </c>
    </row>
    <row r="122" spans="4:15" x14ac:dyDescent="0.2">
      <c r="D122" s="45"/>
      <c r="I122" s="74"/>
      <c r="J122" s="284">
        <v>10</v>
      </c>
      <c r="K122" s="285">
        <v>-9.9973753411121261E-2</v>
      </c>
      <c r="L122" s="285">
        <v>0.1122328118842657</v>
      </c>
    </row>
    <row r="123" spans="4:15" x14ac:dyDescent="0.2">
      <c r="D123" s="45"/>
      <c r="I123" s="74"/>
      <c r="J123" s="284">
        <v>11</v>
      </c>
      <c r="K123" s="285">
        <v>-9.9294126702905702E-2</v>
      </c>
      <c r="L123" s="285">
        <v>0.1122328118842657</v>
      </c>
    </row>
    <row r="124" spans="4:15" x14ac:dyDescent="0.2">
      <c r="J124" s="284">
        <v>12</v>
      </c>
      <c r="K124" s="285">
        <v>-9.7791784863753894E-2</v>
      </c>
      <c r="L124" s="285">
        <v>0.1122328118842657</v>
      </c>
    </row>
    <row r="125" spans="4:15" x14ac:dyDescent="0.2">
      <c r="J125" s="284">
        <v>13</v>
      </c>
      <c r="K125" s="285">
        <v>-9.7330860683964071E-2</v>
      </c>
      <c r="L125" s="285">
        <v>0.1122328118842657</v>
      </c>
    </row>
    <row r="126" spans="4:15" x14ac:dyDescent="0.2">
      <c r="J126" s="284">
        <v>14</v>
      </c>
      <c r="K126" s="285">
        <v>-9.7314815834521479E-2</v>
      </c>
      <c r="L126" s="285">
        <v>0.1122328118842657</v>
      </c>
    </row>
    <row r="127" spans="4:15" x14ac:dyDescent="0.2">
      <c r="J127" s="284">
        <v>15</v>
      </c>
      <c r="K127" s="285">
        <v>-9.599682247552567E-2</v>
      </c>
      <c r="L127" s="285">
        <v>0.1122328118842657</v>
      </c>
    </row>
    <row r="128" spans="4:15" x14ac:dyDescent="0.2">
      <c r="J128" s="284">
        <v>16</v>
      </c>
      <c r="K128" s="285">
        <v>-9.523648587007616E-2</v>
      </c>
      <c r="L128" s="285">
        <v>0.1122328118842657</v>
      </c>
    </row>
    <row r="129" spans="10:12" x14ac:dyDescent="0.2">
      <c r="J129" s="284">
        <v>17</v>
      </c>
      <c r="K129" s="285">
        <v>-9.1221127035423052E-2</v>
      </c>
      <c r="L129" s="285">
        <v>0.1122328118842657</v>
      </c>
    </row>
    <row r="130" spans="10:12" x14ac:dyDescent="0.2">
      <c r="J130" s="284">
        <v>18</v>
      </c>
      <c r="K130" s="285">
        <v>-9.0429460349449486E-2</v>
      </c>
      <c r="L130" s="285">
        <v>0.1122328118842657</v>
      </c>
    </row>
    <row r="131" spans="10:12" x14ac:dyDescent="0.2">
      <c r="J131" s="284">
        <v>19</v>
      </c>
      <c r="K131" s="285">
        <v>-9.0381262511824323E-2</v>
      </c>
      <c r="L131" s="285">
        <v>0.1122328118842657</v>
      </c>
    </row>
    <row r="132" spans="10:12" x14ac:dyDescent="0.2">
      <c r="J132" s="284">
        <v>20</v>
      </c>
      <c r="K132" s="285">
        <v>-9.036011230135825E-2</v>
      </c>
      <c r="L132" s="285">
        <v>0.1122328118842657</v>
      </c>
    </row>
    <row r="133" spans="10:12" x14ac:dyDescent="0.2">
      <c r="J133" s="284">
        <v>21</v>
      </c>
      <c r="K133" s="285">
        <v>-8.5810727067428025E-2</v>
      </c>
      <c r="L133" s="285">
        <v>0.1122328118842657</v>
      </c>
    </row>
    <row r="134" spans="10:12" x14ac:dyDescent="0.2">
      <c r="J134" s="284">
        <v>22</v>
      </c>
      <c r="K134" s="285">
        <v>-8.3863958100959105E-2</v>
      </c>
      <c r="L134" s="285">
        <v>0.1122328118842657</v>
      </c>
    </row>
    <row r="135" spans="10:12" x14ac:dyDescent="0.2">
      <c r="J135" s="284">
        <v>23</v>
      </c>
      <c r="K135" s="285">
        <v>-8.0728849595447461E-2</v>
      </c>
      <c r="L135" s="285">
        <v>0.1122328118842657</v>
      </c>
    </row>
    <row r="136" spans="10:12" x14ac:dyDescent="0.2">
      <c r="J136" s="284">
        <v>24</v>
      </c>
      <c r="K136" s="285">
        <v>-7.9820251067397582E-2</v>
      </c>
      <c r="L136" s="285">
        <v>0.1122328118842657</v>
      </c>
    </row>
    <row r="137" spans="10:12" x14ac:dyDescent="0.2">
      <c r="J137" s="284">
        <v>25</v>
      </c>
      <c r="K137" s="285">
        <v>-6.6300078422906999E-2</v>
      </c>
      <c r="L137" s="285">
        <v>0.1122328118842657</v>
      </c>
    </row>
    <row r="138" spans="10:12" x14ac:dyDescent="0.2">
      <c r="J138" s="284">
        <v>26</v>
      </c>
      <c r="K138" s="285">
        <v>-6.4899076699458061E-2</v>
      </c>
      <c r="L138" s="285">
        <v>0.1122328118842657</v>
      </c>
    </row>
    <row r="139" spans="10:12" x14ac:dyDescent="0.2">
      <c r="J139" s="284">
        <v>27</v>
      </c>
      <c r="K139" s="285">
        <v>-6.4855722868962642E-2</v>
      </c>
      <c r="L139" s="285">
        <v>0.1122328118842657</v>
      </c>
    </row>
    <row r="140" spans="10:12" x14ac:dyDescent="0.2">
      <c r="J140" s="284">
        <v>28</v>
      </c>
      <c r="K140" s="285">
        <v>-6.4703493743359194E-2</v>
      </c>
      <c r="L140" s="285">
        <v>0.1122328118842657</v>
      </c>
    </row>
    <row r="141" spans="10:12" x14ac:dyDescent="0.2">
      <c r="J141" s="284">
        <v>29</v>
      </c>
      <c r="K141" s="285">
        <v>-6.1548024356816756E-2</v>
      </c>
      <c r="L141" s="285">
        <v>0.1122328118842657</v>
      </c>
    </row>
    <row r="142" spans="10:12" x14ac:dyDescent="0.2">
      <c r="J142" s="284">
        <v>30</v>
      </c>
      <c r="K142" s="285">
        <v>-6.1413997178586859E-2</v>
      </c>
      <c r="L142" s="285">
        <v>0.1122328118842657</v>
      </c>
    </row>
    <row r="143" spans="10:12" x14ac:dyDescent="0.2">
      <c r="J143" s="284">
        <v>31</v>
      </c>
      <c r="K143" s="285">
        <v>-5.910017598373557E-2</v>
      </c>
      <c r="L143" s="285">
        <v>0.1122328118842657</v>
      </c>
    </row>
    <row r="144" spans="10:12" x14ac:dyDescent="0.2">
      <c r="J144" s="284">
        <v>32</v>
      </c>
      <c r="K144" s="285">
        <v>-5.737091430412971E-2</v>
      </c>
      <c r="L144" s="285">
        <v>0.1122328118842657</v>
      </c>
    </row>
    <row r="145" spans="10:12" x14ac:dyDescent="0.2">
      <c r="J145" s="284">
        <v>33</v>
      </c>
      <c r="K145" s="285">
        <v>-5.2860010682834795E-2</v>
      </c>
      <c r="L145" s="285">
        <v>0.1122328118842657</v>
      </c>
    </row>
    <row r="146" spans="10:12" x14ac:dyDescent="0.2">
      <c r="J146" s="284">
        <v>34</v>
      </c>
      <c r="K146" s="285">
        <v>-4.7182008117809225E-2</v>
      </c>
      <c r="L146" s="285">
        <v>0.1122328118842657</v>
      </c>
    </row>
    <row r="147" spans="10:12" x14ac:dyDescent="0.2">
      <c r="J147" s="284">
        <v>35</v>
      </c>
      <c r="K147" s="285">
        <v>-4.3740542274417309E-2</v>
      </c>
      <c r="L147" s="285">
        <v>0.1122328118842657</v>
      </c>
    </row>
    <row r="148" spans="10:12" x14ac:dyDescent="0.2">
      <c r="J148" s="284">
        <v>36</v>
      </c>
      <c r="K148" s="285">
        <v>-4.3481308230450114E-2</v>
      </c>
      <c r="L148" s="285">
        <v>0.1122328118842657</v>
      </c>
    </row>
    <row r="149" spans="10:12" x14ac:dyDescent="0.2">
      <c r="J149" s="284">
        <v>37</v>
      </c>
      <c r="K149" s="285">
        <v>-4.0990419619962533E-2</v>
      </c>
      <c r="L149" s="285">
        <v>0.1122328118842657</v>
      </c>
    </row>
    <row r="150" spans="10:12" x14ac:dyDescent="0.2">
      <c r="J150" s="284">
        <v>38</v>
      </c>
      <c r="K150" s="285">
        <v>-3.2635744129926446E-2</v>
      </c>
      <c r="L150" s="285">
        <v>0.1122328118842657</v>
      </c>
    </row>
    <row r="151" spans="10:12" x14ac:dyDescent="0.2">
      <c r="J151" s="284">
        <v>39</v>
      </c>
      <c r="K151" s="285">
        <v>-3.2108837604418718E-2</v>
      </c>
      <c r="L151" s="285">
        <v>0.1122328118842657</v>
      </c>
    </row>
    <row r="152" spans="10:12" x14ac:dyDescent="0.2">
      <c r="J152" s="284">
        <v>40</v>
      </c>
      <c r="K152" s="285">
        <v>-3.0833465886462776E-2</v>
      </c>
      <c r="L152" s="285">
        <v>0.1122328118842657</v>
      </c>
    </row>
    <row r="153" spans="10:12" x14ac:dyDescent="0.2">
      <c r="J153" s="284">
        <v>41</v>
      </c>
      <c r="K153" s="285">
        <v>-2.9510301250199062E-2</v>
      </c>
      <c r="L153" s="285">
        <v>0.1122328118842657</v>
      </c>
    </row>
    <row r="154" spans="10:12" x14ac:dyDescent="0.2">
      <c r="J154" s="284">
        <v>42</v>
      </c>
      <c r="K154" s="285">
        <v>-2.8491958214856748E-2</v>
      </c>
      <c r="L154" s="285">
        <v>0.1122328118842657</v>
      </c>
    </row>
    <row r="155" spans="10:12" x14ac:dyDescent="0.2">
      <c r="J155" s="284">
        <v>43</v>
      </c>
      <c r="K155" s="285">
        <v>-2.6770453482209546E-2</v>
      </c>
      <c r="L155" s="285">
        <v>0.1122328118842657</v>
      </c>
    </row>
    <row r="156" spans="10:12" x14ac:dyDescent="0.2">
      <c r="J156" s="284">
        <v>44</v>
      </c>
      <c r="K156" s="285">
        <v>-2.5401132465296548E-2</v>
      </c>
      <c r="L156" s="285">
        <v>0.1122328118842657</v>
      </c>
    </row>
    <row r="157" spans="10:12" x14ac:dyDescent="0.2">
      <c r="J157" s="284">
        <v>45</v>
      </c>
      <c r="K157" s="285">
        <v>-2.508792091687042E-2</v>
      </c>
      <c r="L157" s="285">
        <v>0.1122328118842657</v>
      </c>
    </row>
    <row r="158" spans="10:12" x14ac:dyDescent="0.2">
      <c r="J158" s="284">
        <v>46</v>
      </c>
      <c r="K158" s="285">
        <v>-2.4809989692188741E-2</v>
      </c>
      <c r="L158" s="285">
        <v>0.1122328118842657</v>
      </c>
    </row>
    <row r="159" spans="10:12" x14ac:dyDescent="0.2">
      <c r="J159" s="284">
        <v>47</v>
      </c>
      <c r="K159" s="285">
        <v>-2.3851854318814075E-2</v>
      </c>
      <c r="L159" s="285">
        <v>0.1122328118842657</v>
      </c>
    </row>
    <row r="160" spans="10:12" x14ac:dyDescent="0.2">
      <c r="J160" s="284">
        <v>48</v>
      </c>
      <c r="K160" s="285">
        <v>-2.0630286596776799E-2</v>
      </c>
      <c r="L160" s="285">
        <v>0.1122328118842657</v>
      </c>
    </row>
    <row r="161" spans="10:12" x14ac:dyDescent="0.2">
      <c r="J161" s="284">
        <v>49</v>
      </c>
      <c r="K161" s="285">
        <v>-1.9588124441091728E-2</v>
      </c>
      <c r="L161" s="285">
        <v>0.1122328118842657</v>
      </c>
    </row>
    <row r="162" spans="10:12" x14ac:dyDescent="0.2">
      <c r="J162" s="284">
        <v>50</v>
      </c>
      <c r="K162" s="285">
        <v>-1.8297334764632744E-2</v>
      </c>
      <c r="L162" s="285">
        <v>0.1122328118842657</v>
      </c>
    </row>
    <row r="163" spans="10:12" x14ac:dyDescent="0.2">
      <c r="J163" s="284">
        <v>51</v>
      </c>
      <c r="K163" s="285">
        <v>-1.7482316792807498E-2</v>
      </c>
      <c r="L163" s="285">
        <v>0.1122328118842657</v>
      </c>
    </row>
    <row r="164" spans="10:12" x14ac:dyDescent="0.2">
      <c r="J164" s="284">
        <v>52</v>
      </c>
      <c r="K164" s="285">
        <v>-1.5614877459299006E-2</v>
      </c>
      <c r="L164" s="285">
        <v>0.1122328118842657</v>
      </c>
    </row>
    <row r="165" spans="10:12" x14ac:dyDescent="0.2">
      <c r="J165" s="284">
        <v>53</v>
      </c>
      <c r="K165" s="285">
        <v>-1.4293890296946997E-2</v>
      </c>
      <c r="L165" s="285">
        <v>0.1122328118842657</v>
      </c>
    </row>
    <row r="166" spans="10:12" x14ac:dyDescent="0.2">
      <c r="J166" s="284">
        <v>54</v>
      </c>
      <c r="K166" s="285">
        <v>-1.3961299129028248E-2</v>
      </c>
      <c r="L166" s="285">
        <v>0.1122328118842657</v>
      </c>
    </row>
    <row r="167" spans="10:12" x14ac:dyDescent="0.2">
      <c r="J167" s="284">
        <v>55</v>
      </c>
      <c r="K167" s="285">
        <v>-1.0569461217144723E-2</v>
      </c>
      <c r="L167" s="285">
        <v>0.1122328118842657</v>
      </c>
    </row>
    <row r="168" spans="10:12" x14ac:dyDescent="0.2">
      <c r="J168" s="284">
        <v>56</v>
      </c>
      <c r="K168" s="285">
        <v>-8.2776710341285701E-3</v>
      </c>
      <c r="L168" s="285">
        <v>0.1122328118842657</v>
      </c>
    </row>
    <row r="169" spans="10:12" x14ac:dyDescent="0.2">
      <c r="J169" s="284">
        <v>57</v>
      </c>
      <c r="K169" s="285">
        <v>-4.6924457886590451E-3</v>
      </c>
      <c r="L169" s="285">
        <v>0.1122328118842657</v>
      </c>
    </row>
    <row r="170" spans="10:12" x14ac:dyDescent="0.2">
      <c r="J170" s="284">
        <v>58</v>
      </c>
      <c r="K170" s="285">
        <v>-3.5261373059112967E-3</v>
      </c>
      <c r="L170" s="285">
        <v>0.1122328118842657</v>
      </c>
    </row>
    <row r="171" spans="10:12" x14ac:dyDescent="0.2">
      <c r="J171" s="284">
        <v>59</v>
      </c>
      <c r="K171" s="285">
        <v>-2.4551151356803249E-3</v>
      </c>
      <c r="L171" s="285">
        <v>0.1122328118842657</v>
      </c>
    </row>
    <row r="172" spans="10:12" x14ac:dyDescent="0.2">
      <c r="J172" s="284">
        <v>60</v>
      </c>
      <c r="K172" s="285">
        <v>-2.2771310515587136E-4</v>
      </c>
      <c r="L172" s="285">
        <v>0.1122328118842657</v>
      </c>
    </row>
    <row r="173" spans="10:12" x14ac:dyDescent="0.2">
      <c r="J173" s="284">
        <v>61</v>
      </c>
      <c r="K173" s="285">
        <v>4.581583804173187E-4</v>
      </c>
      <c r="L173" s="285">
        <v>0.1122328118842657</v>
      </c>
    </row>
    <row r="174" spans="10:12" x14ac:dyDescent="0.2">
      <c r="J174" s="284">
        <v>62</v>
      </c>
      <c r="K174" s="285">
        <v>3.7182774108928248E-3</v>
      </c>
      <c r="L174" s="285">
        <v>0.1122328118842657</v>
      </c>
    </row>
    <row r="175" spans="10:12" x14ac:dyDescent="0.2">
      <c r="J175" s="284">
        <v>63</v>
      </c>
      <c r="K175" s="285">
        <v>4.6556096092726955E-3</v>
      </c>
      <c r="L175" s="285">
        <v>0.1122328118842657</v>
      </c>
    </row>
    <row r="176" spans="10:12" x14ac:dyDescent="0.2">
      <c r="J176" s="284">
        <v>64</v>
      </c>
      <c r="K176" s="285">
        <v>8.9468767854772209E-3</v>
      </c>
      <c r="L176" s="285">
        <v>0.1122328118842657</v>
      </c>
    </row>
    <row r="177" spans="10:12" x14ac:dyDescent="0.2">
      <c r="J177" s="284">
        <v>65</v>
      </c>
      <c r="K177" s="285">
        <v>1.0172654707937505E-2</v>
      </c>
      <c r="L177" s="285">
        <v>0.1122328118842657</v>
      </c>
    </row>
    <row r="178" spans="10:12" x14ac:dyDescent="0.2">
      <c r="J178" s="284">
        <v>66</v>
      </c>
      <c r="K178" s="285">
        <v>1.0424175144729732E-2</v>
      </c>
      <c r="L178" s="285">
        <v>0.1122328118842657</v>
      </c>
    </row>
    <row r="179" spans="10:12" x14ac:dyDescent="0.2">
      <c r="J179" s="284">
        <v>67</v>
      </c>
      <c r="K179" s="285">
        <v>1.0670728813247436E-2</v>
      </c>
      <c r="L179" s="285">
        <v>0.1122328118842657</v>
      </c>
    </row>
    <row r="180" spans="10:12" x14ac:dyDescent="0.2">
      <c r="J180" s="284">
        <v>68</v>
      </c>
      <c r="K180" s="285">
        <v>1.2282463858278185E-2</v>
      </c>
      <c r="L180" s="285">
        <v>0.1122328118842657</v>
      </c>
    </row>
    <row r="181" spans="10:12" x14ac:dyDescent="0.2">
      <c r="J181" s="284">
        <v>69</v>
      </c>
      <c r="K181" s="285">
        <v>1.2672089736356274E-2</v>
      </c>
      <c r="L181" s="285">
        <v>0.1122328118842657</v>
      </c>
    </row>
    <row r="182" spans="10:12" x14ac:dyDescent="0.2">
      <c r="J182" s="284">
        <v>70</v>
      </c>
      <c r="K182" s="285">
        <v>1.271965014549622E-2</v>
      </c>
      <c r="L182" s="285">
        <v>0.1122328118842657</v>
      </c>
    </row>
    <row r="183" spans="10:12" x14ac:dyDescent="0.2">
      <c r="J183" s="284">
        <v>71</v>
      </c>
      <c r="K183" s="285">
        <v>1.3929016484080559E-2</v>
      </c>
      <c r="L183" s="285">
        <v>0.1122328118842657</v>
      </c>
    </row>
    <row r="184" spans="10:12" x14ac:dyDescent="0.2">
      <c r="J184" s="284">
        <v>72</v>
      </c>
      <c r="K184" s="285">
        <v>1.5114795180549421E-2</v>
      </c>
      <c r="L184" s="285">
        <v>0.1122328118842657</v>
      </c>
    </row>
    <row r="185" spans="10:12" x14ac:dyDescent="0.2">
      <c r="J185" s="284">
        <v>73</v>
      </c>
      <c r="K185" s="285">
        <v>1.5554225705909634E-2</v>
      </c>
      <c r="L185" s="285">
        <v>0.1122328118842657</v>
      </c>
    </row>
    <row r="186" spans="10:12" x14ac:dyDescent="0.2">
      <c r="J186" s="284">
        <v>74</v>
      </c>
      <c r="K186" s="285">
        <v>1.6072098843383623E-2</v>
      </c>
      <c r="L186" s="285">
        <v>0.1122328118842657</v>
      </c>
    </row>
    <row r="187" spans="10:12" x14ac:dyDescent="0.2">
      <c r="J187" s="284">
        <v>75</v>
      </c>
      <c r="K187" s="285">
        <v>1.6482790388196621E-2</v>
      </c>
      <c r="L187" s="285">
        <v>0.1122328118842657</v>
      </c>
    </row>
    <row r="188" spans="10:12" x14ac:dyDescent="0.2">
      <c r="J188" s="284">
        <v>76</v>
      </c>
      <c r="K188" s="285">
        <v>1.6796581671116518E-2</v>
      </c>
      <c r="L188" s="285">
        <v>0.1122328118842657</v>
      </c>
    </row>
    <row r="189" spans="10:12" x14ac:dyDescent="0.2">
      <c r="J189" s="284">
        <v>77</v>
      </c>
      <c r="K189" s="285">
        <v>1.6972679195296988E-2</v>
      </c>
      <c r="L189" s="285">
        <v>0.1122328118842657</v>
      </c>
    </row>
    <row r="190" spans="10:12" x14ac:dyDescent="0.2">
      <c r="J190" s="284">
        <v>78</v>
      </c>
      <c r="K190" s="285">
        <v>1.8975950972787394E-2</v>
      </c>
      <c r="L190" s="285">
        <v>0.1122328118842657</v>
      </c>
    </row>
    <row r="191" spans="10:12" x14ac:dyDescent="0.2">
      <c r="J191" s="284">
        <v>79</v>
      </c>
      <c r="K191" s="285">
        <v>1.9918722213049873E-2</v>
      </c>
      <c r="L191" s="285">
        <v>0.1122328118842657</v>
      </c>
    </row>
    <row r="192" spans="10:12" x14ac:dyDescent="0.2">
      <c r="J192" s="284">
        <v>80</v>
      </c>
      <c r="K192" s="285">
        <v>2.2353806615985152E-2</v>
      </c>
      <c r="L192" s="285">
        <v>0.1122328118842657</v>
      </c>
    </row>
    <row r="193" spans="10:12" x14ac:dyDescent="0.2">
      <c r="J193" s="284">
        <v>81</v>
      </c>
      <c r="K193" s="285">
        <v>2.7439554698770047E-2</v>
      </c>
      <c r="L193" s="285">
        <v>0.1122328118842657</v>
      </c>
    </row>
    <row r="194" spans="10:12" x14ac:dyDescent="0.2">
      <c r="J194" s="284">
        <v>82</v>
      </c>
      <c r="K194" s="285">
        <v>2.9550585449906051E-2</v>
      </c>
      <c r="L194" s="285">
        <v>0.1122328118842657</v>
      </c>
    </row>
    <row r="195" spans="10:12" x14ac:dyDescent="0.2">
      <c r="J195" s="284">
        <v>83</v>
      </c>
      <c r="K195" s="285">
        <v>3.0293610456135503E-2</v>
      </c>
      <c r="L195" s="285">
        <v>0.1122328118842657</v>
      </c>
    </row>
    <row r="196" spans="10:12" x14ac:dyDescent="0.2">
      <c r="J196" s="284">
        <v>84</v>
      </c>
      <c r="K196" s="285">
        <v>3.0353339394786252E-2</v>
      </c>
      <c r="L196" s="285">
        <v>0.1122328118842657</v>
      </c>
    </row>
    <row r="197" spans="10:12" x14ac:dyDescent="0.2">
      <c r="J197" s="284">
        <v>85</v>
      </c>
      <c r="K197" s="285">
        <v>3.0928842942981677E-2</v>
      </c>
      <c r="L197" s="285">
        <v>0.1122328118842657</v>
      </c>
    </row>
    <row r="198" spans="10:12" x14ac:dyDescent="0.2">
      <c r="J198" s="284">
        <v>86</v>
      </c>
      <c r="K198" s="285">
        <v>3.1754171183599258E-2</v>
      </c>
      <c r="L198" s="285">
        <v>0.1122328118842657</v>
      </c>
    </row>
    <row r="199" spans="10:12" x14ac:dyDescent="0.2">
      <c r="J199" s="284">
        <v>87</v>
      </c>
      <c r="K199" s="285">
        <v>3.7944408173042954E-2</v>
      </c>
      <c r="L199" s="285">
        <v>0.1122328118842657</v>
      </c>
    </row>
    <row r="200" spans="10:12" x14ac:dyDescent="0.2">
      <c r="J200" s="284">
        <v>88</v>
      </c>
      <c r="K200" s="285">
        <v>3.8262752215596725E-2</v>
      </c>
      <c r="L200" s="285">
        <v>0.1122328118842657</v>
      </c>
    </row>
    <row r="201" spans="10:12" x14ac:dyDescent="0.2">
      <c r="J201" s="284">
        <v>89</v>
      </c>
      <c r="K201" s="285">
        <v>3.9028382495852242E-2</v>
      </c>
      <c r="L201" s="285">
        <v>0.1122328118842657</v>
      </c>
    </row>
    <row r="202" spans="10:12" x14ac:dyDescent="0.2">
      <c r="J202" s="284">
        <v>90</v>
      </c>
      <c r="K202" s="285">
        <v>4.0453320053697048E-2</v>
      </c>
      <c r="L202" s="285">
        <v>0.1122328118842657</v>
      </c>
    </row>
    <row r="203" spans="10:12" x14ac:dyDescent="0.2">
      <c r="J203" s="284">
        <v>91</v>
      </c>
      <c r="K203" s="285">
        <v>4.055226972606385E-2</v>
      </c>
      <c r="L203" s="285">
        <v>0.1122328118842657</v>
      </c>
    </row>
    <row r="204" spans="10:12" x14ac:dyDescent="0.2">
      <c r="J204" s="284">
        <v>92</v>
      </c>
      <c r="K204" s="285">
        <v>4.139275177290222E-2</v>
      </c>
      <c r="L204" s="285">
        <v>0.1122328118842657</v>
      </c>
    </row>
    <row r="205" spans="10:12" x14ac:dyDescent="0.2">
      <c r="J205" s="284">
        <v>93</v>
      </c>
      <c r="K205" s="285">
        <v>4.2988118104570462E-2</v>
      </c>
      <c r="L205" s="285">
        <v>0.1122328118842657</v>
      </c>
    </row>
    <row r="206" spans="10:12" x14ac:dyDescent="0.2">
      <c r="J206" s="284">
        <v>94</v>
      </c>
      <c r="K206" s="285">
        <v>4.3974877877907742E-2</v>
      </c>
      <c r="L206" s="285">
        <v>0.1122328118842657</v>
      </c>
    </row>
    <row r="207" spans="10:12" x14ac:dyDescent="0.2">
      <c r="J207" s="284">
        <v>95</v>
      </c>
      <c r="K207" s="285">
        <v>4.6829813039374259E-2</v>
      </c>
      <c r="L207" s="285">
        <v>0.1122328118842657</v>
      </c>
    </row>
    <row r="208" spans="10:12" x14ac:dyDescent="0.2">
      <c r="J208" s="284">
        <v>96</v>
      </c>
      <c r="K208" s="285">
        <v>4.7203646376646063E-2</v>
      </c>
      <c r="L208" s="285">
        <v>0.1122328118842657</v>
      </c>
    </row>
    <row r="209" spans="10:12" x14ac:dyDescent="0.2">
      <c r="J209" s="284">
        <v>97</v>
      </c>
      <c r="K209" s="285">
        <v>4.7496665046676767E-2</v>
      </c>
      <c r="L209" s="285">
        <v>0.1122328118842657</v>
      </c>
    </row>
    <row r="210" spans="10:12" x14ac:dyDescent="0.2">
      <c r="J210" s="284">
        <v>98</v>
      </c>
      <c r="K210" s="285">
        <v>4.833119516923913E-2</v>
      </c>
      <c r="L210" s="285">
        <v>0.1122328118842657</v>
      </c>
    </row>
    <row r="211" spans="10:12" x14ac:dyDescent="0.2">
      <c r="J211" s="284">
        <v>99</v>
      </c>
      <c r="K211" s="285">
        <v>4.9616512614626407E-2</v>
      </c>
      <c r="L211" s="285">
        <v>0.1122328118842657</v>
      </c>
    </row>
    <row r="212" spans="10:12" x14ac:dyDescent="0.2">
      <c r="J212" s="284">
        <v>100</v>
      </c>
      <c r="K212" s="285">
        <v>4.9873319357820634E-2</v>
      </c>
      <c r="L212" s="285">
        <v>0.1122328118842657</v>
      </c>
    </row>
    <row r="213" spans="10:12" x14ac:dyDescent="0.2">
      <c r="J213" s="284">
        <v>101</v>
      </c>
      <c r="K213" s="285">
        <v>5.2303056572180297E-2</v>
      </c>
      <c r="L213" s="285">
        <v>0.1122328118842657</v>
      </c>
    </row>
    <row r="214" spans="10:12" x14ac:dyDescent="0.2">
      <c r="J214" s="284">
        <v>102</v>
      </c>
      <c r="K214" s="285">
        <v>5.2983635472529211E-2</v>
      </c>
      <c r="L214" s="285">
        <v>0.1122328118842657</v>
      </c>
    </row>
    <row r="215" spans="10:12" x14ac:dyDescent="0.2">
      <c r="J215" s="284">
        <v>103</v>
      </c>
      <c r="K215" s="285">
        <v>5.3606148965675962E-2</v>
      </c>
      <c r="L215" s="285">
        <v>0.1122328118842657</v>
      </c>
    </row>
    <row r="216" spans="10:12" x14ac:dyDescent="0.2">
      <c r="J216" s="284">
        <v>104</v>
      </c>
      <c r="K216" s="285">
        <v>5.4348457105506433E-2</v>
      </c>
      <c r="L216" s="285">
        <v>0.1122328118842657</v>
      </c>
    </row>
    <row r="217" spans="10:12" x14ac:dyDescent="0.2">
      <c r="J217" s="284">
        <v>105</v>
      </c>
      <c r="K217" s="285">
        <v>5.4396378066283717E-2</v>
      </c>
      <c r="L217" s="285">
        <v>0.1122328118842657</v>
      </c>
    </row>
    <row r="218" spans="10:12" x14ac:dyDescent="0.2">
      <c r="J218" s="284">
        <v>106</v>
      </c>
      <c r="K218" s="285">
        <v>5.5419539851011418E-2</v>
      </c>
      <c r="L218" s="285">
        <v>0.1122328118842657</v>
      </c>
    </row>
    <row r="219" spans="10:12" x14ac:dyDescent="0.2">
      <c r="J219" s="284">
        <v>107</v>
      </c>
      <c r="K219" s="285">
        <v>5.5796093136179774E-2</v>
      </c>
      <c r="L219" s="285">
        <v>0.1122328118842657</v>
      </c>
    </row>
    <row r="220" spans="10:12" x14ac:dyDescent="0.2">
      <c r="J220" s="284">
        <v>108</v>
      </c>
      <c r="K220" s="285">
        <v>5.617796891895923E-2</v>
      </c>
      <c r="L220" s="285">
        <v>0.1122328118842657</v>
      </c>
    </row>
    <row r="221" spans="10:12" x14ac:dyDescent="0.2">
      <c r="J221" s="284">
        <v>109</v>
      </c>
      <c r="K221" s="285">
        <v>5.7054492785158471E-2</v>
      </c>
      <c r="L221" s="285">
        <v>0.1122328118842657</v>
      </c>
    </row>
    <row r="222" spans="10:12" x14ac:dyDescent="0.2">
      <c r="J222" s="284">
        <v>110</v>
      </c>
      <c r="K222" s="285">
        <v>5.7211241264578744E-2</v>
      </c>
      <c r="L222" s="285">
        <v>0.1122328118842657</v>
      </c>
    </row>
    <row r="223" spans="10:12" x14ac:dyDescent="0.2">
      <c r="J223" s="284">
        <v>111</v>
      </c>
      <c r="K223" s="285">
        <v>5.9246708554538584E-2</v>
      </c>
      <c r="L223" s="285">
        <v>0.1122328118842657</v>
      </c>
    </row>
    <row r="224" spans="10:12" x14ac:dyDescent="0.2">
      <c r="J224" s="284">
        <v>112</v>
      </c>
      <c r="K224" s="285">
        <v>6.0433506710704799E-2</v>
      </c>
      <c r="L224" s="285">
        <v>0.1122328118842657</v>
      </c>
    </row>
    <row r="225" spans="10:12" x14ac:dyDescent="0.2">
      <c r="J225" s="284">
        <v>113</v>
      </c>
      <c r="K225" s="285">
        <v>6.3433643084674113E-2</v>
      </c>
      <c r="L225" s="285">
        <v>0.1122328118842657</v>
      </c>
    </row>
    <row r="226" spans="10:12" x14ac:dyDescent="0.2">
      <c r="J226" s="284">
        <v>114</v>
      </c>
      <c r="K226" s="285">
        <v>6.403449398502864E-2</v>
      </c>
      <c r="L226" s="285">
        <v>0.1122328118842657</v>
      </c>
    </row>
    <row r="227" spans="10:12" x14ac:dyDescent="0.2">
      <c r="J227" s="284">
        <v>115</v>
      </c>
      <c r="K227" s="285">
        <v>6.4373718092624641E-2</v>
      </c>
      <c r="L227" s="285">
        <v>0.1122328118842657</v>
      </c>
    </row>
    <row r="228" spans="10:12" x14ac:dyDescent="0.2">
      <c r="J228" s="284">
        <v>116</v>
      </c>
      <c r="K228" s="285">
        <v>6.4707051752853448E-2</v>
      </c>
      <c r="L228" s="285">
        <v>0.1122328118842657</v>
      </c>
    </row>
    <row r="229" spans="10:12" x14ac:dyDescent="0.2">
      <c r="J229" s="284">
        <v>117</v>
      </c>
      <c r="K229" s="285">
        <v>6.6210633321691942E-2</v>
      </c>
      <c r="L229" s="285">
        <v>0.1122328118842657</v>
      </c>
    </row>
    <row r="230" spans="10:12" x14ac:dyDescent="0.2">
      <c r="J230" s="284">
        <v>118</v>
      </c>
      <c r="K230" s="285">
        <v>6.6378404046690029E-2</v>
      </c>
      <c r="L230" s="285">
        <v>0.1122328118842657</v>
      </c>
    </row>
    <row r="231" spans="10:12" x14ac:dyDescent="0.2">
      <c r="J231" s="284">
        <v>119</v>
      </c>
      <c r="K231" s="285">
        <v>6.7078899330452163E-2</v>
      </c>
      <c r="L231" s="285">
        <v>0.1122328118842657</v>
      </c>
    </row>
    <row r="232" spans="10:12" x14ac:dyDescent="0.2">
      <c r="J232" s="284">
        <v>120</v>
      </c>
      <c r="K232" s="285">
        <v>6.7428852022473576E-2</v>
      </c>
      <c r="L232" s="285">
        <v>0.1122328118842657</v>
      </c>
    </row>
    <row r="233" spans="10:12" x14ac:dyDescent="0.2">
      <c r="J233" s="284">
        <v>121</v>
      </c>
      <c r="K233" s="285">
        <v>6.8451801524280695E-2</v>
      </c>
      <c r="L233" s="285">
        <v>0.1122328118842657</v>
      </c>
    </row>
    <row r="234" spans="10:12" x14ac:dyDescent="0.2">
      <c r="J234" s="284">
        <v>122</v>
      </c>
      <c r="K234" s="285">
        <v>6.8610257459872703E-2</v>
      </c>
      <c r="L234" s="285">
        <v>0.1122328118842657</v>
      </c>
    </row>
    <row r="235" spans="10:12" x14ac:dyDescent="0.2">
      <c r="J235" s="284">
        <v>123</v>
      </c>
      <c r="K235" s="285">
        <v>6.8986638201086192E-2</v>
      </c>
      <c r="L235" s="285">
        <v>0.1122328118842657</v>
      </c>
    </row>
    <row r="236" spans="10:12" x14ac:dyDescent="0.2">
      <c r="J236" s="284">
        <v>124</v>
      </c>
      <c r="K236" s="285">
        <v>6.927650758883637E-2</v>
      </c>
      <c r="L236" s="285">
        <v>0.1122328118842657</v>
      </c>
    </row>
    <row r="237" spans="10:12" x14ac:dyDescent="0.2">
      <c r="J237" s="284">
        <v>125</v>
      </c>
      <c r="K237" s="285">
        <v>7.0066542955208477E-2</v>
      </c>
      <c r="L237" s="285">
        <v>0.1122328118842657</v>
      </c>
    </row>
    <row r="238" spans="10:12" x14ac:dyDescent="0.2">
      <c r="J238" s="284">
        <v>126</v>
      </c>
      <c r="K238" s="285">
        <v>7.0537764446639076E-2</v>
      </c>
      <c r="L238" s="285">
        <v>0.1122328118842657</v>
      </c>
    </row>
    <row r="239" spans="10:12" x14ac:dyDescent="0.2">
      <c r="J239" s="284">
        <v>127</v>
      </c>
      <c r="K239" s="285">
        <v>7.1275155370214588E-2</v>
      </c>
      <c r="L239" s="285">
        <v>0.1122328118842657</v>
      </c>
    </row>
    <row r="240" spans="10:12" x14ac:dyDescent="0.2">
      <c r="J240" s="284">
        <v>128</v>
      </c>
      <c r="K240" s="285">
        <v>7.2811069991305988E-2</v>
      </c>
      <c r="L240" s="285">
        <v>0.1122328118842657</v>
      </c>
    </row>
    <row r="241" spans="10:12" x14ac:dyDescent="0.2">
      <c r="J241" s="284">
        <v>129</v>
      </c>
      <c r="K241" s="285">
        <v>7.3507299636621434E-2</v>
      </c>
      <c r="L241" s="285">
        <v>0.1122328118842657</v>
      </c>
    </row>
    <row r="242" spans="10:12" x14ac:dyDescent="0.2">
      <c r="J242" s="284">
        <v>130</v>
      </c>
      <c r="K242" s="285">
        <v>7.4706393262441384E-2</v>
      </c>
      <c r="L242" s="285">
        <v>0.1122328118842657</v>
      </c>
    </row>
    <row r="243" spans="10:12" x14ac:dyDescent="0.2">
      <c r="J243" s="284">
        <v>131</v>
      </c>
      <c r="K243" s="285">
        <v>7.5342601046754679E-2</v>
      </c>
      <c r="L243" s="285">
        <v>0.1122328118842657</v>
      </c>
    </row>
    <row r="244" spans="10:12" x14ac:dyDescent="0.2">
      <c r="J244" s="284">
        <v>132</v>
      </c>
      <c r="K244" s="285">
        <v>7.5386635378867542E-2</v>
      </c>
      <c r="L244" s="285">
        <v>0.1122328118842657</v>
      </c>
    </row>
    <row r="245" spans="10:12" x14ac:dyDescent="0.2">
      <c r="J245" s="284">
        <v>133</v>
      </c>
      <c r="K245" s="285">
        <v>7.5738810641686236E-2</v>
      </c>
      <c r="L245" s="285">
        <v>0.1122328118842657</v>
      </c>
    </row>
    <row r="246" spans="10:12" x14ac:dyDescent="0.2">
      <c r="J246" s="284">
        <v>134</v>
      </c>
      <c r="K246" s="285">
        <v>7.623117773821031E-2</v>
      </c>
      <c r="L246" s="285">
        <v>0.1122328118842657</v>
      </c>
    </row>
    <row r="247" spans="10:12" x14ac:dyDescent="0.2">
      <c r="J247" s="284">
        <v>135</v>
      </c>
      <c r="K247" s="285">
        <v>7.6768425602739165E-2</v>
      </c>
      <c r="L247" s="285">
        <v>0.1122328118842657</v>
      </c>
    </row>
    <row r="248" spans="10:12" x14ac:dyDescent="0.2">
      <c r="J248" s="284">
        <v>136</v>
      </c>
      <c r="K248" s="285">
        <v>7.6962769076460311E-2</v>
      </c>
      <c r="L248" s="285">
        <v>0.1122328118842657</v>
      </c>
    </row>
    <row r="249" spans="10:12" x14ac:dyDescent="0.2">
      <c r="J249" s="284">
        <v>137</v>
      </c>
      <c r="K249" s="285">
        <v>7.839786980061296E-2</v>
      </c>
      <c r="L249" s="285">
        <v>0.1122328118842657</v>
      </c>
    </row>
    <row r="250" spans="10:12" x14ac:dyDescent="0.2">
      <c r="J250" s="284">
        <v>138</v>
      </c>
      <c r="K250" s="285">
        <v>8.1624906994801336E-2</v>
      </c>
      <c r="L250" s="285">
        <v>0.1122328118842657</v>
      </c>
    </row>
    <row r="251" spans="10:12" x14ac:dyDescent="0.2">
      <c r="J251" s="284">
        <v>139</v>
      </c>
      <c r="K251" s="285">
        <v>8.1796002826923495E-2</v>
      </c>
      <c r="L251" s="285">
        <v>0.1122328118842657</v>
      </c>
    </row>
    <row r="252" spans="10:12" x14ac:dyDescent="0.2">
      <c r="J252" s="284">
        <v>140</v>
      </c>
      <c r="K252" s="285">
        <v>8.1839013842212538E-2</v>
      </c>
      <c r="L252" s="285">
        <v>0.1122328118842657</v>
      </c>
    </row>
    <row r="253" spans="10:12" x14ac:dyDescent="0.2">
      <c r="J253" s="284">
        <v>141</v>
      </c>
      <c r="K253" s="285">
        <v>8.244259901023189E-2</v>
      </c>
      <c r="L253" s="285">
        <v>0.1122328118842657</v>
      </c>
    </row>
    <row r="254" spans="10:12" x14ac:dyDescent="0.2">
      <c r="J254" s="284">
        <v>142</v>
      </c>
      <c r="K254" s="285">
        <v>8.2883549019453981E-2</v>
      </c>
      <c r="L254" s="285">
        <v>0.1122328118842657</v>
      </c>
    </row>
    <row r="255" spans="10:12" x14ac:dyDescent="0.2">
      <c r="J255" s="284">
        <v>143</v>
      </c>
      <c r="K255" s="285">
        <v>8.3923388628387732E-2</v>
      </c>
      <c r="L255" s="285">
        <v>0.1122328118842657</v>
      </c>
    </row>
    <row r="256" spans="10:12" x14ac:dyDescent="0.2">
      <c r="J256" s="284">
        <v>144</v>
      </c>
      <c r="K256" s="285">
        <v>8.4231128199944758E-2</v>
      </c>
      <c r="L256" s="285">
        <v>0.1122328118842657</v>
      </c>
    </row>
    <row r="257" spans="10:12" x14ac:dyDescent="0.2">
      <c r="J257" s="284">
        <v>145</v>
      </c>
      <c r="K257" s="285">
        <v>8.4783821902782594E-2</v>
      </c>
      <c r="L257" s="285">
        <v>0.1122328118842657</v>
      </c>
    </row>
    <row r="258" spans="10:12" x14ac:dyDescent="0.2">
      <c r="J258" s="284">
        <v>146</v>
      </c>
      <c r="K258" s="285">
        <v>8.5003729189253807E-2</v>
      </c>
      <c r="L258" s="285">
        <v>0.1122328118842657</v>
      </c>
    </row>
    <row r="259" spans="10:12" x14ac:dyDescent="0.2">
      <c r="J259" s="284">
        <v>147</v>
      </c>
      <c r="K259" s="285">
        <v>8.5035949115196671E-2</v>
      </c>
      <c r="L259" s="285">
        <v>0.1122328118842657</v>
      </c>
    </row>
    <row r="260" spans="10:12" x14ac:dyDescent="0.2">
      <c r="J260" s="284">
        <v>148</v>
      </c>
      <c r="K260" s="285">
        <v>8.5261127108484866E-2</v>
      </c>
      <c r="L260" s="285">
        <v>0.1122328118842657</v>
      </c>
    </row>
    <row r="261" spans="10:12" x14ac:dyDescent="0.2">
      <c r="J261" s="284">
        <v>149</v>
      </c>
      <c r="K261" s="285">
        <v>8.592421797836472E-2</v>
      </c>
      <c r="L261" s="285">
        <v>0.1122328118842657</v>
      </c>
    </row>
    <row r="262" spans="10:12" x14ac:dyDescent="0.2">
      <c r="J262" s="284">
        <v>150</v>
      </c>
      <c r="K262" s="285">
        <v>8.712545985853816E-2</v>
      </c>
      <c r="L262" s="285">
        <v>0.1122328118842657</v>
      </c>
    </row>
    <row r="263" spans="10:12" x14ac:dyDescent="0.2">
      <c r="J263" s="284">
        <v>151</v>
      </c>
      <c r="K263" s="285">
        <v>8.8646322551245854E-2</v>
      </c>
      <c r="L263" s="285">
        <v>0.1122328118842657</v>
      </c>
    </row>
    <row r="264" spans="10:12" x14ac:dyDescent="0.2">
      <c r="J264" s="284">
        <v>152</v>
      </c>
      <c r="K264" s="285">
        <v>8.8710050765899703E-2</v>
      </c>
      <c r="L264" s="285">
        <v>0.1122328118842657</v>
      </c>
    </row>
    <row r="265" spans="10:12" x14ac:dyDescent="0.2">
      <c r="J265" s="284">
        <v>153</v>
      </c>
      <c r="K265" s="285">
        <v>9.084853050277425E-2</v>
      </c>
      <c r="L265" s="285">
        <v>0.1122328118842657</v>
      </c>
    </row>
    <row r="266" spans="10:12" x14ac:dyDescent="0.2">
      <c r="J266" s="284">
        <v>154</v>
      </c>
      <c r="K266" s="285">
        <v>9.1208492362797475E-2</v>
      </c>
      <c r="L266" s="285">
        <v>0.1122328118842657</v>
      </c>
    </row>
    <row r="267" spans="10:12" x14ac:dyDescent="0.2">
      <c r="J267" s="284">
        <v>155</v>
      </c>
      <c r="K267" s="285">
        <v>9.2702221733732382E-2</v>
      </c>
      <c r="L267" s="285">
        <v>0.1122328118842657</v>
      </c>
    </row>
    <row r="268" spans="10:12" x14ac:dyDescent="0.2">
      <c r="J268" s="284">
        <v>156</v>
      </c>
      <c r="K268" s="285">
        <v>9.3153963988403615E-2</v>
      </c>
      <c r="L268" s="285">
        <v>0.1122328118842657</v>
      </c>
    </row>
    <row r="269" spans="10:12" x14ac:dyDescent="0.2">
      <c r="J269" s="284">
        <v>157</v>
      </c>
      <c r="K269" s="285">
        <v>9.3685827333789246E-2</v>
      </c>
      <c r="L269" s="285">
        <v>0.1122328118842657</v>
      </c>
    </row>
    <row r="270" spans="10:12" x14ac:dyDescent="0.2">
      <c r="J270" s="284">
        <v>158</v>
      </c>
      <c r="K270" s="285">
        <v>9.3860757188752364E-2</v>
      </c>
      <c r="L270" s="285">
        <v>0.1122328118842657</v>
      </c>
    </row>
    <row r="271" spans="10:12" x14ac:dyDescent="0.2">
      <c r="J271" s="284">
        <v>159</v>
      </c>
      <c r="K271" s="285">
        <v>9.4956498915901466E-2</v>
      </c>
      <c r="L271" s="285">
        <v>0.1122328118842657</v>
      </c>
    </row>
    <row r="272" spans="10:12" x14ac:dyDescent="0.2">
      <c r="J272" s="284">
        <v>160</v>
      </c>
      <c r="K272" s="285">
        <v>9.6692427453249116E-2</v>
      </c>
      <c r="L272" s="285">
        <v>0.1122328118842657</v>
      </c>
    </row>
    <row r="273" spans="10:12" x14ac:dyDescent="0.2">
      <c r="J273" s="284">
        <v>161</v>
      </c>
      <c r="K273" s="285">
        <v>9.699453551912568E-2</v>
      </c>
      <c r="L273" s="285">
        <v>0.1122328118842657</v>
      </c>
    </row>
    <row r="274" spans="10:12" x14ac:dyDescent="0.2">
      <c r="J274" s="284">
        <v>162</v>
      </c>
      <c r="K274" s="285">
        <v>9.699453551912568E-2</v>
      </c>
      <c r="L274" s="285">
        <v>0.1122328118842657</v>
      </c>
    </row>
    <row r="275" spans="10:12" x14ac:dyDescent="0.2">
      <c r="J275" s="284">
        <v>163</v>
      </c>
      <c r="K275" s="285">
        <v>9.699453551912568E-2</v>
      </c>
      <c r="L275" s="285">
        <v>0.1122328118842657</v>
      </c>
    </row>
    <row r="276" spans="10:12" x14ac:dyDescent="0.2">
      <c r="J276" s="284">
        <v>164</v>
      </c>
      <c r="K276" s="285">
        <v>9.699453551912568E-2</v>
      </c>
      <c r="L276" s="285">
        <v>0.1122328118842657</v>
      </c>
    </row>
    <row r="277" spans="10:12" x14ac:dyDescent="0.2">
      <c r="J277" s="284">
        <v>165</v>
      </c>
      <c r="K277" s="285">
        <v>9.699453551912568E-2</v>
      </c>
      <c r="L277" s="285">
        <v>0.1122328118842657</v>
      </c>
    </row>
    <row r="278" spans="10:12" x14ac:dyDescent="0.2">
      <c r="J278" s="284">
        <v>166</v>
      </c>
      <c r="K278" s="285">
        <v>9.699453551912568E-2</v>
      </c>
      <c r="L278" s="285">
        <v>0.1122328118842657</v>
      </c>
    </row>
    <row r="279" spans="10:12" x14ac:dyDescent="0.2">
      <c r="J279" s="284">
        <v>167</v>
      </c>
      <c r="K279" s="285">
        <v>9.699453551912568E-2</v>
      </c>
      <c r="L279" s="285">
        <v>0.1122328118842657</v>
      </c>
    </row>
    <row r="280" spans="10:12" x14ac:dyDescent="0.2">
      <c r="J280" s="284">
        <v>168</v>
      </c>
      <c r="K280" s="285">
        <v>9.7943332033236866E-2</v>
      </c>
      <c r="L280" s="285">
        <v>0.1122328118842657</v>
      </c>
    </row>
    <row r="281" spans="10:12" x14ac:dyDescent="0.2">
      <c r="J281" s="284">
        <v>169</v>
      </c>
      <c r="K281" s="285">
        <v>9.8040510267686953E-2</v>
      </c>
      <c r="L281" s="285">
        <v>0.1122328118842657</v>
      </c>
    </row>
    <row r="282" spans="10:12" x14ac:dyDescent="0.2">
      <c r="J282" s="284">
        <v>170</v>
      </c>
      <c r="K282" s="285">
        <v>9.9303411242097267E-2</v>
      </c>
      <c r="L282" s="285">
        <v>0.1122328118842657</v>
      </c>
    </row>
    <row r="283" spans="10:12" x14ac:dyDescent="0.2">
      <c r="J283" s="284">
        <v>171</v>
      </c>
      <c r="K283" s="285">
        <v>9.9392775005353845E-2</v>
      </c>
      <c r="L283" s="285">
        <v>0.1122328118842657</v>
      </c>
    </row>
    <row r="284" spans="10:12" x14ac:dyDescent="0.2">
      <c r="J284" s="284">
        <v>172</v>
      </c>
      <c r="K284" s="285">
        <v>9.9685683827416702E-2</v>
      </c>
      <c r="L284" s="285">
        <v>0.1122328118842657</v>
      </c>
    </row>
    <row r="285" spans="10:12" x14ac:dyDescent="0.2">
      <c r="J285" s="284">
        <v>173</v>
      </c>
      <c r="K285" s="285">
        <v>0.10160392837183095</v>
      </c>
      <c r="L285" s="285">
        <v>0.1122328118842657</v>
      </c>
    </row>
    <row r="286" spans="10:12" x14ac:dyDescent="0.2">
      <c r="J286" s="284">
        <v>174</v>
      </c>
      <c r="K286" s="285">
        <v>0.101748139232437</v>
      </c>
      <c r="L286" s="285">
        <v>0.1122328118842657</v>
      </c>
    </row>
    <row r="287" spans="10:12" x14ac:dyDescent="0.2">
      <c r="J287" s="284">
        <v>175</v>
      </c>
      <c r="K287" s="285">
        <v>0.10252666642691345</v>
      </c>
      <c r="L287" s="285">
        <v>0.1122328118842657</v>
      </c>
    </row>
    <row r="288" spans="10:12" x14ac:dyDescent="0.2">
      <c r="J288" s="284">
        <v>176</v>
      </c>
      <c r="K288" s="285">
        <v>0.10365495493348925</v>
      </c>
      <c r="L288" s="285">
        <v>0.1122328118842657</v>
      </c>
    </row>
    <row r="289" spans="10:12" x14ac:dyDescent="0.2">
      <c r="J289" s="284">
        <v>177</v>
      </c>
      <c r="K289" s="285">
        <v>0.10626246612573952</v>
      </c>
      <c r="L289" s="285">
        <v>0.1122328118842657</v>
      </c>
    </row>
    <row r="290" spans="10:12" x14ac:dyDescent="0.2">
      <c r="J290" s="284">
        <v>178</v>
      </c>
      <c r="K290" s="285">
        <v>0.10650405345817276</v>
      </c>
      <c r="L290" s="285">
        <v>0.1122328118842657</v>
      </c>
    </row>
    <row r="291" spans="10:12" x14ac:dyDescent="0.2">
      <c r="J291" s="284">
        <v>179</v>
      </c>
      <c r="K291" s="285">
        <v>0.10697611724306327</v>
      </c>
      <c r="L291" s="285">
        <v>0.1122328118842657</v>
      </c>
    </row>
    <row r="292" spans="10:12" x14ac:dyDescent="0.2">
      <c r="J292" s="284">
        <v>180</v>
      </c>
      <c r="K292" s="285">
        <v>0.10769917834619777</v>
      </c>
      <c r="L292" s="285">
        <v>0.1122328118842657</v>
      </c>
    </row>
    <row r="293" spans="10:12" x14ac:dyDescent="0.2">
      <c r="J293" s="284">
        <v>181</v>
      </c>
      <c r="K293" s="285">
        <v>0.10803074242464944</v>
      </c>
      <c r="L293" s="285">
        <v>0.1122328118842657</v>
      </c>
    </row>
    <row r="294" spans="10:12" x14ac:dyDescent="0.2">
      <c r="J294" s="284">
        <v>182</v>
      </c>
      <c r="K294" s="285">
        <v>0.1088939210134931</v>
      </c>
      <c r="L294" s="285">
        <v>0.1122328118842657</v>
      </c>
    </row>
    <row r="295" spans="10:12" x14ac:dyDescent="0.2">
      <c r="J295" s="284">
        <v>183</v>
      </c>
      <c r="K295" s="285">
        <v>0.10895006239374753</v>
      </c>
      <c r="L295" s="285">
        <v>0.1122328118842657</v>
      </c>
    </row>
    <row r="296" spans="10:12" x14ac:dyDescent="0.2">
      <c r="J296" s="284">
        <v>184</v>
      </c>
      <c r="K296" s="285">
        <v>0.10908897734494449</v>
      </c>
      <c r="L296" s="285">
        <v>0.1122328118842657</v>
      </c>
    </row>
    <row r="297" spans="10:12" x14ac:dyDescent="0.2">
      <c r="J297" s="284">
        <v>185</v>
      </c>
      <c r="K297" s="285">
        <v>0.10929880467909303</v>
      </c>
      <c r="L297" s="285">
        <v>0.1122328118842657</v>
      </c>
    </row>
    <row r="298" spans="10:12" x14ac:dyDescent="0.2">
      <c r="J298" s="284">
        <v>186</v>
      </c>
      <c r="K298" s="285">
        <v>0.10965947674947887</v>
      </c>
      <c r="L298" s="285">
        <v>0.1122328118842657</v>
      </c>
    </row>
    <row r="299" spans="10:12" x14ac:dyDescent="0.2">
      <c r="J299" s="284">
        <v>187</v>
      </c>
      <c r="K299" s="285">
        <v>0.10993923618414154</v>
      </c>
      <c r="L299" s="285">
        <v>0.1122328118842657</v>
      </c>
    </row>
    <row r="300" spans="10:12" x14ac:dyDescent="0.2">
      <c r="J300" s="284">
        <v>188</v>
      </c>
      <c r="K300" s="285">
        <v>0.11111988166139371</v>
      </c>
      <c r="L300" s="285">
        <v>0.1122328118842657</v>
      </c>
    </row>
    <row r="301" spans="10:12" x14ac:dyDescent="0.2">
      <c r="J301" s="284">
        <v>189</v>
      </c>
      <c r="K301" s="285">
        <v>0.11227667249384594</v>
      </c>
      <c r="L301" s="285">
        <v>0.1122328118842657</v>
      </c>
    </row>
    <row r="302" spans="10:12" x14ac:dyDescent="0.2">
      <c r="J302" s="284">
        <v>190</v>
      </c>
      <c r="K302" s="285">
        <v>0.11240757009977075</v>
      </c>
      <c r="L302" s="285">
        <v>0.1122328118842657</v>
      </c>
    </row>
    <row r="303" spans="10:12" x14ac:dyDescent="0.2">
      <c r="J303" s="284">
        <v>191</v>
      </c>
      <c r="K303" s="285">
        <v>0.1127101404871543</v>
      </c>
      <c r="L303" s="285">
        <v>0.1122328118842657</v>
      </c>
    </row>
    <row r="304" spans="10:12" x14ac:dyDescent="0.2">
      <c r="J304" s="284">
        <v>192</v>
      </c>
      <c r="K304" s="285">
        <v>0.11281001162415792</v>
      </c>
      <c r="L304" s="285">
        <v>0.1122328118842657</v>
      </c>
    </row>
    <row r="305" spans="10:12" x14ac:dyDescent="0.2">
      <c r="J305" s="284">
        <v>193</v>
      </c>
      <c r="K305" s="285">
        <v>0.11307996786579705</v>
      </c>
      <c r="L305" s="285">
        <v>0.1122328118842657</v>
      </c>
    </row>
    <row r="306" spans="10:12" x14ac:dyDescent="0.2">
      <c r="J306" s="284">
        <v>194</v>
      </c>
      <c r="K306" s="285">
        <v>0.11482027358407883</v>
      </c>
      <c r="L306" s="285">
        <v>0.1122328118842657</v>
      </c>
    </row>
    <row r="307" spans="10:12" x14ac:dyDescent="0.2">
      <c r="J307" s="284">
        <v>195</v>
      </c>
      <c r="K307" s="285">
        <v>0.11507144929332284</v>
      </c>
      <c r="L307" s="285">
        <v>0.1122328118842657</v>
      </c>
    </row>
    <row r="308" spans="10:12" x14ac:dyDescent="0.2">
      <c r="J308" s="284">
        <v>196</v>
      </c>
      <c r="K308" s="285">
        <v>0.11619163408301864</v>
      </c>
      <c r="L308" s="285">
        <v>0.1122328118842657</v>
      </c>
    </row>
    <row r="309" spans="10:12" x14ac:dyDescent="0.2">
      <c r="J309" s="284">
        <v>197</v>
      </c>
      <c r="K309" s="285">
        <v>0.11705087037706825</v>
      </c>
      <c r="L309" s="285">
        <v>0.1122328118842657</v>
      </c>
    </row>
    <row r="310" spans="10:12" x14ac:dyDescent="0.2">
      <c r="J310" s="284">
        <v>198</v>
      </c>
      <c r="K310" s="285">
        <v>0.1181709841957909</v>
      </c>
      <c r="L310" s="285">
        <v>0.1122328118842657</v>
      </c>
    </row>
    <row r="311" spans="10:12" x14ac:dyDescent="0.2">
      <c r="J311" s="284">
        <v>199</v>
      </c>
      <c r="K311" s="285">
        <v>0.11923454957574921</v>
      </c>
      <c r="L311" s="285">
        <v>0.1122328118842657</v>
      </c>
    </row>
    <row r="312" spans="10:12" x14ac:dyDescent="0.2">
      <c r="J312" s="284">
        <v>200</v>
      </c>
      <c r="K312" s="285">
        <v>0.12025757771267176</v>
      </c>
      <c r="L312" s="285">
        <v>0.1122328118842657</v>
      </c>
    </row>
    <row r="313" spans="10:12" x14ac:dyDescent="0.2">
      <c r="J313" s="284">
        <v>201</v>
      </c>
      <c r="K313" s="285">
        <v>0.12047345405911075</v>
      </c>
      <c r="L313" s="285">
        <v>0.1122328118842657</v>
      </c>
    </row>
    <row r="314" spans="10:12" x14ac:dyDescent="0.2">
      <c r="J314" s="284">
        <v>202</v>
      </c>
      <c r="K314" s="285">
        <v>0.12114752549235358</v>
      </c>
      <c r="L314" s="285">
        <v>0.1122328118842657</v>
      </c>
    </row>
    <row r="315" spans="10:12" x14ac:dyDescent="0.2">
      <c r="J315" s="284">
        <v>203</v>
      </c>
      <c r="K315" s="285">
        <v>0.1246324642663227</v>
      </c>
      <c r="L315" s="285">
        <v>0.1122328118842657</v>
      </c>
    </row>
    <row r="316" spans="10:12" x14ac:dyDescent="0.2">
      <c r="J316" s="284">
        <v>204</v>
      </c>
      <c r="K316" s="285">
        <v>0.12584014324019077</v>
      </c>
      <c r="L316" s="285">
        <v>0.1122328118842657</v>
      </c>
    </row>
    <row r="317" spans="10:12" x14ac:dyDescent="0.2">
      <c r="J317" s="284">
        <v>205</v>
      </c>
      <c r="K317" s="285">
        <v>0.12662632495156428</v>
      </c>
      <c r="L317" s="285">
        <v>0.1122328118842657</v>
      </c>
    </row>
    <row r="318" spans="10:12" x14ac:dyDescent="0.2">
      <c r="J318" s="284">
        <v>206</v>
      </c>
      <c r="K318" s="285">
        <v>0.12720692233777495</v>
      </c>
      <c r="L318" s="285">
        <v>0.1122328118842657</v>
      </c>
    </row>
    <row r="319" spans="10:12" x14ac:dyDescent="0.2">
      <c r="J319" s="284">
        <v>207</v>
      </c>
      <c r="K319" s="285">
        <v>0.1281133789718851</v>
      </c>
      <c r="L319" s="285">
        <v>0.1122328118842657</v>
      </c>
    </row>
    <row r="320" spans="10:12" x14ac:dyDescent="0.2">
      <c r="J320" s="284">
        <v>208</v>
      </c>
      <c r="K320" s="285">
        <v>0.13057106278329692</v>
      </c>
      <c r="L320" s="285">
        <v>0.1122328118842657</v>
      </c>
    </row>
    <row r="321" spans="2:12" x14ac:dyDescent="0.2">
      <c r="J321" s="284">
        <v>209</v>
      </c>
      <c r="K321" s="285">
        <v>0.1308635507115361</v>
      </c>
      <c r="L321" s="285">
        <v>0.1122328118842657</v>
      </c>
    </row>
    <row r="322" spans="2:12" x14ac:dyDescent="0.2">
      <c r="J322" s="284">
        <v>210</v>
      </c>
      <c r="K322" s="285">
        <v>0.13256727764503948</v>
      </c>
      <c r="L322" s="285">
        <v>0.1122328118842657</v>
      </c>
    </row>
    <row r="323" spans="2:12" x14ac:dyDescent="0.2">
      <c r="J323" s="284">
        <v>211</v>
      </c>
      <c r="K323" s="285">
        <v>0.13380751608806832</v>
      </c>
      <c r="L323" s="285">
        <v>0.1122328118842657</v>
      </c>
    </row>
    <row r="324" spans="2:12" x14ac:dyDescent="0.2">
      <c r="J324" s="284">
        <v>212</v>
      </c>
      <c r="K324" s="285">
        <v>0.13484758867323332</v>
      </c>
      <c r="L324" s="285">
        <v>0.1122328118842657</v>
      </c>
    </row>
    <row r="325" spans="2:12" x14ac:dyDescent="0.2">
      <c r="J325" s="284">
        <v>213</v>
      </c>
      <c r="K325" s="285">
        <v>0.13803504854629253</v>
      </c>
      <c r="L325" s="285">
        <v>0.1122328118842657</v>
      </c>
    </row>
    <row r="326" spans="2:12" x14ac:dyDescent="0.2">
      <c r="J326" s="284">
        <v>214</v>
      </c>
      <c r="K326" s="285">
        <v>0.14542142895091439</v>
      </c>
      <c r="L326" s="285">
        <v>0.1122328118842657</v>
      </c>
    </row>
    <row r="327" spans="2:12" x14ac:dyDescent="0.2">
      <c r="J327" s="284">
        <v>215</v>
      </c>
      <c r="K327" s="285">
        <v>0.15127737410037229</v>
      </c>
      <c r="L327" s="285">
        <v>0.1122328118842657</v>
      </c>
    </row>
    <row r="328" spans="2:12" x14ac:dyDescent="0.2">
      <c r="J328" s="284">
        <v>216</v>
      </c>
      <c r="K328" s="285">
        <v>0.1535406388662888</v>
      </c>
      <c r="L328" s="285">
        <v>0.1122328118842657</v>
      </c>
    </row>
    <row r="329" spans="2:12" x14ac:dyDescent="0.2">
      <c r="J329" s="284">
        <v>217</v>
      </c>
      <c r="K329" s="285">
        <v>0.15980497049544307</v>
      </c>
      <c r="L329" s="285">
        <v>0.1122328118842657</v>
      </c>
    </row>
    <row r="330" spans="2:12" x14ac:dyDescent="0.2">
      <c r="J330" s="284">
        <v>218</v>
      </c>
      <c r="K330" s="285">
        <v>0.16004255217806621</v>
      </c>
      <c r="L330" s="285">
        <v>0.1122328118842657</v>
      </c>
    </row>
    <row r="331" spans="2:12" x14ac:dyDescent="0.2">
      <c r="J331" s="284">
        <v>219</v>
      </c>
      <c r="K331" s="285">
        <v>0.16934297905682114</v>
      </c>
      <c r="L331" s="285">
        <v>0.1122328118842657</v>
      </c>
    </row>
    <row r="332" spans="2:12" x14ac:dyDescent="0.2">
      <c r="J332" s="284">
        <v>220</v>
      </c>
      <c r="K332" s="285">
        <v>0.17264104523526258</v>
      </c>
      <c r="L332" s="285">
        <v>0.1122328118842657</v>
      </c>
    </row>
    <row r="334" spans="2:12" x14ac:dyDescent="0.2">
      <c r="J334" s="147" t="s">
        <v>522</v>
      </c>
      <c r="K334" s="275" t="s">
        <v>544</v>
      </c>
    </row>
    <row r="336" spans="2:12" s="6" customFormat="1" ht="18.75" x14ac:dyDescent="0.2">
      <c r="B336" s="6" t="s">
        <v>43</v>
      </c>
    </row>
  </sheetData>
  <mergeCells count="4">
    <mergeCell ref="N100:N101"/>
    <mergeCell ref="I100:J100"/>
    <mergeCell ref="K100:L100"/>
    <mergeCell ref="M100:M101"/>
  </mergeCells>
  <hyperlinks>
    <hyperlink ref="B4" location="ToC!A1" display="ToC!A1" xr:uid="{E63300F8-1F1D-4973-BDD2-CE353DB69624}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FDA9-B747-4E82-8AFE-2FA31999F066}">
  <sheetPr codeName="Sheet25">
    <tabColor theme="0" tint="-0.249977111117893"/>
  </sheetPr>
  <dimension ref="A1"/>
  <sheetViews>
    <sheetView showGridLines="0" zoomScaleNormal="100"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56398-4249-4F35-9547-01BD8493B014}">
  <sheetPr codeName="Sheet28">
    <tabColor theme="8" tint="0.79998168889431442"/>
  </sheetPr>
  <dimension ref="A1:X26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x14ac:dyDescent="0.2"/>
  <cols>
    <col min="1" max="3" width="3.7109375" customWidth="1"/>
    <col min="4" max="4" width="43" bestFit="1" customWidth="1"/>
    <col min="5" max="8" width="13.5703125" customWidth="1"/>
    <col min="9" max="9" width="3.5703125" customWidth="1"/>
  </cols>
  <sheetData>
    <row r="1" spans="1:24" ht="23.25" x14ac:dyDescent="0.35">
      <c r="A1" s="52">
        <f>IF(SUM(A5:A26)&lt;&gt;0,1,0)</f>
        <v>0</v>
      </c>
      <c r="B1" s="16" t="s">
        <v>170</v>
      </c>
    </row>
    <row r="2" spans="1:24" ht="15" x14ac:dyDescent="0.2">
      <c r="B2" s="34" t="str">
        <f>Model_Name</f>
        <v>Power and Water - Revised Proposal - Tables and Charts</v>
      </c>
    </row>
    <row r="3" spans="1:24" x14ac:dyDescent="0.2">
      <c r="B3" s="37" t="str">
        <f>"Model Checks:"&amp;IF(Model_Checks=0," OK"," Check")</f>
        <v>Model Checks: OK</v>
      </c>
      <c r="J3" s="39" t="str">
        <f>LookupTab!M$40</f>
        <v>FY15</v>
      </c>
      <c r="K3" s="39" t="str">
        <f>LookupTab!N$40</f>
        <v>FY16</v>
      </c>
      <c r="L3" s="39" t="str">
        <f>LookupTab!O$40</f>
        <v>FY17</v>
      </c>
      <c r="M3" s="39" t="str">
        <f>LookupTab!P$40</f>
        <v>FY18</v>
      </c>
      <c r="N3" s="39" t="str">
        <f>LookupTab!Q$40</f>
        <v>FY19</v>
      </c>
      <c r="O3" s="39" t="str">
        <f>LookupTab!R$40</f>
        <v>FY20</v>
      </c>
      <c r="P3" s="39" t="str">
        <f>LookupTab!S$40</f>
        <v>FY21</v>
      </c>
      <c r="Q3" s="39" t="str">
        <f>LookupTab!T$40</f>
        <v>FY22</v>
      </c>
      <c r="R3" s="39" t="str">
        <f>LookupTab!U$40</f>
        <v>FY23</v>
      </c>
      <c r="S3" s="39" t="str">
        <f>LookupTab!V$40</f>
        <v>FY24</v>
      </c>
      <c r="T3" s="39" t="str">
        <f>LookupTab!W$40</f>
        <v>FY25</v>
      </c>
      <c r="U3" s="39" t="str">
        <f>LookupTab!X$40</f>
        <v>FY26</v>
      </c>
      <c r="V3" s="39" t="str">
        <f>LookupTab!Y$40</f>
        <v>FY27</v>
      </c>
      <c r="W3" s="39" t="str">
        <f>LookupTab!Z$40</f>
        <v>FY28</v>
      </c>
      <c r="X3" s="39" t="str">
        <f>LookupTab!AA$40</f>
        <v>FY29</v>
      </c>
    </row>
    <row r="4" spans="1:24" ht="15" x14ac:dyDescent="0.2">
      <c r="B4" s="29" t="str">
        <f>ToC!$B$1</f>
        <v>Table of contents</v>
      </c>
      <c r="E4" s="48" t="s">
        <v>2</v>
      </c>
      <c r="F4" s="48" t="s">
        <v>3</v>
      </c>
      <c r="G4" s="48" t="s">
        <v>4</v>
      </c>
      <c r="H4" s="48" t="s">
        <v>1</v>
      </c>
      <c r="J4" s="41" t="str">
        <f>LookupTab!M$41</f>
        <v>Previous Period</v>
      </c>
      <c r="K4" s="41"/>
      <c r="L4" s="41"/>
      <c r="M4" s="41"/>
      <c r="N4" s="41"/>
      <c r="O4" s="42" t="str">
        <f>LookupTab!R$41</f>
        <v>Current Period</v>
      </c>
      <c r="P4" s="42"/>
      <c r="Q4" s="42"/>
      <c r="R4" s="42"/>
      <c r="S4" s="42"/>
      <c r="T4" s="43" t="str">
        <f>LookupTab!W$41</f>
        <v>Next Period</v>
      </c>
      <c r="U4" s="43"/>
      <c r="V4" s="43"/>
      <c r="W4" s="43"/>
      <c r="X4" s="43"/>
    </row>
    <row r="6" spans="1:24" s="6" customFormat="1" ht="18.75" x14ac:dyDescent="0.2">
      <c r="B6" s="6" t="s">
        <v>570</v>
      </c>
    </row>
    <row r="8" spans="1:24" x14ac:dyDescent="0.2">
      <c r="D8" s="60" t="s">
        <v>56</v>
      </c>
      <c r="E8" s="61" t="str">
        <f>Capex!E$4</f>
        <v>Unit</v>
      </c>
      <c r="F8" s="61" t="str">
        <f>Capex!F$4</f>
        <v>Basis</v>
      </c>
      <c r="G8" s="61" t="str">
        <f>Capex!G$4</f>
        <v>Timing</v>
      </c>
      <c r="H8" s="61" t="s">
        <v>84</v>
      </c>
      <c r="I8" s="60"/>
      <c r="J8" s="62" t="str">
        <f>J$3</f>
        <v>FY15</v>
      </c>
      <c r="K8" s="62" t="str">
        <f t="shared" ref="K8:X8" si="0">K$3</f>
        <v>FY16</v>
      </c>
      <c r="L8" s="62" t="str">
        <f t="shared" si="0"/>
        <v>FY17</v>
      </c>
      <c r="M8" s="62" t="str">
        <f t="shared" si="0"/>
        <v>FY18</v>
      </c>
      <c r="N8" s="62" t="str">
        <f t="shared" si="0"/>
        <v>FY19</v>
      </c>
      <c r="O8" s="62" t="str">
        <f t="shared" si="0"/>
        <v>FY20</v>
      </c>
      <c r="P8" s="62" t="str">
        <f t="shared" si="0"/>
        <v>FY21</v>
      </c>
      <c r="Q8" s="62" t="str">
        <f t="shared" si="0"/>
        <v>FY22</v>
      </c>
      <c r="R8" s="62" t="str">
        <f t="shared" si="0"/>
        <v>FY23</v>
      </c>
      <c r="S8" s="62" t="str">
        <f t="shared" si="0"/>
        <v>FY24</v>
      </c>
      <c r="T8" s="62" t="str">
        <f t="shared" si="0"/>
        <v>FY25</v>
      </c>
      <c r="U8" s="62" t="str">
        <f t="shared" si="0"/>
        <v>FY26</v>
      </c>
      <c r="V8" s="62" t="str">
        <f t="shared" si="0"/>
        <v>FY27</v>
      </c>
      <c r="W8" s="62" t="str">
        <f t="shared" si="0"/>
        <v>FY28</v>
      </c>
      <c r="X8" s="62" t="str">
        <f t="shared" si="0"/>
        <v>FY29</v>
      </c>
    </row>
    <row r="10" spans="1:24" x14ac:dyDescent="0.2">
      <c r="D10" s="63" t="str">
        <f>Input_Operating!D16</f>
        <v>Applied Customer numbers</v>
      </c>
      <c r="E10" s="39" t="str">
        <f>Input_Operating!E16</f>
        <v>Number</v>
      </c>
      <c r="F10" s="39" t="str">
        <f>Input_Operating!F16</f>
        <v>N/A</v>
      </c>
      <c r="G10" s="39" t="str">
        <f>Input_Operating!G16</f>
        <v>N/A</v>
      </c>
      <c r="H10" s="39" t="s">
        <v>184</v>
      </c>
      <c r="J10" s="28">
        <f>Input_Operating!J16</f>
        <v>82646</v>
      </c>
      <c r="K10" s="28">
        <f>Input_Operating!K16</f>
        <v>84201</v>
      </c>
      <c r="L10" s="28">
        <f>Input_Operating!L16</f>
        <v>85710</v>
      </c>
      <c r="M10" s="28">
        <f>Input_Operating!M16</f>
        <v>85276</v>
      </c>
      <c r="N10" s="28">
        <f>Input_Operating!N16</f>
        <v>85743</v>
      </c>
      <c r="O10" s="28">
        <f>Input_Operating!O16</f>
        <v>86263</v>
      </c>
      <c r="P10" s="28">
        <f>Input_Operating!P16</f>
        <v>83236</v>
      </c>
      <c r="Q10" s="28">
        <f>Input_Operating!Q16</f>
        <v>84065</v>
      </c>
      <c r="R10" s="28">
        <f>Input_Operating!R16</f>
        <v>85906</v>
      </c>
      <c r="S10" s="28">
        <f>Input_Operating!S16</f>
        <v>86516.01146704983</v>
      </c>
      <c r="T10" s="28">
        <f>Input_Operating!T16</f>
        <v>86481.144838590568</v>
      </c>
      <c r="U10" s="28">
        <f>Input_Operating!U16</f>
        <v>86769.958614888892</v>
      </c>
      <c r="V10" s="28">
        <f>Input_Operating!V16</f>
        <v>87060.543851075097</v>
      </c>
      <c r="W10" s="28">
        <f>Input_Operating!W16</f>
        <v>87350.879635657082</v>
      </c>
      <c r="X10" s="28">
        <f>Input_Operating!X16</f>
        <v>87642.97975897076</v>
      </c>
    </row>
    <row r="11" spans="1:24" x14ac:dyDescent="0.2">
      <c r="D11" s="63" t="str">
        <f>Input_Operating!D36</f>
        <v>Applied Circuit length (Overhead and underground)</v>
      </c>
      <c r="E11" s="39" t="str">
        <f>Input_Operating!E36</f>
        <v>Km</v>
      </c>
      <c r="F11" s="39" t="str">
        <f>Input_Operating!F36</f>
        <v>N/A</v>
      </c>
      <c r="G11" s="39" t="str">
        <f>Input_Operating!G36</f>
        <v>N/A</v>
      </c>
      <c r="H11" s="39" t="str">
        <f>H10</f>
        <v>Input_Operating</v>
      </c>
      <c r="J11" s="28">
        <f>Input_Operating!J36</f>
        <v>6845.0452486310824</v>
      </c>
      <c r="K11" s="28">
        <f>Input_Operating!K36</f>
        <v>6944.8262185339436</v>
      </c>
      <c r="L11" s="28">
        <f>Input_Operating!L36</f>
        <v>7014.7993669631696</v>
      </c>
      <c r="M11" s="28">
        <f>Input_Operating!M36</f>
        <v>7049</v>
      </c>
      <c r="N11" s="28">
        <f>Input_Operating!N36</f>
        <v>7103.2629147000007</v>
      </c>
      <c r="O11" s="28">
        <f>Input_Operating!O36</f>
        <v>6991.0996945000006</v>
      </c>
      <c r="P11" s="28">
        <f>Input_Operating!P36</f>
        <v>6996.9542096000005</v>
      </c>
      <c r="Q11" s="28">
        <f>Input_Operating!Q36</f>
        <v>7032.1142555000006</v>
      </c>
      <c r="R11" s="28">
        <f>Input_Operating!R36</f>
        <v>7092.617570800001</v>
      </c>
      <c r="S11" s="28">
        <f>Input_Operating!S36</f>
        <v>7139.5268708344593</v>
      </c>
      <c r="T11" s="28">
        <f>Input_Operating!T36</f>
        <v>7163.6262940785036</v>
      </c>
      <c r="U11" s="28">
        <f>Input_Operating!U36</f>
        <v>7180.0733958747069</v>
      </c>
      <c r="V11" s="28">
        <f>Input_Operating!V36</f>
        <v>7199.1970917265671</v>
      </c>
      <c r="W11" s="28">
        <f>Input_Operating!W36</f>
        <v>7214.2085793021124</v>
      </c>
      <c r="X11" s="28">
        <f>Input_Operating!X36</f>
        <v>7228.2952305361441</v>
      </c>
    </row>
    <row r="12" spans="1:24" x14ac:dyDescent="0.2">
      <c r="D12" s="63" t="str">
        <f>Input_Operating!D48</f>
        <v>Applied Maximum demand</v>
      </c>
      <c r="E12" s="39" t="str">
        <f>Input_Operating!E48</f>
        <v>MW</v>
      </c>
      <c r="F12" s="39" t="str">
        <f>Input_Operating!F48</f>
        <v>N/A</v>
      </c>
      <c r="G12" s="39" t="str">
        <f>Input_Operating!G48</f>
        <v>N/A</v>
      </c>
      <c r="H12" s="39" t="str">
        <f>H11</f>
        <v>Input_Operating</v>
      </c>
      <c r="J12" s="28">
        <f>Input_Operating!J50</f>
        <v>348.89</v>
      </c>
      <c r="K12" s="28">
        <f>Input_Operating!K50</f>
        <v>501.5</v>
      </c>
      <c r="L12" s="28">
        <f>Input_Operating!L50</f>
        <v>501.5</v>
      </c>
      <c r="M12" s="28">
        <f>Input_Operating!M50</f>
        <v>501.5</v>
      </c>
      <c r="N12" s="28">
        <f>Input_Operating!N50</f>
        <v>501.5</v>
      </c>
      <c r="O12" s="28">
        <f>Input_Operating!O50</f>
        <v>501.5</v>
      </c>
      <c r="P12" s="28">
        <f>Input_Operating!P50</f>
        <v>501.5</v>
      </c>
      <c r="Q12" s="28">
        <f>Input_Operating!Q50</f>
        <v>501.5</v>
      </c>
      <c r="R12" s="28">
        <f>Input_Operating!R50</f>
        <v>501.5</v>
      </c>
      <c r="S12" s="28">
        <f>Input_Operating!S50</f>
        <v>501.5</v>
      </c>
      <c r="T12" s="28">
        <f>Input_Operating!T50</f>
        <v>501.5</v>
      </c>
      <c r="U12" s="28">
        <f>Input_Operating!U50</f>
        <v>501.5</v>
      </c>
      <c r="V12" s="28">
        <f>Input_Operating!V50</f>
        <v>501.5</v>
      </c>
      <c r="W12" s="28">
        <f>Input_Operating!W50</f>
        <v>501.5</v>
      </c>
      <c r="X12" s="28">
        <f>Input_Operating!X50</f>
        <v>501.5</v>
      </c>
    </row>
    <row r="13" spans="1:24" x14ac:dyDescent="0.2">
      <c r="D13" s="63" t="str">
        <f>Input_Operating!D70</f>
        <v>Applied Energy throughput</v>
      </c>
      <c r="E13" s="39" t="str">
        <f>Input_Operating!E70</f>
        <v>GWh</v>
      </c>
      <c r="F13" s="39" t="str">
        <f>Input_Operating!F70</f>
        <v>N/A</v>
      </c>
      <c r="G13" s="39" t="str">
        <f>Input_Operating!G70</f>
        <v>N/A</v>
      </c>
      <c r="H13" s="39" t="str">
        <f>H12</f>
        <v>Input_Operating</v>
      </c>
      <c r="J13" s="28">
        <f>Input_Operating!J70</f>
        <v>1750.9817492680004</v>
      </c>
      <c r="K13" s="28">
        <f>Input_Operating!K70</f>
        <v>1812.1782020339995</v>
      </c>
      <c r="L13" s="28">
        <f>Input_Operating!L70</f>
        <v>1779.5014095849997</v>
      </c>
      <c r="M13" s="28">
        <f>Input_Operating!M70</f>
        <v>1730.478285572</v>
      </c>
      <c r="N13" s="28">
        <f>Input_Operating!N70</f>
        <v>1718</v>
      </c>
      <c r="O13" s="28">
        <f>Input_Operating!O70</f>
        <v>1666.57</v>
      </c>
      <c r="P13" s="28">
        <f>Input_Operating!P70</f>
        <v>1645.93</v>
      </c>
      <c r="Q13" s="28">
        <f>Input_Operating!Q70</f>
        <v>1727.68</v>
      </c>
      <c r="R13" s="28">
        <f>Input_Operating!R70</f>
        <v>1647.95</v>
      </c>
      <c r="S13" s="28">
        <f>Input_Operating!S70</f>
        <v>1709.2812106724716</v>
      </c>
      <c r="T13" s="28">
        <f>Input_Operating!T70</f>
        <v>1719.7897894065354</v>
      </c>
      <c r="U13" s="28">
        <f>Input_Operating!U70</f>
        <v>1731.8417150906014</v>
      </c>
      <c r="V13" s="28">
        <f>Input_Operating!V70</f>
        <v>1736.6708675321449</v>
      </c>
      <c r="W13" s="28">
        <f>Input_Operating!W70</f>
        <v>1736.0965329815322</v>
      </c>
      <c r="X13" s="28">
        <f>Input_Operating!X70</f>
        <v>1740.8860716850572</v>
      </c>
    </row>
    <row r="15" spans="1:24" s="6" customFormat="1" ht="18.75" x14ac:dyDescent="0.2">
      <c r="B15" s="6" t="s">
        <v>571</v>
      </c>
    </row>
    <row r="17" spans="2:24" x14ac:dyDescent="0.2">
      <c r="D17" s="60" t="s">
        <v>56</v>
      </c>
      <c r="E17" s="61" t="str">
        <f>Capex!E$4</f>
        <v>Unit</v>
      </c>
      <c r="F17" s="61" t="str">
        <f>Capex!F$4</f>
        <v>Basis</v>
      </c>
      <c r="G17" s="61" t="str">
        <f>Capex!G$4</f>
        <v>Timing</v>
      </c>
      <c r="H17" s="61" t="s">
        <v>84</v>
      </c>
      <c r="I17" s="60"/>
      <c r="J17" s="62" t="str">
        <f>J$3</f>
        <v>FY15</v>
      </c>
      <c r="K17" s="62" t="str">
        <f t="shared" ref="K17:X17" si="1">K$3</f>
        <v>FY16</v>
      </c>
      <c r="L17" s="62" t="str">
        <f t="shared" si="1"/>
        <v>FY17</v>
      </c>
      <c r="M17" s="62" t="str">
        <f t="shared" si="1"/>
        <v>FY18</v>
      </c>
      <c r="N17" s="62" t="str">
        <f t="shared" si="1"/>
        <v>FY19</v>
      </c>
      <c r="O17" s="62" t="str">
        <f t="shared" si="1"/>
        <v>FY20</v>
      </c>
      <c r="P17" s="62" t="str">
        <f t="shared" si="1"/>
        <v>FY21</v>
      </c>
      <c r="Q17" s="62" t="str">
        <f t="shared" si="1"/>
        <v>FY22</v>
      </c>
      <c r="R17" s="62" t="str">
        <f t="shared" si="1"/>
        <v>FY23</v>
      </c>
      <c r="S17" s="62" t="str">
        <f t="shared" si="1"/>
        <v>FY24</v>
      </c>
      <c r="T17" s="62" t="str">
        <f t="shared" si="1"/>
        <v>FY25</v>
      </c>
      <c r="U17" s="62" t="str">
        <f t="shared" si="1"/>
        <v>FY26</v>
      </c>
      <c r="V17" s="62" t="str">
        <f t="shared" si="1"/>
        <v>FY27</v>
      </c>
      <c r="W17" s="62" t="str">
        <f t="shared" si="1"/>
        <v>FY28</v>
      </c>
      <c r="X17" s="62" t="str">
        <f t="shared" si="1"/>
        <v>FY29</v>
      </c>
    </row>
    <row r="18" spans="2:24" x14ac:dyDescent="0.2"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2:24" x14ac:dyDescent="0.2">
      <c r="D19" s="37" t="str">
        <f>Input_Operating!D117</f>
        <v>1 Phase meters (including Prepayment)</v>
      </c>
      <c r="E19" s="39" t="str">
        <f>Input_Operating!E117</f>
        <v>Number</v>
      </c>
      <c r="F19" s="39" t="str">
        <f>Input_Operating!F117</f>
        <v>N/A</v>
      </c>
      <c r="G19" s="39" t="str">
        <f>Input_Operating!G117</f>
        <v>N/A</v>
      </c>
      <c r="H19" s="39" t="s">
        <v>184</v>
      </c>
      <c r="J19" s="28">
        <f>Input_Operating!J117</f>
        <v>0</v>
      </c>
      <c r="K19" s="28">
        <f>Input_Operating!K117</f>
        <v>0</v>
      </c>
      <c r="L19" s="28">
        <f>Input_Operating!L117</f>
        <v>0</v>
      </c>
      <c r="M19" s="28">
        <f>Input_Operating!M117</f>
        <v>0</v>
      </c>
      <c r="N19" s="28">
        <f>Input_Operating!N117</f>
        <v>0</v>
      </c>
      <c r="O19" s="28">
        <f>Input_Operating!O117</f>
        <v>0</v>
      </c>
      <c r="P19" s="28">
        <f>Input_Operating!P117</f>
        <v>0</v>
      </c>
      <c r="Q19" s="28">
        <f>Input_Operating!Q117</f>
        <v>67941</v>
      </c>
      <c r="R19" s="28">
        <f>Input_Operating!R117</f>
        <v>68294</v>
      </c>
      <c r="S19" s="28">
        <f>Input_Operating!S117</f>
        <v>68825.636346324434</v>
      </c>
      <c r="T19" s="28">
        <f>Input_Operating!T117</f>
        <v>69357.272692648854</v>
      </c>
      <c r="U19" s="28">
        <f>Input_Operating!U117</f>
        <v>69888.909038973419</v>
      </c>
      <c r="V19" s="28">
        <f>Input_Operating!V117</f>
        <v>70420.545385297853</v>
      </c>
      <c r="W19" s="28">
        <f>Input_Operating!W117</f>
        <v>70952.181731622288</v>
      </c>
      <c r="X19" s="28">
        <f>Input_Operating!X117</f>
        <v>71483.818077946722</v>
      </c>
    </row>
    <row r="20" spans="2:24" x14ac:dyDescent="0.2">
      <c r="D20" s="37" t="str">
        <f>Input_Operating!D118</f>
        <v>3 Phase meters</v>
      </c>
      <c r="E20" s="39" t="str">
        <f>Input_Operating!E118</f>
        <v>Number</v>
      </c>
      <c r="F20" s="39" t="str">
        <f>Input_Operating!F118</f>
        <v>N/A</v>
      </c>
      <c r="G20" s="39" t="str">
        <f>Input_Operating!G118</f>
        <v>N/A</v>
      </c>
      <c r="H20" s="39" t="str">
        <f>H19</f>
        <v>Input_Operating</v>
      </c>
      <c r="J20" s="28">
        <f>Input_Operating!J118</f>
        <v>0</v>
      </c>
      <c r="K20" s="28">
        <f>Input_Operating!K118</f>
        <v>0</v>
      </c>
      <c r="L20" s="28">
        <f>Input_Operating!L118</f>
        <v>0</v>
      </c>
      <c r="M20" s="28">
        <f>Input_Operating!M118</f>
        <v>0</v>
      </c>
      <c r="N20" s="28">
        <f>Input_Operating!N118</f>
        <v>0</v>
      </c>
      <c r="O20" s="28">
        <f>Input_Operating!O118</f>
        <v>0</v>
      </c>
      <c r="P20" s="28">
        <f>Input_Operating!P118</f>
        <v>0</v>
      </c>
      <c r="Q20" s="28">
        <f>Input_Operating!Q118</f>
        <v>17234</v>
      </c>
      <c r="R20" s="28">
        <f>Input_Operating!R118</f>
        <v>17425</v>
      </c>
      <c r="S20" s="28">
        <f>Input_Operating!S118</f>
        <v>17542.192259643052</v>
      </c>
      <c r="T20" s="28">
        <f>Input_Operating!T118</f>
        <v>17659.737615549875</v>
      </c>
      <c r="U20" s="28">
        <f>Input_Operating!U118</f>
        <v>17777.645480997468</v>
      </c>
      <c r="V20" s="28">
        <f>Input_Operating!V118</f>
        <v>17895.925524091646</v>
      </c>
      <c r="W20" s="28">
        <f>Input_Operating!W118</f>
        <v>18014.587674753137</v>
      </c>
      <c r="X20" s="28">
        <f>Input_Operating!X118</f>
        <v>18133.642131896824</v>
      </c>
    </row>
    <row r="21" spans="2:24" x14ac:dyDescent="0.2">
      <c r="D21" s="37" t="str">
        <f>Input_Operating!D119</f>
        <v>LV CT</v>
      </c>
      <c r="E21" s="39" t="str">
        <f>Input_Operating!E119</f>
        <v>Number</v>
      </c>
      <c r="F21" s="39" t="str">
        <f>Input_Operating!F119</f>
        <v>N/A</v>
      </c>
      <c r="G21" s="39" t="str">
        <f>Input_Operating!G119</f>
        <v>N/A</v>
      </c>
      <c r="H21" s="39" t="str">
        <f>H20</f>
        <v>Input_Operating</v>
      </c>
      <c r="J21" s="28">
        <f>Input_Operating!J119</f>
        <v>0</v>
      </c>
      <c r="K21" s="28">
        <f>Input_Operating!K119</f>
        <v>0</v>
      </c>
      <c r="L21" s="28">
        <f>Input_Operating!L119</f>
        <v>0</v>
      </c>
      <c r="M21" s="28">
        <f>Input_Operating!M119</f>
        <v>0</v>
      </c>
      <c r="N21" s="28">
        <f>Input_Operating!N119</f>
        <v>0</v>
      </c>
      <c r="O21" s="28">
        <f>Input_Operating!O119</f>
        <v>0</v>
      </c>
      <c r="P21" s="28">
        <f>Input_Operating!P119</f>
        <v>0</v>
      </c>
      <c r="Q21" s="28">
        <f>Input_Operating!Q119</f>
        <v>2256</v>
      </c>
      <c r="R21" s="28">
        <f>Input_Operating!R119</f>
        <v>2301</v>
      </c>
      <c r="S21" s="28">
        <f>Input_Operating!S119</f>
        <v>2316.4754312446867</v>
      </c>
      <c r="T21" s="28">
        <f>Input_Operating!T119</f>
        <v>2331.9974894335878</v>
      </c>
      <c r="U21" s="28">
        <f>Input_Operating!U119</f>
        <v>2347.5674176054622</v>
      </c>
      <c r="V21" s="28">
        <f>Input_Operating!V119</f>
        <v>2363.1864924496344</v>
      </c>
      <c r="W21" s="28">
        <f>Input_Operating!W119</f>
        <v>2378.8560252285206</v>
      </c>
      <c r="X21" s="28">
        <f>Input_Operating!X119</f>
        <v>2394.5773627256581</v>
      </c>
    </row>
    <row r="22" spans="2:24" x14ac:dyDescent="0.2">
      <c r="D22" s="37" t="str">
        <f>Input_Operating!D120</f>
        <v>HV</v>
      </c>
      <c r="E22" s="39" t="str">
        <f>Input_Operating!E120</f>
        <v>Number</v>
      </c>
      <c r="F22" s="39" t="str">
        <f>Input_Operating!F120</f>
        <v>N/A</v>
      </c>
      <c r="G22" s="39" t="str">
        <f>Input_Operating!G120</f>
        <v>N/A</v>
      </c>
      <c r="H22" s="39" t="str">
        <f>H21</f>
        <v>Input_Operating</v>
      </c>
      <c r="J22" s="28">
        <f>Input_Operating!J120</f>
        <v>0</v>
      </c>
      <c r="K22" s="28">
        <f>Input_Operating!K120</f>
        <v>0</v>
      </c>
      <c r="L22" s="28">
        <f>Input_Operating!L120</f>
        <v>0</v>
      </c>
      <c r="M22" s="28">
        <f>Input_Operating!M120</f>
        <v>0</v>
      </c>
      <c r="N22" s="28">
        <f>Input_Operating!N120</f>
        <v>0</v>
      </c>
      <c r="O22" s="28">
        <f>Input_Operating!O120</f>
        <v>0</v>
      </c>
      <c r="P22" s="28">
        <f>Input_Operating!P120</f>
        <v>0</v>
      </c>
      <c r="Q22" s="28">
        <f>Input_Operating!Q120</f>
        <v>124</v>
      </c>
      <c r="R22" s="28">
        <f>Input_Operating!R120</f>
        <v>137</v>
      </c>
      <c r="S22" s="28">
        <f>Input_Operating!S120</f>
        <v>137.9179</v>
      </c>
      <c r="T22" s="28">
        <f>Input_Operating!T120</f>
        <v>138.84194993</v>
      </c>
      <c r="U22" s="28">
        <f>Input_Operating!U120</f>
        <v>139.772190994531</v>
      </c>
      <c r="V22" s="28">
        <f>Input_Operating!V120</f>
        <v>140.70866467419435</v>
      </c>
      <c r="W22" s="28">
        <f>Input_Operating!W120</f>
        <v>141.63734186104404</v>
      </c>
      <c r="X22" s="28">
        <f>Input_Operating!X120</f>
        <v>142.57214831732691</v>
      </c>
    </row>
    <row r="24" spans="2:24" x14ac:dyDescent="0.2">
      <c r="D24" s="115" t="str">
        <f>Input_Operating!D122</f>
        <v>Total meter volumes (NMIs)</v>
      </c>
      <c r="E24" s="116" t="str">
        <f>Input_Operating!E122</f>
        <v>Number</v>
      </c>
      <c r="F24" s="116" t="str">
        <f>Input_Operating!F122</f>
        <v>N/A</v>
      </c>
      <c r="G24" s="116" t="str">
        <f>Input_Operating!G122</f>
        <v>N/A</v>
      </c>
      <c r="H24" s="116" t="str">
        <f>Input_Operating!H122</f>
        <v>Calculated</v>
      </c>
      <c r="I24" s="69"/>
      <c r="J24" s="120">
        <f t="shared" ref="J24:X24" si="2">SUM(J19:J22)</f>
        <v>0</v>
      </c>
      <c r="K24" s="120">
        <f t="shared" si="2"/>
        <v>0</v>
      </c>
      <c r="L24" s="120">
        <f t="shared" si="2"/>
        <v>0</v>
      </c>
      <c r="M24" s="120">
        <f t="shared" si="2"/>
        <v>0</v>
      </c>
      <c r="N24" s="120">
        <f t="shared" si="2"/>
        <v>0</v>
      </c>
      <c r="O24" s="120">
        <f t="shared" si="2"/>
        <v>0</v>
      </c>
      <c r="P24" s="120">
        <f t="shared" si="2"/>
        <v>0</v>
      </c>
      <c r="Q24" s="120">
        <f t="shared" si="2"/>
        <v>87555</v>
      </c>
      <c r="R24" s="120">
        <f t="shared" si="2"/>
        <v>88157</v>
      </c>
      <c r="S24" s="120">
        <f t="shared" si="2"/>
        <v>88822.221937212176</v>
      </c>
      <c r="T24" s="120">
        <f t="shared" si="2"/>
        <v>89487.84974756233</v>
      </c>
      <c r="U24" s="120">
        <f t="shared" si="2"/>
        <v>90153.894128570872</v>
      </c>
      <c r="V24" s="120">
        <f t="shared" si="2"/>
        <v>90820.366066513321</v>
      </c>
      <c r="W24" s="120">
        <f t="shared" si="2"/>
        <v>91487.262773464987</v>
      </c>
      <c r="X24" s="120">
        <f t="shared" si="2"/>
        <v>92154.609720886525</v>
      </c>
    </row>
    <row r="26" spans="2:24" s="6" customFormat="1" ht="18.75" x14ac:dyDescent="0.2">
      <c r="B26" s="6" t="s">
        <v>43</v>
      </c>
    </row>
  </sheetData>
  <hyperlinks>
    <hyperlink ref="B4" location="ToC!A1" display="ToC!A1" xr:uid="{917399B5-8DB1-4F7E-A009-4C3680A3A320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3748D-051D-464E-92F4-DFC94EC1E0E8}">
  <sheetPr codeName="Sheet29"/>
  <dimension ref="A1:AQ48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x14ac:dyDescent="0.2"/>
  <cols>
    <col min="1" max="3" width="3.7109375" customWidth="1"/>
    <col min="4" max="4" width="20.7109375" customWidth="1"/>
    <col min="8" max="8" width="20.7109375" customWidth="1"/>
    <col min="9" max="9" width="15.7109375" customWidth="1"/>
  </cols>
  <sheetData>
    <row r="1" spans="1:9" ht="23.25" x14ac:dyDescent="0.35">
      <c r="A1" s="52">
        <f>IF(SUM(A5:A48)&lt;&gt;0,1,0)</f>
        <v>0</v>
      </c>
      <c r="B1" s="7" t="s">
        <v>566</v>
      </c>
    </row>
    <row r="2" spans="1:9" ht="15" x14ac:dyDescent="0.2">
      <c r="B2" s="34" t="str">
        <f>Model_Name</f>
        <v>Power and Water - Revised Proposal - Tables and Charts</v>
      </c>
    </row>
    <row r="3" spans="1:9" x14ac:dyDescent="0.2">
      <c r="B3" s="37" t="str">
        <f>"Model Checks:"&amp;IF($E$21=0," OK"," Check")</f>
        <v>Model Checks: OK</v>
      </c>
    </row>
    <row r="4" spans="1:9" x14ac:dyDescent="0.2">
      <c r="B4" s="29" t="str">
        <f>ToC!$B$1</f>
        <v>Table of contents</v>
      </c>
    </row>
    <row r="6" spans="1:9" s="6" customFormat="1" ht="18.75" x14ac:dyDescent="0.2">
      <c r="B6" s="6" t="str">
        <f>B1</f>
        <v>Lookup tables</v>
      </c>
    </row>
    <row r="8" spans="1:9" ht="15" x14ac:dyDescent="0.2">
      <c r="C8" s="34" t="s">
        <v>20</v>
      </c>
    </row>
    <row r="9" spans="1:9" x14ac:dyDescent="0.2">
      <c r="D9" s="9" t="s">
        <v>21</v>
      </c>
      <c r="H9" s="31">
        <v>2021</v>
      </c>
      <c r="I9" s="91" t="s">
        <v>27</v>
      </c>
    </row>
    <row r="11" spans="1:9" ht="15" x14ac:dyDescent="0.2">
      <c r="C11" s="34" t="s">
        <v>567</v>
      </c>
    </row>
    <row r="12" spans="1:9" x14ac:dyDescent="0.2">
      <c r="D12" s="9" t="s">
        <v>9</v>
      </c>
      <c r="H12" s="31" t="s">
        <v>9</v>
      </c>
      <c r="I12" s="91" t="s">
        <v>9</v>
      </c>
    </row>
    <row r="13" spans="1:9" x14ac:dyDescent="0.2">
      <c r="D13" s="9" t="s">
        <v>57</v>
      </c>
      <c r="H13" s="31" t="s">
        <v>101</v>
      </c>
      <c r="I13" s="91" t="s">
        <v>58</v>
      </c>
    </row>
    <row r="14" spans="1:9" x14ac:dyDescent="0.2">
      <c r="D14" s="9" t="s">
        <v>15</v>
      </c>
      <c r="H14" s="32">
        <v>12</v>
      </c>
      <c r="I14" s="91" t="s">
        <v>24</v>
      </c>
    </row>
    <row r="15" spans="1:9" x14ac:dyDescent="0.2">
      <c r="D15" s="9" t="s">
        <v>16</v>
      </c>
      <c r="H15" s="32">
        <v>1000000</v>
      </c>
      <c r="I15" s="91" t="s">
        <v>16</v>
      </c>
    </row>
    <row r="16" spans="1:9" x14ac:dyDescent="0.2">
      <c r="D16" s="9" t="s">
        <v>23</v>
      </c>
      <c r="H16" s="32">
        <v>2</v>
      </c>
      <c r="I16" s="91" t="s">
        <v>25</v>
      </c>
    </row>
    <row r="17" spans="3:9" x14ac:dyDescent="0.2">
      <c r="D17" s="9" t="s">
        <v>31</v>
      </c>
      <c r="H17" s="31" t="s">
        <v>6</v>
      </c>
      <c r="I17" s="91" t="s">
        <v>32</v>
      </c>
    </row>
    <row r="19" spans="3:9" ht="15" x14ac:dyDescent="0.2">
      <c r="C19" s="34" t="s">
        <v>2</v>
      </c>
    </row>
    <row r="20" spans="3:9" x14ac:dyDescent="0.2">
      <c r="D20" s="9" t="s">
        <v>5</v>
      </c>
      <c r="H20" s="31" t="s">
        <v>5</v>
      </c>
      <c r="I20" s="91" t="s">
        <v>36</v>
      </c>
    </row>
    <row r="21" spans="3:9" x14ac:dyDescent="0.2">
      <c r="D21" s="9" t="s">
        <v>28</v>
      </c>
      <c r="H21" s="31" t="s">
        <v>28</v>
      </c>
      <c r="I21" s="91" t="s">
        <v>35</v>
      </c>
    </row>
    <row r="22" spans="3:9" x14ac:dyDescent="0.2">
      <c r="D22" s="9" t="s">
        <v>29</v>
      </c>
      <c r="H22" s="31" t="s">
        <v>29</v>
      </c>
      <c r="I22" s="91" t="s">
        <v>34</v>
      </c>
    </row>
    <row r="23" spans="3:9" x14ac:dyDescent="0.2">
      <c r="D23" s="9" t="s">
        <v>30</v>
      </c>
      <c r="H23" s="31" t="s">
        <v>30</v>
      </c>
      <c r="I23" s="91" t="s">
        <v>33</v>
      </c>
    </row>
    <row r="24" spans="3:9" x14ac:dyDescent="0.2">
      <c r="D24" s="9" t="s">
        <v>328</v>
      </c>
      <c r="H24" s="31" t="s">
        <v>328</v>
      </c>
      <c r="I24" s="180" t="s">
        <v>328</v>
      </c>
    </row>
    <row r="26" spans="3:9" ht="15" x14ac:dyDescent="0.2">
      <c r="C26" s="34" t="s">
        <v>17</v>
      </c>
      <c r="H26" s="36" t="s">
        <v>49</v>
      </c>
    </row>
    <row r="27" spans="3:9" x14ac:dyDescent="0.2">
      <c r="D27" s="9" t="s">
        <v>13</v>
      </c>
      <c r="H27" s="31" t="s">
        <v>13</v>
      </c>
      <c r="I27" s="91" t="s">
        <v>13</v>
      </c>
    </row>
    <row r="28" spans="3:9" x14ac:dyDescent="0.2">
      <c r="D28" s="9" t="s">
        <v>14</v>
      </c>
      <c r="H28" s="31" t="s">
        <v>14</v>
      </c>
      <c r="I28" s="91" t="s">
        <v>14</v>
      </c>
    </row>
    <row r="30" spans="3:9" ht="15" x14ac:dyDescent="0.2">
      <c r="C30" s="34" t="s">
        <v>569</v>
      </c>
      <c r="H30" s="36" t="s">
        <v>50</v>
      </c>
    </row>
    <row r="31" spans="3:9" x14ac:dyDescent="0.2">
      <c r="D31" s="35" t="b">
        <v>1</v>
      </c>
      <c r="H31" s="31" t="b">
        <v>1</v>
      </c>
    </row>
    <row r="32" spans="3:9" x14ac:dyDescent="0.2">
      <c r="D32" s="35" t="b">
        <v>0</v>
      </c>
      <c r="H32" s="31" t="b">
        <v>0</v>
      </c>
    </row>
    <row r="34" spans="2:43" ht="15" x14ac:dyDescent="0.2">
      <c r="C34" s="34" t="s">
        <v>19</v>
      </c>
      <c r="H34" s="11" t="s">
        <v>18</v>
      </c>
      <c r="I34" s="11" t="s">
        <v>12</v>
      </c>
    </row>
    <row r="35" spans="2:43" x14ac:dyDescent="0.2">
      <c r="D35" s="9" t="s">
        <v>10</v>
      </c>
      <c r="H35" s="31" t="s">
        <v>10</v>
      </c>
      <c r="I35" s="33">
        <v>0.5</v>
      </c>
    </row>
    <row r="36" spans="2:43" x14ac:dyDescent="0.2">
      <c r="D36" s="9" t="s">
        <v>11</v>
      </c>
      <c r="H36" s="31" t="s">
        <v>11</v>
      </c>
      <c r="I36" s="33">
        <v>1</v>
      </c>
    </row>
    <row r="38" spans="2:43" ht="15" x14ac:dyDescent="0.2">
      <c r="C38" s="34" t="s">
        <v>568</v>
      </c>
    </row>
    <row r="39" spans="2:43" x14ac:dyDescent="0.2">
      <c r="D39" s="9" t="s">
        <v>22</v>
      </c>
      <c r="I39" s="36" t="s">
        <v>26</v>
      </c>
      <c r="J39" s="12" t="str">
        <f>Nominal</f>
        <v>Nominal</v>
      </c>
      <c r="K39" s="31">
        <v>2013</v>
      </c>
      <c r="L39" s="13">
        <f t="shared" ref="L39:AQ39" si="0">K39+1</f>
        <v>2014</v>
      </c>
      <c r="M39" s="13">
        <f t="shared" si="0"/>
        <v>2015</v>
      </c>
      <c r="N39" s="13">
        <f t="shared" si="0"/>
        <v>2016</v>
      </c>
      <c r="O39" s="13">
        <f t="shared" si="0"/>
        <v>2017</v>
      </c>
      <c r="P39" s="13">
        <f t="shared" si="0"/>
        <v>2018</v>
      </c>
      <c r="Q39" s="13">
        <f t="shared" si="0"/>
        <v>2019</v>
      </c>
      <c r="R39" s="13">
        <f t="shared" si="0"/>
        <v>2020</v>
      </c>
      <c r="S39" s="13">
        <f t="shared" si="0"/>
        <v>2021</v>
      </c>
      <c r="T39" s="13">
        <f t="shared" si="0"/>
        <v>2022</v>
      </c>
      <c r="U39" s="13">
        <f t="shared" si="0"/>
        <v>2023</v>
      </c>
      <c r="V39" s="13">
        <f t="shared" si="0"/>
        <v>2024</v>
      </c>
      <c r="W39" s="13">
        <f t="shared" si="0"/>
        <v>2025</v>
      </c>
      <c r="X39" s="13">
        <f t="shared" si="0"/>
        <v>2026</v>
      </c>
      <c r="Y39" s="13">
        <f t="shared" si="0"/>
        <v>2027</v>
      </c>
      <c r="Z39" s="13">
        <f t="shared" si="0"/>
        <v>2028</v>
      </c>
      <c r="AA39" s="13">
        <f t="shared" si="0"/>
        <v>2029</v>
      </c>
      <c r="AB39" s="13">
        <f t="shared" si="0"/>
        <v>2030</v>
      </c>
      <c r="AC39" s="13">
        <f t="shared" si="0"/>
        <v>2031</v>
      </c>
      <c r="AD39" s="13">
        <f t="shared" si="0"/>
        <v>2032</v>
      </c>
      <c r="AE39" s="13">
        <f t="shared" si="0"/>
        <v>2033</v>
      </c>
      <c r="AF39" s="13">
        <f t="shared" si="0"/>
        <v>2034</v>
      </c>
      <c r="AG39" s="13">
        <f t="shared" si="0"/>
        <v>2035</v>
      </c>
      <c r="AH39" s="13">
        <f t="shared" si="0"/>
        <v>2036</v>
      </c>
      <c r="AI39" s="13">
        <f t="shared" si="0"/>
        <v>2037</v>
      </c>
      <c r="AJ39" s="13">
        <f t="shared" si="0"/>
        <v>2038</v>
      </c>
      <c r="AK39" s="13">
        <f t="shared" si="0"/>
        <v>2039</v>
      </c>
      <c r="AL39" s="13">
        <f t="shared" si="0"/>
        <v>2040</v>
      </c>
      <c r="AM39" s="13">
        <f t="shared" si="0"/>
        <v>2041</v>
      </c>
      <c r="AN39" s="13">
        <f t="shared" si="0"/>
        <v>2042</v>
      </c>
      <c r="AO39" s="13">
        <f t="shared" si="0"/>
        <v>2043</v>
      </c>
      <c r="AP39" s="13">
        <f t="shared" si="0"/>
        <v>2044</v>
      </c>
      <c r="AQ39" s="14">
        <f t="shared" si="0"/>
        <v>2045</v>
      </c>
    </row>
    <row r="40" spans="2:43" x14ac:dyDescent="0.2">
      <c r="D40" s="9" t="s">
        <v>53</v>
      </c>
      <c r="I40" s="15"/>
      <c r="J40" s="15"/>
      <c r="K40" s="39" t="str">
        <f>"FY"&amp;RIGHT(K39,2)</f>
        <v>FY13</v>
      </c>
      <c r="L40" s="39" t="str">
        <f t="shared" ref="L40:AQ40" si="1">"FY"&amp;RIGHT(L39,2)</f>
        <v>FY14</v>
      </c>
      <c r="M40" s="39" t="str">
        <f t="shared" si="1"/>
        <v>FY15</v>
      </c>
      <c r="N40" s="39" t="str">
        <f t="shared" si="1"/>
        <v>FY16</v>
      </c>
      <c r="O40" s="39" t="str">
        <f t="shared" si="1"/>
        <v>FY17</v>
      </c>
      <c r="P40" s="39" t="str">
        <f t="shared" si="1"/>
        <v>FY18</v>
      </c>
      <c r="Q40" s="39" t="str">
        <f t="shared" si="1"/>
        <v>FY19</v>
      </c>
      <c r="R40" s="39" t="str">
        <f t="shared" si="1"/>
        <v>FY20</v>
      </c>
      <c r="S40" s="39" t="str">
        <f t="shared" si="1"/>
        <v>FY21</v>
      </c>
      <c r="T40" s="39" t="str">
        <f t="shared" si="1"/>
        <v>FY22</v>
      </c>
      <c r="U40" s="39" t="str">
        <f t="shared" si="1"/>
        <v>FY23</v>
      </c>
      <c r="V40" s="39" t="str">
        <f t="shared" si="1"/>
        <v>FY24</v>
      </c>
      <c r="W40" s="39" t="str">
        <f t="shared" si="1"/>
        <v>FY25</v>
      </c>
      <c r="X40" s="39" t="str">
        <f t="shared" si="1"/>
        <v>FY26</v>
      </c>
      <c r="Y40" s="39" t="str">
        <f t="shared" si="1"/>
        <v>FY27</v>
      </c>
      <c r="Z40" s="39" t="str">
        <f t="shared" si="1"/>
        <v>FY28</v>
      </c>
      <c r="AA40" s="39" t="str">
        <f t="shared" si="1"/>
        <v>FY29</v>
      </c>
      <c r="AB40" s="39" t="str">
        <f t="shared" si="1"/>
        <v>FY30</v>
      </c>
      <c r="AC40" s="39" t="str">
        <f t="shared" si="1"/>
        <v>FY31</v>
      </c>
      <c r="AD40" s="39" t="str">
        <f t="shared" si="1"/>
        <v>FY32</v>
      </c>
      <c r="AE40" s="39" t="str">
        <f t="shared" si="1"/>
        <v>FY33</v>
      </c>
      <c r="AF40" s="39" t="str">
        <f t="shared" si="1"/>
        <v>FY34</v>
      </c>
      <c r="AG40" s="39" t="str">
        <f t="shared" si="1"/>
        <v>FY35</v>
      </c>
      <c r="AH40" s="39" t="str">
        <f t="shared" si="1"/>
        <v>FY36</v>
      </c>
      <c r="AI40" s="39" t="str">
        <f t="shared" si="1"/>
        <v>FY37</v>
      </c>
      <c r="AJ40" s="39" t="str">
        <f t="shared" si="1"/>
        <v>FY38</v>
      </c>
      <c r="AK40" s="39" t="str">
        <f t="shared" si="1"/>
        <v>FY39</v>
      </c>
      <c r="AL40" s="39" t="str">
        <f t="shared" si="1"/>
        <v>FY40</v>
      </c>
      <c r="AM40" s="39" t="str">
        <f t="shared" si="1"/>
        <v>FY41</v>
      </c>
      <c r="AN40" s="39" t="str">
        <f t="shared" si="1"/>
        <v>FY42</v>
      </c>
      <c r="AO40" s="39" t="str">
        <f t="shared" si="1"/>
        <v>FY43</v>
      </c>
      <c r="AP40" s="39" t="str">
        <f t="shared" si="1"/>
        <v>FY44</v>
      </c>
      <c r="AQ40" s="39" t="str">
        <f t="shared" si="1"/>
        <v>FY45</v>
      </c>
    </row>
    <row r="41" spans="2:43" x14ac:dyDescent="0.2">
      <c r="D41" s="9" t="s">
        <v>95</v>
      </c>
      <c r="I41" s="15"/>
      <c r="J41" s="44"/>
      <c r="K41" s="44"/>
      <c r="L41" s="44"/>
      <c r="M41" s="41" t="s">
        <v>52</v>
      </c>
      <c r="N41" s="41"/>
      <c r="O41" s="41"/>
      <c r="P41" s="41"/>
      <c r="Q41" s="41"/>
      <c r="R41" s="42" t="s">
        <v>54</v>
      </c>
      <c r="S41" s="42"/>
      <c r="T41" s="42"/>
      <c r="U41" s="42"/>
      <c r="V41" s="42"/>
      <c r="W41" s="43" t="s">
        <v>55</v>
      </c>
      <c r="X41" s="43"/>
      <c r="Y41" s="43"/>
      <c r="Z41" s="43"/>
      <c r="AA41" s="43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</row>
    <row r="42" spans="2:43" x14ac:dyDescent="0.2">
      <c r="D42" s="9" t="s">
        <v>96</v>
      </c>
      <c r="I42" s="15"/>
      <c r="J42" s="15"/>
      <c r="K42" s="15"/>
      <c r="L42" s="15"/>
      <c r="M42" s="11" t="s">
        <v>97</v>
      </c>
      <c r="N42" s="11" t="s">
        <v>97</v>
      </c>
      <c r="O42" s="11" t="s">
        <v>97</v>
      </c>
      <c r="P42" s="11" t="s">
        <v>97</v>
      </c>
      <c r="Q42" s="11" t="s">
        <v>97</v>
      </c>
      <c r="R42" s="11" t="s">
        <v>97</v>
      </c>
      <c r="S42" s="11" t="s">
        <v>97</v>
      </c>
      <c r="T42" s="11" t="s">
        <v>97</v>
      </c>
      <c r="U42" s="11" t="s">
        <v>97</v>
      </c>
      <c r="V42" s="11" t="s">
        <v>98</v>
      </c>
      <c r="W42" s="11" t="s">
        <v>99</v>
      </c>
      <c r="X42" s="11" t="s">
        <v>99</v>
      </c>
      <c r="Y42" s="11" t="s">
        <v>99</v>
      </c>
      <c r="Z42" s="11" t="s">
        <v>99</v>
      </c>
      <c r="AA42" s="11" t="s">
        <v>99</v>
      </c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</row>
    <row r="43" spans="2:43" x14ac:dyDescent="0.2">
      <c r="K43" s="39"/>
      <c r="L43" s="39" t="str">
        <f>K39&amp;"/"&amp;RIGHT(L39,2)</f>
        <v>2013/14</v>
      </c>
      <c r="M43" s="39" t="str">
        <f>L39&amp;"/"&amp;RIGHT(M39,2)</f>
        <v>2014/15</v>
      </c>
      <c r="N43" s="39" t="str">
        <f t="shared" ref="N43:AA43" si="2">M39&amp;"/"&amp;RIGHT(N39,2)</f>
        <v>2015/16</v>
      </c>
      <c r="O43" s="39" t="str">
        <f t="shared" si="2"/>
        <v>2016/17</v>
      </c>
      <c r="P43" s="39" t="str">
        <f t="shared" si="2"/>
        <v>2017/18</v>
      </c>
      <c r="Q43" s="39" t="str">
        <f t="shared" si="2"/>
        <v>2018/19</v>
      </c>
      <c r="R43" s="39" t="str">
        <f t="shared" si="2"/>
        <v>2019/20</v>
      </c>
      <c r="S43" s="39" t="str">
        <f t="shared" si="2"/>
        <v>2020/21</v>
      </c>
      <c r="T43" s="39" t="str">
        <f t="shared" si="2"/>
        <v>2021/22</v>
      </c>
      <c r="U43" s="39" t="str">
        <f t="shared" si="2"/>
        <v>2022/23</v>
      </c>
      <c r="V43" s="39" t="str">
        <f t="shared" si="2"/>
        <v>2023/24</v>
      </c>
      <c r="W43" s="39" t="str">
        <f t="shared" si="2"/>
        <v>2024/25</v>
      </c>
      <c r="X43" s="39" t="str">
        <f t="shared" si="2"/>
        <v>2025/26</v>
      </c>
      <c r="Y43" s="39" t="str">
        <f t="shared" si="2"/>
        <v>2026/27</v>
      </c>
      <c r="Z43" s="39" t="str">
        <f t="shared" si="2"/>
        <v>2027/28</v>
      </c>
      <c r="AA43" s="39" t="str">
        <f t="shared" si="2"/>
        <v>2028/29</v>
      </c>
    </row>
    <row r="44" spans="2:43" ht="15" x14ac:dyDescent="0.2">
      <c r="C44" s="34" t="s">
        <v>255</v>
      </c>
      <c r="H44" s="36"/>
    </row>
    <row r="45" spans="2:43" x14ac:dyDescent="0.2">
      <c r="D45" s="9" t="s">
        <v>256</v>
      </c>
      <c r="H45" s="31" t="s">
        <v>1602</v>
      </c>
      <c r="I45" s="91"/>
    </row>
    <row r="46" spans="2:43" x14ac:dyDescent="0.2">
      <c r="D46" s="9" t="s">
        <v>257</v>
      </c>
      <c r="H46" s="31" t="s">
        <v>1603</v>
      </c>
      <c r="I46" s="91"/>
    </row>
    <row r="48" spans="2:43" s="6" customFormat="1" ht="18.75" x14ac:dyDescent="0.2">
      <c r="B48" s="6" t="s">
        <v>43</v>
      </c>
    </row>
  </sheetData>
  <hyperlinks>
    <hyperlink ref="B4" location="ToC!A1" display="ToC!A1" xr:uid="{D67F815F-4304-447F-8707-62B783ADBBC5}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45547-FB82-4D37-ACE1-6596241F5EA5}">
  <sheetPr codeName="Sheet30"/>
  <dimension ref="B1:E42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2.75" x14ac:dyDescent="0.2"/>
  <cols>
    <col min="1" max="2" width="3.7109375" customWidth="1"/>
    <col min="3" max="3" width="4.7109375" customWidth="1"/>
    <col min="4" max="4" width="50.7109375" customWidth="1"/>
  </cols>
  <sheetData>
    <row r="1" spans="2:5" ht="23.25" x14ac:dyDescent="0.35">
      <c r="B1" s="16" t="s">
        <v>51</v>
      </c>
    </row>
    <row r="2" spans="2:5" ht="15" x14ac:dyDescent="0.2">
      <c r="B2" s="34" t="str">
        <f>Model_Name</f>
        <v>Power and Water - Revised Proposal - Tables and Charts</v>
      </c>
    </row>
    <row r="3" spans="2:5" x14ac:dyDescent="0.2">
      <c r="B3" s="37" t="str">
        <f>"Model Checks:"&amp;IF($E$40=0," OK"," Check")</f>
        <v>Model Checks: OK</v>
      </c>
    </row>
    <row r="4" spans="2:5" x14ac:dyDescent="0.2">
      <c r="B4" s="29" t="str">
        <f>ToC!$B$1</f>
        <v>Table of contents</v>
      </c>
    </row>
    <row r="6" spans="2:5" s="6" customFormat="1" ht="18.75" x14ac:dyDescent="0.2">
      <c r="B6" s="6" t="s">
        <v>564</v>
      </c>
    </row>
    <row r="8" spans="2:5" x14ac:dyDescent="0.2">
      <c r="C8" s="28">
        <f>ToC!C8</f>
        <v>1</v>
      </c>
      <c r="D8" s="29" t="str">
        <f>Input_General!$B$1</f>
        <v>Inputs: General assumptions and settings</v>
      </c>
      <c r="E8" s="49">
        <f>Input_General!$A$1</f>
        <v>0</v>
      </c>
    </row>
    <row r="9" spans="2:5" x14ac:dyDescent="0.2">
      <c r="C9" s="28">
        <f>ToC!C9</f>
        <v>2</v>
      </c>
      <c r="D9" s="29" t="str">
        <f>Input_CPI!$B$1</f>
        <v>Inputs: Inflation index</v>
      </c>
      <c r="E9" s="49">
        <f>Input_CPI!$A$1</f>
        <v>0</v>
      </c>
    </row>
    <row r="10" spans="2:5" x14ac:dyDescent="0.2">
      <c r="C10" s="28">
        <f>ToC!C10</f>
        <v>3</v>
      </c>
      <c r="D10" s="29" t="str">
        <f>Input_Operating!$B$1</f>
        <v>Inputs: Operating environment</v>
      </c>
      <c r="E10" s="49">
        <f>Input_Operating!$A$1</f>
        <v>0</v>
      </c>
    </row>
    <row r="11" spans="2:5" x14ac:dyDescent="0.2">
      <c r="C11" s="28">
        <f>ToC!C11</f>
        <v>4</v>
      </c>
      <c r="D11" s="29" t="str">
        <f>Input_Revenue!$B$1</f>
        <v>Inputs: Revenue (SCS)</v>
      </c>
      <c r="E11" s="49">
        <f>Input_Revenue!$A$1</f>
        <v>0</v>
      </c>
    </row>
    <row r="12" spans="2:5" x14ac:dyDescent="0.2">
      <c r="C12" s="28">
        <f>ToC!C12</f>
        <v>5</v>
      </c>
      <c r="D12" s="29" t="str">
        <f>Input_Opex!$B$1</f>
        <v>Inputs: Opex (SCS)</v>
      </c>
      <c r="E12" s="49">
        <f>Input_Opex!$A$1</f>
        <v>0</v>
      </c>
    </row>
    <row r="13" spans="2:5" x14ac:dyDescent="0.2">
      <c r="C13" s="28">
        <f>ToC!C13</f>
        <v>6</v>
      </c>
      <c r="D13" s="29" t="str">
        <f>Input_Capex!$B$1</f>
        <v>Inputs: Capex (SCS)</v>
      </c>
      <c r="E13" s="49">
        <f>Input_Capex!$A$1</f>
        <v>0</v>
      </c>
    </row>
    <row r="14" spans="2:5" x14ac:dyDescent="0.2">
      <c r="C14" s="28">
        <f>ToC!C14</f>
        <v>7</v>
      </c>
      <c r="D14" s="29" t="str">
        <f>Input_AMI!$B$1</f>
        <v>Inputs: ACS Metering (AMI)</v>
      </c>
      <c r="E14" s="49">
        <f>Input_AMI!$A$1</f>
        <v>0</v>
      </c>
    </row>
    <row r="15" spans="2:5" x14ac:dyDescent="0.2">
      <c r="C15" s="28">
        <f>ToC!C15</f>
        <v>8</v>
      </c>
      <c r="D15" s="29" t="str">
        <f>Input_ACS!$B$1</f>
        <v>Inputs: Other ACS</v>
      </c>
      <c r="E15" s="49">
        <f>Input_ACS!$A$1</f>
        <v>0</v>
      </c>
    </row>
    <row r="16" spans="2:5" x14ac:dyDescent="0.2">
      <c r="C16" s="28">
        <f>ToC!C16</f>
        <v>9</v>
      </c>
      <c r="D16" s="29" t="str">
        <f>Input_Capex_Projects!$B$1</f>
        <v>Inputs: Capex project list - SCS - Revised Proposal</v>
      </c>
      <c r="E16" s="49">
        <f>Input_Capex_Projects!$A$1</f>
        <v>0</v>
      </c>
    </row>
    <row r="17" spans="3:5" x14ac:dyDescent="0.2">
      <c r="C17" s="28">
        <f>ToC!C17</f>
        <v>10</v>
      </c>
      <c r="D17" s="29" t="str">
        <f>Revenue!$B$1</f>
        <v>Calculations: Revenue - SCS</v>
      </c>
      <c r="E17" s="49">
        <f>Revenue!$A$1</f>
        <v>0</v>
      </c>
    </row>
    <row r="18" spans="3:5" x14ac:dyDescent="0.2">
      <c r="C18" s="28">
        <f>ToC!C18</f>
        <v>11</v>
      </c>
      <c r="D18" s="29" t="str">
        <f>Opex!$B$1</f>
        <v>Calculations: Opex - SCS</v>
      </c>
      <c r="E18" s="49">
        <f>Opex!$A$1</f>
        <v>0</v>
      </c>
    </row>
    <row r="19" spans="3:5" x14ac:dyDescent="0.2">
      <c r="C19" s="28">
        <f>ToC!C19</f>
        <v>12</v>
      </c>
      <c r="D19" s="29" t="str">
        <f>Capex!$B$1</f>
        <v>Calculations: Capex - SCS</v>
      </c>
      <c r="E19" s="49">
        <f>Capex!$A$1</f>
        <v>0</v>
      </c>
    </row>
    <row r="20" spans="3:5" x14ac:dyDescent="0.2">
      <c r="C20" s="28">
        <f>ToC!C20</f>
        <v>13</v>
      </c>
      <c r="D20" s="29" t="str">
        <f>ACS_Metering!$B$1</f>
        <v>Calculations: ACS Metering (AMI)</v>
      </c>
      <c r="E20" s="49">
        <f>ACS_Metering!$A$1</f>
        <v>0</v>
      </c>
    </row>
    <row r="21" spans="3:5" x14ac:dyDescent="0.2">
      <c r="C21" s="28">
        <f>ToC!C21</f>
        <v>14</v>
      </c>
      <c r="D21" s="29" t="str">
        <f>ACS!$B$1</f>
        <v>Calculations: Other ACS</v>
      </c>
      <c r="E21" s="49">
        <f>ACS!$A$1</f>
        <v>0</v>
      </c>
    </row>
    <row r="22" spans="3:5" x14ac:dyDescent="0.2">
      <c r="C22" s="28">
        <f>ToC!C22</f>
        <v>15</v>
      </c>
      <c r="D22" s="29" t="str">
        <f>Front!$B$1</f>
        <v>Revised Proposal - Front sections</v>
      </c>
      <c r="E22" s="49">
        <f>Front!$A$1</f>
        <v>0</v>
      </c>
    </row>
    <row r="23" spans="3:5" x14ac:dyDescent="0.2">
      <c r="C23" s="28">
        <f>ToC!C23</f>
        <v>16</v>
      </c>
      <c r="D23" s="29" t="str">
        <f>Overview!$B$1</f>
        <v>Revised Proposal - Overview of our Revised Proposal</v>
      </c>
      <c r="E23" s="49">
        <f>Overview!$A$1</f>
        <v>0</v>
      </c>
    </row>
    <row r="24" spans="3:5" x14ac:dyDescent="0.2">
      <c r="C24" s="28">
        <f>ToC!C24</f>
        <v>17</v>
      </c>
      <c r="D24" s="29" t="str">
        <f>Summary!$B$1</f>
        <v>Revised Proposal - Summary of responses</v>
      </c>
      <c r="E24" s="49">
        <f>Summary!$A$1</f>
        <v>0</v>
      </c>
    </row>
    <row r="25" spans="3:5" x14ac:dyDescent="0.2">
      <c r="C25" s="28">
        <f>ToC!C25</f>
        <v>18</v>
      </c>
      <c r="D25" s="29" t="str">
        <f>'1'!$B$1</f>
        <v>Revised Proposal - Chapter 1: Customer engagement since the initial regulatory proposal</v>
      </c>
      <c r="E25" s="49">
        <f>'1'!$A$1</f>
        <v>0</v>
      </c>
    </row>
    <row r="26" spans="3:5" x14ac:dyDescent="0.2">
      <c r="C26" s="28">
        <f>ToC!C26</f>
        <v>19</v>
      </c>
      <c r="D26" s="29" t="str">
        <f>'2'!$B$1</f>
        <v>Revised Proposal - Chapter 2: Revenue</v>
      </c>
      <c r="E26" s="49">
        <f>'2'!$A$1</f>
        <v>0</v>
      </c>
    </row>
    <row r="27" spans="3:5" x14ac:dyDescent="0.2">
      <c r="C27" s="28">
        <f>ToC!C27</f>
        <v>20</v>
      </c>
      <c r="D27" s="29" t="str">
        <f>'3'!$B$1</f>
        <v>Revised Proposal - Chapter 3: Capital expenditure</v>
      </c>
      <c r="E27" s="49">
        <f>'3'!$A$1</f>
        <v>0</v>
      </c>
    </row>
    <row r="28" spans="3:5" x14ac:dyDescent="0.2">
      <c r="C28" s="28">
        <f>ToC!C28</f>
        <v>21</v>
      </c>
      <c r="D28" s="29" t="str">
        <f>'4'!$B$1</f>
        <v>Revised Proposal - Chapter 4: Contingent Projects</v>
      </c>
      <c r="E28" s="49">
        <f>'4'!$A$1</f>
        <v>0</v>
      </c>
    </row>
    <row r="29" spans="3:5" x14ac:dyDescent="0.2">
      <c r="C29" s="28">
        <f>ToC!C29</f>
        <v>22</v>
      </c>
      <c r="D29" s="29" t="str">
        <f>'5'!$B$1</f>
        <v>Revised Proposal - Chapter 5: Operating Expenditure</v>
      </c>
      <c r="E29" s="49">
        <f>'5'!$A$1</f>
        <v>0</v>
      </c>
    </row>
    <row r="30" spans="3:5" x14ac:dyDescent="0.2">
      <c r="C30" s="28">
        <f>ToC!C30</f>
        <v>23</v>
      </c>
      <c r="D30" s="29" t="str">
        <f>'6'!$B$1</f>
        <v>Revised Proposal - Chapter 6: Pass through events</v>
      </c>
      <c r="E30" s="49">
        <f>'6'!$A$1</f>
        <v>0</v>
      </c>
    </row>
    <row r="31" spans="3:5" x14ac:dyDescent="0.2">
      <c r="C31" s="28">
        <f>ToC!C31</f>
        <v>24</v>
      </c>
      <c r="D31" s="29" t="str">
        <f>'7'!$B$1</f>
        <v>Revised Proposal - Chapter 7: Tariffs</v>
      </c>
      <c r="E31" s="49">
        <f>'7'!$A$1</f>
        <v>0</v>
      </c>
    </row>
    <row r="32" spans="3:5" x14ac:dyDescent="0.2">
      <c r="C32" s="28">
        <f>ToC!C32</f>
        <v>25</v>
      </c>
      <c r="D32" s="29" t="str">
        <f>'8'!$B$1</f>
        <v>Revised Proposal - Chapter 8: Metering</v>
      </c>
      <c r="E32" s="49">
        <f>'8'!$A$1</f>
        <v>0</v>
      </c>
    </row>
    <row r="33" spans="2:5" x14ac:dyDescent="0.2">
      <c r="C33" s="28">
        <f>ToC!C33</f>
        <v>26</v>
      </c>
      <c r="D33" s="29" t="str">
        <f>'9'!$B$1</f>
        <v>Revised Proposal - Chapter 9: Ancillary services</v>
      </c>
      <c r="E33" s="49">
        <f>'9'!$A$1</f>
        <v>0</v>
      </c>
    </row>
    <row r="34" spans="2:5" x14ac:dyDescent="0.2">
      <c r="C34" s="28">
        <f>ToC!C34</f>
        <v>27</v>
      </c>
      <c r="D34" s="29" t="str">
        <f>TSS!$B$1</f>
        <v>Tariff Structure Statement - Attachment 7.1</v>
      </c>
      <c r="E34" s="49">
        <f>TSS!$A$1</f>
        <v>0</v>
      </c>
    </row>
    <row r="35" spans="2:5" x14ac:dyDescent="0.2">
      <c r="C35" s="28">
        <f>ToC!C35</f>
        <v>28</v>
      </c>
      <c r="D35" s="29" t="str">
        <f>TSES!$B$1</f>
        <v>Tariff Structure Explanatory Statement - Attachment 7.2</v>
      </c>
      <c r="E35" s="49">
        <f>TSES!$A$1</f>
        <v>0</v>
      </c>
    </row>
    <row r="36" spans="2:5" x14ac:dyDescent="0.2">
      <c r="C36" s="28">
        <f>ToC!C36</f>
        <v>29</v>
      </c>
      <c r="D36" s="29" t="str">
        <f>TSS_O!$B$1</f>
        <v>Overview - Tariff structure statement - Attachment 7.3</v>
      </c>
      <c r="E36" s="49">
        <f>TSS_O!$A$1</f>
        <v>0</v>
      </c>
    </row>
    <row r="37" spans="2:5" x14ac:dyDescent="0.2">
      <c r="C37" s="28">
        <f>ToC!C37</f>
        <v>30</v>
      </c>
      <c r="D37" s="29" t="str">
        <f>Model_Links!$B$1</f>
        <v>Outputs: Links to model suite</v>
      </c>
      <c r="E37" s="49">
        <f>Model_Links!$A$1</f>
        <v>0</v>
      </c>
    </row>
    <row r="38" spans="2:5" x14ac:dyDescent="0.2">
      <c r="C38" s="28">
        <f>ToC!C38</f>
        <v>31</v>
      </c>
      <c r="D38" s="29" t="str">
        <f>LookupTab!$B$1</f>
        <v>Lookup tables</v>
      </c>
      <c r="E38" s="49">
        <f>LookupTab!$A$1</f>
        <v>0</v>
      </c>
    </row>
    <row r="40" spans="2:5" x14ac:dyDescent="0.2">
      <c r="D40" s="60" t="s">
        <v>565</v>
      </c>
      <c r="E40" s="139">
        <f>IF(SUM(E8:E38)&lt;&gt;0,1,0)</f>
        <v>0</v>
      </c>
    </row>
    <row r="42" spans="2:5" s="6" customFormat="1" ht="18.75" x14ac:dyDescent="0.2">
      <c r="B42" s="6" t="s">
        <v>43</v>
      </c>
    </row>
  </sheetData>
  <hyperlinks>
    <hyperlink ref="B4" location="ToC!A1" display="ToC!A1" xr:uid="{97F8F5DB-5C97-4C62-88B8-DF7A84DE35EA}"/>
    <hyperlink ref="I14" location="'3'!A1" display="'3'!A1" xr:uid="{21DD1BBB-26D6-4CC0-8123-3E660638E9F4}"/>
    <hyperlink ref="I12" location="'1'!A1" display="'1'!A1" xr:uid="{661C53C1-F099-4381-8094-63039A44D1E0}"/>
    <hyperlink ref="I13" location="'2'!A1" display="'2'!A1" xr:uid="{671B5FFF-01C3-4EF4-97E3-0B6A1565FC8C}"/>
    <hyperlink ref="I15" location="'4'!A1" display="'4'!A1" xr:uid="{CC5396D3-77D7-4F06-A963-051FCDE61D31}"/>
    <hyperlink ref="I17:I26" location="'7'!A1" display="'7'!A1" xr:uid="{4093AA8B-ED7D-47F7-BEE2-6C011E3EED3F}"/>
    <hyperlink ref="I17" location="'7'!A1" display="'7'!A1" xr:uid="{ABE73F20-E385-4314-BE1B-D4618DEB7A88}"/>
    <hyperlink ref="I18" location="'8'!A1" display="'8'!A1" xr:uid="{B09F2304-96E8-4F29-B045-AD3530335D41}"/>
    <hyperlink ref="I19" location="'9'!A1" display="'9'!A1" xr:uid="{9C694D35-4CE9-4B50-A1D1-D96009D9DE0A}"/>
    <hyperlink ref="I20" location="'10'!A1" display="'10'!A1" xr:uid="{2CBE428A-FD4B-40EF-80C8-B64590DC12BE}"/>
    <hyperlink ref="I23" location="'11'!A1" display="'11'!A1" xr:uid="{BBB4C1EC-6658-414D-9ED0-30397358A211}"/>
    <hyperlink ref="I25" location="'12'!A1" display="'12'!A1" xr:uid="{7850AD62-8E2D-4820-A7D4-3D56FC8FE21D}"/>
    <hyperlink ref="I26" location="'13'!A1" display="'13'!A1" xr:uid="{22F9D08E-1487-4B24-AB68-2F08444DA597}"/>
    <hyperlink ref="D8" location="Input_General!A1" display="Input_General!A1" xr:uid="{5B30A518-8A7B-4F4B-8C8F-CE011F4730C6}"/>
    <hyperlink ref="D9" location="Input_CPI!B1" display="Input_CPI!B1" xr:uid="{AA0256D8-A72B-495A-A336-A1D9F8653EE7}"/>
    <hyperlink ref="D11" location="Input_Revenue!A1" display="Input_Revenue!A1" xr:uid="{A5181AEF-C590-404E-9B5B-50520D8438DF}"/>
    <hyperlink ref="D12" location="Input_Opex!A1" display="Input_Opex!A1" xr:uid="{AD5DDF6E-2E54-4559-B12C-7604281DCCBD}"/>
    <hyperlink ref="D17" location="Revenue!A1" display="Revenue!A1" xr:uid="{C5332230-FAFC-436F-A24D-3F122C9736DC}"/>
    <hyperlink ref="D18" location="Opex!A1" display="Opex!A1" xr:uid="{7A1D7A33-B9F8-49A5-9B66-CC687C1FA131}"/>
    <hyperlink ref="D19" location="Capex!A1" display="Capex!A1" xr:uid="{2A6E6370-FF1B-4935-A82C-F62C45C0FECF}"/>
    <hyperlink ref="D38" location="LookupTab!A1" display="LookupTab!A1" xr:uid="{E30FA22C-BE61-415D-AACF-0275EDFE1A7F}"/>
    <hyperlink ref="D14" location="Input_AMI!A1" display="Input_AMI!A1" xr:uid="{61182471-CB63-4F5C-8AD2-F7020C6E3A46}"/>
    <hyperlink ref="D15" location="Input_ACS!A1" display="Input_ACS!A1" xr:uid="{5F35E6CE-632A-4B75-9BD8-DD5BB24F33F8}"/>
    <hyperlink ref="D20" location="ACS_Metering!A1" display="ACS_Metering!A1" xr:uid="{071F822C-1C65-42F8-ADD5-F43E471AFEEA}"/>
    <hyperlink ref="D21" location="ACS!A1" display="ACS!A1" xr:uid="{9D6FBADB-94AC-4266-A2D9-AB9C1AAA22CA}"/>
    <hyperlink ref="D27" location="'3'!A1" display="'3'!A1" xr:uid="{C613945C-06E1-44C5-AB5D-BEFA013B5E2D}"/>
    <hyperlink ref="D26" location="'2'!A1" display="'2'!A1" xr:uid="{BD9379E6-A3E7-43F7-92FB-FC88ADE05C3D}"/>
    <hyperlink ref="D25" location="'1'!A1" display="'1'!A1" xr:uid="{2C1827D5-B8F4-43CB-9C70-311E87C85D5D}"/>
    <hyperlink ref="D30" location="'6'!A1" display="'6'!A1" xr:uid="{0A2F0EA2-AF6F-403D-9047-D1B1D04310DE}"/>
    <hyperlink ref="D37" location="Model_Links!A1" display="Model_Links!A1" xr:uid="{84B147FD-F9A8-4BC7-B3DD-3A5AA0427BFF}"/>
    <hyperlink ref="D28" location="'4'!A1" display="'4'!A1" xr:uid="{F4D4BA98-4937-4F57-A87A-410E44A5EC93}"/>
    <hyperlink ref="D29" location="'5'!A1" display="'5'!A1" xr:uid="{93898247-DCC0-4E72-8C8A-AA3E94F5C5EA}"/>
    <hyperlink ref="D10" location="Input_Operating!A1" display="Input_Operating!A1" xr:uid="{564BE554-8853-4B04-B478-5B8B94F4426D}"/>
    <hyperlink ref="D31:D33" location="'7'!A1" display="'7'!A1" xr:uid="{BA5E5EDB-5C99-43AA-8FDE-524D55BE564F}"/>
    <hyperlink ref="D23" location="Overview!A1" display="Overview!A1" xr:uid="{CA645F79-5B66-4577-BED9-A4F1D3CB73B2}"/>
    <hyperlink ref="D31" location="'7'!A1" display="'7'!A1" xr:uid="{C2555D01-8500-4C0D-A161-D14645921A5A}"/>
    <hyperlink ref="D32" location="'8'!A1" display="'8'!A1" xr:uid="{D14B7606-E091-4BDE-B9F5-46F78706E359}"/>
    <hyperlink ref="D33" location="'9'!A1" display="'9'!A1" xr:uid="{20687955-9F68-4F98-9999-600DCE7EDED8}"/>
    <hyperlink ref="D16" location="Input_Capex_Projects!A1" display="Input_Capex_Projects!A1" xr:uid="{B452CB06-DBBE-4ABE-B554-02D49F033B4B}"/>
    <hyperlink ref="D34" location="TSS!A1" display="TSS!A1" xr:uid="{5888A649-06A7-4351-B0C8-FAD86C28192D}"/>
    <hyperlink ref="D35" location="TSES!A1" display="TSES!A1" xr:uid="{90D88B89-854B-4A34-B39D-5D060C2747BD}"/>
    <hyperlink ref="D36" location="TSS_O!A1" display="TSS_O!A1" xr:uid="{9E9BBA81-D4D2-4B82-A190-CD39D1533032}"/>
    <hyperlink ref="D13" location="Input_Capex!A1" display="Input_Capex!A1" xr:uid="{74B4C84D-11CD-463B-981A-81318964E796}"/>
    <hyperlink ref="D22" location="About!A1" display="About!A1" xr:uid="{915DD765-2594-4A02-80A8-D908D1064A06}"/>
    <hyperlink ref="D24" location="Summary!A1" display="Summary!A1" xr:uid="{8CB00A85-B83D-4577-AA6E-16557E26455B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C54394261D1F49917302149D5B0EAC" ma:contentTypeVersion="3" ma:contentTypeDescription="Create a new document." ma:contentTypeScope="" ma:versionID="58a910301a3b09a15e30bcaab5983f06">
  <xsd:schema xmlns:xsd="http://www.w3.org/2001/XMLSchema" xmlns:xs="http://www.w3.org/2001/XMLSchema" xmlns:p="http://schemas.microsoft.com/office/2006/metadata/properties" xmlns:ns2="c3a0edd0-a44a-4a49-97d6-ef81b583c919" targetNamespace="http://schemas.microsoft.com/office/2006/metadata/properties" ma:root="true" ma:fieldsID="09c9d31ad8dff51a33bd445b54648296" ns2:_="">
    <xsd:import namespace="c3a0edd0-a44a-4a49-97d6-ef81b583c9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0edd0-a44a-4a49-97d6-ef81b583c9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CC9B62-A588-4D29-97FF-6F8921BFF4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D3119-25BE-4D24-A38C-4CB1EAB1DACC}"/>
</file>

<file path=customXml/itemProps3.xml><?xml version="1.0" encoding="utf-8"?>
<ds:datastoreItem xmlns:ds="http://schemas.openxmlformats.org/officeDocument/2006/customXml" ds:itemID="{C5EF4E99-E792-40D7-9639-20B5F6A72F58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80F9368-076D-44D5-A691-FDD36C37EA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26</vt:i4>
      </vt:variant>
    </vt:vector>
  </HeadingPairs>
  <TitlesOfParts>
    <vt:vector size="62" baseType="lpstr">
      <vt:lpstr>ToC</vt:lpstr>
      <vt:lpstr>Input_General</vt:lpstr>
      <vt:lpstr>Input_CPI</vt:lpstr>
      <vt:lpstr>Input_Operating</vt:lpstr>
      <vt:lpstr>Input_Revenue</vt:lpstr>
      <vt:lpstr>Input_Opex</vt:lpstr>
      <vt:lpstr>Input_Capex</vt:lpstr>
      <vt:lpstr>Input_AMI</vt:lpstr>
      <vt:lpstr>Input_ACS</vt:lpstr>
      <vt:lpstr>Input_Capex_Projects</vt:lpstr>
      <vt:lpstr>Base Outputs&gt;</vt:lpstr>
      <vt:lpstr>Revenue</vt:lpstr>
      <vt:lpstr>Opex</vt:lpstr>
      <vt:lpstr>Capex</vt:lpstr>
      <vt:lpstr>ACS_Metering</vt:lpstr>
      <vt:lpstr>ACS</vt:lpstr>
      <vt:lpstr>Proposal&gt;</vt:lpstr>
      <vt:lpstr>Front</vt:lpstr>
      <vt:lpstr>Overview</vt:lpstr>
      <vt:lpstr>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TSS</vt:lpstr>
      <vt:lpstr>TSES</vt:lpstr>
      <vt:lpstr>TSS_O</vt:lpstr>
      <vt:lpstr>Other Outputs&gt;</vt:lpstr>
      <vt:lpstr>Model_Links</vt:lpstr>
      <vt:lpstr>LookupTab</vt:lpstr>
      <vt:lpstr>Checks</vt:lpstr>
      <vt:lpstr>AC_Asset_Class_Cur</vt:lpstr>
      <vt:lpstr>AC_RIN_Lvl_1</vt:lpstr>
      <vt:lpstr>Cash_Timing</vt:lpstr>
      <vt:lpstr>Dollars</vt:lpstr>
      <vt:lpstr>End_Period</vt:lpstr>
      <vt:lpstr>Index_Period</vt:lpstr>
      <vt:lpstr>Mid_Period</vt:lpstr>
      <vt:lpstr>Million</vt:lpstr>
      <vt:lpstr>Model_Checks</vt:lpstr>
      <vt:lpstr>Model_Name</vt:lpstr>
      <vt:lpstr>Mths_In_Yr</vt:lpstr>
      <vt:lpstr>NA</vt:lpstr>
      <vt:lpstr>No</vt:lpstr>
      <vt:lpstr>Nominal</vt:lpstr>
      <vt:lpstr>Opex_RIN_Lvl_1</vt:lpstr>
      <vt:lpstr>Real_Input</vt:lpstr>
      <vt:lpstr>Round_DP</vt:lpstr>
      <vt:lpstr>Start_Year</vt:lpstr>
      <vt:lpstr>Timing_Adj</vt:lpstr>
      <vt:lpstr>True_False</vt:lpstr>
      <vt:lpstr>Unit_Dollar</vt:lpstr>
      <vt:lpstr>Unit_Dollar_M</vt:lpstr>
      <vt:lpstr>Unit_Index</vt:lpstr>
      <vt:lpstr>Unit_Perc</vt:lpstr>
      <vt:lpstr>Yes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2023-11-24T05:02:32Z</dcterms:created>
  <dcterms:modified xsi:type="dcterms:W3CDTF">2023-11-27T09:46:51Z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0x01010080C54394261D1F49917302149D5B0EAC</vt:lpwstr>
  </property>
</Properties>
</file>