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tilnsw.sharepoint.com/teams/RegProposal2024-29/Shared Documents/1. 2024-29 Regulatory Proposal/2024-29 Revised Proposal/02 Revised Proposal Attachments &amp; Models/Final models without links/SCS/DUOS only/"/>
    </mc:Choice>
  </mc:AlternateContent>
  <xr:revisionPtr revIDLastSave="0" documentId="8_{86A600A8-5AB5-4B47-A288-01E37DE95CC3}" xr6:coauthVersionLast="47" xr6:coauthVersionMax="47" xr10:uidLastSave="{00000000-0000-0000-0000-000000000000}"/>
  <bookViews>
    <workbookView xWindow="-108" yWindow="-108" windowWidth="23256" windowHeight="12576" tabRatio="846" activeTab="1" xr2:uid="{A83AEEF4-A39F-4204-A9BC-27FD5D9A6EFF}"/>
  </bookViews>
  <sheets>
    <sheet name="Description" sheetId="9" r:id="rId1"/>
    <sheet name="Key inputs" sheetId="21" r:id="rId2"/>
    <sheet name="Reporting template 2024–25 " sheetId="26" r:id="rId3"/>
    <sheet name="Reporting template 2025–26" sheetId="28" r:id="rId4"/>
    <sheet name="Reporting template 2026–27" sheetId="29" r:id="rId5"/>
    <sheet name="Reporting template 2027–28" sheetId="30" r:id="rId6"/>
    <sheet name="Reporting template 2028–29" sheetId="31" r:id="rId7"/>
    <sheet name="Performance data" sheetId="32" r:id="rId8"/>
  </sheets>
  <definedNames>
    <definedName name="ETR_targe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9" l="1"/>
  <c r="D28" i="26"/>
  <c r="C28" i="26"/>
  <c r="C17" i="26"/>
  <c r="C22" i="26" s="1"/>
  <c r="C34" i="26" s="1"/>
  <c r="C29" i="26"/>
  <c r="D28" i="28"/>
  <c r="G42" i="32" l="1"/>
  <c r="E42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B3" i="32"/>
  <c r="B2" i="32"/>
  <c r="C37" i="21"/>
  <c r="C31" i="21"/>
  <c r="D29" i="26"/>
  <c r="D50" i="29"/>
  <c r="E50" i="29"/>
  <c r="F50" i="29"/>
  <c r="G50" i="29"/>
  <c r="H50" i="29"/>
  <c r="I50" i="29"/>
  <c r="C50" i="29"/>
  <c r="C38" i="29"/>
  <c r="C33" i="29"/>
  <c r="C21" i="29"/>
  <c r="C16" i="29"/>
  <c r="D50" i="28"/>
  <c r="E50" i="28"/>
  <c r="F50" i="28"/>
  <c r="G50" i="28"/>
  <c r="H50" i="28"/>
  <c r="I50" i="28"/>
  <c r="C50" i="28"/>
  <c r="C38" i="28"/>
  <c r="C33" i="28"/>
  <c r="C21" i="28"/>
  <c r="C16" i="28"/>
  <c r="C38" i="26"/>
  <c r="C33" i="26"/>
  <c r="C21" i="26"/>
  <c r="C16" i="26"/>
  <c r="D50" i="30"/>
  <c r="E50" i="30"/>
  <c r="F50" i="30"/>
  <c r="G50" i="30"/>
  <c r="H50" i="30"/>
  <c r="I50" i="30"/>
  <c r="C50" i="30"/>
  <c r="D50" i="26"/>
  <c r="E50" i="26"/>
  <c r="F50" i="26"/>
  <c r="G50" i="26"/>
  <c r="H50" i="26"/>
  <c r="I50" i="26"/>
  <c r="C50" i="26"/>
  <c r="C38" i="30"/>
  <c r="C33" i="30"/>
  <c r="C21" i="30"/>
  <c r="C16" i="30"/>
  <c r="D50" i="31"/>
  <c r="E50" i="31"/>
  <c r="F50" i="31"/>
  <c r="G50" i="31"/>
  <c r="H50" i="31"/>
  <c r="I50" i="31"/>
  <c r="C50" i="31"/>
  <c r="C38" i="31"/>
  <c r="C33" i="31"/>
  <c r="C21" i="31"/>
  <c r="C16" i="31"/>
  <c r="B42" i="32" l="1"/>
  <c r="D47" i="31"/>
  <c r="E47" i="31" s="1"/>
  <c r="F47" i="31" s="1"/>
  <c r="G47" i="31" s="1"/>
  <c r="H47" i="31" s="1"/>
  <c r="I47" i="31" s="1"/>
  <c r="D47" i="30"/>
  <c r="E47" i="30" s="1"/>
  <c r="F47" i="30" s="1"/>
  <c r="G47" i="30" s="1"/>
  <c r="H47" i="30" s="1"/>
  <c r="I47" i="30" s="1"/>
  <c r="D47" i="29"/>
  <c r="E47" i="29" s="1"/>
  <c r="F47" i="29" s="1"/>
  <c r="G47" i="29" s="1"/>
  <c r="H47" i="29" s="1"/>
  <c r="I47" i="29" s="1"/>
  <c r="D47" i="28"/>
  <c r="E47" i="28" s="1"/>
  <c r="F47" i="28" s="1"/>
  <c r="G47" i="28" s="1"/>
  <c r="H47" i="28" s="1"/>
  <c r="I47" i="28" s="1"/>
  <c r="D47" i="26"/>
  <c r="E47" i="26" s="1"/>
  <c r="F47" i="26" s="1"/>
  <c r="G47" i="26" s="1"/>
  <c r="H47" i="26" s="1"/>
  <c r="I47" i="26" s="1"/>
  <c r="C19" i="31" l="1"/>
  <c r="C24" i="31" s="1"/>
  <c r="C18" i="31"/>
  <c r="C23" i="31" s="1"/>
  <c r="C17" i="31"/>
  <c r="C22" i="31" s="1"/>
  <c r="C19" i="30"/>
  <c r="C24" i="30" s="1"/>
  <c r="C18" i="30"/>
  <c r="C23" i="30" s="1"/>
  <c r="C17" i="30"/>
  <c r="C22" i="30" s="1"/>
  <c r="C19" i="29"/>
  <c r="C24" i="29" s="1"/>
  <c r="C18" i="29"/>
  <c r="C23" i="29" s="1"/>
  <c r="C17" i="29"/>
  <c r="C22" i="29" s="1"/>
  <c r="C17" i="28"/>
  <c r="C22" i="28" s="1"/>
  <c r="C19" i="28"/>
  <c r="C24" i="28" s="1"/>
  <c r="C18" i="28"/>
  <c r="C23" i="28" s="1"/>
  <c r="C19" i="26"/>
  <c r="C24" i="26" s="1"/>
  <c r="C18" i="26"/>
  <c r="C23" i="26" s="1"/>
  <c r="C35" i="26" s="1"/>
  <c r="C28" i="28" l="1"/>
  <c r="D29" i="28"/>
  <c r="C30" i="28"/>
  <c r="D30" i="28"/>
  <c r="C29" i="28"/>
  <c r="D30" i="30"/>
  <c r="D28" i="30"/>
  <c r="C28" i="30"/>
  <c r="D29" i="30"/>
  <c r="C30" i="30"/>
  <c r="C29" i="30"/>
  <c r="C30" i="26"/>
  <c r="D30" i="26"/>
  <c r="C29" i="29"/>
  <c r="D29" i="29"/>
  <c r="C30" i="29"/>
  <c r="D30" i="29"/>
  <c r="D28" i="29"/>
  <c r="C30" i="31"/>
  <c r="C28" i="31"/>
  <c r="C34" i="31" s="1"/>
  <c r="D29" i="31"/>
  <c r="C29" i="31"/>
  <c r="C35" i="31" s="1"/>
  <c r="D30" i="31"/>
  <c r="D28" i="31"/>
  <c r="C35" i="28" l="1"/>
  <c r="C35" i="30"/>
  <c r="C36" i="30"/>
  <c r="C36" i="31"/>
  <c r="C34" i="30"/>
  <c r="C34" i="29"/>
  <c r="C36" i="28"/>
  <c r="C35" i="29"/>
  <c r="C36" i="29"/>
  <c r="C34" i="28"/>
  <c r="C36" i="26"/>
  <c r="D31" i="26"/>
  <c r="D31" i="31"/>
  <c r="C31" i="30"/>
  <c r="D31" i="28"/>
  <c r="D31" i="30"/>
  <c r="C31" i="31"/>
  <c r="D31" i="29"/>
  <c r="C31" i="29"/>
  <c r="C31" i="28"/>
  <c r="C31" i="26"/>
  <c r="C39" i="30" l="1"/>
  <c r="H51" i="30" s="1"/>
  <c r="C39" i="28"/>
  <c r="F51" i="28" s="1"/>
  <c r="C39" i="26"/>
  <c r="E51" i="26" s="1"/>
  <c r="C39" i="31"/>
  <c r="C39" i="29"/>
  <c r="C40" i="30" l="1"/>
  <c r="C40" i="28"/>
  <c r="C40" i="31"/>
  <c r="I51" i="31"/>
  <c r="C40" i="26"/>
  <c r="C40" i="29"/>
  <c r="G51" i="29"/>
</calcChain>
</file>

<file path=xl/sharedStrings.xml><?xml version="1.0" encoding="utf-8"?>
<sst xmlns="http://schemas.openxmlformats.org/spreadsheetml/2006/main" count="327" uniqueCount="77">
  <si>
    <t>Customer Service Incentive Scheme</t>
  </si>
  <si>
    <t>Description</t>
  </si>
  <si>
    <t>● Parameter 1: Percentage of unplanned outages that have an ETR communicated to customers</t>
  </si>
  <si>
    <t>● Parameter 2: Time to resolve customer complaints</t>
  </si>
  <si>
    <t xml:space="preserve">Revenue at risk, targets, incentive rates, caps and floors </t>
  </si>
  <si>
    <t xml:space="preserve">Revenue at risk </t>
  </si>
  <si>
    <t>Overall revenue at risk +</t>
  </si>
  <si>
    <t>Overall revenue at risk -</t>
  </si>
  <si>
    <t xml:space="preserve">Parameter weightings </t>
  </si>
  <si>
    <t>CSIS weighting for Unplanned outages with ETR</t>
  </si>
  <si>
    <t>CSIS weighting for Customer ease (post call survey)</t>
  </si>
  <si>
    <t>CSIS weighting for Time to resolve customer complaints</t>
  </si>
  <si>
    <t>Performance targets</t>
  </si>
  <si>
    <t>2024-25</t>
  </si>
  <si>
    <t>2025-26</t>
  </si>
  <si>
    <t>2026-27</t>
  </si>
  <si>
    <t>2027-28</t>
  </si>
  <si>
    <t>2028-29</t>
  </si>
  <si>
    <t>Note:</t>
  </si>
  <si>
    <t>Unplanned outages with ETR</t>
  </si>
  <si>
    <t>per cent</t>
  </si>
  <si>
    <t>Customer ease (post call survey)</t>
  </si>
  <si>
    <t>Out of 5; A score of 1 represets poorest performance and a score of 5 represents the best performance in this survey</t>
  </si>
  <si>
    <t xml:space="preserve">Time to resolve customer complaints </t>
  </si>
  <si>
    <t>Incentive rate</t>
  </si>
  <si>
    <t>Cap (best performance)</t>
  </si>
  <si>
    <t>Floor (worst performance)</t>
  </si>
  <si>
    <t>Annual revenue requirement</t>
  </si>
  <si>
    <t>Update for actual</t>
  </si>
  <si>
    <t>CPI inflation</t>
  </si>
  <si>
    <t>Update for actual CPI inflation</t>
  </si>
  <si>
    <t>Actual performance</t>
  </si>
  <si>
    <t>Calculations</t>
  </si>
  <si>
    <t>Maximum reward</t>
  </si>
  <si>
    <t>Maximum penalty</t>
  </si>
  <si>
    <t>Total</t>
  </si>
  <si>
    <t xml:space="preserve"> </t>
  </si>
  <si>
    <t>Check (within +/- 0.5% or revenue)</t>
  </si>
  <si>
    <t>CSIS Reward or penalty</t>
  </si>
  <si>
    <t>CPI escalation factor</t>
  </si>
  <si>
    <t>CSIS reward/penalty nominal</t>
  </si>
  <si>
    <t>Days; less days represents better performance</t>
  </si>
  <si>
    <t xml:space="preserve">1. Apply floor and cap </t>
  </si>
  <si>
    <t xml:space="preserve">2. H-factor </t>
  </si>
  <si>
    <t>3. Revenue at risk per paramter</t>
  </si>
  <si>
    <t xml:space="preserve">4. Reward/penalty per paramter </t>
  </si>
  <si>
    <t>5. Summation and check</t>
  </si>
  <si>
    <t>6. CSIS reward or penalty</t>
  </si>
  <si>
    <t>Annual revenue requirement (nominal, smoothed)</t>
  </si>
  <si>
    <t>Instruction: Populate the grey box with actual performance data</t>
  </si>
  <si>
    <t>Note: Annual reporting templates have been populated with test data</t>
  </si>
  <si>
    <t>Essential Energy 2024–29</t>
  </si>
  <si>
    <t>2024–25</t>
  </si>
  <si>
    <t>2025–26</t>
  </si>
  <si>
    <t>2026–27</t>
  </si>
  <si>
    <t>2027–28</t>
  </si>
  <si>
    <t>2028–29</t>
  </si>
  <si>
    <t>2029–30</t>
  </si>
  <si>
    <t>2030–31</t>
  </si>
  <si>
    <t>Reporting template: 2028–29</t>
  </si>
  <si>
    <t>Reporting template: 2024–25</t>
  </si>
  <si>
    <t>Reporting template: 2025–26</t>
  </si>
  <si>
    <t>Reporting template: 2026–27</t>
  </si>
  <si>
    <t>Reporting template: 2027–28</t>
  </si>
  <si>
    <t>This model calculates the relevant CSIS rewards and penalties for the following parameters for each disclosure year</t>
  </si>
  <si>
    <t>● Parameter 3: Customer ease (Post-call survey)</t>
  </si>
  <si>
    <t>Date</t>
  </si>
  <si>
    <t>% Unplanned Outages w/ETR</t>
  </si>
  <si>
    <t>Sum of Outages with ETR before restored</t>
  </si>
  <si>
    <t>Count of Outages</t>
  </si>
  <si>
    <t>Average of Customer ease (Post-call survey)</t>
  </si>
  <si>
    <t>Count of Surveys</t>
  </si>
  <si>
    <t>Average of Time to resolve customer complaints (Days)</t>
  </si>
  <si>
    <t>Count of Complaints</t>
  </si>
  <si>
    <t>Average</t>
  </si>
  <si>
    <t>Target</t>
  </si>
  <si>
    <t>2024-29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</si>
</sst>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0.0%"/>
    <numFmt numFmtId="167" formatCode="0.000"/>
    <numFmt numFmtId="168" formatCode="&quot;$&quot;#,##0"/>
    <numFmt numFmtId="169" formatCode="0.000%"/>
    <numFmt numFmtId="170" formatCode="_-* #,##0.00000000_-;\-* #,##0.00000000_-;_-* &quot;-&quot;??_-;_-@_-"/>
    <numFmt numFmtId="171" formatCode="0.000000000"/>
  </numFmts>
  <fonts count="42" x14ac:knownFonts="1">
    <font>
      <sz val="11"/>
      <color theme="1"/>
      <name val="Open Sans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1"/>
      <color rgb="FF006100"/>
      <name val="Open Sans"/>
      <family val="2"/>
      <scheme val="minor"/>
    </font>
    <font>
      <sz val="11"/>
      <color rgb="FF9C0006"/>
      <name val="Open Sans"/>
      <family val="2"/>
      <scheme val="minor"/>
    </font>
    <font>
      <sz val="11"/>
      <color rgb="FF9C5700"/>
      <name val="Open Sans"/>
      <family val="2"/>
      <scheme val="minor"/>
    </font>
    <font>
      <sz val="11"/>
      <color rgb="FF3F3F76"/>
      <name val="Open Sans"/>
      <family val="2"/>
      <scheme val="minor"/>
    </font>
    <font>
      <b/>
      <sz val="11"/>
      <color rgb="FF3F3F3F"/>
      <name val="Open Sans"/>
      <family val="2"/>
      <scheme val="minor"/>
    </font>
    <font>
      <b/>
      <sz val="11"/>
      <color rgb="FFFA7D00"/>
      <name val="Open Sans"/>
      <family val="2"/>
      <scheme val="minor"/>
    </font>
    <font>
      <sz val="11"/>
      <color rgb="FFFA7D00"/>
      <name val="Open Sans"/>
      <family val="2"/>
      <scheme val="minor"/>
    </font>
    <font>
      <b/>
      <sz val="11"/>
      <color theme="0"/>
      <name val="Open Sans"/>
      <family val="2"/>
      <scheme val="minor"/>
    </font>
    <font>
      <sz val="11"/>
      <color rgb="FFFF0000"/>
      <name val="Open Sans"/>
      <family val="2"/>
      <scheme val="minor"/>
    </font>
    <font>
      <i/>
      <sz val="11"/>
      <color rgb="FF7F7F7F"/>
      <name val="Open Sans"/>
      <family val="2"/>
      <scheme val="minor"/>
    </font>
    <font>
      <sz val="18"/>
      <color theme="3"/>
      <name val="Open Sans Light"/>
      <family val="2"/>
      <scheme val="major"/>
    </font>
    <font>
      <b/>
      <sz val="13"/>
      <color theme="3"/>
      <name val="Open Sans"/>
      <family val="2"/>
      <scheme val="minor"/>
    </font>
    <font>
      <b/>
      <sz val="11"/>
      <color theme="3"/>
      <name val="Open Sans"/>
      <family val="2"/>
      <scheme val="minor"/>
    </font>
    <font>
      <b/>
      <sz val="11"/>
      <color theme="1"/>
      <name val="Open Sans"/>
      <family val="2"/>
      <scheme val="minor"/>
    </font>
    <font>
      <sz val="11"/>
      <color theme="1"/>
      <name val="Open Sans SemiBold"/>
      <family val="2"/>
    </font>
    <font>
      <sz val="11"/>
      <name val="Open Sans"/>
      <family val="2"/>
    </font>
    <font>
      <u/>
      <sz val="11"/>
      <color theme="10"/>
      <name val="Open Sans"/>
      <family val="2"/>
    </font>
    <font>
      <u/>
      <sz val="11"/>
      <color theme="11"/>
      <name val="Open Sans"/>
      <family val="2"/>
    </font>
    <font>
      <sz val="15"/>
      <color theme="3"/>
      <name val="Open Sans Light"/>
      <family val="2"/>
      <scheme val="major"/>
    </font>
    <font>
      <sz val="18"/>
      <color theme="1"/>
      <name val="Open Sans Light"/>
      <family val="2"/>
      <scheme val="major"/>
    </font>
    <font>
      <sz val="14"/>
      <color theme="1"/>
      <name val="Open Sans SemiBold"/>
      <family val="2"/>
    </font>
    <font>
      <sz val="12"/>
      <color theme="1"/>
      <name val="Open Sans SemiBold"/>
      <family val="2"/>
    </font>
    <font>
      <sz val="11"/>
      <color theme="1"/>
      <name val="Open Sans"/>
      <family val="2"/>
    </font>
    <font>
      <sz val="11"/>
      <color rgb="FF000000"/>
      <name val="Calibri"/>
      <family val="2"/>
    </font>
    <font>
      <sz val="8"/>
      <name val="Open Sans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9"/>
      <name val="Arial"/>
      <family val="2"/>
    </font>
    <font>
      <sz val="16"/>
      <color theme="0"/>
      <name val="Arial"/>
      <family val="2"/>
    </font>
    <font>
      <sz val="20"/>
      <color indexed="9"/>
      <name val="Arial"/>
      <family val="2"/>
    </font>
    <font>
      <sz val="16"/>
      <name val="Arial"/>
      <family val="2"/>
    </font>
    <font>
      <sz val="13.5"/>
      <color rgb="FF000000"/>
      <name val="Arial"/>
      <family val="2"/>
    </font>
    <font>
      <sz val="20"/>
      <color theme="0"/>
      <name val="Arial"/>
      <family val="2"/>
    </font>
    <font>
      <b/>
      <sz val="11"/>
      <color theme="2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A897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F5802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1" applyNumberFormat="0" applyAlignment="0" applyProtection="0"/>
    <xf numFmtId="0" fontId="8" fillId="6" borderId="2" applyNumberFormat="0" applyAlignment="0" applyProtection="0"/>
    <xf numFmtId="0" fontId="9" fillId="6" borderId="1" applyNumberFormat="0" applyAlignment="0" applyProtection="0"/>
    <xf numFmtId="0" fontId="10" fillId="0" borderId="3" applyNumberFormat="0" applyFill="0" applyAlignment="0" applyProtection="0"/>
    <xf numFmtId="0" fontId="11" fillId="7" borderId="4" applyNumberFormat="0" applyAlignment="0" applyProtection="0"/>
    <xf numFmtId="0" fontId="12" fillId="0" borderId="0" applyNumberFormat="0" applyFill="0" applyBorder="0" applyAlignment="0" applyProtection="0"/>
    <xf numFmtId="0" fontId="3" fillId="8" borderId="5" applyNumberFormat="0" applyFont="0" applyAlignment="0" applyProtection="0"/>
    <xf numFmtId="0" fontId="13" fillId="0" borderId="0" applyNumberFormat="0" applyFill="0" applyBorder="0" applyAlignment="0" applyProtection="0"/>
    <xf numFmtId="0" fontId="24" fillId="0" borderId="0"/>
    <xf numFmtId="0" fontId="25" fillId="0" borderId="0"/>
    <xf numFmtId="0" fontId="19" fillId="0" borderId="0"/>
    <xf numFmtId="0" fontId="20" fillId="0" borderId="0" applyNumberFormat="0" applyFill="0" applyBorder="0" applyAlignment="0" applyProtection="0"/>
    <xf numFmtId="0" fontId="19" fillId="9" borderId="0"/>
    <xf numFmtId="0" fontId="19" fillId="11" borderId="0"/>
    <xf numFmtId="0" fontId="19" fillId="10" borderId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3" fillId="0" borderId="0">
      <alignment vertical="top"/>
    </xf>
    <xf numFmtId="0" fontId="18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68">
    <xf numFmtId="0" fontId="0" fillId="0" borderId="0" xfId="0"/>
    <xf numFmtId="0" fontId="32" fillId="18" borderId="0" xfId="0" applyFont="1" applyFill="1" applyAlignment="1">
      <alignment vertical="center"/>
    </xf>
    <xf numFmtId="0" fontId="33" fillId="18" borderId="0" xfId="0" applyFont="1" applyFill="1" applyAlignment="1">
      <alignment vertical="center"/>
    </xf>
    <xf numFmtId="0" fontId="34" fillId="18" borderId="0" xfId="0" applyFont="1" applyFill="1" applyAlignment="1">
      <alignment vertical="center"/>
    </xf>
    <xf numFmtId="0" fontId="3" fillId="18" borderId="0" xfId="0" applyFont="1" applyFill="1"/>
    <xf numFmtId="0" fontId="35" fillId="18" borderId="0" xfId="0" applyFont="1" applyFill="1" applyAlignment="1">
      <alignment vertical="top"/>
    </xf>
    <xf numFmtId="0" fontId="3" fillId="12" borderId="0" xfId="0" applyFont="1" applyFill="1"/>
    <xf numFmtId="0" fontId="36" fillId="12" borderId="0" xfId="0" applyFont="1" applyFill="1" applyAlignment="1">
      <alignment vertical="center" wrapText="1"/>
    </xf>
    <xf numFmtId="0" fontId="37" fillId="18" borderId="0" xfId="0" applyFont="1" applyFill="1" applyAlignment="1">
      <alignment vertical="center"/>
    </xf>
    <xf numFmtId="0" fontId="3" fillId="19" borderId="0" xfId="0" applyFont="1" applyFill="1"/>
    <xf numFmtId="0" fontId="38" fillId="19" borderId="0" xfId="0" applyFont="1" applyFill="1"/>
    <xf numFmtId="166" fontId="3" fillId="12" borderId="0" xfId="31" applyNumberFormat="1" applyFont="1" applyFill="1"/>
    <xf numFmtId="9" fontId="3" fillId="12" borderId="0" xfId="31" applyFont="1" applyFill="1"/>
    <xf numFmtId="10" fontId="3" fillId="12" borderId="0" xfId="0" applyNumberFormat="1" applyFont="1" applyFill="1"/>
    <xf numFmtId="0" fontId="39" fillId="12" borderId="0" xfId="0" applyFont="1" applyFill="1" applyAlignment="1">
      <alignment horizontal="center"/>
    </xf>
    <xf numFmtId="0" fontId="39" fillId="12" borderId="0" xfId="0" applyFont="1" applyFill="1"/>
    <xf numFmtId="9" fontId="3" fillId="12" borderId="0" xfId="0" applyNumberFormat="1" applyFont="1" applyFill="1"/>
    <xf numFmtId="164" fontId="3" fillId="12" borderId="0" xfId="30" applyNumberFormat="1" applyFont="1" applyFill="1"/>
    <xf numFmtId="165" fontId="3" fillId="12" borderId="0" xfId="33" applyNumberFormat="1" applyFont="1" applyFill="1"/>
    <xf numFmtId="0" fontId="3" fillId="14" borderId="0" xfId="0" applyFont="1" applyFill="1"/>
    <xf numFmtId="166" fontId="3" fillId="15" borderId="0" xfId="0" applyNumberFormat="1" applyFont="1" applyFill="1" applyAlignment="1">
      <alignment horizontal="center"/>
    </xf>
    <xf numFmtId="0" fontId="40" fillId="12" borderId="0" xfId="0" applyFont="1" applyFill="1"/>
    <xf numFmtId="0" fontId="41" fillId="12" borderId="0" xfId="0" applyFont="1" applyFill="1"/>
    <xf numFmtId="9" fontId="3" fillId="13" borderId="0" xfId="31" applyFont="1" applyFill="1"/>
    <xf numFmtId="0" fontId="3" fillId="13" borderId="0" xfId="0" applyFont="1" applyFill="1"/>
    <xf numFmtId="9" fontId="3" fillId="12" borderId="0" xfId="33" applyNumberFormat="1" applyFont="1" applyFill="1"/>
    <xf numFmtId="165" fontId="3" fillId="16" borderId="0" xfId="33" applyNumberFormat="1" applyFont="1" applyFill="1"/>
    <xf numFmtId="0" fontId="41" fillId="0" borderId="0" xfId="0" applyFont="1"/>
    <xf numFmtId="165" fontId="3" fillId="12" borderId="0" xfId="0" applyNumberFormat="1" applyFont="1" applyFill="1"/>
    <xf numFmtId="44" fontId="3" fillId="12" borderId="0" xfId="33" applyFont="1" applyFill="1"/>
    <xf numFmtId="0" fontId="39" fillId="16" borderId="0" xfId="0" applyFont="1" applyFill="1"/>
    <xf numFmtId="167" fontId="3" fillId="12" borderId="0" xfId="0" applyNumberFormat="1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168" fontId="3" fillId="17" borderId="0" xfId="0" applyNumberFormat="1" applyFont="1" applyFill="1" applyAlignment="1">
      <alignment horizontal="center"/>
    </xf>
    <xf numFmtId="165" fontId="3" fillId="12" borderId="0" xfId="0" applyNumberFormat="1" applyFont="1" applyFill="1" applyAlignment="1">
      <alignment horizontal="center"/>
    </xf>
    <xf numFmtId="0" fontId="39" fillId="0" borderId="0" xfId="0" applyFont="1"/>
    <xf numFmtId="165" fontId="3" fillId="17" borderId="0" xfId="0" applyNumberFormat="1" applyFont="1" applyFill="1" applyAlignment="1">
      <alignment horizontal="center"/>
    </xf>
    <xf numFmtId="0" fontId="3" fillId="0" borderId="0" xfId="0" applyFont="1"/>
    <xf numFmtId="22" fontId="3" fillId="0" borderId="0" xfId="0" applyNumberFormat="1" applyFont="1"/>
    <xf numFmtId="10" fontId="3" fillId="0" borderId="0" xfId="31" applyNumberFormat="1" applyFont="1"/>
    <xf numFmtId="0" fontId="41" fillId="0" borderId="0" xfId="0" applyFont="1" applyAlignment="1">
      <alignment horizontal="center" wrapText="1"/>
    </xf>
    <xf numFmtId="10" fontId="41" fillId="0" borderId="0" xfId="0" applyNumberFormat="1" applyFont="1"/>
    <xf numFmtId="2" fontId="4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0" fontId="3" fillId="0" borderId="0" xfId="31" applyNumberFormat="1" applyFont="1" applyAlignment="1">
      <alignment horizontal="center"/>
    </xf>
    <xf numFmtId="43" fontId="41" fillId="0" borderId="0" xfId="30" applyFont="1" applyAlignment="1">
      <alignment horizontal="left"/>
    </xf>
    <xf numFmtId="0" fontId="4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9" fontId="3" fillId="0" borderId="0" xfId="31" applyFont="1"/>
    <xf numFmtId="169" fontId="3" fillId="0" borderId="0" xfId="31" applyNumberFormat="1" applyFont="1"/>
    <xf numFmtId="166" fontId="3" fillId="0" borderId="0" xfId="0" applyNumberFormat="1" applyFont="1"/>
    <xf numFmtId="170" fontId="3" fillId="12" borderId="0" xfId="0" applyNumberFormat="1" applyFont="1" applyFill="1"/>
    <xf numFmtId="10" fontId="3" fillId="12" borderId="0" xfId="31" applyNumberFormat="1" applyFont="1" applyFill="1"/>
    <xf numFmtId="166" fontId="39" fillId="12" borderId="0" xfId="31" applyNumberFormat="1" applyFont="1" applyFill="1"/>
    <xf numFmtId="171" fontId="0" fillId="0" borderId="0" xfId="0" applyNumberFormat="1"/>
    <xf numFmtId="169" fontId="3" fillId="12" borderId="0" xfId="31" applyNumberFormat="1" applyFont="1" applyFill="1"/>
    <xf numFmtId="171" fontId="0" fillId="12" borderId="0" xfId="0" applyNumberFormat="1" applyFill="1"/>
    <xf numFmtId="43" fontId="29" fillId="12" borderId="0" xfId="36" applyNumberFormat="1" applyFont="1" applyFill="1"/>
    <xf numFmtId="4" fontId="3" fillId="12" borderId="0" xfId="0" applyNumberFormat="1" applyFont="1" applyFill="1"/>
    <xf numFmtId="44" fontId="3" fillId="12" borderId="0" xfId="0" applyNumberFormat="1" applyFont="1" applyFill="1"/>
    <xf numFmtId="166" fontId="3" fillId="12" borderId="0" xfId="31" applyNumberFormat="1" applyFont="1" applyFill="1" applyBorder="1"/>
    <xf numFmtId="4" fontId="3" fillId="12" borderId="0" xfId="0" applyNumberFormat="1" applyFont="1" applyFill="1" applyAlignment="1">
      <alignment horizontal="center" vertical="center"/>
    </xf>
    <xf numFmtId="9" fontId="3" fillId="12" borderId="0" xfId="0" applyNumberFormat="1" applyFont="1" applyFill="1" applyAlignment="1">
      <alignment horizontal="center"/>
    </xf>
    <xf numFmtId="165" fontId="3" fillId="12" borderId="0" xfId="33" applyNumberFormat="1" applyFont="1" applyFill="1" applyAlignment="1">
      <alignment horizontal="center"/>
    </xf>
    <xf numFmtId="43" fontId="3" fillId="12" borderId="0" xfId="30" applyFont="1" applyFill="1" applyBorder="1"/>
    <xf numFmtId="0" fontId="41" fillId="20" borderId="0" xfId="0" applyFont="1" applyFill="1" applyAlignment="1">
      <alignment horizontal="center"/>
    </xf>
  </cellXfs>
  <cellStyles count="40">
    <cellStyle name="Bad" xfId="4" builtinId="27" hidden="1"/>
    <cellStyle name="Calculation" xfId="8" builtinId="22" hidden="1"/>
    <cellStyle name="Category" xfId="14" xr:uid="{0B7BB563-C5A4-4F2F-B66E-098B032ACF88}"/>
    <cellStyle name="Check Cell" xfId="10" builtinId="23" hidden="1"/>
    <cellStyle name="Comma" xfId="30" builtinId="3"/>
    <cellStyle name="Comma 2" xfId="34" xr:uid="{66C0E69B-C94E-47A1-97C0-D99B0155D6E7}"/>
    <cellStyle name="Comma 3" xfId="37" xr:uid="{0609FE85-0980-4B8A-956E-7533316C1DD2}"/>
    <cellStyle name="Currency" xfId="33" builtinId="4"/>
    <cellStyle name="Currency 2" xfId="35" xr:uid="{DB349550-DC97-4B23-8627-6E81E6FC8E81}"/>
    <cellStyle name="Currency 3" xfId="38" xr:uid="{81428BCA-A5E6-4A66-860C-AA3A7DA3592D}"/>
    <cellStyle name="Explanatory Text" xfId="13" builtinId="53" hidden="1"/>
    <cellStyle name="Followed Hyperlink" xfId="2" builtinId="9" hidden="1"/>
    <cellStyle name="Followed Hyperlink" xfId="21" builtinId="9" customBuiltin="1"/>
    <cellStyle name="Formula change cell" xfId="19" xr:uid="{E49FE87C-DBC2-45C1-9FF9-667C9CDA2707}"/>
    <cellStyle name="Good" xfId="3" builtinId="26" hidden="1"/>
    <cellStyle name="Heading 1" xfId="23" builtinId="16" hidden="1" customBuiltin="1"/>
    <cellStyle name="Heading 2" xfId="24" builtinId="17" hidden="1"/>
    <cellStyle name="Heading 3" xfId="25" builtinId="18" hidden="1"/>
    <cellStyle name="Heading 4" xfId="26" builtinId="19" hidden="1"/>
    <cellStyle name="Hyperlink" xfId="1" builtinId="8" hidden="1"/>
    <cellStyle name="Hyperlink" xfId="17" builtinId="8" customBuiltin="1"/>
    <cellStyle name="Input" xfId="6" builtinId="20" hidden="1"/>
    <cellStyle name="InputCell" xfId="18" xr:uid="{2D6EF06A-4E5E-418C-864D-73935DF5F533}"/>
    <cellStyle name="LineItem" xfId="16" xr:uid="{FD098ECF-44F1-4E9E-8541-48DF2E93B46C}"/>
    <cellStyle name="Linked Cell" xfId="9" builtinId="24" hidden="1"/>
    <cellStyle name="Main heading" xfId="28" xr:uid="{D26EDA8D-059C-4EA7-8387-D6D82099B44B}"/>
    <cellStyle name="Neutral" xfId="5" builtinId="28" hidden="1"/>
    <cellStyle name="Normal" xfId="0" builtinId="0" customBuiltin="1"/>
    <cellStyle name="Normal 2" xfId="32" xr:uid="{147C9E9B-2B25-4282-B12E-D1C76ADC48F4}"/>
    <cellStyle name="Normal 3" xfId="36" xr:uid="{147863A9-0F98-4AD2-ABCF-686AEB51FC04}"/>
    <cellStyle name="Note" xfId="12" builtinId="10" hidden="1"/>
    <cellStyle name="Output" xfId="7" builtinId="21" hidden="1"/>
    <cellStyle name="Percent" xfId="31" builtinId="5"/>
    <cellStyle name="Percent 2" xfId="39" xr:uid="{5C5E7CBC-F80C-4BF0-985A-A1D0B0CB1689}"/>
    <cellStyle name="Solver cell" xfId="20" xr:uid="{C903F9E8-9AA5-4CEB-BCE0-0AFE8624550D}"/>
    <cellStyle name="Subcategory" xfId="15" xr:uid="{911AE8DC-C55F-4732-9700-18C302F7EFA7}"/>
    <cellStyle name="Subheading" xfId="29" xr:uid="{86B8D6F9-798F-4906-90AC-49764B7673C0}"/>
    <cellStyle name="Title" xfId="22" builtinId="15" hidden="1"/>
    <cellStyle name="Total" xfId="27" builtinId="25" hidden="1"/>
    <cellStyle name="Warning Text" xfId="11" builtinId="11" hidden="1"/>
  </cellStyles>
  <dxfs count="2">
    <dxf>
      <font>
        <b/>
        <i val="0"/>
        <color theme="0"/>
      </font>
      <fill>
        <patternFill>
          <bgColor theme="4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 Style 1" defaultPivotStyle="PivotStyleLight16">
    <tableStyle name="Table Style 1" pivot="0" count="2" xr9:uid="{40DC8C16-070A-4096-8C31-BB2DC3A90D62}">
      <tableStyleElement type="wholeTable" dxfId="1"/>
      <tableStyleElement type="headerRow" dxfId="0"/>
    </tableStyle>
  </tableStyles>
  <colors>
    <mruColors>
      <color rgb="FFCFD1D2"/>
      <color rgb="FFE83F35"/>
      <color rgb="FF00A897"/>
      <color rgb="FF5E61AB"/>
      <color rgb="FFFBB216"/>
      <color rgb="FFEB7E00"/>
      <color rgb="FFA10000"/>
      <color rgb="FF37424A"/>
      <color rgb="FF6A7177"/>
      <color rgb="FF9BA1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FE2020">
      <a:dk1>
        <a:srgbClr val="37424A"/>
      </a:dk1>
      <a:lt1>
        <a:sysClr val="window" lastClr="FFFFFF"/>
      </a:lt1>
      <a:dk2>
        <a:srgbClr val="37424A"/>
      </a:dk2>
      <a:lt2>
        <a:srgbClr val="F2F2F2"/>
      </a:lt2>
      <a:accent1>
        <a:srgbClr val="207BA1"/>
      </a:accent1>
      <a:accent2>
        <a:srgbClr val="599CB9"/>
      </a:accent2>
      <a:accent3>
        <a:srgbClr val="90BDCF"/>
      </a:accent3>
      <a:accent4>
        <a:srgbClr val="6A7177"/>
      </a:accent4>
      <a:accent5>
        <a:srgbClr val="9BA1A5"/>
      </a:accent5>
      <a:accent6>
        <a:srgbClr val="CFD1D2"/>
      </a:accent6>
      <a:hlink>
        <a:srgbClr val="207BA1"/>
      </a:hlink>
      <a:folHlink>
        <a:srgbClr val="90BDCF"/>
      </a:folHlink>
    </a:clrScheme>
    <a:fontScheme name="FE">
      <a:majorFont>
        <a:latin typeface="Open Sans Light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FE Red">
      <a:srgbClr val="E83F35"/>
    </a:custClr>
    <a:custClr name="Pine">
      <a:srgbClr val="00A897"/>
    </a:custClr>
    <a:custClr name="Forest">
      <a:srgbClr val="2B555A"/>
    </a:custClr>
    <a:custClr name="Deep blue">
      <a:srgbClr val="005F95"/>
    </a:custClr>
    <a:custClr name="Grey 3">
      <a:srgbClr val="6A7177"/>
    </a:custClr>
    <a:custClr name="Dark red">
      <a:srgbClr val="A10000"/>
    </a:custClr>
    <a:custClr name="Orange 1">
      <a:srgbClr val="EB7E00"/>
    </a:custClr>
    <a:custClr name="Orange 2">
      <a:srgbClr val="FBB216"/>
    </a:custClr>
    <a:custClr name="Purple">
      <a:srgbClr val="7261AB"/>
    </a:custClr>
  </a:custClrLst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40FB-452E-41FF-A07B-B3B5B997EA26}">
  <dimension ref="A1:Z10"/>
  <sheetViews>
    <sheetView zoomScaleNormal="100" workbookViewId="0">
      <selection activeCell="H15" sqref="H15"/>
    </sheetView>
  </sheetViews>
  <sheetFormatPr defaultColWidth="8.8984375" defaultRowHeight="13.8" x14ac:dyDescent="0.25"/>
  <cols>
    <col min="1" max="1" width="4.3984375" style="6" customWidth="1"/>
    <col min="2" max="16384" width="8.8984375" style="6"/>
  </cols>
  <sheetData>
    <row r="1" spans="1:26" s="4" customFormat="1" ht="35.1" customHeight="1" x14ac:dyDescent="0.25">
      <c r="A1" s="1"/>
      <c r="B1" s="2" t="s">
        <v>0</v>
      </c>
      <c r="C1" s="3"/>
      <c r="D1" s="3"/>
      <c r="E1" s="3"/>
      <c r="F1" s="3"/>
      <c r="G1" s="3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35.1" customHeight="1" x14ac:dyDescent="0.25">
      <c r="A2" s="1"/>
      <c r="B2" s="2" t="s">
        <v>51</v>
      </c>
      <c r="C2" s="3"/>
      <c r="D2" s="3"/>
      <c r="E2" s="3"/>
      <c r="F2" s="3"/>
      <c r="G2" s="3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4" customFormat="1" ht="26.1" customHeight="1" x14ac:dyDescent="0.25">
      <c r="A3" s="5"/>
      <c r="B3" s="2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5" spans="1:26" x14ac:dyDescent="0.25">
      <c r="B5" s="6" t="s">
        <v>64</v>
      </c>
    </row>
    <row r="6" spans="1:26" x14ac:dyDescent="0.25">
      <c r="B6" s="6" t="s">
        <v>2</v>
      </c>
    </row>
    <row r="7" spans="1:26" ht="17.25" customHeight="1" x14ac:dyDescent="0.25">
      <c r="B7" s="6" t="s">
        <v>3</v>
      </c>
    </row>
    <row r="8" spans="1:26" x14ac:dyDescent="0.25">
      <c r="B8" s="6" t="s">
        <v>65</v>
      </c>
    </row>
    <row r="10" spans="1:26" ht="17.399999999999999" x14ac:dyDescent="0.25">
      <c r="B10" s="6" t="s">
        <v>50</v>
      </c>
      <c r="C10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42C6-CDC4-495E-94CE-59E2939C66A8}">
  <dimension ref="A1:Z53"/>
  <sheetViews>
    <sheetView tabSelected="1" zoomScale="90" zoomScaleNormal="90" workbookViewId="0">
      <selection activeCell="D3" sqref="D3"/>
    </sheetView>
  </sheetViews>
  <sheetFormatPr defaultColWidth="8.8984375" defaultRowHeight="13.8" x14ac:dyDescent="0.25"/>
  <cols>
    <col min="1" max="1" width="3.3984375" style="6" customWidth="1"/>
    <col min="2" max="2" width="44" style="6" customWidth="1"/>
    <col min="3" max="3" width="16.69921875" style="6" bestFit="1" customWidth="1"/>
    <col min="4" max="8" width="15.3984375" style="6" customWidth="1"/>
    <col min="9" max="9" width="10.69921875" style="6" bestFit="1" customWidth="1"/>
    <col min="10" max="16384" width="8.8984375" style="6"/>
  </cols>
  <sheetData>
    <row r="1" spans="1:26" s="4" customFormat="1" ht="35.1" customHeight="1" x14ac:dyDescent="0.25">
      <c r="A1" s="1"/>
      <c r="B1" s="8" t="s">
        <v>0</v>
      </c>
      <c r="C1" s="3"/>
      <c r="D1" s="3"/>
      <c r="E1" s="3"/>
      <c r="F1" s="3"/>
      <c r="G1" s="3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26.1" customHeight="1" x14ac:dyDescent="0.25">
      <c r="A2" s="5"/>
      <c r="B2" s="2" t="s">
        <v>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4" spans="1:26" s="9" customFormat="1" x14ac:dyDescent="0.25">
      <c r="B4" s="10" t="s">
        <v>5</v>
      </c>
    </row>
    <row r="6" spans="1:26" x14ac:dyDescent="0.25">
      <c r="B6" s="6" t="s">
        <v>6</v>
      </c>
      <c r="C6" s="11">
        <v>5.0000000000000001E-3</v>
      </c>
    </row>
    <row r="7" spans="1:26" x14ac:dyDescent="0.25">
      <c r="B7" s="6" t="s">
        <v>7</v>
      </c>
      <c r="C7" s="11">
        <v>-5.0000000000000001E-3</v>
      </c>
    </row>
    <row r="9" spans="1:26" s="9" customFormat="1" x14ac:dyDescent="0.25">
      <c r="B9" s="10" t="s">
        <v>8</v>
      </c>
    </row>
    <row r="11" spans="1:26" x14ac:dyDescent="0.25">
      <c r="B11" s="6" t="s">
        <v>9</v>
      </c>
      <c r="C11" s="12">
        <v>0.5</v>
      </c>
      <c r="D11" s="13"/>
    </row>
    <row r="12" spans="1:26" x14ac:dyDescent="0.25">
      <c r="B12" s="6" t="s">
        <v>10</v>
      </c>
      <c r="C12" s="12">
        <v>0.2</v>
      </c>
      <c r="D12" s="13"/>
    </row>
    <row r="13" spans="1:26" x14ac:dyDescent="0.25">
      <c r="B13" s="6" t="s">
        <v>11</v>
      </c>
      <c r="C13" s="12">
        <v>0.3</v>
      </c>
      <c r="D13" s="13"/>
    </row>
    <row r="15" spans="1:26" s="9" customFormat="1" x14ac:dyDescent="0.25">
      <c r="B15" s="10" t="s">
        <v>12</v>
      </c>
    </row>
    <row r="16" spans="1:26" x14ac:dyDescent="0.25">
      <c r="C16" s="32"/>
      <c r="D16" s="32"/>
      <c r="E16" s="32"/>
      <c r="F16" s="32"/>
      <c r="G16" s="32"/>
    </row>
    <row r="17" spans="2:9" ht="14.4" x14ac:dyDescent="0.3">
      <c r="C17" s="14" t="s">
        <v>13</v>
      </c>
      <c r="D17" s="14" t="s">
        <v>14</v>
      </c>
      <c r="E17" s="14" t="s">
        <v>15</v>
      </c>
      <c r="F17" s="14" t="s">
        <v>16</v>
      </c>
      <c r="G17" s="14" t="s">
        <v>17</v>
      </c>
      <c r="I17" s="15" t="s">
        <v>18</v>
      </c>
    </row>
    <row r="18" spans="2:9" ht="14.4" x14ac:dyDescent="0.3">
      <c r="B18" s="6" t="s">
        <v>19</v>
      </c>
      <c r="C18" s="64">
        <v>0.19</v>
      </c>
      <c r="D18" s="64">
        <v>0.19</v>
      </c>
      <c r="E18" s="64">
        <v>0.19</v>
      </c>
      <c r="F18" s="64">
        <v>0.19</v>
      </c>
      <c r="G18" s="64">
        <v>0.19</v>
      </c>
      <c r="I18" s="15" t="s">
        <v>20</v>
      </c>
    </row>
    <row r="19" spans="2:9" ht="14.4" x14ac:dyDescent="0.3">
      <c r="B19" s="6" t="s">
        <v>21</v>
      </c>
      <c r="C19" s="32">
        <v>4.3899999999999997</v>
      </c>
      <c r="D19" s="32">
        <v>4.3899999999999997</v>
      </c>
      <c r="E19" s="32">
        <v>4.3899999999999997</v>
      </c>
      <c r="F19" s="32">
        <v>4.3899999999999997</v>
      </c>
      <c r="G19" s="32">
        <v>4.3899999999999997</v>
      </c>
      <c r="I19" s="15" t="s">
        <v>22</v>
      </c>
    </row>
    <row r="20" spans="2:9" ht="14.4" x14ac:dyDescent="0.3">
      <c r="B20" s="6" t="s">
        <v>23</v>
      </c>
      <c r="C20" s="32">
        <v>14.4</v>
      </c>
      <c r="D20" s="32">
        <v>14.4</v>
      </c>
      <c r="E20" s="32">
        <v>14.4</v>
      </c>
      <c r="F20" s="32">
        <v>14.4</v>
      </c>
      <c r="G20" s="32">
        <v>14.4</v>
      </c>
      <c r="I20" s="15" t="s">
        <v>41</v>
      </c>
    </row>
    <row r="22" spans="2:9" s="9" customFormat="1" x14ac:dyDescent="0.25">
      <c r="B22" s="10" t="s">
        <v>24</v>
      </c>
    </row>
    <row r="24" spans="2:9" x14ac:dyDescent="0.25">
      <c r="B24" s="6" t="s">
        <v>19</v>
      </c>
      <c r="C24" s="54">
        <v>5.0000000000000088E-4</v>
      </c>
      <c r="D24" s="17"/>
      <c r="E24" s="53"/>
    </row>
    <row r="25" spans="2:9" x14ac:dyDescent="0.25">
      <c r="B25" s="6" t="s">
        <v>21</v>
      </c>
      <c r="C25" s="54">
        <v>4.1666666666666621E-4</v>
      </c>
    </row>
    <row r="26" spans="2:9" ht="15.6" x14ac:dyDescent="0.35">
      <c r="B26" s="6" t="s">
        <v>23</v>
      </c>
      <c r="C26" s="57">
        <v>-4.9999999999999697E-5</v>
      </c>
      <c r="D26" s="58"/>
      <c r="E26" s="56"/>
    </row>
    <row r="28" spans="2:9" s="9" customFormat="1" x14ac:dyDescent="0.25">
      <c r="B28" s="10" t="s">
        <v>25</v>
      </c>
    </row>
    <row r="30" spans="2:9" x14ac:dyDescent="0.25">
      <c r="B30" s="6" t="s">
        <v>19</v>
      </c>
      <c r="C30" s="16">
        <v>0.28999999999999998</v>
      </c>
    </row>
    <row r="31" spans="2:9" x14ac:dyDescent="0.25">
      <c r="B31" s="6" t="s">
        <v>21</v>
      </c>
      <c r="C31" s="6">
        <f>C19+0.12</f>
        <v>4.51</v>
      </c>
    </row>
    <row r="32" spans="2:9" x14ac:dyDescent="0.25">
      <c r="B32" s="6" t="s">
        <v>23</v>
      </c>
      <c r="C32" s="6">
        <v>13.4</v>
      </c>
    </row>
    <row r="34" spans="2:11" s="9" customFormat="1" x14ac:dyDescent="0.25">
      <c r="B34" s="10" t="s">
        <v>26</v>
      </c>
    </row>
    <row r="36" spans="2:11" x14ac:dyDescent="0.25">
      <c r="B36" s="6" t="s">
        <v>19</v>
      </c>
      <c r="C36" s="16">
        <v>0.09</v>
      </c>
    </row>
    <row r="37" spans="2:11" x14ac:dyDescent="0.25">
      <c r="B37" s="6" t="s">
        <v>21</v>
      </c>
      <c r="C37" s="6">
        <f>C19-0.12</f>
        <v>4.2699999999999996</v>
      </c>
    </row>
    <row r="38" spans="2:11" x14ac:dyDescent="0.25">
      <c r="B38" s="6" t="s">
        <v>23</v>
      </c>
      <c r="C38" s="6">
        <v>15.4</v>
      </c>
    </row>
    <row r="40" spans="2:11" s="9" customFormat="1" x14ac:dyDescent="0.25">
      <c r="B40" s="10" t="s">
        <v>27</v>
      </c>
    </row>
    <row r="42" spans="2:11" ht="14.4" x14ac:dyDescent="0.3">
      <c r="C42" s="14"/>
      <c r="D42" s="14" t="s">
        <v>52</v>
      </c>
      <c r="E42" s="14" t="s">
        <v>53</v>
      </c>
      <c r="F42" s="14" t="s">
        <v>54</v>
      </c>
      <c r="G42" s="14" t="s">
        <v>55</v>
      </c>
      <c r="H42" s="14" t="s">
        <v>56</v>
      </c>
    </row>
    <row r="43" spans="2:11" x14ac:dyDescent="0.25">
      <c r="B43" s="6" t="s">
        <v>48</v>
      </c>
      <c r="C43" s="17"/>
      <c r="D43" s="65">
        <v>1147228659.7559659</v>
      </c>
      <c r="E43" s="65">
        <v>1191207327.8206961</v>
      </c>
      <c r="F43" s="65">
        <v>1236871904.99195</v>
      </c>
      <c r="G43" s="65">
        <v>1284287020.0918486</v>
      </c>
      <c r="H43" s="65">
        <v>1333519779.4691076</v>
      </c>
      <c r="I43" s="19" t="s">
        <v>28</v>
      </c>
      <c r="J43" s="19"/>
    </row>
    <row r="45" spans="2:11" ht="14.4" x14ac:dyDescent="0.3">
      <c r="D45" s="14" t="s">
        <v>52</v>
      </c>
      <c r="E45" s="14" t="s">
        <v>53</v>
      </c>
      <c r="F45" s="14" t="s">
        <v>54</v>
      </c>
      <c r="G45" s="14" t="s">
        <v>55</v>
      </c>
      <c r="H45" s="14" t="s">
        <v>56</v>
      </c>
      <c r="I45" s="14" t="s">
        <v>57</v>
      </c>
      <c r="J45" s="14" t="s">
        <v>58</v>
      </c>
    </row>
    <row r="46" spans="2:11" x14ac:dyDescent="0.25">
      <c r="B46" s="6" t="s">
        <v>29</v>
      </c>
      <c r="D46" s="20">
        <v>2.8000000000000001E-2</v>
      </c>
      <c r="E46" s="20">
        <v>2.8000000000000001E-2</v>
      </c>
      <c r="F46" s="20">
        <v>2.8000000000000001E-2</v>
      </c>
      <c r="G46" s="20">
        <v>2.8000000000000001E-2</v>
      </c>
      <c r="H46" s="20">
        <v>2.8000000000000001E-2</v>
      </c>
      <c r="I46" s="20">
        <v>2.8000000000000001E-2</v>
      </c>
      <c r="J46" s="20">
        <v>2.8000000000000001E-2</v>
      </c>
      <c r="K46" s="6" t="s">
        <v>30</v>
      </c>
    </row>
    <row r="48" spans="2:11" x14ac:dyDescent="0.25">
      <c r="D48" s="59"/>
      <c r="E48" s="59"/>
      <c r="F48" s="59"/>
      <c r="G48" s="59"/>
      <c r="H48" s="59"/>
    </row>
    <row r="49" spans="3:9" x14ac:dyDescent="0.25">
      <c r="D49" s="63"/>
      <c r="E49" s="63"/>
      <c r="F49" s="63"/>
      <c r="G49" s="63"/>
      <c r="H49" s="63"/>
      <c r="I49" s="60"/>
    </row>
    <row r="50" spans="3:9" x14ac:dyDescent="0.25">
      <c r="C50" s="61"/>
      <c r="D50" s="61"/>
      <c r="E50" s="61"/>
      <c r="F50" s="61"/>
      <c r="G50" s="61"/>
      <c r="H50" s="61"/>
      <c r="I50" s="62"/>
    </row>
    <row r="53" spans="3:9" x14ac:dyDescent="0.25">
      <c r="D53" s="28"/>
    </row>
  </sheetData>
  <phoneticPr fontId="2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46AF-60E3-42EA-BCF4-87184EDF3C9D}">
  <dimension ref="A1:Z51"/>
  <sheetViews>
    <sheetView zoomScale="85" zoomScaleNormal="85" workbookViewId="0">
      <selection activeCell="E23" sqref="E23"/>
    </sheetView>
  </sheetViews>
  <sheetFormatPr defaultColWidth="8.8984375" defaultRowHeight="13.8" x14ac:dyDescent="0.25"/>
  <cols>
    <col min="1" max="1" width="4.8984375" style="6" customWidth="1"/>
    <col min="2" max="2" width="34.09765625" style="6" customWidth="1"/>
    <col min="3" max="3" width="14.3984375" style="6" bestFit="1" customWidth="1"/>
    <col min="4" max="4" width="13.3984375" style="6" bestFit="1" customWidth="1"/>
    <col min="5" max="5" width="16.3984375" style="6" customWidth="1"/>
    <col min="6" max="6" width="14.296875" style="6" customWidth="1"/>
    <col min="7" max="7" width="10.796875" style="6" customWidth="1"/>
    <col min="8" max="8" width="12.8984375" style="6" customWidth="1"/>
    <col min="9" max="9" width="10.09765625" style="6" customWidth="1"/>
    <col min="10" max="12" width="8.8984375" style="6"/>
    <col min="13" max="13" width="38.3984375" style="6" customWidth="1"/>
    <col min="14" max="16384" width="8.8984375" style="6"/>
  </cols>
  <sheetData>
    <row r="1" spans="1:26" s="4" customFormat="1" ht="35.1" customHeight="1" x14ac:dyDescent="0.25">
      <c r="A1" s="1"/>
      <c r="B1" s="8" t="s">
        <v>0</v>
      </c>
      <c r="C1" s="3"/>
      <c r="D1" s="3"/>
      <c r="E1" s="3"/>
      <c r="F1" s="3"/>
      <c r="G1" s="3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26.1" customHeight="1" x14ac:dyDescent="0.25">
      <c r="A2" s="5"/>
      <c r="B2" s="2" t="s">
        <v>60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5" spans="1:26" s="9" customFormat="1" x14ac:dyDescent="0.25">
      <c r="B5" s="10" t="s">
        <v>31</v>
      </c>
    </row>
    <row r="7" spans="1:26" x14ac:dyDescent="0.25">
      <c r="B7" s="21" t="s">
        <v>49</v>
      </c>
    </row>
    <row r="8" spans="1:26" x14ac:dyDescent="0.25">
      <c r="B8" s="22"/>
    </row>
    <row r="9" spans="1:26" ht="14.4" x14ac:dyDescent="0.3">
      <c r="C9" s="15" t="s">
        <v>52</v>
      </c>
      <c r="D9" s="15" t="s">
        <v>53</v>
      </c>
      <c r="E9" s="15" t="s">
        <v>54</v>
      </c>
      <c r="F9" s="15" t="s">
        <v>55</v>
      </c>
      <c r="G9" s="15" t="s">
        <v>56</v>
      </c>
      <c r="H9" s="15" t="s">
        <v>18</v>
      </c>
    </row>
    <row r="10" spans="1:26" ht="14.4" x14ac:dyDescent="0.3">
      <c r="B10" s="6" t="s">
        <v>19</v>
      </c>
      <c r="C10" s="23">
        <v>0.31</v>
      </c>
      <c r="H10" s="15" t="s">
        <v>20</v>
      </c>
    </row>
    <row r="11" spans="1:26" ht="14.4" x14ac:dyDescent="0.3">
      <c r="B11" s="6" t="s">
        <v>21</v>
      </c>
      <c r="C11" s="24">
        <v>5</v>
      </c>
      <c r="H11" s="15" t="s">
        <v>22</v>
      </c>
    </row>
    <row r="12" spans="1:26" ht="14.4" x14ac:dyDescent="0.3">
      <c r="B12" s="6" t="s">
        <v>23</v>
      </c>
      <c r="C12" s="24">
        <v>12</v>
      </c>
      <c r="H12" s="15" t="s">
        <v>41</v>
      </c>
    </row>
    <row r="13" spans="1:26" ht="14.4" x14ac:dyDescent="0.3">
      <c r="I13" s="15"/>
    </row>
    <row r="14" spans="1:26" s="9" customFormat="1" x14ac:dyDescent="0.25">
      <c r="B14" s="10" t="s">
        <v>32</v>
      </c>
    </row>
    <row r="15" spans="1:26" ht="14.4" x14ac:dyDescent="0.3">
      <c r="I15" s="15"/>
    </row>
    <row r="16" spans="1:26" ht="14.4" x14ac:dyDescent="0.3">
      <c r="B16" s="22" t="s">
        <v>42</v>
      </c>
      <c r="C16" s="15" t="str">
        <f>C9</f>
        <v>2024–25</v>
      </c>
      <c r="D16" s="15"/>
      <c r="F16" s="15"/>
      <c r="G16" s="15"/>
      <c r="H16" s="15"/>
      <c r="J16" s="15"/>
    </row>
    <row r="17" spans="2:10" ht="14.4" x14ac:dyDescent="0.3">
      <c r="B17" s="6" t="s">
        <v>19</v>
      </c>
      <c r="C17" s="13">
        <f>IF(C10&gt;'Key inputs'!C30,'Key inputs'!C30,IF(C10&lt;'Key inputs'!C36,'Key inputs'!C36,C10))</f>
        <v>0.28999999999999998</v>
      </c>
      <c r="E17" s="25"/>
      <c r="F17" s="13"/>
      <c r="G17" s="13"/>
      <c r="H17" s="13"/>
      <c r="J17" s="15"/>
    </row>
    <row r="18" spans="2:10" ht="14.4" x14ac:dyDescent="0.3">
      <c r="B18" s="6" t="s">
        <v>21</v>
      </c>
      <c r="C18" s="66">
        <f>IF(C11&gt;'Key inputs'!C31,'Key inputs'!C31,IF(C11&lt;'Key inputs'!C37,'Key inputs'!C37,C11))</f>
        <v>4.51</v>
      </c>
      <c r="D18" s="13"/>
      <c r="F18" s="13"/>
      <c r="G18" s="13"/>
      <c r="H18" s="13"/>
      <c r="J18" s="15"/>
    </row>
    <row r="19" spans="2:10" ht="14.4" x14ac:dyDescent="0.3">
      <c r="B19" s="6" t="s">
        <v>23</v>
      </c>
      <c r="C19" s="66">
        <f>IF(C12&lt;'Key inputs'!C32,'Key inputs'!C32,IF(C12&gt;'Key inputs'!C38,'Key inputs'!C38,C12))</f>
        <v>13.4</v>
      </c>
      <c r="D19" s="13"/>
      <c r="F19" s="13"/>
      <c r="G19" s="13"/>
      <c r="H19" s="13"/>
      <c r="J19" s="15"/>
    </row>
    <row r="20" spans="2:10" ht="14.4" x14ac:dyDescent="0.3">
      <c r="C20" s="13"/>
      <c r="D20" s="13"/>
      <c r="F20" s="13"/>
      <c r="G20" s="13"/>
      <c r="H20" s="13"/>
      <c r="J20" s="15"/>
    </row>
    <row r="21" spans="2:10" ht="14.4" x14ac:dyDescent="0.3">
      <c r="B21" s="22" t="s">
        <v>43</v>
      </c>
      <c r="C21" s="15" t="str">
        <f>C9</f>
        <v>2024–25</v>
      </c>
      <c r="D21" s="15"/>
      <c r="F21" s="15"/>
      <c r="G21" s="15"/>
      <c r="H21" s="15"/>
      <c r="J21" s="15"/>
    </row>
    <row r="22" spans="2:10" ht="14.4" x14ac:dyDescent="0.3">
      <c r="B22" s="6" t="s">
        <v>19</v>
      </c>
      <c r="C22" s="13">
        <f>(C17-'Key inputs'!C18)*'Key inputs'!$C24*100</f>
        <v>5.0000000000000079E-3</v>
      </c>
      <c r="E22" s="25"/>
      <c r="F22" s="13"/>
      <c r="G22" s="13"/>
      <c r="H22" s="13"/>
      <c r="J22" s="55"/>
    </row>
    <row r="23" spans="2:10" ht="14.4" x14ac:dyDescent="0.3">
      <c r="B23" s="6" t="s">
        <v>21</v>
      </c>
      <c r="C23" s="13">
        <f>(C18-'Key inputs'!$C19)*'Key inputs'!$C25*100</f>
        <v>4.9999999999999992E-3</v>
      </c>
      <c r="D23" s="13"/>
      <c r="F23" s="13"/>
      <c r="G23" s="13"/>
      <c r="H23" s="13"/>
      <c r="J23" s="15"/>
    </row>
    <row r="24" spans="2:10" ht="14.4" x14ac:dyDescent="0.3">
      <c r="B24" s="6" t="s">
        <v>23</v>
      </c>
      <c r="C24" s="13">
        <f>(C19-'Key inputs'!$C20)*'Key inputs'!$C26*100</f>
        <v>4.9999999999999697E-3</v>
      </c>
      <c r="D24" s="13"/>
      <c r="F24" s="13"/>
      <c r="G24" s="13"/>
      <c r="H24" s="13"/>
      <c r="J24" s="15"/>
    </row>
    <row r="25" spans="2:10" ht="14.4" x14ac:dyDescent="0.3">
      <c r="J25" s="15"/>
    </row>
    <row r="26" spans="2:10" ht="14.4" x14ac:dyDescent="0.3">
      <c r="B26" s="22" t="s">
        <v>44</v>
      </c>
      <c r="F26" s="15"/>
      <c r="G26" s="15"/>
      <c r="H26" s="15"/>
      <c r="J26" s="15"/>
    </row>
    <row r="27" spans="2:10" ht="14.4" x14ac:dyDescent="0.3">
      <c r="B27" s="22"/>
      <c r="C27" s="15" t="s">
        <v>33</v>
      </c>
      <c r="D27" s="15" t="s">
        <v>34</v>
      </c>
      <c r="F27" s="15"/>
      <c r="G27" s="15"/>
      <c r="H27" s="15"/>
      <c r="J27" s="15"/>
    </row>
    <row r="28" spans="2:10" x14ac:dyDescent="0.25">
      <c r="B28" s="6" t="s">
        <v>19</v>
      </c>
      <c r="C28" s="26">
        <f>'Key inputs'!$C$6*'Key inputs'!$D$43*'Key inputs'!$C11</f>
        <v>2868071.6493899147</v>
      </c>
      <c r="D28" s="26">
        <f>'Key inputs'!$C$7*'Key inputs'!$D$43*'Key inputs'!$C11</f>
        <v>-2868071.6493899147</v>
      </c>
      <c r="F28" s="28"/>
    </row>
    <row r="29" spans="2:10" x14ac:dyDescent="0.25">
      <c r="B29" s="6" t="s">
        <v>21</v>
      </c>
      <c r="C29" s="26">
        <f>'Key inputs'!$C$6*'Key inputs'!$D$43*'Key inputs'!$C12</f>
        <v>1147228.6597559659</v>
      </c>
      <c r="D29" s="26">
        <f>'Key inputs'!$C$7*'Key inputs'!$D$43*'Key inputs'!$C12</f>
        <v>-1147228.6597559659</v>
      </c>
      <c r="F29" s="28"/>
    </row>
    <row r="30" spans="2:10" x14ac:dyDescent="0.25">
      <c r="B30" s="6" t="s">
        <v>23</v>
      </c>
      <c r="C30" s="26">
        <f>'Key inputs'!$C$6*'Key inputs'!$D$43*'Key inputs'!$C13</f>
        <v>1720842.9896339488</v>
      </c>
      <c r="D30" s="26">
        <f>'Key inputs'!$C$7*'Key inputs'!$D$43*'Key inputs'!$C13</f>
        <v>-1720842.9896339488</v>
      </c>
      <c r="F30" s="28"/>
    </row>
    <row r="31" spans="2:10" x14ac:dyDescent="0.25">
      <c r="B31" s="6" t="s">
        <v>35</v>
      </c>
      <c r="C31" s="18">
        <f>SUM(C28:C30)</f>
        <v>5736143.2987798294</v>
      </c>
      <c r="D31" s="18">
        <f>SUM(D28:D30)</f>
        <v>-5736143.2987798294</v>
      </c>
    </row>
    <row r="32" spans="2:10" ht="14.4" x14ac:dyDescent="0.3">
      <c r="J32" s="15"/>
    </row>
    <row r="33" spans="2:13" ht="14.4" x14ac:dyDescent="0.3">
      <c r="B33" s="27" t="s">
        <v>45</v>
      </c>
      <c r="C33" s="15" t="str">
        <f>C9</f>
        <v>2024–25</v>
      </c>
      <c r="D33" s="15"/>
      <c r="F33" s="15"/>
      <c r="G33" s="15"/>
      <c r="H33" s="15"/>
      <c r="J33" s="15"/>
      <c r="L33" s="15"/>
    </row>
    <row r="34" spans="2:13" ht="14.4" x14ac:dyDescent="0.3">
      <c r="B34" s="6" t="s">
        <v>19</v>
      </c>
      <c r="C34" s="28">
        <f>MAX(MIN(C22*'Key inputs'!$D$43*'Key inputs'!C11,$C28),$D28)</f>
        <v>2868071.6493899147</v>
      </c>
      <c r="D34" s="28"/>
      <c r="E34" s="29"/>
      <c r="F34" s="28"/>
      <c r="G34" s="28"/>
      <c r="H34" s="28"/>
      <c r="J34" s="15"/>
      <c r="L34" s="15"/>
    </row>
    <row r="35" spans="2:13" ht="14.4" x14ac:dyDescent="0.3">
      <c r="B35" s="6" t="s">
        <v>21</v>
      </c>
      <c r="C35" s="28">
        <f>MAX(MIN(C23*'Key inputs'!$D$43*'Key inputs'!C12,'Reporting template 2024–25 '!$C29),$D29)</f>
        <v>1147228.6597559657</v>
      </c>
      <c r="D35" s="28"/>
      <c r="F35" s="28"/>
      <c r="G35" s="28"/>
      <c r="H35" s="28"/>
      <c r="J35" s="15"/>
      <c r="L35" s="15"/>
      <c r="M35" s="6" t="s">
        <v>36</v>
      </c>
    </row>
    <row r="36" spans="2:13" ht="14.4" x14ac:dyDescent="0.3">
      <c r="B36" s="6" t="s">
        <v>23</v>
      </c>
      <c r="C36" s="28">
        <f>MAX(MIN(C24*'Key inputs'!$D$43*'Key inputs'!C13,'Reporting template 2024–25 '!$C30),$D30)</f>
        <v>1720842.9896339385</v>
      </c>
      <c r="D36" s="28"/>
      <c r="F36" s="28"/>
      <c r="G36" s="28"/>
      <c r="H36" s="28"/>
      <c r="J36" s="15"/>
      <c r="L36" s="15"/>
    </row>
    <row r="37" spans="2:13" ht="14.4" x14ac:dyDescent="0.3">
      <c r="C37" s="28"/>
      <c r="D37" s="28"/>
      <c r="F37" s="28"/>
      <c r="G37" s="28"/>
      <c r="H37" s="28"/>
      <c r="J37" s="15"/>
    </row>
    <row r="38" spans="2:13" ht="14.4" x14ac:dyDescent="0.3">
      <c r="B38" s="22" t="s">
        <v>46</v>
      </c>
      <c r="C38" s="15" t="str">
        <f>C9</f>
        <v>2024–25</v>
      </c>
      <c r="D38" s="28"/>
      <c r="F38" s="28"/>
      <c r="G38" s="28"/>
      <c r="H38" s="28"/>
      <c r="J38" s="15"/>
    </row>
    <row r="39" spans="2:13" ht="14.4" x14ac:dyDescent="0.3">
      <c r="B39" s="6" t="s">
        <v>35</v>
      </c>
      <c r="C39" s="28">
        <f>SUM(C34:C36)</f>
        <v>5736143.2987798192</v>
      </c>
      <c r="D39" s="28"/>
      <c r="F39" s="28"/>
      <c r="G39" s="28"/>
      <c r="H39" s="28"/>
      <c r="J39" s="15"/>
    </row>
    <row r="40" spans="2:13" ht="14.4" x14ac:dyDescent="0.3">
      <c r="B40" s="15" t="s">
        <v>37</v>
      </c>
      <c r="C40" s="30" t="b">
        <f>IF(C39&gt;=$D$31,IF(C39&lt;=$C$31,TRUE,FALSE),FALSE)</f>
        <v>1</v>
      </c>
      <c r="H40" s="15"/>
      <c r="J40" s="15"/>
    </row>
    <row r="41" spans="2:13" ht="14.4" x14ac:dyDescent="0.3">
      <c r="J41" s="15"/>
    </row>
    <row r="42" spans="2:13" s="9" customFormat="1" x14ac:dyDescent="0.25">
      <c r="B42" s="10" t="s">
        <v>38</v>
      </c>
    </row>
    <row r="43" spans="2:13" ht="14.4" x14ac:dyDescent="0.3">
      <c r="B43" s="22"/>
      <c r="I43" s="15"/>
    </row>
    <row r="44" spans="2:13" ht="14.4" x14ac:dyDescent="0.3">
      <c r="B44" s="22" t="s">
        <v>47</v>
      </c>
      <c r="I44" s="15"/>
    </row>
    <row r="46" spans="2:13" x14ac:dyDescent="0.25">
      <c r="C46" s="6" t="s">
        <v>52</v>
      </c>
      <c r="D46" s="6" t="s">
        <v>53</v>
      </c>
      <c r="E46" s="6" t="s">
        <v>54</v>
      </c>
      <c r="F46" s="6" t="s">
        <v>55</v>
      </c>
      <c r="G46" s="6" t="s">
        <v>56</v>
      </c>
      <c r="H46" s="6" t="s">
        <v>57</v>
      </c>
      <c r="I46" s="6" t="s">
        <v>58</v>
      </c>
    </row>
    <row r="47" spans="2:13" x14ac:dyDescent="0.25">
      <c r="B47" s="6" t="s">
        <v>39</v>
      </c>
      <c r="C47" s="31">
        <v>1</v>
      </c>
      <c r="D47" s="31">
        <f>C47*(1+'Key inputs'!E46)</f>
        <v>1.028</v>
      </c>
      <c r="E47" s="31">
        <f>D47*(1+'Key inputs'!F46)</f>
        <v>1.0567839999999999</v>
      </c>
      <c r="F47" s="31">
        <f>E47*(1+'Key inputs'!G46)</f>
        <v>1.086373952</v>
      </c>
      <c r="G47" s="31">
        <f>F47*(1+'Key inputs'!H46)</f>
        <v>1.116792422656</v>
      </c>
      <c r="H47" s="31">
        <f>G47*(1+'Key inputs'!I46)</f>
        <v>1.148062610490368</v>
      </c>
      <c r="I47" s="31">
        <f>H47*(1+'Key inputs'!J46)</f>
        <v>1.1802083635840983</v>
      </c>
    </row>
    <row r="50" spans="2:9" x14ac:dyDescent="0.25">
      <c r="C50" s="6" t="str">
        <f>C46</f>
        <v>2024–25</v>
      </c>
      <c r="D50" s="6" t="str">
        <f t="shared" ref="D50:I50" si="0">D46</f>
        <v>2025–26</v>
      </c>
      <c r="E50" s="6" t="str">
        <f t="shared" si="0"/>
        <v>2026–27</v>
      </c>
      <c r="F50" s="6" t="str">
        <f t="shared" si="0"/>
        <v>2027–28</v>
      </c>
      <c r="G50" s="6" t="str">
        <f t="shared" si="0"/>
        <v>2028–29</v>
      </c>
      <c r="H50" s="6" t="str">
        <f t="shared" si="0"/>
        <v>2029–30</v>
      </c>
      <c r="I50" s="6" t="str">
        <f t="shared" si="0"/>
        <v>2030–31</v>
      </c>
    </row>
    <row r="51" spans="2:9" x14ac:dyDescent="0.25">
      <c r="B51" s="6" t="s">
        <v>40</v>
      </c>
      <c r="C51" s="32"/>
      <c r="D51" s="32"/>
      <c r="E51" s="33">
        <f>C39*(E47/C47)</f>
        <v>6061864.4598577321</v>
      </c>
      <c r="F51" s="34"/>
      <c r="G51" s="34"/>
      <c r="H51" s="28"/>
      <c r="I51" s="28"/>
    </row>
  </sheetData>
  <phoneticPr fontId="2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FFE0-A702-42D4-9EC5-7E42B555E265}">
  <dimension ref="A1:Z51"/>
  <sheetViews>
    <sheetView zoomScale="85" zoomScaleNormal="85" workbookViewId="0">
      <selection activeCell="B54" sqref="B54"/>
    </sheetView>
  </sheetViews>
  <sheetFormatPr defaultColWidth="8.8984375" defaultRowHeight="13.8" x14ac:dyDescent="0.25"/>
  <cols>
    <col min="1" max="1" width="4.8984375" style="6" customWidth="1"/>
    <col min="2" max="2" width="34.09765625" style="6" customWidth="1"/>
    <col min="3" max="3" width="14.3984375" style="6" bestFit="1" customWidth="1"/>
    <col min="4" max="4" width="13.3984375" style="6" bestFit="1" customWidth="1"/>
    <col min="5" max="5" width="16.3984375" style="6" customWidth="1"/>
    <col min="6" max="6" width="14.296875" style="6" customWidth="1"/>
    <col min="7" max="7" width="10.796875" style="6" customWidth="1"/>
    <col min="8" max="8" width="12.8984375" style="6" customWidth="1"/>
    <col min="9" max="9" width="10.09765625" style="6" customWidth="1"/>
    <col min="10" max="12" width="8.8984375" style="6"/>
    <col min="13" max="13" width="38.3984375" style="6" customWidth="1"/>
    <col min="14" max="16384" width="8.8984375" style="6"/>
  </cols>
  <sheetData>
    <row r="1" spans="1:26" s="4" customFormat="1" ht="35.1" customHeight="1" x14ac:dyDescent="0.25">
      <c r="A1" s="1"/>
      <c r="B1" s="8" t="s">
        <v>0</v>
      </c>
      <c r="C1" s="3"/>
      <c r="D1" s="3"/>
      <c r="E1" s="3"/>
      <c r="F1" s="3"/>
      <c r="G1" s="3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26.1" customHeight="1" x14ac:dyDescent="0.25">
      <c r="A2" s="5"/>
      <c r="B2" s="2" t="s">
        <v>61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5" spans="1:26" s="9" customFormat="1" x14ac:dyDescent="0.25">
      <c r="B5" s="10" t="s">
        <v>31</v>
      </c>
    </row>
    <row r="7" spans="1:26" x14ac:dyDescent="0.25">
      <c r="B7" s="21" t="s">
        <v>49</v>
      </c>
    </row>
    <row r="8" spans="1:26" x14ac:dyDescent="0.25">
      <c r="B8" s="22"/>
    </row>
    <row r="9" spans="1:26" ht="14.4" x14ac:dyDescent="0.3">
      <c r="C9" s="15" t="s">
        <v>52</v>
      </c>
      <c r="D9" s="15" t="s">
        <v>53</v>
      </c>
      <c r="E9" s="15" t="s">
        <v>54</v>
      </c>
      <c r="F9" s="15" t="s">
        <v>55</v>
      </c>
      <c r="G9" s="15" t="s">
        <v>56</v>
      </c>
      <c r="I9" s="15" t="s">
        <v>18</v>
      </c>
    </row>
    <row r="10" spans="1:26" ht="14.4" x14ac:dyDescent="0.3">
      <c r="B10" s="6" t="s">
        <v>19</v>
      </c>
      <c r="C10" s="16"/>
      <c r="D10" s="23">
        <v>0.31</v>
      </c>
      <c r="I10" s="15" t="s">
        <v>20</v>
      </c>
    </row>
    <row r="11" spans="1:26" ht="14.4" x14ac:dyDescent="0.3">
      <c r="B11" s="6" t="s">
        <v>21</v>
      </c>
      <c r="C11" s="16"/>
      <c r="D11" s="24">
        <v>5</v>
      </c>
      <c r="I11" s="15" t="s">
        <v>22</v>
      </c>
    </row>
    <row r="12" spans="1:26" ht="14.4" x14ac:dyDescent="0.3">
      <c r="B12" s="6" t="s">
        <v>23</v>
      </c>
      <c r="C12" s="16"/>
      <c r="D12" s="24">
        <v>12</v>
      </c>
      <c r="I12" s="15" t="s">
        <v>41</v>
      </c>
    </row>
    <row r="13" spans="1:26" ht="14.4" x14ac:dyDescent="0.3">
      <c r="I13" s="15"/>
    </row>
    <row r="14" spans="1:26" s="9" customFormat="1" x14ac:dyDescent="0.25">
      <c r="B14" s="10" t="s">
        <v>32</v>
      </c>
    </row>
    <row r="15" spans="1:26" ht="14.4" x14ac:dyDescent="0.3">
      <c r="I15" s="15"/>
    </row>
    <row r="16" spans="1:26" ht="14.4" x14ac:dyDescent="0.3">
      <c r="B16" s="22" t="s">
        <v>42</v>
      </c>
      <c r="C16" s="15" t="str">
        <f>D9</f>
        <v>2025–26</v>
      </c>
      <c r="I16" s="15"/>
    </row>
    <row r="17" spans="2:10" ht="14.4" x14ac:dyDescent="0.3">
      <c r="B17" s="6" t="s">
        <v>19</v>
      </c>
      <c r="C17" s="13">
        <f>IF(D10&gt;'Key inputs'!C30,'Key inputs'!C30,IF(D10&lt;'Key inputs'!C36,'Key inputs'!C36,D10))</f>
        <v>0.28999999999999998</v>
      </c>
      <c r="I17" s="15"/>
    </row>
    <row r="18" spans="2:10" ht="14.4" x14ac:dyDescent="0.3">
      <c r="B18" s="6" t="s">
        <v>21</v>
      </c>
      <c r="C18" s="66">
        <f>IF(D11&gt;'Key inputs'!C31,'Key inputs'!C31,IF(D11&lt;'Key inputs'!C37,'Key inputs'!C37,D11))</f>
        <v>4.51</v>
      </c>
      <c r="I18" s="15"/>
    </row>
    <row r="19" spans="2:10" ht="14.4" x14ac:dyDescent="0.3">
      <c r="B19" s="6" t="s">
        <v>23</v>
      </c>
      <c r="C19" s="66">
        <f>IF(D12&lt;'Key inputs'!C32,'Key inputs'!C32,IF(D12&gt;'Key inputs'!C38,'Key inputs'!C38,D12))</f>
        <v>13.4</v>
      </c>
      <c r="I19" s="15"/>
    </row>
    <row r="20" spans="2:10" ht="14.4" x14ac:dyDescent="0.3">
      <c r="I20" s="15"/>
    </row>
    <row r="21" spans="2:10" ht="14.4" x14ac:dyDescent="0.3">
      <c r="B21" s="22" t="s">
        <v>43</v>
      </c>
      <c r="C21" s="15" t="str">
        <f>D9</f>
        <v>2025–26</v>
      </c>
      <c r="D21" s="15"/>
      <c r="F21" s="15"/>
      <c r="G21" s="15"/>
      <c r="H21" s="15"/>
      <c r="J21" s="15"/>
    </row>
    <row r="22" spans="2:10" ht="14.4" x14ac:dyDescent="0.3">
      <c r="B22" s="6" t="s">
        <v>19</v>
      </c>
      <c r="C22" s="13">
        <f>(C17-'Key inputs'!C18)*'Key inputs'!$C24*100</f>
        <v>5.0000000000000079E-3</v>
      </c>
      <c r="E22" s="29"/>
      <c r="F22" s="13"/>
      <c r="G22" s="13"/>
      <c r="H22" s="13"/>
      <c r="J22" s="15"/>
    </row>
    <row r="23" spans="2:10" ht="14.4" x14ac:dyDescent="0.3">
      <c r="B23" s="6" t="s">
        <v>21</v>
      </c>
      <c r="C23" s="13">
        <f>(C18-'Key inputs'!$C19)*'Key inputs'!$C25*100</f>
        <v>4.9999999999999992E-3</v>
      </c>
      <c r="D23" s="13"/>
      <c r="F23" s="13"/>
      <c r="G23" s="13"/>
      <c r="H23" s="13"/>
      <c r="J23" s="15"/>
    </row>
    <row r="24" spans="2:10" ht="14.4" x14ac:dyDescent="0.3">
      <c r="B24" s="6" t="s">
        <v>23</v>
      </c>
      <c r="C24" s="13">
        <f>(C19-'Key inputs'!$C20)*'Key inputs'!$C26*100</f>
        <v>4.9999999999999697E-3</v>
      </c>
      <c r="D24" s="13"/>
      <c r="F24" s="13"/>
      <c r="G24" s="13"/>
      <c r="H24" s="13"/>
      <c r="J24" s="15"/>
    </row>
    <row r="25" spans="2:10" ht="14.4" x14ac:dyDescent="0.3">
      <c r="J25" s="15"/>
    </row>
    <row r="26" spans="2:10" ht="14.4" x14ac:dyDescent="0.3">
      <c r="B26" s="22" t="s">
        <v>44</v>
      </c>
      <c r="F26" s="15"/>
      <c r="G26" s="15"/>
      <c r="H26" s="15"/>
      <c r="J26" s="15"/>
    </row>
    <row r="27" spans="2:10" ht="14.4" x14ac:dyDescent="0.3">
      <c r="B27" s="22"/>
      <c r="C27" s="15" t="s">
        <v>33</v>
      </c>
      <c r="D27" s="15" t="s">
        <v>34</v>
      </c>
      <c r="F27" s="15"/>
      <c r="G27" s="15"/>
      <c r="H27" s="15"/>
      <c r="J27" s="15"/>
    </row>
    <row r="28" spans="2:10" x14ac:dyDescent="0.25">
      <c r="B28" s="6" t="s">
        <v>19</v>
      </c>
      <c r="C28" s="26">
        <f>'Key inputs'!$C$6*'Key inputs'!$E$43*'Key inputs'!$C11</f>
        <v>2978018.3195517403</v>
      </c>
      <c r="D28" s="26">
        <f>'Key inputs'!$C$7*'Key inputs'!$E$43*'Key inputs'!$C11</f>
        <v>-2978018.3195517403</v>
      </c>
    </row>
    <row r="29" spans="2:10" x14ac:dyDescent="0.25">
      <c r="B29" s="6" t="s">
        <v>21</v>
      </c>
      <c r="C29" s="26">
        <f>'Key inputs'!$C$6*'Key inputs'!$E$43*'Key inputs'!$C12</f>
        <v>1191207.3278206962</v>
      </c>
      <c r="D29" s="26">
        <f>'Key inputs'!$C$7*'Key inputs'!$E$43*'Key inputs'!$C12</f>
        <v>-1191207.3278206962</v>
      </c>
    </row>
    <row r="30" spans="2:10" x14ac:dyDescent="0.25">
      <c r="B30" s="6" t="s">
        <v>23</v>
      </c>
      <c r="C30" s="26">
        <f>'Key inputs'!$C$6*'Key inputs'!$E$43*'Key inputs'!$C13</f>
        <v>1786810.9917310441</v>
      </c>
      <c r="D30" s="26">
        <f>'Key inputs'!$C$7*'Key inputs'!$E$43*'Key inputs'!$C13</f>
        <v>-1786810.9917310441</v>
      </c>
    </row>
    <row r="31" spans="2:10" x14ac:dyDescent="0.25">
      <c r="B31" s="6" t="s">
        <v>35</v>
      </c>
      <c r="C31" s="18">
        <f>SUM(C28:C30)</f>
        <v>5956036.6391034806</v>
      </c>
      <c r="D31" s="18">
        <f>SUM(D28:D30)</f>
        <v>-5956036.6391034806</v>
      </c>
    </row>
    <row r="32" spans="2:10" ht="14.4" x14ac:dyDescent="0.3">
      <c r="J32" s="15"/>
    </row>
    <row r="33" spans="2:13" ht="14.4" x14ac:dyDescent="0.3">
      <c r="B33" s="27" t="s">
        <v>45</v>
      </c>
      <c r="C33" s="15" t="str">
        <f>D9</f>
        <v>2025–26</v>
      </c>
      <c r="D33" s="15"/>
      <c r="F33" s="15"/>
      <c r="G33" s="15"/>
      <c r="H33" s="15"/>
      <c r="J33" s="15"/>
      <c r="L33" s="15"/>
    </row>
    <row r="34" spans="2:13" ht="14.4" x14ac:dyDescent="0.3">
      <c r="B34" s="6" t="s">
        <v>19</v>
      </c>
      <c r="C34" s="28">
        <f>MAX(MIN(C22*'Key inputs'!$E$43*'Key inputs'!C11,$C28),$D28)</f>
        <v>2978018.3195517403</v>
      </c>
      <c r="D34" s="28"/>
      <c r="E34" s="29"/>
      <c r="F34" s="28"/>
      <c r="G34" s="28"/>
      <c r="H34" s="28"/>
      <c r="J34" s="15"/>
      <c r="L34" s="15"/>
    </row>
    <row r="35" spans="2:13" ht="14.4" x14ac:dyDescent="0.3">
      <c r="B35" s="6" t="s">
        <v>21</v>
      </c>
      <c r="C35" s="28">
        <f>MAX(MIN(C23*'Key inputs'!$E$43*'Key inputs'!C12,$C29),$D29)</f>
        <v>1191207.3278206959</v>
      </c>
      <c r="D35" s="28"/>
      <c r="F35" s="28"/>
      <c r="G35" s="28"/>
      <c r="H35" s="28"/>
      <c r="J35" s="15"/>
      <c r="L35" s="15"/>
      <c r="M35" s="6" t="s">
        <v>36</v>
      </c>
    </row>
    <row r="36" spans="2:13" ht="14.4" x14ac:dyDescent="0.3">
      <c r="B36" s="6" t="s">
        <v>23</v>
      </c>
      <c r="C36" s="28">
        <f>MAX(MIN(C24*'Key inputs'!$E$43*'Key inputs'!C13,$C30),$D30)</f>
        <v>1786810.9917310332</v>
      </c>
      <c r="D36" s="28"/>
      <c r="F36" s="28"/>
      <c r="G36" s="28"/>
      <c r="H36" s="28"/>
      <c r="J36" s="15"/>
      <c r="L36" s="15"/>
    </row>
    <row r="37" spans="2:13" ht="14.4" x14ac:dyDescent="0.3">
      <c r="C37" s="28"/>
      <c r="D37" s="28"/>
      <c r="F37" s="28"/>
      <c r="G37" s="28"/>
      <c r="H37" s="28"/>
      <c r="J37" s="15"/>
    </row>
    <row r="38" spans="2:13" ht="14.4" x14ac:dyDescent="0.3">
      <c r="B38" s="22" t="s">
        <v>46</v>
      </c>
      <c r="C38" s="15" t="str">
        <f>D9</f>
        <v>2025–26</v>
      </c>
      <c r="D38" s="28"/>
      <c r="F38" s="28"/>
      <c r="G38" s="28"/>
      <c r="H38" s="28"/>
      <c r="J38" s="15"/>
    </row>
    <row r="39" spans="2:13" ht="14.4" x14ac:dyDescent="0.3">
      <c r="B39" s="6" t="s">
        <v>35</v>
      </c>
      <c r="C39" s="28">
        <f>SUM(C34:C36)</f>
        <v>5956036.6391034694</v>
      </c>
      <c r="D39" s="28"/>
      <c r="F39" s="28"/>
      <c r="G39" s="28"/>
      <c r="H39" s="28"/>
      <c r="J39" s="15"/>
    </row>
    <row r="40" spans="2:13" ht="14.4" x14ac:dyDescent="0.3">
      <c r="B40" s="15" t="s">
        <v>37</v>
      </c>
      <c r="C40" s="30" t="b">
        <f>IF(C39&gt;=$D$31,IF(C39&lt;=$C$31,TRUE,FALSE),FALSE)</f>
        <v>1</v>
      </c>
      <c r="D40" s="35"/>
      <c r="F40" s="15"/>
      <c r="G40" s="15"/>
      <c r="H40" s="15"/>
      <c r="J40" s="15"/>
    </row>
    <row r="41" spans="2:13" ht="14.4" x14ac:dyDescent="0.3">
      <c r="J41" s="15"/>
    </row>
    <row r="42" spans="2:13" s="9" customFormat="1" x14ac:dyDescent="0.25">
      <c r="B42" s="10" t="s">
        <v>38</v>
      </c>
    </row>
    <row r="43" spans="2:13" ht="14.4" x14ac:dyDescent="0.3">
      <c r="B43" s="22"/>
      <c r="I43" s="15"/>
    </row>
    <row r="44" spans="2:13" ht="14.4" x14ac:dyDescent="0.3">
      <c r="B44" s="22" t="s">
        <v>47</v>
      </c>
      <c r="I44" s="15"/>
    </row>
    <row r="46" spans="2:13" x14ac:dyDescent="0.25">
      <c r="C46" s="6" t="s">
        <v>52</v>
      </c>
      <c r="D46" s="6" t="s">
        <v>53</v>
      </c>
      <c r="E46" s="6" t="s">
        <v>54</v>
      </c>
      <c r="F46" s="6" t="s">
        <v>55</v>
      </c>
      <c r="G46" s="6" t="s">
        <v>56</v>
      </c>
      <c r="H46" s="6" t="s">
        <v>57</v>
      </c>
      <c r="I46" s="6" t="s">
        <v>58</v>
      </c>
    </row>
    <row r="47" spans="2:13" x14ac:dyDescent="0.25">
      <c r="B47" s="6" t="s">
        <v>39</v>
      </c>
      <c r="C47" s="31">
        <v>1</v>
      </c>
      <c r="D47" s="31">
        <f>C47*(1+'Key inputs'!E46)</f>
        <v>1.028</v>
      </c>
      <c r="E47" s="31">
        <f>D47*(1+'Key inputs'!F46)</f>
        <v>1.0567839999999999</v>
      </c>
      <c r="F47" s="31">
        <f>E47*(1+'Key inputs'!G46)</f>
        <v>1.086373952</v>
      </c>
      <c r="G47" s="31">
        <f>F47*(1+'Key inputs'!H46)</f>
        <v>1.116792422656</v>
      </c>
      <c r="H47" s="31">
        <f>G47*(1+'Key inputs'!I46)</f>
        <v>1.148062610490368</v>
      </c>
      <c r="I47" s="31">
        <f>H47*(1+'Key inputs'!J46)</f>
        <v>1.1802083635840983</v>
      </c>
    </row>
    <row r="50" spans="2:9" x14ac:dyDescent="0.25">
      <c r="C50" s="6" t="str">
        <f>C46</f>
        <v>2024–25</v>
      </c>
      <c r="D50" s="6" t="str">
        <f t="shared" ref="D50:I50" si="0">D46</f>
        <v>2025–26</v>
      </c>
      <c r="E50" s="6" t="str">
        <f t="shared" si="0"/>
        <v>2026–27</v>
      </c>
      <c r="F50" s="6" t="str">
        <f t="shared" si="0"/>
        <v>2027–28</v>
      </c>
      <c r="G50" s="6" t="str">
        <f t="shared" si="0"/>
        <v>2028–29</v>
      </c>
      <c r="H50" s="6" t="str">
        <f t="shared" si="0"/>
        <v>2029–30</v>
      </c>
      <c r="I50" s="6" t="str">
        <f t="shared" si="0"/>
        <v>2030–31</v>
      </c>
    </row>
    <row r="51" spans="2:9" x14ac:dyDescent="0.25">
      <c r="B51" s="6" t="s">
        <v>40</v>
      </c>
      <c r="C51" s="32"/>
      <c r="D51" s="32"/>
      <c r="E51" s="32"/>
      <c r="F51" s="33">
        <f>C39*(F47/C47)</f>
        <v>6470483.0618796339</v>
      </c>
      <c r="G51" s="34"/>
      <c r="H51" s="28"/>
      <c r="I51" s="2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3984-E21F-4175-8CD3-9E476741E5FF}">
  <dimension ref="A1:Z51"/>
  <sheetViews>
    <sheetView zoomScale="85" zoomScaleNormal="85" workbookViewId="0">
      <selection activeCell="C17" sqref="C17:C19"/>
    </sheetView>
  </sheetViews>
  <sheetFormatPr defaultColWidth="8.8984375" defaultRowHeight="13.8" x14ac:dyDescent="0.25"/>
  <cols>
    <col min="1" max="1" width="4.8984375" style="6" customWidth="1"/>
    <col min="2" max="2" width="34.09765625" style="6" customWidth="1"/>
    <col min="3" max="3" width="14.3984375" style="6" bestFit="1" customWidth="1"/>
    <col min="4" max="4" width="13.3984375" style="6" bestFit="1" customWidth="1"/>
    <col min="5" max="5" width="16.3984375" style="6" customWidth="1"/>
    <col min="6" max="6" width="14.296875" style="6" customWidth="1"/>
    <col min="7" max="7" width="12" style="6" customWidth="1"/>
    <col min="8" max="8" width="12.8984375" style="6" customWidth="1"/>
    <col min="9" max="9" width="10.09765625" style="6" customWidth="1"/>
    <col min="10" max="12" width="8.8984375" style="6"/>
    <col min="13" max="13" width="38.3984375" style="6" customWidth="1"/>
    <col min="14" max="16384" width="8.8984375" style="6"/>
  </cols>
  <sheetData>
    <row r="1" spans="1:26" s="4" customFormat="1" ht="35.1" customHeight="1" x14ac:dyDescent="0.25">
      <c r="A1" s="1"/>
      <c r="B1" s="8" t="s">
        <v>0</v>
      </c>
      <c r="C1" s="3"/>
      <c r="D1" s="3"/>
      <c r="E1" s="3"/>
      <c r="F1" s="3"/>
      <c r="G1" s="3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26.1" customHeight="1" x14ac:dyDescent="0.25">
      <c r="A2" s="5"/>
      <c r="B2" s="2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5" spans="1:26" s="9" customFormat="1" x14ac:dyDescent="0.25">
      <c r="B5" s="10" t="s">
        <v>31</v>
      </c>
    </row>
    <row r="7" spans="1:26" x14ac:dyDescent="0.25">
      <c r="B7" s="21" t="s">
        <v>49</v>
      </c>
    </row>
    <row r="8" spans="1:26" x14ac:dyDescent="0.25">
      <c r="B8" s="22"/>
    </row>
    <row r="9" spans="1:26" ht="14.4" x14ac:dyDescent="0.3">
      <c r="C9" s="15" t="s">
        <v>52</v>
      </c>
      <c r="D9" s="15" t="s">
        <v>53</v>
      </c>
      <c r="E9" s="15" t="s">
        <v>54</v>
      </c>
      <c r="F9" s="15" t="s">
        <v>55</v>
      </c>
      <c r="G9" s="15" t="s">
        <v>56</v>
      </c>
      <c r="I9" s="15" t="s">
        <v>18</v>
      </c>
    </row>
    <row r="10" spans="1:26" ht="14.4" x14ac:dyDescent="0.3">
      <c r="B10" s="6" t="s">
        <v>19</v>
      </c>
      <c r="C10" s="16"/>
      <c r="E10" s="23">
        <v>0.31</v>
      </c>
      <c r="I10" s="15" t="s">
        <v>20</v>
      </c>
    </row>
    <row r="11" spans="1:26" ht="14.4" x14ac:dyDescent="0.3">
      <c r="B11" s="6" t="s">
        <v>21</v>
      </c>
      <c r="C11" s="16"/>
      <c r="E11" s="24">
        <v>5</v>
      </c>
      <c r="I11" s="15" t="s">
        <v>22</v>
      </c>
    </row>
    <row r="12" spans="1:26" ht="14.4" x14ac:dyDescent="0.3">
      <c r="B12" s="6" t="s">
        <v>23</v>
      </c>
      <c r="C12" s="16"/>
      <c r="E12" s="24">
        <v>12</v>
      </c>
      <c r="I12" s="15" t="s">
        <v>41</v>
      </c>
    </row>
    <row r="13" spans="1:26" ht="14.4" x14ac:dyDescent="0.3">
      <c r="I13" s="15"/>
    </row>
    <row r="14" spans="1:26" s="9" customFormat="1" x14ac:dyDescent="0.25">
      <c r="B14" s="10" t="s">
        <v>32</v>
      </c>
    </row>
    <row r="15" spans="1:26" ht="14.4" x14ac:dyDescent="0.3">
      <c r="I15" s="15"/>
    </row>
    <row r="16" spans="1:26" ht="14.4" x14ac:dyDescent="0.3">
      <c r="B16" s="22" t="s">
        <v>42</v>
      </c>
      <c r="C16" s="15" t="str">
        <f>E9</f>
        <v>2026–27</v>
      </c>
      <c r="D16" s="15"/>
      <c r="F16" s="15"/>
      <c r="G16" s="15"/>
      <c r="H16" s="15"/>
      <c r="J16" s="15"/>
    </row>
    <row r="17" spans="2:10" ht="14.4" x14ac:dyDescent="0.3">
      <c r="B17" s="6" t="s">
        <v>19</v>
      </c>
      <c r="C17" s="13">
        <f>IF(E10&gt;'Key inputs'!C30,'Key inputs'!C30,IF(E10&lt;'Key inputs'!C36,'Key inputs'!C36,E10))</f>
        <v>0.28999999999999998</v>
      </c>
      <c r="E17" s="29"/>
      <c r="F17" s="13"/>
      <c r="G17" s="13"/>
      <c r="H17" s="13"/>
      <c r="J17" s="15"/>
    </row>
    <row r="18" spans="2:10" ht="14.4" x14ac:dyDescent="0.3">
      <c r="B18" s="6" t="s">
        <v>21</v>
      </c>
      <c r="C18" s="66">
        <f>IF(E11&gt;'Key inputs'!C31,'Key inputs'!C31,IF(E11&lt;'Key inputs'!C37,'Key inputs'!C37,E11))</f>
        <v>4.51</v>
      </c>
      <c r="D18" s="13"/>
      <c r="F18" s="13"/>
      <c r="G18" s="13"/>
      <c r="H18" s="13"/>
      <c r="J18" s="15"/>
    </row>
    <row r="19" spans="2:10" ht="14.4" x14ac:dyDescent="0.3">
      <c r="B19" s="6" t="s">
        <v>23</v>
      </c>
      <c r="C19" s="66">
        <f>IF(E12&lt;'Key inputs'!C32,'Key inputs'!C32,IF(E12&gt;'Key inputs'!C38,'Key inputs'!C38,E12))</f>
        <v>13.4</v>
      </c>
      <c r="D19" s="13"/>
      <c r="F19" s="13"/>
      <c r="G19" s="13"/>
      <c r="H19" s="13"/>
      <c r="J19" s="15"/>
    </row>
    <row r="20" spans="2:10" ht="14.4" x14ac:dyDescent="0.3">
      <c r="J20" s="15"/>
    </row>
    <row r="21" spans="2:10" ht="14.4" x14ac:dyDescent="0.3">
      <c r="B21" s="22" t="s">
        <v>43</v>
      </c>
      <c r="C21" s="15" t="str">
        <f>E9</f>
        <v>2026–27</v>
      </c>
      <c r="D21" s="15"/>
      <c r="F21" s="15"/>
      <c r="G21" s="15"/>
      <c r="H21" s="15"/>
      <c r="J21" s="15"/>
    </row>
    <row r="22" spans="2:10" ht="14.4" x14ac:dyDescent="0.3">
      <c r="B22" s="6" t="s">
        <v>19</v>
      </c>
      <c r="C22" s="13">
        <f>(C17-'Key inputs'!C18)*'Key inputs'!$C24*100</f>
        <v>5.0000000000000079E-3</v>
      </c>
      <c r="E22" s="29"/>
      <c r="F22" s="13"/>
      <c r="G22" s="13"/>
      <c r="H22" s="13"/>
      <c r="J22" s="15"/>
    </row>
    <row r="23" spans="2:10" ht="14.4" x14ac:dyDescent="0.3">
      <c r="B23" s="6" t="s">
        <v>21</v>
      </c>
      <c r="C23" s="13">
        <f>(C18-'Key inputs'!$C19)*'Key inputs'!$C25*100</f>
        <v>4.9999999999999992E-3</v>
      </c>
      <c r="D23" s="13"/>
      <c r="F23" s="13"/>
      <c r="G23" s="13"/>
      <c r="H23" s="13"/>
      <c r="J23" s="15"/>
    </row>
    <row r="24" spans="2:10" ht="14.4" x14ac:dyDescent="0.3">
      <c r="B24" s="6" t="s">
        <v>23</v>
      </c>
      <c r="C24" s="13">
        <f>(C19-'Key inputs'!$C20)*'Key inputs'!$C26*100</f>
        <v>4.9999999999999697E-3</v>
      </c>
      <c r="D24" s="13"/>
      <c r="F24" s="13"/>
      <c r="G24" s="13"/>
      <c r="H24" s="13"/>
      <c r="J24" s="15"/>
    </row>
    <row r="25" spans="2:10" ht="14.4" x14ac:dyDescent="0.3">
      <c r="J25" s="15"/>
    </row>
    <row r="26" spans="2:10" ht="14.4" x14ac:dyDescent="0.3">
      <c r="B26" s="22" t="s">
        <v>44</v>
      </c>
      <c r="F26" s="15"/>
      <c r="G26" s="15"/>
      <c r="H26" s="15"/>
      <c r="J26" s="15"/>
    </row>
    <row r="27" spans="2:10" ht="14.4" x14ac:dyDescent="0.3">
      <c r="B27" s="22"/>
      <c r="C27" s="15" t="s">
        <v>33</v>
      </c>
      <c r="D27" s="15" t="s">
        <v>34</v>
      </c>
      <c r="F27" s="15"/>
      <c r="G27" s="15"/>
      <c r="H27" s="15"/>
      <c r="J27" s="15"/>
    </row>
    <row r="28" spans="2:10" x14ac:dyDescent="0.25">
      <c r="B28" s="6" t="s">
        <v>19</v>
      </c>
      <c r="C28" s="26">
        <f>'Key inputs'!$C$6*'Key inputs'!$F$43*'Key inputs'!$C11</f>
        <v>3092179.7624798752</v>
      </c>
      <c r="D28" s="26">
        <f>'Key inputs'!$C$7*'Key inputs'!$F$43*'Key inputs'!$C11</f>
        <v>-3092179.7624798752</v>
      </c>
    </row>
    <row r="29" spans="2:10" x14ac:dyDescent="0.25">
      <c r="B29" s="6" t="s">
        <v>21</v>
      </c>
      <c r="C29" s="26">
        <f>'Key inputs'!$C$6*'Key inputs'!$F$43*'Key inputs'!$C12</f>
        <v>1236871.9049919501</v>
      </c>
      <c r="D29" s="26">
        <f>'Key inputs'!$C$7*'Key inputs'!$F$43*'Key inputs'!$C12</f>
        <v>-1236871.9049919501</v>
      </c>
    </row>
    <row r="30" spans="2:10" x14ac:dyDescent="0.25">
      <c r="B30" s="6" t="s">
        <v>23</v>
      </c>
      <c r="C30" s="26">
        <f>'Key inputs'!$C$6*'Key inputs'!$F$43*'Key inputs'!$C13</f>
        <v>1855307.8574879251</v>
      </c>
      <c r="D30" s="26">
        <f>'Key inputs'!$C$7*'Key inputs'!$F$43*'Key inputs'!$C13</f>
        <v>-1855307.8574879251</v>
      </c>
    </row>
    <row r="31" spans="2:10" x14ac:dyDescent="0.25">
      <c r="B31" s="6" t="s">
        <v>35</v>
      </c>
      <c r="C31" s="18">
        <f>SUM(C28:C30)</f>
        <v>6184359.5249597505</v>
      </c>
      <c r="D31" s="18">
        <f>SUM(D28:D30)</f>
        <v>-6184359.5249597505</v>
      </c>
    </row>
    <row r="32" spans="2:10" ht="14.4" x14ac:dyDescent="0.3">
      <c r="J32" s="15"/>
    </row>
    <row r="33" spans="2:13" ht="14.4" x14ac:dyDescent="0.3">
      <c r="B33" s="27" t="s">
        <v>45</v>
      </c>
      <c r="C33" s="15" t="str">
        <f>E9</f>
        <v>2026–27</v>
      </c>
      <c r="D33" s="15"/>
      <c r="F33" s="15"/>
      <c r="G33" s="15"/>
      <c r="H33" s="15"/>
      <c r="J33" s="15"/>
      <c r="L33" s="15"/>
    </row>
    <row r="34" spans="2:13" ht="14.4" x14ac:dyDescent="0.3">
      <c r="B34" s="6" t="s">
        <v>19</v>
      </c>
      <c r="C34" s="28">
        <f>MAX(MIN(C22*'Key inputs'!$F$43*'Key inputs'!C11,$C28),$D28)</f>
        <v>3092179.7624798752</v>
      </c>
      <c r="D34" s="28"/>
      <c r="E34" s="29"/>
      <c r="F34" s="28"/>
      <c r="G34" s="28"/>
      <c r="H34" s="28"/>
      <c r="J34" s="15"/>
      <c r="L34" s="15"/>
    </row>
    <row r="35" spans="2:13" ht="14.4" x14ac:dyDescent="0.3">
      <c r="B35" s="6" t="s">
        <v>21</v>
      </c>
      <c r="C35" s="28">
        <f>MAX(MIN(C23*'Key inputs'!$F$43*'Key inputs'!C12,$C29),$D29)</f>
        <v>1236871.9049919499</v>
      </c>
      <c r="D35" s="28"/>
      <c r="F35" s="28"/>
      <c r="G35" s="28"/>
      <c r="H35" s="28"/>
      <c r="J35" s="15"/>
      <c r="L35" s="15"/>
      <c r="M35" s="6" t="s">
        <v>36</v>
      </c>
    </row>
    <row r="36" spans="2:13" ht="14.4" x14ac:dyDescent="0.3">
      <c r="B36" s="6" t="s">
        <v>23</v>
      </c>
      <c r="C36" s="28">
        <f>MAX(MIN(C24*'Key inputs'!$F$43*'Key inputs'!C13,$C30),$D30)</f>
        <v>1855307.8574879139</v>
      </c>
      <c r="D36" s="28"/>
      <c r="F36" s="28"/>
      <c r="G36" s="28"/>
      <c r="H36" s="28"/>
      <c r="J36" s="15"/>
      <c r="L36" s="15"/>
    </row>
    <row r="37" spans="2:13" ht="14.4" x14ac:dyDescent="0.3">
      <c r="C37" s="28"/>
      <c r="D37" s="28"/>
      <c r="F37" s="28"/>
      <c r="G37" s="28"/>
      <c r="H37" s="28"/>
      <c r="J37" s="15"/>
    </row>
    <row r="38" spans="2:13" ht="14.4" x14ac:dyDescent="0.3">
      <c r="B38" s="22" t="s">
        <v>46</v>
      </c>
      <c r="C38" s="15" t="str">
        <f>E9</f>
        <v>2026–27</v>
      </c>
      <c r="D38" s="28"/>
      <c r="F38" s="28"/>
      <c r="G38" s="28"/>
      <c r="H38" s="28"/>
      <c r="J38" s="15"/>
    </row>
    <row r="39" spans="2:13" ht="14.4" x14ac:dyDescent="0.3">
      <c r="B39" s="6" t="s">
        <v>35</v>
      </c>
      <c r="C39" s="28">
        <f>SUM(C34:C36)</f>
        <v>6184359.5249597393</v>
      </c>
      <c r="D39" s="28"/>
      <c r="F39" s="28"/>
      <c r="G39" s="28"/>
      <c r="H39" s="28"/>
      <c r="J39" s="15"/>
    </row>
    <row r="40" spans="2:13" ht="14.4" x14ac:dyDescent="0.3">
      <c r="B40" s="15" t="s">
        <v>37</v>
      </c>
      <c r="C40" s="30" t="b">
        <f>IF(C39&gt;=$D$31,IF(C39&lt;=$C$31,TRUE,FALSE),FALSE)</f>
        <v>1</v>
      </c>
      <c r="D40" s="35"/>
      <c r="F40" s="15"/>
      <c r="G40" s="15"/>
      <c r="H40" s="15"/>
      <c r="J40" s="15"/>
    </row>
    <row r="41" spans="2:13" ht="14.4" x14ac:dyDescent="0.3">
      <c r="J41" s="15"/>
    </row>
    <row r="42" spans="2:13" s="9" customFormat="1" x14ac:dyDescent="0.25">
      <c r="B42" s="10" t="s">
        <v>38</v>
      </c>
    </row>
    <row r="43" spans="2:13" ht="14.4" x14ac:dyDescent="0.3">
      <c r="B43" s="22"/>
      <c r="I43" s="15"/>
    </row>
    <row r="44" spans="2:13" ht="14.4" x14ac:dyDescent="0.3">
      <c r="B44" s="22" t="s">
        <v>47</v>
      </c>
      <c r="I44" s="15"/>
    </row>
    <row r="46" spans="2:13" x14ac:dyDescent="0.25">
      <c r="C46" s="6" t="s">
        <v>52</v>
      </c>
      <c r="D46" s="6" t="s">
        <v>53</v>
      </c>
      <c r="E46" s="6" t="s">
        <v>54</v>
      </c>
      <c r="F46" s="6" t="s">
        <v>55</v>
      </c>
      <c r="G46" s="6" t="s">
        <v>56</v>
      </c>
      <c r="H46" s="6" t="s">
        <v>57</v>
      </c>
      <c r="I46" s="6" t="s">
        <v>58</v>
      </c>
    </row>
    <row r="47" spans="2:13" x14ac:dyDescent="0.25">
      <c r="B47" s="6" t="s">
        <v>39</v>
      </c>
      <c r="C47" s="31">
        <v>1</v>
      </c>
      <c r="D47" s="31">
        <f>C47*(1+'Key inputs'!E46)</f>
        <v>1.028</v>
      </c>
      <c r="E47" s="31">
        <f>D47*(1+'Key inputs'!F46)</f>
        <v>1.0567839999999999</v>
      </c>
      <c r="F47" s="31">
        <f>E47*(1+'Key inputs'!G46)</f>
        <v>1.086373952</v>
      </c>
      <c r="G47" s="31">
        <f>F47*(1+'Key inputs'!H46)</f>
        <v>1.116792422656</v>
      </c>
      <c r="H47" s="31">
        <f>G47*(1+'Key inputs'!I46)</f>
        <v>1.148062610490368</v>
      </c>
      <c r="I47" s="31">
        <f>H47*(1+'Key inputs'!J46)</f>
        <v>1.1802083635840983</v>
      </c>
    </row>
    <row r="50" spans="2:9" x14ac:dyDescent="0.25">
      <c r="C50" s="6" t="str">
        <f>C46</f>
        <v>2024–25</v>
      </c>
      <c r="D50" s="6" t="str">
        <f t="shared" ref="D50:I50" si="0">D46</f>
        <v>2025–26</v>
      </c>
      <c r="E50" s="6" t="str">
        <f t="shared" si="0"/>
        <v>2026–27</v>
      </c>
      <c r="F50" s="6" t="str">
        <f t="shared" si="0"/>
        <v>2027–28</v>
      </c>
      <c r="G50" s="6" t="str">
        <f t="shared" si="0"/>
        <v>2028–29</v>
      </c>
      <c r="H50" s="6" t="str">
        <f t="shared" si="0"/>
        <v>2029–30</v>
      </c>
      <c r="I50" s="6" t="str">
        <f t="shared" si="0"/>
        <v>2030–31</v>
      </c>
    </row>
    <row r="51" spans="2:9" x14ac:dyDescent="0.25">
      <c r="B51" s="6" t="s">
        <v>40</v>
      </c>
      <c r="G51" s="36">
        <f>C39*(G47/C47)</f>
        <v>6906645.8564554965</v>
      </c>
      <c r="H51" s="28"/>
      <c r="I51" s="2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0B63-8D72-4588-87C8-BDC7EB5AD012}">
  <dimension ref="A1:Z51"/>
  <sheetViews>
    <sheetView zoomScale="85" zoomScaleNormal="85" workbookViewId="0">
      <selection activeCell="E28" sqref="E28"/>
    </sheetView>
  </sheetViews>
  <sheetFormatPr defaultColWidth="8.8984375" defaultRowHeight="13.8" x14ac:dyDescent="0.25"/>
  <cols>
    <col min="1" max="1" width="4.8984375" style="6" customWidth="1"/>
    <col min="2" max="2" width="34.09765625" style="6" customWidth="1"/>
    <col min="3" max="3" width="14.3984375" style="6" bestFit="1" customWidth="1"/>
    <col min="4" max="4" width="13.3984375" style="6" bestFit="1" customWidth="1"/>
    <col min="5" max="5" width="16.3984375" style="6" customWidth="1"/>
    <col min="6" max="6" width="14.296875" style="6" customWidth="1"/>
    <col min="7" max="7" width="10.796875" style="6" customWidth="1"/>
    <col min="8" max="8" width="12.8984375" style="6" customWidth="1"/>
    <col min="9" max="9" width="10.09765625" style="6" customWidth="1"/>
    <col min="10" max="12" width="8.8984375" style="6"/>
    <col min="13" max="13" width="38.3984375" style="6" customWidth="1"/>
    <col min="14" max="16384" width="8.8984375" style="6"/>
  </cols>
  <sheetData>
    <row r="1" spans="1:26" s="4" customFormat="1" ht="35.1" customHeight="1" x14ac:dyDescent="0.25">
      <c r="A1" s="1"/>
      <c r="B1" s="8" t="s">
        <v>0</v>
      </c>
      <c r="C1" s="3"/>
      <c r="D1" s="3"/>
      <c r="E1" s="3"/>
      <c r="F1" s="3"/>
      <c r="G1" s="3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26.1" customHeight="1" x14ac:dyDescent="0.25">
      <c r="A2" s="5"/>
      <c r="B2" s="2" t="s">
        <v>63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5" spans="1:26" s="9" customFormat="1" x14ac:dyDescent="0.25">
      <c r="B5" s="10" t="s">
        <v>31</v>
      </c>
    </row>
    <row r="7" spans="1:26" x14ac:dyDescent="0.25">
      <c r="B7" s="21" t="s">
        <v>49</v>
      </c>
    </row>
    <row r="8" spans="1:26" x14ac:dyDescent="0.25">
      <c r="B8" s="22"/>
    </row>
    <row r="9" spans="1:26" ht="14.4" x14ac:dyDescent="0.3">
      <c r="C9" s="15" t="s">
        <v>52</v>
      </c>
      <c r="D9" s="15" t="s">
        <v>53</v>
      </c>
      <c r="E9" s="15" t="s">
        <v>54</v>
      </c>
      <c r="F9" s="15" t="s">
        <v>55</v>
      </c>
      <c r="G9" s="15" t="s">
        <v>56</v>
      </c>
      <c r="I9" s="15" t="s">
        <v>18</v>
      </c>
    </row>
    <row r="10" spans="1:26" ht="14.4" x14ac:dyDescent="0.3">
      <c r="B10" s="6" t="s">
        <v>19</v>
      </c>
      <c r="C10" s="16"/>
      <c r="F10" s="23">
        <v>0.31</v>
      </c>
      <c r="I10" s="15" t="s">
        <v>20</v>
      </c>
    </row>
    <row r="11" spans="1:26" ht="14.4" x14ac:dyDescent="0.3">
      <c r="B11" s="6" t="s">
        <v>21</v>
      </c>
      <c r="C11" s="16"/>
      <c r="F11" s="24">
        <v>5</v>
      </c>
      <c r="I11" s="15" t="s">
        <v>22</v>
      </c>
    </row>
    <row r="12" spans="1:26" ht="14.4" x14ac:dyDescent="0.3">
      <c r="B12" s="6" t="s">
        <v>23</v>
      </c>
      <c r="C12" s="16"/>
      <c r="F12" s="24">
        <v>12</v>
      </c>
      <c r="I12" s="15" t="s">
        <v>41</v>
      </c>
    </row>
    <row r="13" spans="1:26" ht="14.4" x14ac:dyDescent="0.3">
      <c r="I13" s="15"/>
    </row>
    <row r="14" spans="1:26" s="9" customFormat="1" x14ac:dyDescent="0.25">
      <c r="B14" s="10" t="s">
        <v>32</v>
      </c>
    </row>
    <row r="15" spans="1:26" ht="14.4" x14ac:dyDescent="0.3">
      <c r="I15" s="15"/>
    </row>
    <row r="16" spans="1:26" ht="14.4" x14ac:dyDescent="0.3">
      <c r="B16" s="22" t="s">
        <v>42</v>
      </c>
      <c r="C16" s="15" t="str">
        <f>F9</f>
        <v>2027–28</v>
      </c>
      <c r="D16" s="15"/>
      <c r="F16" s="15"/>
      <c r="G16" s="15"/>
      <c r="H16" s="15"/>
      <c r="J16" s="15"/>
    </row>
    <row r="17" spans="2:10" ht="14.4" x14ac:dyDescent="0.3">
      <c r="B17" s="6" t="s">
        <v>19</v>
      </c>
      <c r="C17" s="13">
        <f>IF(F10&gt;'Key inputs'!C30,'Key inputs'!C30,IF(F10&lt;'Key inputs'!C36,'Key inputs'!C36,F10))</f>
        <v>0.28999999999999998</v>
      </c>
      <c r="E17" s="29"/>
      <c r="F17" s="13"/>
      <c r="G17" s="13"/>
      <c r="H17" s="13"/>
      <c r="J17" s="15"/>
    </row>
    <row r="18" spans="2:10" ht="14.4" x14ac:dyDescent="0.3">
      <c r="B18" s="6" t="s">
        <v>21</v>
      </c>
      <c r="C18" s="66">
        <f>IF(F11&gt;'Key inputs'!C31,'Key inputs'!C31,IF(F11&lt;'Key inputs'!C37,'Key inputs'!C37,F11))</f>
        <v>4.51</v>
      </c>
      <c r="D18" s="13"/>
      <c r="F18" s="13"/>
      <c r="G18" s="13"/>
      <c r="H18" s="13"/>
      <c r="J18" s="15"/>
    </row>
    <row r="19" spans="2:10" ht="14.4" x14ac:dyDescent="0.3">
      <c r="B19" s="6" t="s">
        <v>23</v>
      </c>
      <c r="C19" s="66">
        <f>IF(F12&lt;'Key inputs'!C32,'Key inputs'!C32,IF(F12&gt;'Key inputs'!C38,'Key inputs'!C38,F12))</f>
        <v>13.4</v>
      </c>
      <c r="D19" s="13"/>
      <c r="F19" s="13"/>
      <c r="G19" s="13"/>
      <c r="H19" s="13"/>
      <c r="J19" s="15"/>
    </row>
    <row r="20" spans="2:10" ht="14.4" x14ac:dyDescent="0.3">
      <c r="J20" s="15"/>
    </row>
    <row r="21" spans="2:10" ht="14.4" x14ac:dyDescent="0.3">
      <c r="B21" s="22" t="s">
        <v>43</v>
      </c>
      <c r="C21" s="15" t="str">
        <f>F9</f>
        <v>2027–28</v>
      </c>
      <c r="D21" s="15"/>
      <c r="F21" s="15"/>
      <c r="G21" s="15"/>
      <c r="H21" s="15"/>
      <c r="J21" s="15"/>
    </row>
    <row r="22" spans="2:10" ht="14.4" x14ac:dyDescent="0.3">
      <c r="B22" s="6" t="s">
        <v>19</v>
      </c>
      <c r="C22" s="13">
        <f>(C17-'Key inputs'!C18)*'Key inputs'!$C24*100</f>
        <v>5.0000000000000079E-3</v>
      </c>
      <c r="E22" s="29"/>
      <c r="F22" s="13"/>
      <c r="G22" s="13"/>
      <c r="H22" s="13"/>
      <c r="J22" s="15"/>
    </row>
    <row r="23" spans="2:10" ht="14.4" x14ac:dyDescent="0.3">
      <c r="B23" s="6" t="s">
        <v>21</v>
      </c>
      <c r="C23" s="13">
        <f>(C18-'Key inputs'!$C19)*'Key inputs'!$C25*100</f>
        <v>4.9999999999999992E-3</v>
      </c>
      <c r="D23" s="13"/>
      <c r="F23" s="13"/>
      <c r="G23" s="13"/>
      <c r="H23" s="13"/>
      <c r="J23" s="15"/>
    </row>
    <row r="24" spans="2:10" ht="14.4" x14ac:dyDescent="0.3">
      <c r="B24" s="6" t="s">
        <v>23</v>
      </c>
      <c r="C24" s="13">
        <f>(C19-'Key inputs'!$C20)*'Key inputs'!$C26*100</f>
        <v>4.9999999999999697E-3</v>
      </c>
      <c r="D24" s="13"/>
      <c r="F24" s="13"/>
      <c r="G24" s="13"/>
      <c r="H24" s="13"/>
      <c r="J24" s="15"/>
    </row>
    <row r="25" spans="2:10" ht="14.4" x14ac:dyDescent="0.3">
      <c r="J25" s="15"/>
    </row>
    <row r="26" spans="2:10" ht="14.4" x14ac:dyDescent="0.3">
      <c r="B26" s="22" t="s">
        <v>44</v>
      </c>
      <c r="F26" s="15"/>
      <c r="G26" s="15"/>
      <c r="H26" s="15"/>
      <c r="J26" s="15"/>
    </row>
    <row r="27" spans="2:10" ht="14.4" x14ac:dyDescent="0.3">
      <c r="B27" s="22"/>
      <c r="C27" s="15" t="s">
        <v>33</v>
      </c>
      <c r="D27" s="15" t="s">
        <v>34</v>
      </c>
      <c r="F27" s="15"/>
      <c r="G27" s="15"/>
      <c r="H27" s="15"/>
      <c r="J27" s="15"/>
    </row>
    <row r="28" spans="2:10" x14ac:dyDescent="0.25">
      <c r="B28" s="6" t="s">
        <v>19</v>
      </c>
      <c r="C28" s="26">
        <f>'Key inputs'!$C$6*'Key inputs'!$G$43*'Key inputs'!$C11</f>
        <v>3210717.5502296216</v>
      </c>
      <c r="D28" s="26">
        <f>'Key inputs'!$C$7*'Key inputs'!$G$43*'Key inputs'!$C11</f>
        <v>-3210717.5502296216</v>
      </c>
    </row>
    <row r="29" spans="2:10" x14ac:dyDescent="0.25">
      <c r="B29" s="6" t="s">
        <v>21</v>
      </c>
      <c r="C29" s="26">
        <f>'Key inputs'!$C$6*'Key inputs'!$G$43*'Key inputs'!$C12</f>
        <v>1284287.0200918487</v>
      </c>
      <c r="D29" s="26">
        <f>'Key inputs'!$C$7*'Key inputs'!$G$43*'Key inputs'!$C12</f>
        <v>-1284287.0200918487</v>
      </c>
    </row>
    <row r="30" spans="2:10" x14ac:dyDescent="0.25">
      <c r="B30" s="6" t="s">
        <v>23</v>
      </c>
      <c r="C30" s="26">
        <f>'Key inputs'!$C$6*'Key inputs'!$G$43*'Key inputs'!$C13</f>
        <v>1926430.5301377729</v>
      </c>
      <c r="D30" s="26">
        <f>'Key inputs'!$C$7*'Key inputs'!$G$43*'Key inputs'!$C13</f>
        <v>-1926430.5301377729</v>
      </c>
    </row>
    <row r="31" spans="2:10" x14ac:dyDescent="0.25">
      <c r="B31" s="6" t="s">
        <v>35</v>
      </c>
      <c r="C31" s="18">
        <f>SUM(C28:C30)</f>
        <v>6421435.1004592432</v>
      </c>
      <c r="D31" s="18">
        <f>SUM(D28:D30)</f>
        <v>-6421435.1004592432</v>
      </c>
    </row>
    <row r="32" spans="2:10" ht="14.4" x14ac:dyDescent="0.3">
      <c r="J32" s="15"/>
    </row>
    <row r="33" spans="2:13" ht="14.4" x14ac:dyDescent="0.3">
      <c r="B33" s="27" t="s">
        <v>45</v>
      </c>
      <c r="C33" s="15" t="str">
        <f>F9</f>
        <v>2027–28</v>
      </c>
      <c r="D33" s="15"/>
      <c r="F33" s="15"/>
      <c r="G33" s="15"/>
      <c r="H33" s="15"/>
      <c r="J33" s="15"/>
      <c r="L33" s="15"/>
    </row>
    <row r="34" spans="2:13" ht="14.4" x14ac:dyDescent="0.3">
      <c r="B34" s="6" t="s">
        <v>19</v>
      </c>
      <c r="C34" s="28">
        <f>MAX(MIN(C22*'Key inputs'!$G$43*'Key inputs'!C11,$C28),$D28)</f>
        <v>3210717.5502296216</v>
      </c>
      <c r="D34" s="28"/>
      <c r="E34" s="29"/>
      <c r="F34" s="28"/>
      <c r="G34" s="28"/>
      <c r="H34" s="28"/>
      <c r="J34" s="15"/>
      <c r="L34" s="15"/>
    </row>
    <row r="35" spans="2:13" ht="14.4" x14ac:dyDescent="0.3">
      <c r="B35" s="6" t="s">
        <v>21</v>
      </c>
      <c r="C35" s="28">
        <f>MAX(MIN(C23*'Key inputs'!$G$43*'Key inputs'!C12,$C29),$D29)</f>
        <v>1284287.0200918484</v>
      </c>
      <c r="D35" s="28"/>
      <c r="F35" s="28"/>
      <c r="G35" s="28"/>
      <c r="H35" s="28"/>
      <c r="J35" s="15"/>
      <c r="L35" s="15"/>
      <c r="M35" s="6" t="s">
        <v>36</v>
      </c>
    </row>
    <row r="36" spans="2:13" ht="14.4" x14ac:dyDescent="0.3">
      <c r="B36" s="6" t="s">
        <v>23</v>
      </c>
      <c r="C36" s="28">
        <f>MAX(MIN(C24*'Key inputs'!$G$43*'Key inputs'!C13,$C30),$D30)</f>
        <v>1926430.530137761</v>
      </c>
      <c r="D36" s="28"/>
      <c r="F36" s="28"/>
      <c r="G36" s="28"/>
      <c r="H36" s="28"/>
      <c r="J36" s="15"/>
      <c r="L36" s="15"/>
    </row>
    <row r="37" spans="2:13" ht="14.4" x14ac:dyDescent="0.3">
      <c r="C37" s="28"/>
      <c r="D37" s="28"/>
      <c r="F37" s="28"/>
      <c r="G37" s="28"/>
      <c r="H37" s="28"/>
      <c r="J37" s="15"/>
    </row>
    <row r="38" spans="2:13" ht="14.4" x14ac:dyDescent="0.3">
      <c r="B38" s="22" t="s">
        <v>46</v>
      </c>
      <c r="C38" s="15" t="str">
        <f>F9</f>
        <v>2027–28</v>
      </c>
      <c r="D38" s="28"/>
      <c r="F38" s="28"/>
      <c r="G38" s="28"/>
      <c r="H38" s="28"/>
      <c r="J38" s="15"/>
    </row>
    <row r="39" spans="2:13" ht="14.4" x14ac:dyDescent="0.3">
      <c r="B39" s="6" t="s">
        <v>35</v>
      </c>
      <c r="C39" s="28">
        <f>SUM(C34:C36)</f>
        <v>6421435.1004592311</v>
      </c>
      <c r="D39" s="28"/>
      <c r="F39" s="28"/>
      <c r="G39" s="28"/>
      <c r="H39" s="28"/>
      <c r="J39" s="15"/>
    </row>
    <row r="40" spans="2:13" ht="14.4" x14ac:dyDescent="0.3">
      <c r="B40" s="15" t="s">
        <v>37</v>
      </c>
      <c r="C40" s="30" t="b">
        <f>IF(C39&gt;=$D$31,IF(C39&lt;=$C$31,TRUE,FALSE),FALSE)</f>
        <v>1</v>
      </c>
      <c r="D40" s="35"/>
      <c r="F40" s="15"/>
      <c r="G40" s="15"/>
      <c r="H40" s="15"/>
      <c r="J40" s="15"/>
    </row>
    <row r="41" spans="2:13" ht="14.4" x14ac:dyDescent="0.3">
      <c r="J41" s="15"/>
    </row>
    <row r="42" spans="2:13" s="9" customFormat="1" x14ac:dyDescent="0.25">
      <c r="B42" s="10" t="s">
        <v>38</v>
      </c>
    </row>
    <row r="43" spans="2:13" ht="14.4" x14ac:dyDescent="0.3">
      <c r="B43" s="22"/>
      <c r="I43" s="15"/>
    </row>
    <row r="44" spans="2:13" ht="14.4" x14ac:dyDescent="0.3">
      <c r="B44" s="22" t="s">
        <v>47</v>
      </c>
      <c r="I44" s="15"/>
    </row>
    <row r="46" spans="2:13" x14ac:dyDescent="0.25">
      <c r="C46" s="6" t="s">
        <v>52</v>
      </c>
      <c r="D46" s="6" t="s">
        <v>53</v>
      </c>
      <c r="E46" s="6" t="s">
        <v>54</v>
      </c>
      <c r="F46" s="6" t="s">
        <v>55</v>
      </c>
      <c r="G46" s="6" t="s">
        <v>56</v>
      </c>
      <c r="H46" s="6" t="s">
        <v>57</v>
      </c>
      <c r="I46" s="6" t="s">
        <v>58</v>
      </c>
    </row>
    <row r="47" spans="2:13" x14ac:dyDescent="0.25">
      <c r="B47" s="6" t="s">
        <v>39</v>
      </c>
      <c r="C47" s="31">
        <v>1</v>
      </c>
      <c r="D47" s="31">
        <f>C47*(1+'Key inputs'!E46)</f>
        <v>1.028</v>
      </c>
      <c r="E47" s="31">
        <f>D47*(1+'Key inputs'!F46)</f>
        <v>1.0567839999999999</v>
      </c>
      <c r="F47" s="31">
        <f>E47*(1+'Key inputs'!G46)</f>
        <v>1.086373952</v>
      </c>
      <c r="G47" s="31">
        <f>F47*(1+'Key inputs'!H46)</f>
        <v>1.116792422656</v>
      </c>
      <c r="H47" s="31">
        <f>G47*(1+'Key inputs'!I46)</f>
        <v>1.148062610490368</v>
      </c>
      <c r="I47" s="31">
        <f>H47*(1+'Key inputs'!J46)</f>
        <v>1.1802083635840983</v>
      </c>
    </row>
    <row r="50" spans="2:9" x14ac:dyDescent="0.25">
      <c r="C50" s="6" t="str">
        <f>C46</f>
        <v>2024–25</v>
      </c>
      <c r="D50" s="6" t="str">
        <f t="shared" ref="D50:I50" si="0">D46</f>
        <v>2025–26</v>
      </c>
      <c r="E50" s="6" t="str">
        <f t="shared" si="0"/>
        <v>2026–27</v>
      </c>
      <c r="F50" s="6" t="str">
        <f t="shared" si="0"/>
        <v>2027–28</v>
      </c>
      <c r="G50" s="6" t="str">
        <f t="shared" si="0"/>
        <v>2028–29</v>
      </c>
      <c r="H50" s="6" t="str">
        <f t="shared" si="0"/>
        <v>2029–30</v>
      </c>
      <c r="I50" s="6" t="str">
        <f t="shared" si="0"/>
        <v>2030–31</v>
      </c>
    </row>
    <row r="51" spans="2:9" x14ac:dyDescent="0.25">
      <c r="B51" s="6" t="s">
        <v>40</v>
      </c>
      <c r="C51" s="32"/>
      <c r="D51" s="32"/>
      <c r="E51" s="32"/>
      <c r="F51" s="32"/>
      <c r="G51" s="32"/>
      <c r="H51" s="33">
        <f>C39*(H47/C47)</f>
        <v>7372209.544527703</v>
      </c>
      <c r="I51" s="3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2DEE-531F-4DA1-9C1D-CCD1FFCF88A3}">
  <dimension ref="A1:Z51"/>
  <sheetViews>
    <sheetView zoomScale="85" zoomScaleNormal="85" workbookViewId="0">
      <selection activeCell="D20" sqref="D20"/>
    </sheetView>
  </sheetViews>
  <sheetFormatPr defaultColWidth="8.8984375" defaultRowHeight="13.8" x14ac:dyDescent="0.25"/>
  <cols>
    <col min="1" max="1" width="4.8984375" style="6" customWidth="1"/>
    <col min="2" max="2" width="34.09765625" style="6" customWidth="1"/>
    <col min="3" max="3" width="14.3984375" style="6" bestFit="1" customWidth="1"/>
    <col min="4" max="4" width="13.3984375" style="6" bestFit="1" customWidth="1"/>
    <col min="5" max="5" width="16.3984375" style="6" customWidth="1"/>
    <col min="6" max="6" width="14.296875" style="6" customWidth="1"/>
    <col min="7" max="7" width="10.796875" style="6" customWidth="1"/>
    <col min="8" max="8" width="12.8984375" style="6" customWidth="1"/>
    <col min="9" max="9" width="13.8984375" style="6" customWidth="1"/>
    <col min="10" max="12" width="8.8984375" style="6"/>
    <col min="13" max="13" width="38.3984375" style="6" customWidth="1"/>
    <col min="14" max="16384" width="8.8984375" style="6"/>
  </cols>
  <sheetData>
    <row r="1" spans="1:26" s="4" customFormat="1" ht="35.1" customHeight="1" x14ac:dyDescent="0.25">
      <c r="A1" s="1"/>
      <c r="B1" s="8" t="s">
        <v>0</v>
      </c>
      <c r="C1" s="3"/>
      <c r="D1" s="3"/>
      <c r="E1" s="3"/>
      <c r="F1" s="3"/>
      <c r="G1" s="3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26.1" customHeight="1" x14ac:dyDescent="0.25">
      <c r="A2" s="5"/>
      <c r="B2" s="2" t="s">
        <v>59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5" spans="1:26" s="9" customFormat="1" x14ac:dyDescent="0.25">
      <c r="B5" s="10" t="s">
        <v>31</v>
      </c>
    </row>
    <row r="7" spans="1:26" x14ac:dyDescent="0.25">
      <c r="B7" s="21" t="s">
        <v>49</v>
      </c>
    </row>
    <row r="8" spans="1:26" x14ac:dyDescent="0.25">
      <c r="B8" s="22"/>
    </row>
    <row r="9" spans="1:26" ht="14.4" x14ac:dyDescent="0.3">
      <c r="C9" s="15" t="s">
        <v>52</v>
      </c>
      <c r="D9" s="15" t="s">
        <v>53</v>
      </c>
      <c r="E9" s="15" t="s">
        <v>54</v>
      </c>
      <c r="F9" s="15" t="s">
        <v>55</v>
      </c>
      <c r="G9" s="15" t="s">
        <v>56</v>
      </c>
      <c r="I9" s="15" t="s">
        <v>18</v>
      </c>
    </row>
    <row r="10" spans="1:26" ht="14.4" x14ac:dyDescent="0.3">
      <c r="B10" s="6" t="s">
        <v>19</v>
      </c>
      <c r="C10" s="16"/>
      <c r="G10" s="23">
        <v>0.31</v>
      </c>
      <c r="I10" s="15" t="s">
        <v>20</v>
      </c>
    </row>
    <row r="11" spans="1:26" ht="14.4" x14ac:dyDescent="0.3">
      <c r="B11" s="6" t="s">
        <v>21</v>
      </c>
      <c r="C11" s="16"/>
      <c r="G11" s="24">
        <v>5</v>
      </c>
      <c r="I11" s="15" t="s">
        <v>22</v>
      </c>
    </row>
    <row r="12" spans="1:26" ht="14.4" x14ac:dyDescent="0.3">
      <c r="B12" s="6" t="s">
        <v>23</v>
      </c>
      <c r="C12" s="16"/>
      <c r="G12" s="24">
        <v>12</v>
      </c>
      <c r="I12" s="15" t="s">
        <v>41</v>
      </c>
    </row>
    <row r="13" spans="1:26" ht="14.4" x14ac:dyDescent="0.3">
      <c r="I13" s="15"/>
    </row>
    <row r="14" spans="1:26" s="9" customFormat="1" x14ac:dyDescent="0.25">
      <c r="B14" s="10" t="s">
        <v>32</v>
      </c>
    </row>
    <row r="15" spans="1:26" ht="14.4" x14ac:dyDescent="0.3">
      <c r="I15" s="15"/>
    </row>
    <row r="16" spans="1:26" ht="14.4" x14ac:dyDescent="0.3">
      <c r="B16" s="22" t="s">
        <v>42</v>
      </c>
      <c r="C16" s="15" t="str">
        <f>G9</f>
        <v>2028–29</v>
      </c>
      <c r="D16" s="15"/>
      <c r="F16" s="15"/>
      <c r="G16" s="15"/>
      <c r="H16" s="15"/>
      <c r="J16" s="15"/>
    </row>
    <row r="17" spans="2:10" ht="14.4" x14ac:dyDescent="0.3">
      <c r="B17" s="6" t="s">
        <v>19</v>
      </c>
      <c r="C17" s="13">
        <f>IF(G10&gt;'Key inputs'!C30,'Key inputs'!C30,IF(G10&lt;'Key inputs'!C36,'Key inputs'!C36,G10))</f>
        <v>0.28999999999999998</v>
      </c>
      <c r="E17" s="29"/>
      <c r="F17" s="13"/>
      <c r="G17" s="13"/>
      <c r="H17" s="13"/>
      <c r="J17" s="15"/>
    </row>
    <row r="18" spans="2:10" ht="14.4" x14ac:dyDescent="0.3">
      <c r="B18" s="6" t="s">
        <v>21</v>
      </c>
      <c r="C18" s="66">
        <f>IF(G11&gt;'Key inputs'!C31,'Key inputs'!C31,IF(G11&lt;'Key inputs'!C37,'Key inputs'!C37,G11))</f>
        <v>4.51</v>
      </c>
      <c r="D18" s="13"/>
      <c r="F18" s="13"/>
      <c r="G18" s="13"/>
      <c r="H18" s="13"/>
      <c r="J18" s="15"/>
    </row>
    <row r="19" spans="2:10" ht="14.4" x14ac:dyDescent="0.3">
      <c r="B19" s="6" t="s">
        <v>23</v>
      </c>
      <c r="C19" s="66">
        <f>IF(G12&lt;'Key inputs'!C32,'Key inputs'!C32,IF(G12&gt;'Key inputs'!C38,'Key inputs'!C38,G12))</f>
        <v>13.4</v>
      </c>
      <c r="D19" s="13"/>
      <c r="F19" s="13"/>
      <c r="G19" s="13"/>
      <c r="H19" s="13"/>
      <c r="J19" s="15"/>
    </row>
    <row r="20" spans="2:10" ht="14.4" x14ac:dyDescent="0.3">
      <c r="J20" s="15"/>
    </row>
    <row r="21" spans="2:10" ht="14.4" x14ac:dyDescent="0.3">
      <c r="B21" s="22" t="s">
        <v>43</v>
      </c>
      <c r="C21" s="15" t="str">
        <f>G9</f>
        <v>2028–29</v>
      </c>
      <c r="D21" s="15"/>
      <c r="F21" s="15"/>
      <c r="G21" s="15"/>
      <c r="H21" s="15"/>
      <c r="J21" s="15"/>
    </row>
    <row r="22" spans="2:10" ht="14.4" x14ac:dyDescent="0.3">
      <c r="B22" s="6" t="s">
        <v>19</v>
      </c>
      <c r="C22" s="13">
        <f>(C17-'Key inputs'!C18)*'Key inputs'!$C24*100</f>
        <v>5.0000000000000079E-3</v>
      </c>
      <c r="E22" s="29"/>
      <c r="F22" s="13"/>
      <c r="G22" s="13"/>
      <c r="H22" s="13"/>
      <c r="J22" s="15"/>
    </row>
    <row r="23" spans="2:10" ht="14.4" x14ac:dyDescent="0.3">
      <c r="B23" s="6" t="s">
        <v>21</v>
      </c>
      <c r="C23" s="13">
        <f>(C18-'Key inputs'!$C19)*'Key inputs'!$C25*100</f>
        <v>4.9999999999999992E-3</v>
      </c>
      <c r="D23" s="13"/>
      <c r="F23" s="13"/>
      <c r="G23" s="13"/>
      <c r="H23" s="13"/>
      <c r="J23" s="15"/>
    </row>
    <row r="24" spans="2:10" ht="14.4" x14ac:dyDescent="0.3">
      <c r="B24" s="6" t="s">
        <v>23</v>
      </c>
      <c r="C24" s="13">
        <f>(C19-'Key inputs'!$C20)*'Key inputs'!$C26*100</f>
        <v>4.9999999999999697E-3</v>
      </c>
      <c r="D24" s="13"/>
      <c r="F24" s="13"/>
      <c r="G24" s="13"/>
      <c r="H24" s="13"/>
      <c r="J24" s="15"/>
    </row>
    <row r="25" spans="2:10" ht="14.4" x14ac:dyDescent="0.3">
      <c r="J25" s="15"/>
    </row>
    <row r="26" spans="2:10" ht="14.4" x14ac:dyDescent="0.3">
      <c r="B26" s="22" t="s">
        <v>44</v>
      </c>
      <c r="F26" s="15"/>
      <c r="G26" s="15"/>
      <c r="H26" s="15"/>
      <c r="J26" s="15"/>
    </row>
    <row r="27" spans="2:10" ht="14.4" x14ac:dyDescent="0.3">
      <c r="B27" s="22"/>
      <c r="C27" s="15" t="s">
        <v>33</v>
      </c>
      <c r="D27" s="15" t="s">
        <v>34</v>
      </c>
      <c r="F27" s="15"/>
      <c r="G27" s="15"/>
      <c r="H27" s="15"/>
      <c r="J27" s="15"/>
    </row>
    <row r="28" spans="2:10" x14ac:dyDescent="0.25">
      <c r="B28" s="6" t="s">
        <v>19</v>
      </c>
      <c r="C28" s="26">
        <f>'Key inputs'!$C$6*'Key inputs'!$H$43*'Key inputs'!$C11</f>
        <v>3333799.4486727691</v>
      </c>
      <c r="D28" s="26">
        <f>'Key inputs'!$C$7*'Key inputs'!$H$43*'Key inputs'!$C11</f>
        <v>-3333799.4486727691</v>
      </c>
    </row>
    <row r="29" spans="2:10" x14ac:dyDescent="0.25">
      <c r="B29" s="6" t="s">
        <v>21</v>
      </c>
      <c r="C29" s="26">
        <f>'Key inputs'!$C$6*'Key inputs'!$H$43*'Key inputs'!$C12</f>
        <v>1333519.7794691077</v>
      </c>
      <c r="D29" s="26">
        <f>'Key inputs'!$C$7*'Key inputs'!$H$43*'Key inputs'!$C12</f>
        <v>-1333519.7794691077</v>
      </c>
    </row>
    <row r="30" spans="2:10" x14ac:dyDescent="0.25">
      <c r="B30" s="6" t="s">
        <v>23</v>
      </c>
      <c r="C30" s="26">
        <f>'Key inputs'!$C$6*'Key inputs'!$H$43*'Key inputs'!$C13</f>
        <v>2000279.6692036614</v>
      </c>
      <c r="D30" s="26">
        <f>'Key inputs'!$C$7*'Key inputs'!$H$43*'Key inputs'!$C13</f>
        <v>-2000279.6692036614</v>
      </c>
    </row>
    <row r="31" spans="2:10" x14ac:dyDescent="0.25">
      <c r="B31" s="6" t="s">
        <v>35</v>
      </c>
      <c r="C31" s="18">
        <f>SUM(C28:C30)</f>
        <v>6667598.8973455383</v>
      </c>
      <c r="D31" s="18">
        <f>SUM(D28:D30)</f>
        <v>-6667598.8973455383</v>
      </c>
    </row>
    <row r="32" spans="2:10" ht="14.4" x14ac:dyDescent="0.3">
      <c r="J32" s="15"/>
    </row>
    <row r="33" spans="2:13" ht="14.4" x14ac:dyDescent="0.3">
      <c r="B33" s="27" t="s">
        <v>45</v>
      </c>
      <c r="C33" s="15" t="str">
        <f>G9</f>
        <v>2028–29</v>
      </c>
      <c r="D33" s="15"/>
      <c r="F33" s="15"/>
      <c r="G33" s="15"/>
      <c r="H33" s="15"/>
      <c r="J33" s="15"/>
      <c r="L33" s="15"/>
    </row>
    <row r="34" spans="2:13" ht="14.4" x14ac:dyDescent="0.3">
      <c r="B34" s="6" t="s">
        <v>19</v>
      </c>
      <c r="C34" s="28">
        <f>MAX(MIN(C22*'Key inputs'!$H$43*'Key inputs'!C11,$C28),$D28)</f>
        <v>3333799.4486727691</v>
      </c>
      <c r="D34" s="28"/>
      <c r="E34" s="29"/>
      <c r="F34" s="28"/>
      <c r="G34" s="28"/>
      <c r="H34" s="28"/>
      <c r="J34" s="15"/>
      <c r="L34" s="15"/>
    </row>
    <row r="35" spans="2:13" ht="14.4" x14ac:dyDescent="0.3">
      <c r="B35" s="6" t="s">
        <v>21</v>
      </c>
      <c r="C35" s="28">
        <f>MAX(MIN(C23*'Key inputs'!$H$43*'Key inputs'!C12,$C29),$D29)</f>
        <v>1333519.7794691075</v>
      </c>
      <c r="D35" s="28"/>
      <c r="F35" s="28"/>
      <c r="G35" s="28"/>
      <c r="H35" s="28"/>
      <c r="J35" s="15"/>
      <c r="L35" s="15"/>
      <c r="M35" s="6" t="s">
        <v>36</v>
      </c>
    </row>
    <row r="36" spans="2:13" ht="14.4" x14ac:dyDescent="0.3">
      <c r="B36" s="6" t="s">
        <v>23</v>
      </c>
      <c r="C36" s="28">
        <f>MAX(MIN(C24*'Key inputs'!$H$43*'Key inputs'!C13,$C30),$D30)</f>
        <v>2000279.6692036493</v>
      </c>
      <c r="D36" s="28"/>
      <c r="F36" s="28"/>
      <c r="G36" s="28"/>
      <c r="H36" s="28"/>
      <c r="J36" s="15"/>
      <c r="L36" s="15"/>
    </row>
    <row r="37" spans="2:13" ht="14.4" x14ac:dyDescent="0.3">
      <c r="C37" s="28"/>
      <c r="D37" s="28"/>
      <c r="F37" s="28"/>
      <c r="G37" s="28"/>
      <c r="H37" s="28"/>
      <c r="J37" s="15"/>
    </row>
    <row r="38" spans="2:13" ht="14.4" x14ac:dyDescent="0.3">
      <c r="B38" s="22" t="s">
        <v>46</v>
      </c>
      <c r="C38" s="15" t="str">
        <f>G9</f>
        <v>2028–29</v>
      </c>
      <c r="D38" s="28"/>
      <c r="F38" s="28"/>
      <c r="G38" s="28"/>
      <c r="H38" s="28"/>
      <c r="J38" s="15"/>
    </row>
    <row r="39" spans="2:13" ht="14.4" x14ac:dyDescent="0.3">
      <c r="B39" s="6" t="s">
        <v>35</v>
      </c>
      <c r="C39" s="28">
        <f>SUM(C34:C36)</f>
        <v>6667598.8973455261</v>
      </c>
      <c r="D39" s="28"/>
      <c r="F39" s="28"/>
      <c r="G39" s="28"/>
      <c r="H39" s="28"/>
      <c r="J39" s="15"/>
    </row>
    <row r="40" spans="2:13" ht="14.4" x14ac:dyDescent="0.3">
      <c r="B40" s="15" t="s">
        <v>37</v>
      </c>
      <c r="C40" s="30" t="b">
        <f>IF(C39&gt;=$D$31,IF(C39&lt;=$C$31,TRUE,FALSE),FALSE)</f>
        <v>1</v>
      </c>
      <c r="D40" s="35"/>
      <c r="F40" s="15"/>
      <c r="G40" s="15"/>
      <c r="H40" s="15"/>
      <c r="J40" s="15"/>
    </row>
    <row r="41" spans="2:13" ht="14.4" x14ac:dyDescent="0.3">
      <c r="J41" s="15"/>
    </row>
    <row r="42" spans="2:13" s="9" customFormat="1" x14ac:dyDescent="0.25">
      <c r="B42" s="10" t="s">
        <v>38</v>
      </c>
    </row>
    <row r="43" spans="2:13" ht="14.4" x14ac:dyDescent="0.3">
      <c r="B43" s="22"/>
      <c r="I43" s="15"/>
    </row>
    <row r="44" spans="2:13" ht="14.4" x14ac:dyDescent="0.3">
      <c r="B44" s="22" t="s">
        <v>47</v>
      </c>
      <c r="I44" s="15"/>
    </row>
    <row r="46" spans="2:13" x14ac:dyDescent="0.25">
      <c r="C46" s="6" t="s">
        <v>52</v>
      </c>
      <c r="D46" s="6" t="s">
        <v>53</v>
      </c>
      <c r="E46" s="6" t="s">
        <v>54</v>
      </c>
      <c r="F46" s="6" t="s">
        <v>55</v>
      </c>
      <c r="G46" s="6" t="s">
        <v>56</v>
      </c>
      <c r="H46" s="6" t="s">
        <v>57</v>
      </c>
      <c r="I46" s="6" t="s">
        <v>58</v>
      </c>
    </row>
    <row r="47" spans="2:13" x14ac:dyDescent="0.25">
      <c r="B47" s="6" t="s">
        <v>39</v>
      </c>
      <c r="C47" s="31">
        <v>1</v>
      </c>
      <c r="D47" s="31">
        <f>C47*(1+'Key inputs'!E46)</f>
        <v>1.028</v>
      </c>
      <c r="E47" s="31">
        <f>D47*(1+'Key inputs'!F46)</f>
        <v>1.0567839999999999</v>
      </c>
      <c r="F47" s="31">
        <f>E47*(1+'Key inputs'!G46)</f>
        <v>1.086373952</v>
      </c>
      <c r="G47" s="31">
        <f>F47*(1+'Key inputs'!H46)</f>
        <v>1.116792422656</v>
      </c>
      <c r="H47" s="31">
        <f>G47*(1+'Key inputs'!I46)</f>
        <v>1.148062610490368</v>
      </c>
      <c r="I47" s="31">
        <f>H47*(1+'Key inputs'!J46)</f>
        <v>1.1802083635840983</v>
      </c>
    </row>
    <row r="50" spans="2:9" x14ac:dyDescent="0.25">
      <c r="C50" s="6" t="str">
        <f>C46</f>
        <v>2024–25</v>
      </c>
      <c r="D50" s="6" t="str">
        <f t="shared" ref="D50:I50" si="0">D46</f>
        <v>2025–26</v>
      </c>
      <c r="E50" s="6" t="str">
        <f t="shared" si="0"/>
        <v>2026–27</v>
      </c>
      <c r="F50" s="6" t="str">
        <f t="shared" si="0"/>
        <v>2027–28</v>
      </c>
      <c r="G50" s="6" t="str">
        <f t="shared" si="0"/>
        <v>2028–29</v>
      </c>
      <c r="H50" s="6" t="str">
        <f t="shared" si="0"/>
        <v>2029–30</v>
      </c>
      <c r="I50" s="6" t="str">
        <f t="shared" si="0"/>
        <v>2030–31</v>
      </c>
    </row>
    <row r="51" spans="2:9" x14ac:dyDescent="0.25">
      <c r="B51" s="6" t="s">
        <v>40</v>
      </c>
      <c r="C51" s="32"/>
      <c r="D51" s="32"/>
      <c r="E51" s="32"/>
      <c r="F51" s="32"/>
      <c r="G51" s="32"/>
      <c r="H51" s="32"/>
      <c r="I51" s="33">
        <f>C39*(I47/C47)</f>
        <v>7869155.983671302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302FE-6DD3-4169-832E-78F58CCBDA8A}">
  <dimension ref="A1:H52"/>
  <sheetViews>
    <sheetView zoomScale="80" zoomScaleNormal="80" workbookViewId="0">
      <selection activeCell="J7" sqref="J7"/>
    </sheetView>
  </sheetViews>
  <sheetFormatPr defaultColWidth="9.19921875" defaultRowHeight="13.8" x14ac:dyDescent="0.25"/>
  <cols>
    <col min="1" max="1" width="20.69921875" style="37" bestFit="1" customWidth="1"/>
    <col min="2" max="8" width="14.69921875" style="37" customWidth="1"/>
    <col min="9" max="16384" width="9.19921875" style="37"/>
  </cols>
  <sheetData>
    <row r="1" spans="1:8" ht="60.9" customHeight="1" x14ac:dyDescent="0.25">
      <c r="A1" s="40" t="s">
        <v>66</v>
      </c>
      <c r="B1" s="40" t="s">
        <v>67</v>
      </c>
      <c r="C1" s="40" t="s">
        <v>68</v>
      </c>
      <c r="D1" s="40" t="s">
        <v>69</v>
      </c>
      <c r="E1" s="40" t="s">
        <v>70</v>
      </c>
      <c r="F1" s="40" t="s">
        <v>71</v>
      </c>
      <c r="G1" s="40" t="s">
        <v>72</v>
      </c>
      <c r="H1" s="40" t="s">
        <v>73</v>
      </c>
    </row>
    <row r="2" spans="1:8" x14ac:dyDescent="0.25">
      <c r="A2" s="38">
        <v>45170</v>
      </c>
      <c r="B2" s="43">
        <f>C2/D2</f>
        <v>0.17822423849643551</v>
      </c>
      <c r="C2" s="44">
        <v>275</v>
      </c>
      <c r="D2" s="44">
        <v>1543</v>
      </c>
      <c r="E2" s="44">
        <v>4.391</v>
      </c>
      <c r="F2" s="44">
        <v>1169</v>
      </c>
      <c r="G2" s="45">
        <v>19.820993609999999</v>
      </c>
      <c r="H2" s="44">
        <v>125</v>
      </c>
    </row>
    <row r="3" spans="1:8" x14ac:dyDescent="0.25">
      <c r="A3" s="38">
        <v>45139</v>
      </c>
      <c r="B3" s="43">
        <f t="shared" ref="B3:B40" si="0">C3/D3</f>
        <v>0.18570427470217238</v>
      </c>
      <c r="C3" s="44">
        <v>265</v>
      </c>
      <c r="D3" s="44">
        <v>1427</v>
      </c>
      <c r="E3" s="44">
        <v>4.3970000000000002</v>
      </c>
      <c r="F3" s="44">
        <v>1466</v>
      </c>
      <c r="G3" s="45">
        <v>12.852139409999999</v>
      </c>
      <c r="H3" s="44">
        <v>129</v>
      </c>
    </row>
    <row r="4" spans="1:8" x14ac:dyDescent="0.25">
      <c r="A4" s="38">
        <v>45108</v>
      </c>
      <c r="B4" s="43">
        <f t="shared" si="0"/>
        <v>0.21220400728597449</v>
      </c>
      <c r="C4" s="44">
        <v>233</v>
      </c>
      <c r="D4" s="44">
        <v>1098</v>
      </c>
      <c r="E4" s="44">
        <v>4.407</v>
      </c>
      <c r="F4" s="44">
        <v>1220</v>
      </c>
      <c r="G4" s="45">
        <v>10.837032369999999</v>
      </c>
      <c r="H4" s="44">
        <v>124</v>
      </c>
    </row>
    <row r="5" spans="1:8" x14ac:dyDescent="0.25">
      <c r="A5" s="38">
        <v>45078</v>
      </c>
      <c r="B5" s="43">
        <f t="shared" si="0"/>
        <v>0.19855884707766214</v>
      </c>
      <c r="C5" s="44">
        <v>248</v>
      </c>
      <c r="D5" s="44">
        <v>1249</v>
      </c>
      <c r="E5" s="44">
        <v>4.4109999999999996</v>
      </c>
      <c r="F5" s="44">
        <v>1189</v>
      </c>
      <c r="G5" s="45">
        <v>18.085719009999998</v>
      </c>
      <c r="H5" s="44">
        <v>147</v>
      </c>
    </row>
    <row r="6" spans="1:8" x14ac:dyDescent="0.25">
      <c r="A6" s="38">
        <v>45047</v>
      </c>
      <c r="B6" s="43">
        <f t="shared" si="0"/>
        <v>0.20767494356659141</v>
      </c>
      <c r="C6" s="44">
        <v>276</v>
      </c>
      <c r="D6" s="44">
        <v>1329</v>
      </c>
      <c r="E6" s="44">
        <v>4.4489999999999998</v>
      </c>
      <c r="F6" s="44">
        <v>1417</v>
      </c>
      <c r="G6" s="45">
        <v>8.414114369</v>
      </c>
      <c r="H6" s="44">
        <v>162</v>
      </c>
    </row>
    <row r="7" spans="1:8" x14ac:dyDescent="0.25">
      <c r="A7" s="38">
        <v>45017</v>
      </c>
      <c r="B7" s="43">
        <f t="shared" si="0"/>
        <v>0.16016640665626625</v>
      </c>
      <c r="C7" s="44">
        <v>308</v>
      </c>
      <c r="D7" s="44">
        <v>1923</v>
      </c>
      <c r="E7" s="44">
        <v>4.3639999999999999</v>
      </c>
      <c r="F7" s="44">
        <v>1416</v>
      </c>
      <c r="G7" s="45">
        <v>11.875745970000001</v>
      </c>
      <c r="H7" s="44">
        <v>146</v>
      </c>
    </row>
    <row r="8" spans="1:8" x14ac:dyDescent="0.25">
      <c r="A8" s="38">
        <v>44986</v>
      </c>
      <c r="B8" s="43">
        <f t="shared" si="0"/>
        <v>0.14002541296060991</v>
      </c>
      <c r="C8" s="44">
        <v>551</v>
      </c>
      <c r="D8" s="44">
        <v>3935</v>
      </c>
      <c r="E8" s="44">
        <v>4.3959999999999999</v>
      </c>
      <c r="F8" s="44">
        <v>2043</v>
      </c>
      <c r="G8" s="45">
        <v>14.134272230000001</v>
      </c>
      <c r="H8" s="44">
        <v>166</v>
      </c>
    </row>
    <row r="9" spans="1:8" x14ac:dyDescent="0.25">
      <c r="A9" s="38">
        <v>44958</v>
      </c>
      <c r="B9" s="43">
        <f t="shared" si="0"/>
        <v>0.15109536082474226</v>
      </c>
      <c r="C9" s="44">
        <v>469</v>
      </c>
      <c r="D9" s="44">
        <v>3104</v>
      </c>
      <c r="E9" s="44">
        <v>4.3280000000000003</v>
      </c>
      <c r="F9" s="44">
        <v>1354</v>
      </c>
      <c r="G9" s="45">
        <v>12.412910350000001</v>
      </c>
      <c r="H9" s="44">
        <v>132</v>
      </c>
    </row>
    <row r="10" spans="1:8" x14ac:dyDescent="0.25">
      <c r="A10" s="38">
        <v>44927</v>
      </c>
      <c r="B10" s="43">
        <f t="shared" si="0"/>
        <v>0.13662302786169855</v>
      </c>
      <c r="C10" s="44">
        <v>407</v>
      </c>
      <c r="D10" s="44">
        <v>2979</v>
      </c>
      <c r="E10" s="44">
        <v>4.3230000000000004</v>
      </c>
      <c r="F10" s="44">
        <v>870</v>
      </c>
      <c r="G10" s="45">
        <v>11.44184372</v>
      </c>
      <c r="H10" s="44">
        <v>121</v>
      </c>
    </row>
    <row r="11" spans="1:8" x14ac:dyDescent="0.25">
      <c r="A11" s="38">
        <v>44896</v>
      </c>
      <c r="B11" s="43">
        <f t="shared" si="0"/>
        <v>0.15566969577242196</v>
      </c>
      <c r="C11" s="44">
        <v>394</v>
      </c>
      <c r="D11" s="44">
        <v>2531</v>
      </c>
      <c r="E11" s="44">
        <v>4.335</v>
      </c>
      <c r="F11" s="44">
        <v>821</v>
      </c>
      <c r="G11" s="45">
        <v>14.44449648</v>
      </c>
      <c r="H11" s="44">
        <v>119</v>
      </c>
    </row>
    <row r="12" spans="1:8" x14ac:dyDescent="0.25">
      <c r="A12" s="38">
        <v>44866</v>
      </c>
      <c r="B12" s="43">
        <f t="shared" si="0"/>
        <v>0.16199929103154909</v>
      </c>
      <c r="C12" s="44">
        <v>457</v>
      </c>
      <c r="D12" s="44">
        <v>2821</v>
      </c>
      <c r="E12" s="44">
        <v>4.3710000000000004</v>
      </c>
      <c r="F12" s="44">
        <v>1302</v>
      </c>
      <c r="G12" s="45">
        <v>9.4997068109999994</v>
      </c>
      <c r="H12" s="44">
        <v>181</v>
      </c>
    </row>
    <row r="13" spans="1:8" x14ac:dyDescent="0.25">
      <c r="A13" s="38">
        <v>44835</v>
      </c>
      <c r="B13" s="43">
        <f t="shared" si="0"/>
        <v>0.18021603183627061</v>
      </c>
      <c r="C13" s="44">
        <v>317</v>
      </c>
      <c r="D13" s="44">
        <v>1759</v>
      </c>
      <c r="E13" s="44">
        <v>4.3970000000000002</v>
      </c>
      <c r="F13" s="44">
        <v>1610</v>
      </c>
      <c r="G13" s="45">
        <v>12.531054660000001</v>
      </c>
      <c r="H13" s="44">
        <v>179</v>
      </c>
    </row>
    <row r="14" spans="1:8" x14ac:dyDescent="0.25">
      <c r="A14" s="38">
        <v>44805</v>
      </c>
      <c r="B14" s="43">
        <f t="shared" si="0"/>
        <v>0.18920812894183603</v>
      </c>
      <c r="C14" s="44">
        <v>270</v>
      </c>
      <c r="D14" s="44">
        <v>1427</v>
      </c>
      <c r="E14" s="44">
        <v>4.4059999999999997</v>
      </c>
      <c r="F14" s="44">
        <v>2316</v>
      </c>
      <c r="G14" s="45">
        <v>9.8611594460000003</v>
      </c>
      <c r="H14" s="44">
        <v>159</v>
      </c>
    </row>
    <row r="15" spans="1:8" x14ac:dyDescent="0.25">
      <c r="A15" s="38">
        <v>44774</v>
      </c>
      <c r="B15" s="43">
        <f t="shared" si="0"/>
        <v>0.17659137577002054</v>
      </c>
      <c r="C15" s="44">
        <v>258</v>
      </c>
      <c r="D15" s="44">
        <v>1461</v>
      </c>
      <c r="E15" s="44"/>
      <c r="F15" s="44"/>
      <c r="G15" s="45">
        <v>10.41424262</v>
      </c>
      <c r="H15" s="44">
        <v>153</v>
      </c>
    </row>
    <row r="16" spans="1:8" x14ac:dyDescent="0.25">
      <c r="A16" s="38">
        <v>44743</v>
      </c>
      <c r="B16" s="43">
        <f t="shared" si="0"/>
        <v>0.21406491499227204</v>
      </c>
      <c r="C16" s="44">
        <v>277</v>
      </c>
      <c r="D16" s="44">
        <v>1294</v>
      </c>
      <c r="E16" s="44"/>
      <c r="F16" s="44"/>
      <c r="G16" s="45">
        <v>10.711796850000001</v>
      </c>
      <c r="H16" s="44">
        <v>137</v>
      </c>
    </row>
    <row r="17" spans="1:8" x14ac:dyDescent="0.25">
      <c r="A17" s="38">
        <v>44713</v>
      </c>
      <c r="B17" s="43">
        <f t="shared" si="0"/>
        <v>0.24585818422796554</v>
      </c>
      <c r="C17" s="44">
        <v>371</v>
      </c>
      <c r="D17" s="44">
        <v>1509</v>
      </c>
      <c r="E17" s="44"/>
      <c r="F17" s="44"/>
      <c r="G17" s="45">
        <v>18.62363298</v>
      </c>
      <c r="H17" s="44">
        <v>163</v>
      </c>
    </row>
    <row r="18" spans="1:8" x14ac:dyDescent="0.25">
      <c r="A18" s="38">
        <v>44682</v>
      </c>
      <c r="B18" s="43">
        <f t="shared" si="0"/>
        <v>0.2035561005518087</v>
      </c>
      <c r="C18" s="44">
        <v>332</v>
      </c>
      <c r="D18" s="44">
        <v>1631</v>
      </c>
      <c r="E18" s="44"/>
      <c r="F18" s="44"/>
      <c r="G18" s="45">
        <v>12.4479066</v>
      </c>
      <c r="H18" s="44">
        <v>207</v>
      </c>
    </row>
    <row r="19" spans="1:8" x14ac:dyDescent="0.25">
      <c r="A19" s="38">
        <v>44652</v>
      </c>
      <c r="B19" s="43">
        <f t="shared" si="0"/>
        <v>0.1879391100702576</v>
      </c>
      <c r="C19" s="44">
        <v>321</v>
      </c>
      <c r="D19" s="44">
        <v>1708</v>
      </c>
      <c r="E19" s="44"/>
      <c r="F19" s="44"/>
      <c r="G19" s="45">
        <v>15.359561380000001</v>
      </c>
      <c r="H19" s="44">
        <v>136</v>
      </c>
    </row>
    <row r="20" spans="1:8" x14ac:dyDescent="0.25">
      <c r="A20" s="38">
        <v>44621</v>
      </c>
      <c r="B20" s="43">
        <f t="shared" si="0"/>
        <v>0.12552983371372678</v>
      </c>
      <c r="C20" s="44">
        <v>385</v>
      </c>
      <c r="D20" s="44">
        <v>3067</v>
      </c>
      <c r="E20" s="44"/>
      <c r="F20" s="44"/>
      <c r="G20" s="45">
        <v>12.887639910000001</v>
      </c>
      <c r="H20" s="44">
        <v>182</v>
      </c>
    </row>
    <row r="21" spans="1:8" x14ac:dyDescent="0.25">
      <c r="A21" s="38">
        <v>44593</v>
      </c>
      <c r="B21" s="43">
        <f t="shared" si="0"/>
        <v>0.12921348314606743</v>
      </c>
      <c r="C21" s="44">
        <v>345</v>
      </c>
      <c r="D21" s="44">
        <v>2670</v>
      </c>
      <c r="E21" s="44"/>
      <c r="F21" s="44"/>
      <c r="G21" s="45">
        <v>17.22515542</v>
      </c>
      <c r="H21" s="44">
        <v>161</v>
      </c>
    </row>
    <row r="22" spans="1:8" x14ac:dyDescent="0.25">
      <c r="A22" s="38">
        <v>44562</v>
      </c>
      <c r="B22" s="43">
        <f t="shared" si="0"/>
        <v>9.9912663755458514E-2</v>
      </c>
      <c r="C22" s="44">
        <v>572</v>
      </c>
      <c r="D22" s="44">
        <v>5725</v>
      </c>
      <c r="E22" s="44"/>
      <c r="F22" s="44"/>
      <c r="G22" s="45">
        <v>8.7562243130000006</v>
      </c>
      <c r="H22" s="44">
        <v>155</v>
      </c>
    </row>
    <row r="23" spans="1:8" x14ac:dyDescent="0.25">
      <c r="A23" s="38">
        <v>44531</v>
      </c>
      <c r="B23" s="43">
        <f t="shared" si="0"/>
        <v>0.14668049792531121</v>
      </c>
      <c r="C23" s="44">
        <v>707</v>
      </c>
      <c r="D23" s="44">
        <v>4820</v>
      </c>
      <c r="E23" s="44"/>
      <c r="F23" s="44"/>
      <c r="G23" s="45">
        <v>24.819088399999998</v>
      </c>
      <c r="H23" s="44">
        <v>198</v>
      </c>
    </row>
    <row r="24" spans="1:8" x14ac:dyDescent="0.25">
      <c r="A24" s="38">
        <v>44501</v>
      </c>
      <c r="B24" s="43">
        <f t="shared" si="0"/>
        <v>0.1687374749498998</v>
      </c>
      <c r="C24" s="44">
        <v>421</v>
      </c>
      <c r="D24" s="44">
        <v>2495</v>
      </c>
      <c r="E24" s="44"/>
      <c r="F24" s="44"/>
      <c r="G24" s="45">
        <v>34.280959789999997</v>
      </c>
      <c r="H24" s="44">
        <v>175</v>
      </c>
    </row>
    <row r="25" spans="1:8" x14ac:dyDescent="0.25">
      <c r="A25" s="38">
        <v>44470</v>
      </c>
      <c r="B25" s="43">
        <f t="shared" si="0"/>
        <v>0.17655642023346305</v>
      </c>
      <c r="C25" s="44">
        <v>363</v>
      </c>
      <c r="D25" s="44">
        <v>2056</v>
      </c>
      <c r="E25" s="44"/>
      <c r="F25" s="44"/>
      <c r="G25" s="45">
        <v>11.30884635</v>
      </c>
      <c r="H25" s="44">
        <v>148</v>
      </c>
    </row>
    <row r="26" spans="1:8" x14ac:dyDescent="0.25">
      <c r="A26" s="38">
        <v>44440</v>
      </c>
      <c r="B26" s="43">
        <f t="shared" si="0"/>
        <v>0.20101596516690856</v>
      </c>
      <c r="C26" s="44">
        <v>277</v>
      </c>
      <c r="D26" s="44">
        <v>1378</v>
      </c>
      <c r="E26" s="44"/>
      <c r="F26" s="44"/>
      <c r="G26" s="45">
        <v>16.379438629999999</v>
      </c>
      <c r="H26" s="44">
        <v>205</v>
      </c>
    </row>
    <row r="27" spans="1:8" x14ac:dyDescent="0.25">
      <c r="A27" s="38">
        <v>44409</v>
      </c>
      <c r="B27" s="43">
        <f t="shared" si="0"/>
        <v>0.24046434494195687</v>
      </c>
      <c r="C27" s="44">
        <v>290</v>
      </c>
      <c r="D27" s="44">
        <v>1206</v>
      </c>
      <c r="E27" s="44"/>
      <c r="F27" s="44"/>
      <c r="G27" s="45">
        <v>15.835736450000001</v>
      </c>
      <c r="H27" s="44">
        <v>205</v>
      </c>
    </row>
    <row r="28" spans="1:8" x14ac:dyDescent="0.25">
      <c r="A28" s="38">
        <v>44378</v>
      </c>
      <c r="B28" s="43">
        <f t="shared" si="0"/>
        <v>0.23107307439104674</v>
      </c>
      <c r="C28" s="44">
        <v>351</v>
      </c>
      <c r="D28" s="44">
        <v>1519</v>
      </c>
      <c r="E28" s="44"/>
      <c r="F28" s="44"/>
      <c r="G28" s="45">
        <v>14.31809863</v>
      </c>
      <c r="H28" s="44">
        <v>158</v>
      </c>
    </row>
    <row r="29" spans="1:8" x14ac:dyDescent="0.25">
      <c r="A29" s="38">
        <v>44348</v>
      </c>
      <c r="B29" s="43">
        <f t="shared" si="0"/>
        <v>0.2079136690647482</v>
      </c>
      <c r="C29" s="44">
        <v>289</v>
      </c>
      <c r="D29" s="44">
        <v>1390</v>
      </c>
      <c r="E29" s="44"/>
      <c r="F29" s="44"/>
      <c r="G29" s="45">
        <v>13.86812016</v>
      </c>
      <c r="H29" s="44">
        <v>189</v>
      </c>
    </row>
    <row r="30" spans="1:8" x14ac:dyDescent="0.25">
      <c r="A30" s="38">
        <v>44317</v>
      </c>
      <c r="B30" s="43">
        <f t="shared" si="0"/>
        <v>0.20028510334996436</v>
      </c>
      <c r="C30" s="44">
        <v>281</v>
      </c>
      <c r="D30" s="44">
        <v>1403</v>
      </c>
      <c r="E30" s="44"/>
      <c r="F30" s="44"/>
      <c r="G30" s="45">
        <v>13.96860262</v>
      </c>
      <c r="H30" s="44">
        <v>203</v>
      </c>
    </row>
    <row r="31" spans="1:8" x14ac:dyDescent="0.25">
      <c r="A31" s="38">
        <v>44287</v>
      </c>
      <c r="B31" s="43">
        <f t="shared" si="0"/>
        <v>0.20429407937540664</v>
      </c>
      <c r="C31" s="44">
        <v>314</v>
      </c>
      <c r="D31" s="44">
        <v>1537</v>
      </c>
      <c r="E31" s="44"/>
      <c r="F31" s="44"/>
      <c r="G31" s="45">
        <v>20.750806270000002</v>
      </c>
      <c r="H31" s="44">
        <v>216</v>
      </c>
    </row>
    <row r="32" spans="1:8" x14ac:dyDescent="0.25">
      <c r="A32" s="38">
        <v>44256</v>
      </c>
      <c r="B32" s="43">
        <f t="shared" si="0"/>
        <v>0.18727810650887575</v>
      </c>
      <c r="C32" s="44">
        <v>633</v>
      </c>
      <c r="D32" s="44">
        <v>3380</v>
      </c>
      <c r="E32" s="44"/>
      <c r="F32" s="44"/>
      <c r="G32" s="45">
        <v>18.21279646</v>
      </c>
      <c r="H32" s="44">
        <v>254</v>
      </c>
    </row>
    <row r="33" spans="1:8" x14ac:dyDescent="0.25">
      <c r="A33" s="38">
        <v>44228</v>
      </c>
      <c r="B33" s="43">
        <f t="shared" si="0"/>
        <v>0.1707482993197279</v>
      </c>
      <c r="C33" s="44">
        <v>502</v>
      </c>
      <c r="D33" s="44">
        <v>2940</v>
      </c>
      <c r="E33" s="44"/>
      <c r="F33" s="44"/>
      <c r="G33" s="45">
        <v>10.215426320000001</v>
      </c>
      <c r="H33" s="44">
        <v>265</v>
      </c>
    </row>
    <row r="34" spans="1:8" x14ac:dyDescent="0.25">
      <c r="A34" s="38">
        <v>44197</v>
      </c>
      <c r="B34" s="43">
        <f t="shared" si="0"/>
        <v>0.15711645101663585</v>
      </c>
      <c r="C34" s="44">
        <v>510</v>
      </c>
      <c r="D34" s="44">
        <v>3246</v>
      </c>
      <c r="E34" s="44"/>
      <c r="F34" s="44"/>
      <c r="G34" s="45">
        <v>12.191638380000001</v>
      </c>
      <c r="H34" s="44">
        <v>196</v>
      </c>
    </row>
    <row r="35" spans="1:8" x14ac:dyDescent="0.25">
      <c r="A35" s="38">
        <v>44166</v>
      </c>
      <c r="B35" s="43">
        <f t="shared" si="0"/>
        <v>0.18216238956668068</v>
      </c>
      <c r="C35" s="44">
        <v>866</v>
      </c>
      <c r="D35" s="44">
        <v>4754</v>
      </c>
      <c r="E35" s="44"/>
      <c r="F35" s="44"/>
      <c r="G35" s="45">
        <v>10.778917270000001</v>
      </c>
      <c r="H35" s="44">
        <v>239</v>
      </c>
    </row>
    <row r="36" spans="1:8" x14ac:dyDescent="0.25">
      <c r="A36" s="38">
        <v>44136</v>
      </c>
      <c r="B36" s="43">
        <f t="shared" si="0"/>
        <v>0.16701374427321949</v>
      </c>
      <c r="C36" s="44">
        <v>401</v>
      </c>
      <c r="D36" s="44">
        <v>2401</v>
      </c>
      <c r="E36" s="44"/>
      <c r="F36" s="44"/>
      <c r="G36" s="45">
        <v>16.639732630000001</v>
      </c>
      <c r="H36" s="44">
        <v>287</v>
      </c>
    </row>
    <row r="37" spans="1:8" x14ac:dyDescent="0.25">
      <c r="A37" s="38">
        <v>44105</v>
      </c>
      <c r="B37" s="43">
        <f t="shared" si="0"/>
        <v>0.18348214285714284</v>
      </c>
      <c r="C37" s="44">
        <v>411</v>
      </c>
      <c r="D37" s="44">
        <v>2240</v>
      </c>
      <c r="E37" s="44"/>
      <c r="F37" s="44"/>
      <c r="G37" s="45">
        <v>14.66423531</v>
      </c>
      <c r="H37" s="44">
        <v>216</v>
      </c>
    </row>
    <row r="38" spans="1:8" x14ac:dyDescent="0.25">
      <c r="A38" s="38">
        <v>44075</v>
      </c>
      <c r="B38" s="43">
        <f t="shared" si="0"/>
        <v>0.2119298245614035</v>
      </c>
      <c r="C38" s="44">
        <v>302</v>
      </c>
      <c r="D38" s="44">
        <v>1425</v>
      </c>
      <c r="E38" s="44"/>
      <c r="F38" s="44"/>
      <c r="G38" s="45">
        <v>15.76374315</v>
      </c>
      <c r="H38" s="44">
        <v>240</v>
      </c>
    </row>
    <row r="39" spans="1:8" x14ac:dyDescent="0.25">
      <c r="A39" s="38">
        <v>44044</v>
      </c>
      <c r="B39" s="43">
        <f t="shared" si="0"/>
        <v>0.20359666024405909</v>
      </c>
      <c r="C39" s="44">
        <v>317</v>
      </c>
      <c r="D39" s="44">
        <v>1557</v>
      </c>
      <c r="E39" s="44"/>
      <c r="F39" s="44"/>
      <c r="G39" s="45">
        <v>11.21252649</v>
      </c>
      <c r="H39" s="44">
        <v>225</v>
      </c>
    </row>
    <row r="40" spans="1:8" x14ac:dyDescent="0.25">
      <c r="A40" s="38">
        <v>44013</v>
      </c>
      <c r="B40" s="43">
        <f t="shared" si="0"/>
        <v>0.17263157894736841</v>
      </c>
      <c r="C40" s="44">
        <v>246</v>
      </c>
      <c r="D40" s="44">
        <v>1425</v>
      </c>
      <c r="E40" s="46"/>
      <c r="F40" s="44"/>
      <c r="G40" s="45">
        <v>19.893633260000001</v>
      </c>
      <c r="H40" s="44">
        <v>277</v>
      </c>
    </row>
    <row r="42" spans="1:8" x14ac:dyDescent="0.25">
      <c r="A42" s="48" t="s">
        <v>74</v>
      </c>
      <c r="B42" s="41">
        <f>AVERAGE(B2:B40)</f>
        <v>0.18084654256245197</v>
      </c>
      <c r="E42" s="42">
        <f>AVERAGE(E2:E14)</f>
        <v>4.3826923076923077</v>
      </c>
      <c r="G42" s="47">
        <f>AVERAGE(G2:G40)</f>
        <v>14.557428078948719</v>
      </c>
    </row>
    <row r="43" spans="1:8" x14ac:dyDescent="0.25">
      <c r="A43" s="48"/>
      <c r="B43" s="41"/>
      <c r="E43" s="42"/>
      <c r="G43" s="47"/>
    </row>
    <row r="44" spans="1:8" x14ac:dyDescent="0.25">
      <c r="A44" s="67" t="s">
        <v>76</v>
      </c>
    </row>
    <row r="45" spans="1:8" x14ac:dyDescent="0.25">
      <c r="A45" s="48" t="s">
        <v>75</v>
      </c>
      <c r="B45" s="50">
        <v>0.19</v>
      </c>
      <c r="E45" s="37">
        <v>4.3899999999999997</v>
      </c>
      <c r="G45" s="37">
        <v>14.4</v>
      </c>
    </row>
    <row r="46" spans="1:8" x14ac:dyDescent="0.25">
      <c r="A46" s="48" t="s">
        <v>25</v>
      </c>
      <c r="B46" s="50">
        <v>0.28999999999999998</v>
      </c>
      <c r="E46" s="37">
        <v>4.51</v>
      </c>
      <c r="G46" s="37">
        <v>13.4</v>
      </c>
    </row>
    <row r="47" spans="1:8" x14ac:dyDescent="0.25">
      <c r="A47" s="48" t="s">
        <v>26</v>
      </c>
      <c r="B47" s="50">
        <v>0.09</v>
      </c>
      <c r="E47" s="37">
        <v>4.2699999999999996</v>
      </c>
      <c r="G47" s="37">
        <v>15.4</v>
      </c>
    </row>
    <row r="48" spans="1:8" x14ac:dyDescent="0.25">
      <c r="A48" s="48"/>
    </row>
    <row r="49" spans="1:7" x14ac:dyDescent="0.25">
      <c r="A49" s="48"/>
    </row>
    <row r="50" spans="1:7" x14ac:dyDescent="0.25">
      <c r="A50" s="49"/>
      <c r="B50" s="39"/>
      <c r="E50" s="39"/>
      <c r="G50" s="39"/>
    </row>
    <row r="51" spans="1:7" x14ac:dyDescent="0.25">
      <c r="A51" s="49"/>
      <c r="B51" s="51"/>
      <c r="C51" s="52"/>
    </row>
    <row r="52" spans="1:7" x14ac:dyDescent="0.25">
      <c r="A52" s="49"/>
      <c r="B52" s="51"/>
      <c r="C52" s="5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FA9DE739E3CE45A330A71DE6231D95" ma:contentTypeVersion="22" ma:contentTypeDescription="Create a new document." ma:contentTypeScope="" ma:versionID="cdfd41d6f4e86c5a8c8fa7573f40fc28">
  <xsd:schema xmlns:xsd="http://www.w3.org/2001/XMLSchema" xmlns:xs="http://www.w3.org/2001/XMLSchema" xmlns:p="http://schemas.microsoft.com/office/2006/metadata/properties" xmlns:ns2="932545b7-43c1-4c02-bb28-ebe8c535fd25" xmlns:ns3="4dbedddb-8287-4e51-a936-62a216b952f9" xmlns:ns4="1853d85d-552a-45e5-ad9d-b3f83c98e320" targetNamespace="http://schemas.microsoft.com/office/2006/metadata/properties" ma:root="true" ma:fieldsID="779275982f810c83b266449f1fcf3c9b" ns2:_="" ns3:_="" ns4:_="">
    <xsd:import namespace="932545b7-43c1-4c02-bb28-ebe8c535fd25"/>
    <xsd:import namespace="4dbedddb-8287-4e51-a936-62a216b952f9"/>
    <xsd:import namespace="1853d85d-552a-45e5-ad9d-b3f83c98e320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Document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545b7-43c1-4c02-bb28-ebe8c535fd2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content" ma:description="chapter 1, 2 and 3" ma:format="Dropdown" ma:internalName="Status" ma:readOnly="false">
      <xsd:simpleType>
        <xsd:restriction base="dms:Text">
          <xsd:maxLength value="255"/>
        </xsd:restriction>
      </xsd:simpleType>
    </xsd:element>
    <xsd:element name="DocumentStatus" ma:index="4" nillable="true" ma:displayName="Document Status" ma:default="Under Review - can be edited" ma:description="Document Status" ma:format="Dropdown" ma:internalName="DocumentStatus" ma:readOnly="false">
      <xsd:simpleType>
        <xsd:restriction base="dms:Choice">
          <xsd:enumeration value="Drafting In Progress"/>
          <xsd:enumeration value="Under Review - can be edited"/>
          <xsd:enumeration value="Submitted"/>
          <xsd:enumeration value="Editor Group Review Complete - do not edit"/>
          <xsd:enumeration value="Finalised"/>
          <xsd:enumeration value="Final Ref Doc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56b384c-9940-4a30-bae3-2bf88f9642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hidden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edddb-8287-4e51-a936-62a216b952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d85d-552a-45e5-ad9d-b3f83c98e3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1246f73-06c0-4b10-b60e-a96a1cb2e391}" ma:internalName="TaxCatchAll" ma:readOnly="false" ma:showField="CatchAllData" ma:web="4dbedddb-8287-4e51-a936-62a216b952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53d85d-552a-45e5-ad9d-b3f83c98e320" xsi:nil="true"/>
    <lcf76f155ced4ddcb4097134ff3c332f xmlns="932545b7-43c1-4c02-bb28-ebe8c535fd25">
      <Terms xmlns="http://schemas.microsoft.com/office/infopath/2007/PartnerControls"/>
    </lcf76f155ced4ddcb4097134ff3c332f>
    <Status xmlns="932545b7-43c1-4c02-bb28-ebe8c535fd25" xsi:nil="true"/>
    <DocumentStatus xmlns="932545b7-43c1-4c02-bb28-ebe8c535fd25">Submitted</DocumentStatus>
  </documentManagement>
</p:properties>
</file>

<file path=customXml/itemProps1.xml><?xml version="1.0" encoding="utf-8"?>
<ds:datastoreItem xmlns:ds="http://schemas.openxmlformats.org/officeDocument/2006/customXml" ds:itemID="{5D533A9A-5D96-42E6-8AA0-785E380B4D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545b7-43c1-4c02-bb28-ebe8c535fd25"/>
    <ds:schemaRef ds:uri="4dbedddb-8287-4e51-a936-62a216b952f9"/>
    <ds:schemaRef ds:uri="1853d85d-552a-45e5-ad9d-b3f83c98e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AB6FCC-9985-4832-9988-F54543DE5F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161993-F983-4F60-9F2F-F36D63F7A906}">
  <ds:schemaRefs>
    <ds:schemaRef ds:uri="932545b7-43c1-4c02-bb28-ebe8c535fd25"/>
    <ds:schemaRef ds:uri="http://purl.org/dc/dcmitype/"/>
    <ds:schemaRef ds:uri="1853d85d-552a-45e5-ad9d-b3f83c98e320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4dbedddb-8287-4e51-a936-62a216b952f9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Description</vt:lpstr>
      <vt:lpstr>Key inputs</vt:lpstr>
      <vt:lpstr>Reporting template 2024–25 </vt:lpstr>
      <vt:lpstr>Reporting template 2025–26</vt:lpstr>
      <vt:lpstr>Reporting template 2026–27</vt:lpstr>
      <vt:lpstr>Reporting template 2027–28</vt:lpstr>
      <vt:lpstr>Reporting template 2028–29</vt:lpstr>
      <vt:lpstr>Performance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Graham Phelan</dc:creator>
  <cp:keywords/>
  <dc:description/>
  <cp:lastModifiedBy>David Weatherley</cp:lastModifiedBy>
  <cp:revision/>
  <dcterms:created xsi:type="dcterms:W3CDTF">2018-07-20T04:36:44Z</dcterms:created>
  <dcterms:modified xsi:type="dcterms:W3CDTF">2023-11-28T04:18:33Z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0x01010096FA9DE739E3CE45A330A71DE6231D95</vt:lpwstr>
  </property>
  <property fmtid="{D5CDD505-2E9C-101B-9397-08002B2CF9AE}" pid="3" name="MediaServiceImageTags">
    <vt:lpwstr/>
  </property>
</Properties>
</file>