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usgrid.sharepoint.com/teams/SP0539/Shared Documents/Regulation/24-29 Determination/1500 Revised Proposal/1510 RP submission/02. Public Docs/"/>
    </mc:Choice>
  </mc:AlternateContent>
  <xr:revisionPtr revIDLastSave="0" documentId="13_ncr:1_{7851DB78-7A5D-4CF4-A73D-5B51B4A5D0F0}" xr6:coauthVersionLast="47" xr6:coauthVersionMax="47" xr10:uidLastSave="{00000000-0000-0000-0000-000000000000}"/>
  <bookViews>
    <workbookView xWindow="-120" yWindow="-120" windowWidth="29040" windowHeight="15840" xr2:uid="{F581F366-5BDC-4224-8135-5E18679DC825}"/>
  </bookViews>
  <sheets>
    <sheet name="Coverpage" sheetId="106" r:id="rId1"/>
    <sheet name="Control and results" sheetId="2" r:id="rId2"/>
    <sheet name="Outputs -&gt;" sheetId="103" r:id="rId3"/>
    <sheet name="RIN - 7.7 TSS-LRMC" sheetId="104" r:id="rId4"/>
    <sheet name="LRMC estimates -&gt;" sheetId="10" r:id="rId5"/>
    <sheet name="LRMC - growth" sheetId="93" r:id="rId6"/>
    <sheet name="LRMC - declining (case studies)" sheetId="113" r:id="rId7"/>
    <sheet name="Calculations -&gt;" sheetId="69" r:id="rId8"/>
    <sheet name="Capex allocation -&gt;" sheetId="14" r:id="rId9"/>
    <sheet name="Total augex" sheetId="5" r:id="rId10"/>
    <sheet name="Augex - growth and decline" sheetId="92" r:id="rId11"/>
    <sheet name="Demand -&gt;" sheetId="32" r:id="rId12"/>
    <sheet name="Raw demand" sheetId="3" r:id="rId13"/>
    <sheet name="Growing &amp; falling" sheetId="34" r:id="rId14"/>
    <sheet name="Smoothed demand" sheetId="100" r:id="rId15"/>
    <sheet name="Coincident demand" sheetId="25" r:id="rId16"/>
    <sheet name="Aggregated demand" sheetId="91" r:id="rId17"/>
    <sheet name="Case studies -&gt;" sheetId="109" r:id="rId18"/>
    <sheet name="Case study calculations" sheetId="112" r:id="rId19"/>
    <sheet name="Case study demand" sheetId="110" r:id="rId20"/>
    <sheet name="Case study expenditure" sheetId="111" r:id="rId21"/>
    <sheet name="Raw inputs -&gt;" sheetId="64" r:id="rId22"/>
    <sheet name="Financial inputs" sheetId="88" r:id="rId23"/>
    <sheet name="CPI index" sheetId="107" r:id="rId24"/>
    <sheet name="Ausgrid TSS 2019-24" sheetId="108" r:id="rId25"/>
    <sheet name="Capitalised OH" sheetId="54" r:id="rId26"/>
    <sheet name="Opex" sheetId="61" r:id="rId27"/>
    <sheet name="Max demand" sheetId="62" r:id="rId28"/>
    <sheet name="LV &amp; HV augex" sheetId="77" r:id="rId29"/>
    <sheet name="ST augex" sheetId="68" r:id="rId30"/>
    <sheet name="Lists" sheetId="63" r:id="rId31"/>
  </sheets>
  <externalReferences>
    <externalReference r:id="rId32"/>
    <externalReference r:id="rId33"/>
    <externalReference r:id="rId34"/>
  </externalReferences>
  <definedNames>
    <definedName name="__123Graph_A" localSheetId="23" hidden="1">#REF!</definedName>
    <definedName name="__123Graph_A" hidden="1">[1]SECTORS!$BP$16:$BP$33</definedName>
    <definedName name="__123Graph_CWH2" localSheetId="23" hidden="1">#REF!</definedName>
    <definedName name="__123Graph_CWH2" hidden="1">[1]SECTORS!$CD$33:$CD$71</definedName>
    <definedName name="__123Graph_CWH3" localSheetId="23" hidden="1">#REF!</definedName>
    <definedName name="__123Graph_CWH3" hidden="1">[1]SECTORS!$CH$33:$CH$71</definedName>
    <definedName name="__123Graph_X" localSheetId="23" hidden="1">#REF!</definedName>
    <definedName name="__123Graph_X" hidden="1">[1]SECTORS!$A$16:$A$37</definedName>
    <definedName name="_101__123Graph_ACHART_2" localSheetId="23" hidden="1">#REF!</definedName>
    <definedName name="_101__123Graph_ACHART_2" hidden="1">[2]VIC!$AU$9:$AU$26</definedName>
    <definedName name="_109__123Graph_ACHART_3" localSheetId="23" hidden="1">#REF!</definedName>
    <definedName name="_109__123Graph_ACHART_3" hidden="1">[2]VIC!$AB$9:$AB$26</definedName>
    <definedName name="_110__123Graph_ACHART_30" localSheetId="23" hidden="1">#REF!</definedName>
    <definedName name="_110__123Graph_ACHART_30" hidden="1">[2]SA!$BJ$9:$BJ$26</definedName>
    <definedName name="_111__123Graph_ACHART_31" localSheetId="23" hidden="1">#REF!</definedName>
    <definedName name="_111__123Graph_ACHART_31" hidden="1">[2]WA!$BJ$9:$BJ$26</definedName>
    <definedName name="_112__123Graph_ACHART_35" localSheetId="23" hidden="1">#REF!</definedName>
    <definedName name="_112__123Graph_ACHART_35" hidden="1">[2]WA!$BJ$9:$BJ$26</definedName>
    <definedName name="_116__123Graph_ACHART_3" localSheetId="23" hidden="1">#REF!</definedName>
    <definedName name="_116__123Graph_ACHART_3" hidden="1">[2]VIC!$AB$9:$AB$26</definedName>
    <definedName name="_117__123Graph_ACHART_30" localSheetId="23" hidden="1">#REF!</definedName>
    <definedName name="_117__123Graph_ACHART_30" hidden="1">[2]SA!$BJ$9:$BJ$26</definedName>
    <definedName name="_118__123Graph_ACHART_31" localSheetId="23" hidden="1">#REF!</definedName>
    <definedName name="_118__123Graph_ACHART_31" hidden="1">[2]WA!$BJ$9:$BJ$26</definedName>
    <definedName name="_119__123Graph_ACHART_35" localSheetId="23" hidden="1">#REF!</definedName>
    <definedName name="_119__123Graph_ACHART_35" hidden="1">[2]WA!$BJ$9:$BJ$26</definedName>
    <definedName name="_126__123Graph_ACHART_4" localSheetId="23" hidden="1">#REF!</definedName>
    <definedName name="_126__123Graph_ACHART_4" hidden="1">[2]VIC!$AV$9:$AV$26</definedName>
    <definedName name="_134__123Graph_ACHART_4" localSheetId="23" hidden="1">#REF!</definedName>
    <definedName name="_134__123Graph_ACHART_4" hidden="1">[2]VIC!$AV$9:$AV$26</definedName>
    <definedName name="_14__123Graph_ACHART_1" localSheetId="23" hidden="1">#REF!</definedName>
    <definedName name="_14__123Graph_ACHART_1" hidden="1">[2]VIC!$AA$9:$AA$26</definedName>
    <definedName name="_140__123Graph_ACHART_5" localSheetId="23" hidden="1">#REF!</definedName>
    <definedName name="_140__123Graph_ACHART_5" hidden="1">[2]VIC!$R$5:$R$26</definedName>
    <definedName name="_149__123Graph_ACHART_5" localSheetId="23" hidden="1">#REF!</definedName>
    <definedName name="_149__123Graph_ACHART_5" hidden="1">[2]VIC!$R$5:$R$26</definedName>
    <definedName name="_15__123Graph_ACHART_1" localSheetId="23" hidden="1">#REF!</definedName>
    <definedName name="_15__123Graph_ACHART_1" hidden="1">[2]VIC!$AA$9:$AA$26</definedName>
    <definedName name="_154__123Graph_ACHART_6" localSheetId="23" hidden="1">#REF!</definedName>
    <definedName name="_154__123Graph_ACHART_6" hidden="1">[2]VIC!$S$5:$S$26</definedName>
    <definedName name="_155__123Graph_ACHART_62" localSheetId="23" hidden="1">#REF!</definedName>
    <definedName name="_155__123Graph_ACHART_62" hidden="1">[2]ACT!$BA$7:$BA$26</definedName>
    <definedName name="_156__123Graph_ACHART_66" localSheetId="23" hidden="1">#REF!</definedName>
    <definedName name="_156__123Graph_ACHART_66" hidden="1">[3]NSW!$AZ$5:$AZ$26</definedName>
    <definedName name="_157__123Graph_ACHART_68" localSheetId="23" hidden="1">#REF!</definedName>
    <definedName name="_157__123Graph_ACHART_68" hidden="1">[2]TAS!$AG$5:$AG$26</definedName>
    <definedName name="_158__123Graph_ACHART_69" localSheetId="23" hidden="1">#REF!</definedName>
    <definedName name="_158__123Graph_ACHART_69" hidden="1">[3]NSW!$AG$5:$AG$26</definedName>
    <definedName name="_164__123Graph_ACHART_6" localSheetId="23" hidden="1">#REF!</definedName>
    <definedName name="_164__123Graph_ACHART_6" hidden="1">[2]VIC!$S$5:$S$26</definedName>
    <definedName name="_165__123Graph_ACHART_62" localSheetId="23" hidden="1">#REF!</definedName>
    <definedName name="_165__123Graph_ACHART_62" hidden="1">[2]ACT!$BA$7:$BA$26</definedName>
    <definedName name="_166__123Graph_ACHART_66" localSheetId="23" hidden="1">#REF!</definedName>
    <definedName name="_166__123Graph_ACHART_66" hidden="1">[3]NSW!$AZ$5:$AZ$26</definedName>
    <definedName name="_167__123Graph_ACHART_68" localSheetId="23" hidden="1">#REF!</definedName>
    <definedName name="_167__123Graph_ACHART_68" hidden="1">[2]TAS!$AG$5:$AG$26</definedName>
    <definedName name="_168__123Graph_ACHART_69" localSheetId="23" hidden="1">#REF!</definedName>
    <definedName name="_168__123Graph_ACHART_69" hidden="1">[3]NSW!$AG$5:$AG$26</definedName>
    <definedName name="_172__123Graph_ACHART_7" localSheetId="23" hidden="1">#REF!</definedName>
    <definedName name="_172__123Graph_ACHART_7" hidden="1">[2]VIC!$F$5:$F$26</definedName>
    <definedName name="_173__123Graph_ACHART_70" localSheetId="23" hidden="1">#REF!</definedName>
    <definedName name="_173__123Graph_ACHART_70" hidden="1">[2]ACT!$J$5:$J$26</definedName>
    <definedName name="_174__123Graph_ACHART_71" localSheetId="23" hidden="1">#REF!</definedName>
    <definedName name="_174__123Graph_ACHART_71" hidden="1">[2]ACT!$N$12:$N$27</definedName>
    <definedName name="_183__123Graph_ACHART_7" localSheetId="23" hidden="1">#REF!</definedName>
    <definedName name="_183__123Graph_ACHART_7" hidden="1">[2]VIC!$F$5:$F$26</definedName>
    <definedName name="_184__123Graph_ACHART_70" localSheetId="23" hidden="1">#REF!</definedName>
    <definedName name="_184__123Graph_ACHART_70" hidden="1">[2]ACT!$J$5:$J$26</definedName>
    <definedName name="_185__123Graph_ACHART_71" localSheetId="23" hidden="1">#REF!</definedName>
    <definedName name="_185__123Graph_ACHART_71" hidden="1">[2]ACT!$N$12:$N$27</definedName>
    <definedName name="_188__123Graph_ACHART_8" localSheetId="23" hidden="1">#REF!</definedName>
    <definedName name="_188__123Graph_ACHART_8" hidden="1">[2]VIC!$G$5:$G$26</definedName>
    <definedName name="_200__123Graph_ACHART_8" localSheetId="23" hidden="1">#REF!</definedName>
    <definedName name="_200__123Graph_ACHART_8" hidden="1">[2]VIC!$G$5:$G$26</definedName>
    <definedName name="_202__123Graph_ACHART_9" localSheetId="23" hidden="1">#REF!</definedName>
    <definedName name="_202__123Graph_ACHART_9" hidden="1">[2]VIC!$BC$5:$BC$26</definedName>
    <definedName name="_210__123Graph_BCHART_1" localSheetId="23" hidden="1">#REF!</definedName>
    <definedName name="_210__123Graph_BCHART_1" hidden="1">#REF!</definedName>
    <definedName name="_215__123Graph_ACHART_9" localSheetId="23" hidden="1">#REF!</definedName>
    <definedName name="_215__123Graph_ACHART_9" hidden="1">[2]VIC!$BC$5:$BC$26</definedName>
    <definedName name="_223__123Graph_BCHART_1" localSheetId="23" hidden="1">#REF!</definedName>
    <definedName name="_223__123Graph_BCHART_1" hidden="1">#REF!</definedName>
    <definedName name="_224__123Graph_BCHART_10" localSheetId="23" hidden="1">#REF!</definedName>
    <definedName name="_224__123Graph_BCHART_10" hidden="1">[2]VIC!$BA$5:$BA$26</definedName>
    <definedName name="_238__123Graph_BCHART_10" localSheetId="23" hidden="1">#REF!</definedName>
    <definedName name="_238__123Graph_BCHART_10" hidden="1">[2]VIC!$BA$5:$BA$26</definedName>
    <definedName name="_238__123Graph_BCHART_11" localSheetId="23" hidden="1">#REF!</definedName>
    <definedName name="_238__123Graph_BCHART_11" hidden="1">[2]VIC!$BE$5:$BE$26</definedName>
    <definedName name="_239__123Graph_BCHART_12" localSheetId="23" hidden="1">#REF!</definedName>
    <definedName name="_239__123Graph_BCHART_12" hidden="1">[2]VIC!$N$6:$N$26</definedName>
    <definedName name="_253__123Graph_BCHART_11" localSheetId="23" hidden="1">#REF!</definedName>
    <definedName name="_253__123Graph_BCHART_11" hidden="1">[2]VIC!$BE$5:$BE$26</definedName>
    <definedName name="_254__123Graph_BCHART_12" localSheetId="23" hidden="1">#REF!</definedName>
    <definedName name="_254__123Graph_BCHART_12" hidden="1">[2]VIC!$N$6:$N$26</definedName>
    <definedName name="_257__123Graph_BCHART_13" localSheetId="23" hidden="1">#REF!</definedName>
    <definedName name="_257__123Graph_BCHART_13" hidden="1">[2]VIC!#REF!</definedName>
    <definedName name="_258__123Graph_BCHART_15" localSheetId="23" hidden="1">#REF!</definedName>
    <definedName name="_258__123Graph_BCHART_15" hidden="1">[2]VIC!$AG$6:$AG$26</definedName>
    <definedName name="_259__123Graph_BCHART_16" localSheetId="23" hidden="1">#REF!</definedName>
    <definedName name="_259__123Graph_BCHART_16" hidden="1">[2]VIC!$BE$5:$BE$26</definedName>
    <definedName name="_273__123Graph_BCHART_13" localSheetId="23" hidden="1">#REF!</definedName>
    <definedName name="_273__123Graph_BCHART_13" hidden="1">[2]VIC!#REF!</definedName>
    <definedName name="_273__123Graph_BCHART_2" localSheetId="23" hidden="1">#REF!</definedName>
    <definedName name="_273__123Graph_BCHART_2" hidden="1">[2]VIC!$AX$9:$AX$26</definedName>
    <definedName name="_274__123Graph_BCHART_15" localSheetId="23" hidden="1">#REF!</definedName>
    <definedName name="_274__123Graph_BCHART_15" hidden="1">[2]VIC!$AG$6:$AG$26</definedName>
    <definedName name="_275__123Graph_BCHART_16" localSheetId="23" hidden="1">#REF!</definedName>
    <definedName name="_275__123Graph_BCHART_16" hidden="1">[2]VIC!$BE$5:$BE$26</definedName>
    <definedName name="_28__123Graph_ACHART_10" localSheetId="23" hidden="1">#REF!</definedName>
    <definedName name="_28__123Graph_ACHART_10" hidden="1">[2]VIC!$BD$5:$BD$26</definedName>
    <definedName name="_287__123Graph_BCHART_3" localSheetId="23" hidden="1">#REF!</definedName>
    <definedName name="_287__123Graph_BCHART_3" hidden="1">[2]VIC!$AF$9:$AF$26</definedName>
    <definedName name="_288__123Graph_BCHART_30" localSheetId="23" hidden="1">#REF!</definedName>
    <definedName name="_288__123Graph_BCHART_30" hidden="1">[2]SA!$BI$9:$BI$26</definedName>
    <definedName name="_289__123Graph_BCHART_31" localSheetId="23" hidden="1">#REF!</definedName>
    <definedName name="_289__123Graph_BCHART_31" hidden="1">[2]WA!$BI$9:$BI$26</definedName>
    <definedName name="_290__123Graph_BCHART_2" localSheetId="23" hidden="1">#REF!</definedName>
    <definedName name="_290__123Graph_BCHART_2" hidden="1">[2]VIC!$AX$9:$AX$26</definedName>
    <definedName name="_290__123Graph_BCHART_35" localSheetId="23" hidden="1">#REF!</definedName>
    <definedName name="_290__123Graph_BCHART_35" hidden="1">[2]WA!$BI$9:$BI$26</definedName>
    <definedName name="_30__123Graph_ACHART_10" localSheetId="23" hidden="1">#REF!</definedName>
    <definedName name="_30__123Graph_ACHART_10" hidden="1">[2]VIC!$BD$5:$BD$26</definedName>
    <definedName name="_304__123Graph_BCHART_4" localSheetId="23" hidden="1">#REF!</definedName>
    <definedName name="_304__123Graph_BCHART_4" hidden="1">[2]VIC!$AY$9:$AY$26</definedName>
    <definedName name="_305__123Graph_BCHART_3" localSheetId="23" hidden="1">#REF!</definedName>
    <definedName name="_305__123Graph_BCHART_3" hidden="1">[2]VIC!$AF$9:$AF$26</definedName>
    <definedName name="_306__123Graph_BCHART_30" localSheetId="23" hidden="1">#REF!</definedName>
    <definedName name="_306__123Graph_BCHART_30" hidden="1">[2]SA!$BI$9:$BI$26</definedName>
    <definedName name="_307__123Graph_BCHART_31" localSheetId="23" hidden="1">#REF!</definedName>
    <definedName name="_307__123Graph_BCHART_31" hidden="1">[2]WA!$BI$9:$BI$26</definedName>
    <definedName name="_308__123Graph_BCHART_35" localSheetId="23" hidden="1">#REF!</definedName>
    <definedName name="_308__123Graph_BCHART_35" hidden="1">[2]WA!$BI$9:$BI$26</definedName>
    <definedName name="_318__123Graph_BCHART_5" localSheetId="23" hidden="1">#REF!</definedName>
    <definedName name="_318__123Graph_BCHART_5" hidden="1">[2]VIC!$U$5:$U$26</definedName>
    <definedName name="_323__123Graph_BCHART_4" localSheetId="23" hidden="1">#REF!</definedName>
    <definedName name="_323__123Graph_BCHART_4" hidden="1">[2]VIC!$AY$9:$AY$26</definedName>
    <definedName name="_332__123Graph_BCHART_6" localSheetId="23" hidden="1">#REF!</definedName>
    <definedName name="_332__123Graph_BCHART_6" hidden="1">[2]VIC!$V$5:$V$26</definedName>
    <definedName name="_333__123Graph_BCHART_62" localSheetId="23" hidden="1">#REF!</definedName>
    <definedName name="_333__123Graph_BCHART_62" hidden="1">[2]ACT!$BB$7:$BB$26</definedName>
    <definedName name="_334__123Graph_BCHART_66" localSheetId="23" hidden="1">#REF!</definedName>
    <definedName name="_334__123Graph_BCHART_66" hidden="1">[3]NSW!$BE$5:$BE$26</definedName>
    <definedName name="_335__123Graph_BCHART_68" localSheetId="23" hidden="1">#REF!</definedName>
    <definedName name="_335__123Graph_BCHART_68" hidden="1">[2]TAS!$AN$5:$AN$26</definedName>
    <definedName name="_336__123Graph_BCHART_69" localSheetId="23" hidden="1">#REF!</definedName>
    <definedName name="_336__123Graph_BCHART_69" hidden="1">[3]NSW!$AN$5:$AN$26</definedName>
    <definedName name="_338__123Graph_BCHART_5" localSheetId="23" hidden="1">#REF!</definedName>
    <definedName name="_338__123Graph_BCHART_5" hidden="1">[2]VIC!$U$5:$U$26</definedName>
    <definedName name="_353__123Graph_BCHART_6" localSheetId="23" hidden="1">#REF!</definedName>
    <definedName name="_353__123Graph_BCHART_6" hidden="1">[2]VIC!$V$5:$V$26</definedName>
    <definedName name="_354__123Graph_BCHART_62" localSheetId="23" hidden="1">#REF!</definedName>
    <definedName name="_354__123Graph_BCHART_62" hidden="1">[2]ACT!$BB$7:$BB$26</definedName>
    <definedName name="_354__123Graph_BCHART_7" localSheetId="23" hidden="1">#REF!</definedName>
    <definedName name="_354__123Graph_BCHART_7" hidden="1">[2]VIC!#REF!</definedName>
    <definedName name="_355__123Graph_BCHART_66" localSheetId="23" hidden="1">#REF!</definedName>
    <definedName name="_355__123Graph_BCHART_66" hidden="1">[3]NSW!$BE$5:$BE$26</definedName>
    <definedName name="_355__123Graph_BCHART_70" localSheetId="23" hidden="1">#REF!</definedName>
    <definedName name="_355__123Graph_BCHART_70" hidden="1">[2]ACT!$L$5:$L$26</definedName>
    <definedName name="_356__123Graph_BCHART_68" localSheetId="23" hidden="1">#REF!</definedName>
    <definedName name="_356__123Graph_BCHART_68" hidden="1">[2]TAS!$AN$5:$AN$26</definedName>
    <definedName name="_356__123Graph_BCHART_71" localSheetId="23" hidden="1">#REF!</definedName>
    <definedName name="_356__123Graph_BCHART_71" hidden="1">[2]ACT!$L$12:$L$27</definedName>
    <definedName name="_357__123Graph_BCHART_69" localSheetId="23" hidden="1">#REF!</definedName>
    <definedName name="_357__123Graph_BCHART_69" hidden="1">[3]NSW!$AN$5:$AN$26</definedName>
    <definedName name="_374__123Graph_BCHART_8" localSheetId="23" hidden="1">#REF!</definedName>
    <definedName name="_374__123Graph_BCHART_8" hidden="1">[2]VIC!#REF!</definedName>
    <definedName name="_376__123Graph_BCHART_7" localSheetId="23" hidden="1">#REF!</definedName>
    <definedName name="_376__123Graph_BCHART_7" hidden="1">[2]VIC!#REF!</definedName>
    <definedName name="_377__123Graph_BCHART_70" localSheetId="23" hidden="1">#REF!</definedName>
    <definedName name="_377__123Graph_BCHART_70" hidden="1">[2]ACT!$L$5:$L$26</definedName>
    <definedName name="_378__123Graph_BCHART_71" localSheetId="23" hidden="1">#REF!</definedName>
    <definedName name="_378__123Graph_BCHART_71" hidden="1">[2]ACT!$L$12:$L$27</definedName>
    <definedName name="_388__123Graph_BCHART_9" localSheetId="23" hidden="1">#REF!</definedName>
    <definedName name="_388__123Graph_BCHART_9" hidden="1">[2]VIC!$AZ$5:$AZ$26</definedName>
    <definedName name="_396__123Graph_CCHART_1" localSheetId="23" hidden="1">#REF!</definedName>
    <definedName name="_396__123Graph_CCHART_1" hidden="1">#REF!</definedName>
    <definedName name="_397__123Graph_BCHART_8" localSheetId="23" hidden="1">#REF!</definedName>
    <definedName name="_397__123Graph_BCHART_8" hidden="1">[2]VIC!#REF!</definedName>
    <definedName name="_404__123Graph_CCHART_10" localSheetId="23" hidden="1">#REF!</definedName>
    <definedName name="_404__123Graph_CCHART_10" hidden="1">#REF!</definedName>
    <definedName name="_412__123Graph_BCHART_9" localSheetId="23" hidden="1">#REF!</definedName>
    <definedName name="_412__123Graph_BCHART_9" hidden="1">[2]VIC!$AZ$5:$AZ$26</definedName>
    <definedName name="_418__123Graph_CCHART_11" localSheetId="23" hidden="1">#REF!</definedName>
    <definedName name="_418__123Graph_CCHART_11" hidden="1">[2]VIC!$BG$5:$BG$26</definedName>
    <definedName name="_419__123Graph_CCHART_12" localSheetId="23" hidden="1">#REF!</definedName>
    <definedName name="_419__123Graph_CCHART_12" hidden="1">[2]VIC!$P$6:$P$26</definedName>
    <definedName name="_42__123Graph_ACHART_11" localSheetId="23" hidden="1">#REF!</definedName>
    <definedName name="_42__123Graph_ACHART_11" hidden="1">[2]VIC!$AZ$5:$AZ$26</definedName>
    <definedName name="_420__123Graph_CCHART_1" localSheetId="23" hidden="1">#REF!</definedName>
    <definedName name="_420__123Graph_CCHART_1" hidden="1">#REF!</definedName>
    <definedName name="_420__123Graph_CCHART_13" localSheetId="23" hidden="1">#REF!</definedName>
    <definedName name="_420__123Graph_CCHART_13" hidden="1">[2]VIC!$D$9:$D$26</definedName>
    <definedName name="_421__123Graph_CCHART_14" localSheetId="23" hidden="1">#REF!</definedName>
    <definedName name="_421__123Graph_CCHART_14" hidden="1">[2]VIC!$C$6:$C$26</definedName>
    <definedName name="_422__123Graph_CCHART_15" localSheetId="23" hidden="1">#REF!</definedName>
    <definedName name="_422__123Graph_CCHART_15" hidden="1">[2]VIC!$BE$6:$BE$26</definedName>
    <definedName name="_423__123Graph_CCHART_16" localSheetId="23" hidden="1">#REF!</definedName>
    <definedName name="_423__123Graph_CCHART_16" hidden="1">[2]VIC!$BG$5:$BG$26</definedName>
    <definedName name="_428__123Graph_CCHART_10" localSheetId="23" hidden="1">#REF!</definedName>
    <definedName name="_428__123Graph_CCHART_10" hidden="1">#REF!</definedName>
    <definedName name="_437__123Graph_CCHART_2" localSheetId="23" hidden="1">#REF!</definedName>
    <definedName name="_437__123Graph_CCHART_2" hidden="1">[2]VIC!$AW$9:$AW$26</definedName>
    <definedName name="_443__123Graph_CCHART_11" localSheetId="23" hidden="1">#REF!</definedName>
    <definedName name="_443__123Graph_CCHART_11" hidden="1">[2]VIC!$BG$5:$BG$26</definedName>
    <definedName name="_444__123Graph_CCHART_12" localSheetId="23" hidden="1">#REF!</definedName>
    <definedName name="_444__123Graph_CCHART_12" hidden="1">[2]VIC!$P$6:$P$26</definedName>
    <definedName name="_445__123Graph_CCHART_13" localSheetId="23" hidden="1">#REF!</definedName>
    <definedName name="_445__123Graph_CCHART_13" hidden="1">[2]VIC!$D$9:$D$26</definedName>
    <definedName name="_445__123Graph_CCHART_3" localSheetId="23" hidden="1">#REF!</definedName>
    <definedName name="_445__123Graph_CCHART_3" hidden="1">#REF!</definedName>
    <definedName name="_446__123Graph_CCHART_14" localSheetId="23" hidden="1">#REF!</definedName>
    <definedName name="_446__123Graph_CCHART_14" hidden="1">[2]VIC!$C$6:$C$26</definedName>
    <definedName name="_447__123Graph_CCHART_15" localSheetId="23" hidden="1">#REF!</definedName>
    <definedName name="_447__123Graph_CCHART_15" hidden="1">[2]VIC!$BE$6:$BE$26</definedName>
    <definedName name="_448__123Graph_CCHART_16" localSheetId="23" hidden="1">#REF!</definedName>
    <definedName name="_448__123Graph_CCHART_16" hidden="1">[2]VIC!$BG$5:$BG$26</definedName>
    <definedName name="_45__123Graph_ACHART_11" localSheetId="23" hidden="1">#REF!</definedName>
    <definedName name="_45__123Graph_ACHART_11" hidden="1">[2]VIC!$AZ$5:$AZ$26</definedName>
    <definedName name="_453__123Graph_CCHART_4" localSheetId="23" hidden="1">#REF!</definedName>
    <definedName name="_453__123Graph_CCHART_4" hidden="1">#REF!</definedName>
    <definedName name="_461__123Graph_CCHART_5" localSheetId="23" hidden="1">#REF!</definedName>
    <definedName name="_461__123Graph_CCHART_5" hidden="1">#REF!</definedName>
    <definedName name="_463__123Graph_CCHART_2" localSheetId="23" hidden="1">#REF!</definedName>
    <definedName name="_463__123Graph_CCHART_2" hidden="1">[2]VIC!$AW$9:$AW$26</definedName>
    <definedName name="_469__123Graph_CCHART_6" localSheetId="23" hidden="1">#REF!</definedName>
    <definedName name="_469__123Graph_CCHART_6" hidden="1">#REF!</definedName>
    <definedName name="_470__123Graph_CCHART_62" localSheetId="23" hidden="1">#REF!</definedName>
    <definedName name="_470__123Graph_CCHART_62" hidden="1">[2]ACT!$BD$7:$BD$26</definedName>
    <definedName name="_471__123Graph_CCHART_3" localSheetId="23" hidden="1">#REF!</definedName>
    <definedName name="_471__123Graph_CCHART_3" hidden="1">#REF!</definedName>
    <definedName name="_471__123Graph_CCHART_66" localSheetId="23" hidden="1">#REF!</definedName>
    <definedName name="_471__123Graph_CCHART_66" hidden="1">[3]NSW!$BG$5:$BG$26</definedName>
    <definedName name="_472__123Graph_CCHART_68" localSheetId="23" hidden="1">#REF!</definedName>
    <definedName name="_472__123Graph_CCHART_68" hidden="1">[2]TAS!$AU$5:$AU$26</definedName>
    <definedName name="_473__123Graph_CCHART_69" localSheetId="23" hidden="1">#REF!</definedName>
    <definedName name="_473__123Graph_CCHART_69" hidden="1">[3]NSW!$AX$5:$AX$26</definedName>
    <definedName name="_479__123Graph_CCHART_4" localSheetId="23" hidden="1">#REF!</definedName>
    <definedName name="_479__123Graph_CCHART_4" hidden="1">#REF!</definedName>
    <definedName name="_481__123Graph_CCHART_7" localSheetId="23" hidden="1">#REF!</definedName>
    <definedName name="_481__123Graph_CCHART_7" hidden="1">#REF!</definedName>
    <definedName name="_482__123Graph_CCHART_70" localSheetId="23" hidden="1">#REF!</definedName>
    <definedName name="_482__123Graph_CCHART_70" hidden="1">[2]ACT!$P$5:$P$26</definedName>
    <definedName name="_487__123Graph_CCHART_5" localSheetId="23" hidden="1">#REF!</definedName>
    <definedName name="_487__123Graph_CCHART_5" hidden="1">#REF!</definedName>
    <definedName name="_490__123Graph_CCHART_8" localSheetId="23" hidden="1">#REF!</definedName>
    <definedName name="_490__123Graph_CCHART_8" hidden="1">#REF!</definedName>
    <definedName name="_495__123Graph_CCHART_6" localSheetId="23" hidden="1">#REF!</definedName>
    <definedName name="_495__123Graph_CCHART_6" hidden="1">#REF!</definedName>
    <definedName name="_496__123Graph_CCHART_62" localSheetId="23" hidden="1">#REF!</definedName>
    <definedName name="_496__123Graph_CCHART_62" hidden="1">[2]ACT!$BD$7:$BD$26</definedName>
    <definedName name="_497__123Graph_CCHART_66" localSheetId="23" hidden="1">#REF!</definedName>
    <definedName name="_497__123Graph_CCHART_66" hidden="1">[3]NSW!$BG$5:$BG$26</definedName>
    <definedName name="_498__123Graph_CCHART_68" localSheetId="23" hidden="1">#REF!</definedName>
    <definedName name="_498__123Graph_CCHART_68" hidden="1">[2]TAS!$AU$5:$AU$26</definedName>
    <definedName name="_498__123Graph_CCHART_9" localSheetId="23" hidden="1">#REF!</definedName>
    <definedName name="_498__123Graph_CCHART_9" hidden="1">#REF!</definedName>
    <definedName name="_499__123Graph_CCHART_69" localSheetId="23" hidden="1">#REF!</definedName>
    <definedName name="_499__123Graph_CCHART_69" hidden="1">[3]NSW!$AX$5:$AX$26</definedName>
    <definedName name="_499__123Graph_DCHART_1" localSheetId="23" hidden="1">#REF!</definedName>
    <definedName name="_499__123Graph_DCHART_1" hidden="1">[2]VIC!$W$9:$W$26</definedName>
    <definedName name="_507__123Graph_CCHART_7" localSheetId="23" hidden="1">#REF!</definedName>
    <definedName name="_507__123Graph_CCHART_7" hidden="1">#REF!</definedName>
    <definedName name="_507__123Graph_DCHART_10" localSheetId="23" hidden="1">#REF!</definedName>
    <definedName name="_507__123Graph_DCHART_10" hidden="1">#REF!</definedName>
    <definedName name="_508__123Graph_CCHART_70" localSheetId="23" hidden="1">#REF!</definedName>
    <definedName name="_508__123Graph_CCHART_70" hidden="1">[2]ACT!$P$5:$P$26</definedName>
    <definedName name="_508__123Graph_DCHART_11" localSheetId="23" hidden="1">#REF!</definedName>
    <definedName name="_508__123Graph_DCHART_11" hidden="1">[2]VIC!$BI$5:$BI$26</definedName>
    <definedName name="_509__123Graph_DCHART_13" localSheetId="23" hidden="1">#REF!</definedName>
    <definedName name="_509__123Graph_DCHART_13" hidden="1">[2]VIC!$B$9:$B$26</definedName>
    <definedName name="_510__123Graph_DCHART_16" localSheetId="23" hidden="1">#REF!</definedName>
    <definedName name="_510__123Graph_DCHART_16" hidden="1">[2]VIC!$BI$5:$BI$26</definedName>
    <definedName name="_511__123Graph_DCHART_2" localSheetId="23" hidden="1">#REF!</definedName>
    <definedName name="_511__123Graph_DCHART_2" hidden="1">[2]VIC!$AG$9:$AG$26</definedName>
    <definedName name="_512__123Graph_DCHART_66" localSheetId="23" hidden="1">#REF!</definedName>
    <definedName name="_512__123Graph_DCHART_66" hidden="1">[3]NSW!$BI$5:$BI$26</definedName>
    <definedName name="_513__123Graph_DCHART_68" localSheetId="23" hidden="1">#REF!</definedName>
    <definedName name="_513__123Graph_DCHART_68" hidden="1">[2]TAS!$AW$5:$AW$26</definedName>
    <definedName name="_514__123Graph_DCHART_70" localSheetId="23" hidden="1">#REF!</definedName>
    <definedName name="_514__123Graph_DCHART_70" hidden="1">[2]ACT!$R$5:$R$26</definedName>
    <definedName name="_516__123Graph_CCHART_8" localSheetId="23" hidden="1">#REF!</definedName>
    <definedName name="_516__123Graph_CCHART_8" hidden="1">#REF!</definedName>
    <definedName name="_522__123Graph_ECHART_10" localSheetId="23" hidden="1">#REF!</definedName>
    <definedName name="_522__123Graph_ECHART_10" hidden="1">#REF!</definedName>
    <definedName name="_523__123Graph_ECHART_11" localSheetId="23" hidden="1">#REF!</definedName>
    <definedName name="_523__123Graph_ECHART_11" hidden="1">[2]VIC!$BO$5:$BO$26</definedName>
    <definedName name="_524__123Graph_CCHART_9" localSheetId="23" hidden="1">#REF!</definedName>
    <definedName name="_524__123Graph_CCHART_9" hidden="1">#REF!</definedName>
    <definedName name="_524__123Graph_ECHART_2" localSheetId="23" hidden="1">#REF!</definedName>
    <definedName name="_524__123Graph_ECHART_2" hidden="1">[2]VIC!$AN$9:$AN$26</definedName>
    <definedName name="_525__123Graph_DCHART_1" localSheetId="23" hidden="1">#REF!</definedName>
    <definedName name="_525__123Graph_DCHART_1" hidden="1">[2]VIC!$W$9:$W$26</definedName>
    <definedName name="_525__123Graph_ECHART_66" localSheetId="23" hidden="1">#REF!</definedName>
    <definedName name="_525__123Graph_ECHART_66" hidden="1">[3]NSW!$BO$5:$BO$26</definedName>
    <definedName name="_526__123Graph_ECHART_68" localSheetId="23" hidden="1">#REF!</definedName>
    <definedName name="_526__123Graph_ECHART_68" hidden="1">[2]TAS!$AX$5:$AX$26</definedName>
    <definedName name="_533__123Graph_DCHART_10" localSheetId="23" hidden="1">#REF!</definedName>
    <definedName name="_533__123Graph_DCHART_10" hidden="1">#REF!</definedName>
    <definedName name="_534__123Graph_DCHART_11" localSheetId="23" hidden="1">#REF!</definedName>
    <definedName name="_534__123Graph_DCHART_11" hidden="1">[2]VIC!$BI$5:$BI$26</definedName>
    <definedName name="_534__123Graph_FCHART_10" localSheetId="23" hidden="1">#REF!</definedName>
    <definedName name="_534__123Graph_FCHART_10" hidden="1">#REF!</definedName>
    <definedName name="_535__123Graph_DCHART_13" localSheetId="23" hidden="1">#REF!</definedName>
    <definedName name="_535__123Graph_DCHART_13" hidden="1">[2]VIC!$B$9:$B$26</definedName>
    <definedName name="_536__123Graph_DCHART_16" localSheetId="23" hidden="1">#REF!</definedName>
    <definedName name="_536__123Graph_DCHART_16" hidden="1">[2]VIC!$BI$5:$BI$26</definedName>
    <definedName name="_537__123Graph_DCHART_2" localSheetId="23" hidden="1">#REF!</definedName>
    <definedName name="_537__123Graph_DCHART_2" hidden="1">[2]VIC!$AG$9:$AG$26</definedName>
    <definedName name="_538__123Graph_DCHART_66" localSheetId="23" hidden="1">#REF!</definedName>
    <definedName name="_538__123Graph_DCHART_66" hidden="1">[3]NSW!$BI$5:$BI$26</definedName>
    <definedName name="_539__123Graph_DCHART_68" localSheetId="23" hidden="1">#REF!</definedName>
    <definedName name="_539__123Graph_DCHART_68" hidden="1">[2]TAS!$AW$5:$AW$26</definedName>
    <definedName name="_540__123Graph_DCHART_70" localSheetId="23" hidden="1">#REF!</definedName>
    <definedName name="_540__123Graph_DCHART_70" hidden="1">[2]ACT!$R$5:$R$26</definedName>
    <definedName name="_548__123Graph_ECHART_10" localSheetId="23" hidden="1">#REF!</definedName>
    <definedName name="_548__123Graph_ECHART_10" hidden="1">#REF!</definedName>
    <definedName name="_548__123Graph_XCHART_10" localSheetId="23" hidden="1">#REF!</definedName>
    <definedName name="_548__123Graph_XCHART_10" hidden="1">[2]VIC!$A$5:$A$26</definedName>
    <definedName name="_549__123Graph_ECHART_11" localSheetId="23" hidden="1">#REF!</definedName>
    <definedName name="_549__123Graph_ECHART_11" hidden="1">[2]VIC!$BO$5:$BO$26</definedName>
    <definedName name="_550__123Graph_ECHART_2" localSheetId="23" hidden="1">#REF!</definedName>
    <definedName name="_550__123Graph_ECHART_2" hidden="1">[2]VIC!$AN$9:$AN$26</definedName>
    <definedName name="_551__123Graph_ECHART_66" localSheetId="23" hidden="1">#REF!</definedName>
    <definedName name="_551__123Graph_ECHART_66" hidden="1">[3]NSW!$BO$5:$BO$26</definedName>
    <definedName name="_552__123Graph_ECHART_68" localSheetId="23" hidden="1">#REF!</definedName>
    <definedName name="_552__123Graph_ECHART_68" hidden="1">[2]TAS!$AX$5:$AX$26</definedName>
    <definedName name="_560__123Graph_FCHART_10" localSheetId="23" hidden="1">#REF!</definedName>
    <definedName name="_560__123Graph_FCHART_10" hidden="1">#REF!</definedName>
    <definedName name="_562__123Graph_XCHART_11" localSheetId="23" hidden="1">#REF!</definedName>
    <definedName name="_562__123Graph_XCHART_11" hidden="1">[2]VIC!$A$5:$A$26</definedName>
    <definedName name="_563__123Graph_XCHART_12" localSheetId="23" hidden="1">#REF!</definedName>
    <definedName name="_563__123Graph_XCHART_12" hidden="1">[2]VIC!$A$6:$A$26</definedName>
    <definedName name="_564__123Graph_XCHART_13" localSheetId="23" hidden="1">#REF!</definedName>
    <definedName name="_564__123Graph_XCHART_13" hidden="1">[2]VIC!$A$9:$A$26</definedName>
    <definedName name="_565__123Graph_XCHART_14" localSheetId="23" hidden="1">#REF!</definedName>
    <definedName name="_565__123Graph_XCHART_14" hidden="1">[2]VIC!$A$9:$A$26</definedName>
    <definedName name="_566__123Graph_XCHART_15" localSheetId="23" hidden="1">#REF!</definedName>
    <definedName name="_566__123Graph_XCHART_15" hidden="1">[2]VIC!$A$6:$A$26</definedName>
    <definedName name="_567__123Graph_XCHART_16" localSheetId="23" hidden="1">#REF!</definedName>
    <definedName name="_567__123Graph_XCHART_16" hidden="1">[2]VIC!$A$5:$A$26</definedName>
    <definedName name="_575__123Graph_XCHART_10" localSheetId="23" hidden="1">#REF!</definedName>
    <definedName name="_575__123Graph_XCHART_10" hidden="1">[2]VIC!$A$5:$A$26</definedName>
    <definedName name="_581__123Graph_XCHART_2" localSheetId="23" hidden="1">#REF!</definedName>
    <definedName name="_581__123Graph_XCHART_2" hidden="1">[2]VIC!$A$9:$A$26</definedName>
    <definedName name="_590__123Graph_XCHART_11" localSheetId="23" hidden="1">#REF!</definedName>
    <definedName name="_590__123Graph_XCHART_11" hidden="1">[2]VIC!$A$5:$A$26</definedName>
    <definedName name="_591__123Graph_XCHART_12" localSheetId="23" hidden="1">#REF!</definedName>
    <definedName name="_591__123Graph_XCHART_12" hidden="1">[2]VIC!$A$6:$A$26</definedName>
    <definedName name="_592__123Graph_XCHART_13" localSheetId="23" hidden="1">#REF!</definedName>
    <definedName name="_592__123Graph_XCHART_13" hidden="1">[2]VIC!$A$9:$A$26</definedName>
    <definedName name="_593__123Graph_XCHART_14" localSheetId="23" hidden="1">#REF!</definedName>
    <definedName name="_593__123Graph_XCHART_14" hidden="1">[2]VIC!$A$9:$A$26</definedName>
    <definedName name="_594__123Graph_XCHART_15" localSheetId="23" hidden="1">#REF!</definedName>
    <definedName name="_594__123Graph_XCHART_15" hidden="1">[2]VIC!$A$6:$A$26</definedName>
    <definedName name="_595__123Graph_XCHART_16" localSheetId="23" hidden="1">#REF!</definedName>
    <definedName name="_595__123Graph_XCHART_16" hidden="1">[2]VIC!$A$5:$A$26</definedName>
    <definedName name="_595__123Graph_XCHART_3" localSheetId="23" hidden="1">#REF!</definedName>
    <definedName name="_595__123Graph_XCHART_3" hidden="1">[2]VIC!$A$9:$A$26</definedName>
    <definedName name="_596__123Graph_XCHART_35" localSheetId="23" hidden="1">#REF!</definedName>
    <definedName name="_596__123Graph_XCHART_35" hidden="1">[2]WA!$A$9:$A$26</definedName>
    <definedName name="_60__123Graph_ACHART_12" localSheetId="23" hidden="1">#REF!</definedName>
    <definedName name="_60__123Graph_ACHART_12" hidden="1">[2]VIC!#REF!</definedName>
    <definedName name="_610__123Graph_XCHART_2" localSheetId="23" hidden="1">#REF!</definedName>
    <definedName name="_610__123Graph_XCHART_2" hidden="1">[2]VIC!$A$9:$A$26</definedName>
    <definedName name="_610__123Graph_XCHART_4" localSheetId="23" hidden="1">#REF!</definedName>
    <definedName name="_610__123Graph_XCHART_4" hidden="1">[2]VIC!$A$9:$A$26</definedName>
    <definedName name="_624__123Graph_XCHART_5" localSheetId="23" hidden="1">#REF!</definedName>
    <definedName name="_624__123Graph_XCHART_5" hidden="1">[2]VIC!$A$5:$A$26</definedName>
    <definedName name="_625__123Graph_XCHART_3" localSheetId="23" hidden="1">#REF!</definedName>
    <definedName name="_625__123Graph_XCHART_3" hidden="1">[2]VIC!$A$9:$A$26</definedName>
    <definedName name="_626__123Graph_XCHART_35" localSheetId="23" hidden="1">#REF!</definedName>
    <definedName name="_626__123Graph_XCHART_35" hidden="1">[2]WA!$A$9:$A$26</definedName>
    <definedName name="_638__123Graph_XCHART_6" localSheetId="23" hidden="1">#REF!</definedName>
    <definedName name="_638__123Graph_XCHART_6" hidden="1">[2]VIC!$A$5:$A$26</definedName>
    <definedName name="_64__123Graph_ACHART_12" localSheetId="23" hidden="1">#REF!</definedName>
    <definedName name="_64__123Graph_ACHART_12" hidden="1">[2]VIC!#REF!</definedName>
    <definedName name="_641__123Graph_XCHART_4" localSheetId="23" hidden="1">#REF!</definedName>
    <definedName name="_641__123Graph_XCHART_4" hidden="1">[2]VIC!$A$9:$A$26</definedName>
    <definedName name="_652__123Graph_XCHART_7" localSheetId="23" hidden="1">#REF!</definedName>
    <definedName name="_652__123Graph_XCHART_7" hidden="1">[2]VIC!$A$5:$A$26</definedName>
    <definedName name="_653__123Graph_XCHART_71" localSheetId="23" hidden="1">#REF!</definedName>
    <definedName name="_653__123Graph_XCHART_71" hidden="1">[2]ACT!$A$12:$A$27</definedName>
    <definedName name="_656__123Graph_XCHART_5" localSheetId="23" hidden="1">#REF!</definedName>
    <definedName name="_656__123Graph_XCHART_5" hidden="1">[2]VIC!$A$5:$A$26</definedName>
    <definedName name="_667__123Graph_XCHART_8" localSheetId="23" hidden="1">#REF!</definedName>
    <definedName name="_667__123Graph_XCHART_8" hidden="1">[2]VIC!$A$5:$A$26</definedName>
    <definedName name="_671__123Graph_XCHART_6" localSheetId="23" hidden="1">#REF!</definedName>
    <definedName name="_671__123Graph_XCHART_6" hidden="1">[2]VIC!$A$5:$A$26</definedName>
    <definedName name="_681__123Graph_XCHART_9" localSheetId="23" hidden="1">#REF!</definedName>
    <definedName name="_681__123Graph_XCHART_9" hidden="1">[2]VIC!$A$5:$A$26</definedName>
    <definedName name="_686__123Graph_XCHART_7" localSheetId="23" hidden="1">#REF!</definedName>
    <definedName name="_686__123Graph_XCHART_7" hidden="1">[2]VIC!$A$5:$A$26</definedName>
    <definedName name="_687__123Graph_XCHART_71" localSheetId="23" hidden="1">#REF!</definedName>
    <definedName name="_687__123Graph_XCHART_71" hidden="1">[2]ACT!$A$12:$A$27</definedName>
    <definedName name="_702__123Graph_XCHART_8" localSheetId="23" hidden="1">#REF!</definedName>
    <definedName name="_702__123Graph_XCHART_8" hidden="1">[2]VIC!$A$5:$A$26</definedName>
    <definedName name="_717__123Graph_XCHART_9" localSheetId="23" hidden="1">#REF!</definedName>
    <definedName name="_717__123Graph_XCHART_9" hidden="1">[2]VIC!$A$5:$A$26</definedName>
    <definedName name="_78__123Graph_ACHART_13" localSheetId="23" hidden="1">#REF!</definedName>
    <definedName name="_78__123Graph_ACHART_13" hidden="1">[2]VIC!#REF!</definedName>
    <definedName name="_79__123Graph_ACHART_14" localSheetId="23" hidden="1">#REF!</definedName>
    <definedName name="_79__123Graph_ACHART_14" hidden="1">[2]VIC!$X$6:$X$26</definedName>
    <definedName name="_80__123Graph_ACHART_15" localSheetId="23" hidden="1">#REF!</definedName>
    <definedName name="_80__123Graph_ACHART_15" hidden="1">[2]VIC!$N$6:$N$26</definedName>
    <definedName name="_81__123Graph_ACHART_16" localSheetId="23" hidden="1">#REF!</definedName>
    <definedName name="_81__123Graph_ACHART_16" hidden="1">[2]VIC!$AZ$5:$AZ$26</definedName>
    <definedName name="_83__123Graph_ACHART_13" localSheetId="23" hidden="1">#REF!</definedName>
    <definedName name="_83__123Graph_ACHART_13" hidden="1">[2]VIC!#REF!</definedName>
    <definedName name="_84__123Graph_ACHART_14" localSheetId="23" hidden="1">#REF!</definedName>
    <definedName name="_84__123Graph_ACHART_14" hidden="1">[2]VIC!$X$6:$X$26</definedName>
    <definedName name="_85__123Graph_ACHART_15" localSheetId="23" hidden="1">#REF!</definedName>
    <definedName name="_85__123Graph_ACHART_15" hidden="1">[2]VIC!$N$6:$N$26</definedName>
    <definedName name="_86__123Graph_ACHART_16" localSheetId="23" hidden="1">#REF!</definedName>
    <definedName name="_86__123Graph_ACHART_16" hidden="1">[2]VIC!$AZ$5:$AZ$26</definedName>
    <definedName name="_95__123Graph_ACHART_2" localSheetId="23" hidden="1">#REF!</definedName>
    <definedName name="_95__123Graph_ACHART_2" hidden="1">[2]VIC!$AU$9:$AU$26</definedName>
    <definedName name="_Fill" localSheetId="23" hidden="1">#REF!</definedName>
    <definedName name="_Fill" hidden="1">#REF!</definedName>
    <definedName name="_xlnm._FilterDatabase" localSheetId="16" hidden="1">'Aggregated demand'!#REF!</definedName>
    <definedName name="_xlnm._FilterDatabase" localSheetId="10" hidden="1">'Augex - growth and decline'!#REF!</definedName>
    <definedName name="_xlnm._FilterDatabase" localSheetId="25" hidden="1">'Capitalised OH'!$B$7:$L$8</definedName>
    <definedName name="_xlnm._FilterDatabase" localSheetId="22" hidden="1">'Financial inputs'!#REF!</definedName>
    <definedName name="_xlnm._FilterDatabase" localSheetId="5" hidden="1">'LRMC - growth'!#REF!</definedName>
    <definedName name="_xlnm._FilterDatabase" localSheetId="27" hidden="1">'Max demand'!#REF!</definedName>
    <definedName name="_xlnm._FilterDatabase" localSheetId="12" hidden="1">'Raw demand'!$A$9:$AN$87</definedName>
    <definedName name="_xlnm._FilterDatabase" localSheetId="14" hidden="1">'Smoothed demand'!$B$9:$P$87</definedName>
    <definedName name="_xlnm._FilterDatabase" localSheetId="29" hidden="1">'ST augex'!$B$9:$B$1682</definedName>
    <definedName name="_xlnm._FilterDatabase" localSheetId="9" hidden="1">'Total augex'!#REF!</definedName>
    <definedName name="anscount" hidden="1">1</definedName>
    <definedName name="area_plans">Lists!$D$6:$D$31</definedName>
    <definedName name="asset_life">'Control and results'!$C$10</definedName>
    <definedName name="augex_categories">Lists!$J$6:$J$12</definedName>
    <definedName name="base_year">'Financial inputs'!$C$7</definedName>
    <definedName name="CIQWBGuid" hidden="1">"Ausgrid Real Escalators v1.xlsx"</definedName>
    <definedName name="cost_types">Lists!$P$6:$P$7</definedName>
    <definedName name="demand_growth_options">Lists!$N$6:$N$8</definedName>
    <definedName name="demand_smoothing_options">Lists!$R$6:$R$8</definedName>
    <definedName name="discount_rate">'Control and results'!$C$8</definedName>
    <definedName name="network_levels">Lists!$H$6:$H$8</definedName>
    <definedName name="opex_proportion">'Control and results'!$C$9</definedName>
    <definedName name="repex_categories">Lists!$L$6:$L$8</definedName>
    <definedName name="years">Lists!$B$6:$B$15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0" i="107" l="1"/>
  <c r="B14" i="107"/>
  <c r="B80" i="107"/>
  <c r="B79" i="107"/>
  <c r="B78" i="107"/>
  <c r="B77" i="107"/>
  <c r="B76" i="107"/>
  <c r="B75" i="107"/>
  <c r="B74" i="107"/>
  <c r="B73" i="107"/>
  <c r="B72" i="107"/>
  <c r="B71" i="107"/>
  <c r="B70" i="107"/>
  <c r="B69" i="107"/>
  <c r="B68" i="107"/>
  <c r="B67" i="107"/>
  <c r="B66" i="107"/>
  <c r="B65" i="107"/>
  <c r="B64" i="107"/>
  <c r="B63" i="107"/>
  <c r="B62" i="107"/>
  <c r="B61" i="107"/>
  <c r="B60" i="107"/>
  <c r="B59" i="107"/>
  <c r="B58" i="107"/>
  <c r="B57" i="107"/>
  <c r="B56" i="107"/>
  <c r="B55" i="107"/>
  <c r="B54" i="107"/>
  <c r="B53" i="107"/>
  <c r="B52" i="107"/>
  <c r="B51" i="107"/>
  <c r="A1" i="107"/>
  <c r="C24" i="2"/>
  <c r="C23" i="2"/>
  <c r="C19" i="2"/>
  <c r="C20" i="2" s="1"/>
  <c r="C21" i="2" s="1"/>
  <c r="L7" i="113"/>
  <c r="K7" i="113"/>
  <c r="J7" i="113"/>
  <c r="H27" i="113"/>
  <c r="G27" i="113"/>
  <c r="H26" i="113"/>
  <c r="G26" i="113"/>
  <c r="H25" i="113"/>
  <c r="G25" i="113"/>
  <c r="H24" i="113"/>
  <c r="G24" i="113"/>
  <c r="H23" i="113"/>
  <c r="G23" i="113"/>
  <c r="H22" i="113"/>
  <c r="G22" i="113"/>
  <c r="H21" i="113"/>
  <c r="G21" i="113"/>
  <c r="H20" i="113"/>
  <c r="G20" i="113"/>
  <c r="H19" i="113"/>
  <c r="G19" i="113"/>
  <c r="H18" i="113"/>
  <c r="G18" i="113"/>
  <c r="H17" i="113"/>
  <c r="G17" i="113"/>
  <c r="H16" i="113"/>
  <c r="G16" i="113"/>
  <c r="H15" i="113"/>
  <c r="G15" i="113"/>
  <c r="H14" i="113"/>
  <c r="G14" i="113"/>
  <c r="H13" i="113"/>
  <c r="G13" i="113"/>
  <c r="H12" i="113"/>
  <c r="G12" i="113"/>
  <c r="H11" i="113"/>
  <c r="G11" i="113"/>
  <c r="H10" i="113"/>
  <c r="G10" i="113"/>
  <c r="E18" i="113"/>
  <c r="E21" i="113" s="1"/>
  <c r="E24" i="113" s="1"/>
  <c r="E27" i="113" s="1"/>
  <c r="D18" i="113"/>
  <c r="D21" i="113" s="1"/>
  <c r="D24" i="113" s="1"/>
  <c r="D27" i="113" s="1"/>
  <c r="E17" i="113"/>
  <c r="E20" i="113" s="1"/>
  <c r="E23" i="113" s="1"/>
  <c r="E26" i="113" s="1"/>
  <c r="D17" i="113"/>
  <c r="D20" i="113" s="1"/>
  <c r="D23" i="113" s="1"/>
  <c r="D26" i="113" s="1"/>
  <c r="E16" i="113"/>
  <c r="E19" i="113" s="1"/>
  <c r="E22" i="113" s="1"/>
  <c r="E25" i="113" s="1"/>
  <c r="D16" i="113"/>
  <c r="E15" i="113"/>
  <c r="D15" i="113"/>
  <c r="E14" i="113"/>
  <c r="D14" i="113"/>
  <c r="E13" i="113"/>
  <c r="D13" i="113"/>
  <c r="B15" i="113" a="1"/>
  <c r="B15" i="113" s="1"/>
  <c r="B14" i="113" a="1"/>
  <c r="B14" i="113" s="1"/>
  <c r="B13" i="113" a="1"/>
  <c r="B13" i="113" s="1"/>
  <c r="B12" i="113" a="1"/>
  <c r="B12" i="113" s="1"/>
  <c r="B11" i="113" a="1"/>
  <c r="B11" i="113" s="1"/>
  <c r="B10" i="113" a="1"/>
  <c r="B10" i="113" s="1"/>
  <c r="A1" i="113"/>
  <c r="B43" i="112" a="1"/>
  <c r="B43" i="112" s="1"/>
  <c r="B50" i="112" s="1"/>
  <c r="B63" i="112" a="1"/>
  <c r="B63" i="112" s="1"/>
  <c r="B70" i="112" s="1"/>
  <c r="B83" i="112" a="1"/>
  <c r="B83" i="112" s="1"/>
  <c r="B90" i="112" s="1"/>
  <c r="B103" i="112" a="1"/>
  <c r="B103" i="112" s="1"/>
  <c r="B110" i="112" s="1"/>
  <c r="C121" i="112"/>
  <c r="C120" i="112"/>
  <c r="C119" i="112"/>
  <c r="Y118" i="112"/>
  <c r="X118" i="112"/>
  <c r="W118" i="112"/>
  <c r="V118" i="112"/>
  <c r="U118" i="112"/>
  <c r="T118" i="112"/>
  <c r="S118" i="112"/>
  <c r="R118" i="112"/>
  <c r="Q118" i="112"/>
  <c r="P118" i="112"/>
  <c r="O118" i="112"/>
  <c r="N118" i="112"/>
  <c r="M118" i="112"/>
  <c r="L118" i="112"/>
  <c r="K118" i="112"/>
  <c r="J118" i="112"/>
  <c r="I118" i="112"/>
  <c r="H118" i="112"/>
  <c r="G118" i="112"/>
  <c r="F118" i="112"/>
  <c r="E118" i="112"/>
  <c r="D118" i="112"/>
  <c r="C118" i="112"/>
  <c r="B118" i="112"/>
  <c r="B114" i="112"/>
  <c r="D112" i="112"/>
  <c r="C112" i="112"/>
  <c r="D111" i="112"/>
  <c r="C111" i="112"/>
  <c r="D110" i="112"/>
  <c r="C110" i="112"/>
  <c r="Y109" i="112"/>
  <c r="X109" i="112"/>
  <c r="W109" i="112"/>
  <c r="V109" i="112"/>
  <c r="U109" i="112"/>
  <c r="T109" i="112"/>
  <c r="S109" i="112"/>
  <c r="R109" i="112"/>
  <c r="Q109" i="112"/>
  <c r="P109" i="112"/>
  <c r="O109" i="112"/>
  <c r="N109" i="112"/>
  <c r="M109" i="112"/>
  <c r="L109" i="112"/>
  <c r="K109" i="112"/>
  <c r="J109" i="112"/>
  <c r="I109" i="112"/>
  <c r="H109" i="112"/>
  <c r="G109" i="112"/>
  <c r="F109" i="112"/>
  <c r="E109" i="112"/>
  <c r="D109" i="112"/>
  <c r="C109" i="112"/>
  <c r="B109" i="112"/>
  <c r="B107" i="112"/>
  <c r="B105" i="112"/>
  <c r="C101" i="112"/>
  <c r="C100" i="112"/>
  <c r="C99" i="112"/>
  <c r="Y98" i="112"/>
  <c r="X98" i="112"/>
  <c r="W98" i="112"/>
  <c r="V98" i="112"/>
  <c r="U98" i="112"/>
  <c r="T98" i="112"/>
  <c r="S98" i="112"/>
  <c r="R98" i="112"/>
  <c r="Q98" i="112"/>
  <c r="P98" i="112"/>
  <c r="O98" i="112"/>
  <c r="N98" i="112"/>
  <c r="M98" i="112"/>
  <c r="L98" i="112"/>
  <c r="K98" i="112"/>
  <c r="J98" i="112"/>
  <c r="I98" i="112"/>
  <c r="H98" i="112"/>
  <c r="G98" i="112"/>
  <c r="F98" i="112"/>
  <c r="E98" i="112"/>
  <c r="D98" i="112"/>
  <c r="C98" i="112"/>
  <c r="B98" i="112"/>
  <c r="B94" i="112"/>
  <c r="D92" i="112"/>
  <c r="C92" i="112"/>
  <c r="D91" i="112"/>
  <c r="C91" i="112"/>
  <c r="D90" i="112"/>
  <c r="C90" i="112"/>
  <c r="Y89" i="112"/>
  <c r="X89" i="112"/>
  <c r="W89" i="112"/>
  <c r="V89" i="112"/>
  <c r="U89" i="112"/>
  <c r="T89" i="112"/>
  <c r="S89" i="112"/>
  <c r="R89" i="112"/>
  <c r="Q89" i="112"/>
  <c r="P89" i="112"/>
  <c r="O89" i="112"/>
  <c r="N89" i="112"/>
  <c r="M89" i="112"/>
  <c r="L89" i="112"/>
  <c r="K89" i="112"/>
  <c r="J89" i="112"/>
  <c r="I89" i="112"/>
  <c r="H89" i="112"/>
  <c r="G89" i="112"/>
  <c r="F89" i="112"/>
  <c r="E89" i="112"/>
  <c r="D89" i="112"/>
  <c r="C89" i="112"/>
  <c r="B89" i="112"/>
  <c r="B87" i="112"/>
  <c r="B85" i="112"/>
  <c r="C81" i="112"/>
  <c r="C80" i="112"/>
  <c r="C79" i="112"/>
  <c r="Y78" i="112"/>
  <c r="X78" i="112"/>
  <c r="W78" i="112"/>
  <c r="V78" i="112"/>
  <c r="U78" i="112"/>
  <c r="T78" i="112"/>
  <c r="S78" i="112"/>
  <c r="R78" i="112"/>
  <c r="Q78" i="112"/>
  <c r="P78" i="112"/>
  <c r="O78" i="112"/>
  <c r="N78" i="112"/>
  <c r="M78" i="112"/>
  <c r="L78" i="112"/>
  <c r="K78" i="112"/>
  <c r="J78" i="112"/>
  <c r="I78" i="112"/>
  <c r="H78" i="112"/>
  <c r="G78" i="112"/>
  <c r="F78" i="112"/>
  <c r="E78" i="112"/>
  <c r="D78" i="112"/>
  <c r="C78" i="112"/>
  <c r="B78" i="112"/>
  <c r="B74" i="112"/>
  <c r="D72" i="112"/>
  <c r="C72" i="112"/>
  <c r="D71" i="112"/>
  <c r="C71" i="112"/>
  <c r="D70" i="112"/>
  <c r="C70" i="112"/>
  <c r="Y69" i="112"/>
  <c r="X69" i="112"/>
  <c r="W69" i="112"/>
  <c r="V69" i="112"/>
  <c r="U69" i="112"/>
  <c r="T69" i="112"/>
  <c r="S69" i="112"/>
  <c r="R69" i="112"/>
  <c r="Q69" i="112"/>
  <c r="P69" i="112"/>
  <c r="O69" i="112"/>
  <c r="N69" i="112"/>
  <c r="M69" i="112"/>
  <c r="L69" i="112"/>
  <c r="K69" i="112"/>
  <c r="J69" i="112"/>
  <c r="I69" i="112"/>
  <c r="H69" i="112"/>
  <c r="G69" i="112"/>
  <c r="F69" i="112"/>
  <c r="E69" i="112"/>
  <c r="D69" i="112"/>
  <c r="C69" i="112"/>
  <c r="B69" i="112"/>
  <c r="B67" i="112"/>
  <c r="B65" i="112"/>
  <c r="C61" i="112"/>
  <c r="C60" i="112"/>
  <c r="C59" i="112"/>
  <c r="Y58" i="112"/>
  <c r="X58" i="112"/>
  <c r="W58" i="112"/>
  <c r="V58" i="112"/>
  <c r="U58" i="112"/>
  <c r="T58" i="112"/>
  <c r="S58" i="112"/>
  <c r="R58" i="112"/>
  <c r="Q58" i="112"/>
  <c r="P58" i="112"/>
  <c r="O58" i="112"/>
  <c r="N58" i="112"/>
  <c r="M58" i="112"/>
  <c r="L58" i="112"/>
  <c r="K58" i="112"/>
  <c r="J58" i="112"/>
  <c r="I58" i="112"/>
  <c r="H58" i="112"/>
  <c r="G58" i="112"/>
  <c r="F58" i="112"/>
  <c r="E58" i="112"/>
  <c r="D58" i="112"/>
  <c r="C58" i="112"/>
  <c r="B58" i="112"/>
  <c r="B54" i="112"/>
  <c r="D52" i="112"/>
  <c r="C52" i="112"/>
  <c r="D51" i="112"/>
  <c r="C51" i="112"/>
  <c r="D50" i="112"/>
  <c r="C50" i="112"/>
  <c r="Y49" i="112"/>
  <c r="X49" i="112"/>
  <c r="W49" i="112"/>
  <c r="V49" i="112"/>
  <c r="U49" i="112"/>
  <c r="T49" i="112"/>
  <c r="S49" i="112"/>
  <c r="R49" i="112"/>
  <c r="Q49" i="112"/>
  <c r="P49" i="112"/>
  <c r="O49" i="112"/>
  <c r="N49" i="112"/>
  <c r="M49" i="112"/>
  <c r="L49" i="112"/>
  <c r="K49" i="112"/>
  <c r="J49" i="112"/>
  <c r="I49" i="112"/>
  <c r="H49" i="112"/>
  <c r="G49" i="112"/>
  <c r="F49" i="112"/>
  <c r="E49" i="112"/>
  <c r="D49" i="112"/>
  <c r="C49" i="112"/>
  <c r="B49" i="112"/>
  <c r="B47" i="112"/>
  <c r="B45" i="112"/>
  <c r="C41" i="112"/>
  <c r="C40" i="112"/>
  <c r="C39" i="112"/>
  <c r="Y38" i="112"/>
  <c r="X38" i="112"/>
  <c r="W38" i="112"/>
  <c r="V38" i="112"/>
  <c r="U38" i="112"/>
  <c r="T38" i="112"/>
  <c r="S38" i="112"/>
  <c r="R38" i="112"/>
  <c r="Q38" i="112"/>
  <c r="P38" i="112"/>
  <c r="O38" i="112"/>
  <c r="N38" i="112"/>
  <c r="M38" i="112"/>
  <c r="L38" i="112"/>
  <c r="K38" i="112"/>
  <c r="J38" i="112"/>
  <c r="I38" i="112"/>
  <c r="H38" i="112"/>
  <c r="G38" i="112"/>
  <c r="F38" i="112"/>
  <c r="E38" i="112"/>
  <c r="D38" i="112"/>
  <c r="C38" i="112"/>
  <c r="B38" i="112"/>
  <c r="B34" i="112"/>
  <c r="D32" i="112"/>
  <c r="C32" i="112"/>
  <c r="D31" i="112"/>
  <c r="C31" i="112"/>
  <c r="D30" i="112"/>
  <c r="C30" i="112"/>
  <c r="Y29" i="112"/>
  <c r="X29" i="112"/>
  <c r="W29" i="112"/>
  <c r="V29" i="112"/>
  <c r="U29" i="112"/>
  <c r="T29" i="112"/>
  <c r="S29" i="112"/>
  <c r="R29" i="112"/>
  <c r="Q29" i="112"/>
  <c r="P29" i="112"/>
  <c r="O29" i="112"/>
  <c r="N29" i="112"/>
  <c r="M29" i="112"/>
  <c r="L29" i="112"/>
  <c r="K29" i="112"/>
  <c r="J29" i="112"/>
  <c r="I29" i="112"/>
  <c r="H29" i="112"/>
  <c r="G29" i="112"/>
  <c r="F29" i="112"/>
  <c r="E29" i="112"/>
  <c r="D29" i="112"/>
  <c r="C29" i="112"/>
  <c r="B29" i="112"/>
  <c r="B27" i="112"/>
  <c r="B25" i="112"/>
  <c r="B23" i="112" a="1"/>
  <c r="B23" i="112" s="1"/>
  <c r="B30" i="112" s="1"/>
  <c r="B39" i="112" s="1"/>
  <c r="C21" i="112"/>
  <c r="B21" i="112"/>
  <c r="C20" i="112"/>
  <c r="B20" i="112"/>
  <c r="C19" i="112"/>
  <c r="B19" i="112"/>
  <c r="Y18" i="112"/>
  <c r="X18" i="112"/>
  <c r="W18" i="112"/>
  <c r="V18" i="112"/>
  <c r="U18" i="112"/>
  <c r="T18" i="112"/>
  <c r="S18" i="112"/>
  <c r="R18" i="112"/>
  <c r="Q18" i="112"/>
  <c r="P18" i="112"/>
  <c r="O18" i="112"/>
  <c r="N18" i="112"/>
  <c r="M18" i="112"/>
  <c r="L18" i="112"/>
  <c r="K18" i="112"/>
  <c r="J18" i="112"/>
  <c r="I18" i="112"/>
  <c r="H18" i="112"/>
  <c r="G18" i="112"/>
  <c r="F18" i="112"/>
  <c r="E18" i="112"/>
  <c r="D18" i="112"/>
  <c r="C18" i="112"/>
  <c r="B18" i="112"/>
  <c r="D19" i="112"/>
  <c r="D39" i="112" s="1"/>
  <c r="D59" i="112" s="1"/>
  <c r="D79" i="112" s="1"/>
  <c r="D99" i="112" s="1"/>
  <c r="D119" i="112" s="1"/>
  <c r="B16" i="112"/>
  <c r="B36" i="112" s="1"/>
  <c r="B56" i="112" s="1"/>
  <c r="B76" i="112" s="1"/>
  <c r="B96" i="112" s="1"/>
  <c r="B116" i="112" s="1"/>
  <c r="Y12" i="112"/>
  <c r="X12" i="112"/>
  <c r="W12" i="112"/>
  <c r="V12" i="112"/>
  <c r="U12" i="112"/>
  <c r="T12" i="112"/>
  <c r="S12" i="112"/>
  <c r="R12" i="112"/>
  <c r="Q12" i="112"/>
  <c r="P12" i="112"/>
  <c r="O12" i="112"/>
  <c r="N12" i="112"/>
  <c r="M12" i="112"/>
  <c r="L12" i="112"/>
  <c r="K12" i="112"/>
  <c r="J12" i="112"/>
  <c r="I12" i="112"/>
  <c r="H12" i="112"/>
  <c r="G12" i="112"/>
  <c r="F12" i="112"/>
  <c r="Y11" i="112"/>
  <c r="X11" i="112"/>
  <c r="W11" i="112"/>
  <c r="V11" i="112"/>
  <c r="U11" i="112"/>
  <c r="T11" i="112"/>
  <c r="S11" i="112"/>
  <c r="R11" i="112"/>
  <c r="Q11" i="112"/>
  <c r="P11" i="112"/>
  <c r="O11" i="112"/>
  <c r="N11" i="112"/>
  <c r="M11" i="112"/>
  <c r="L11" i="112"/>
  <c r="K11" i="112"/>
  <c r="J11" i="112"/>
  <c r="I11" i="112"/>
  <c r="H11" i="112"/>
  <c r="G11" i="112"/>
  <c r="F11" i="112"/>
  <c r="Y10" i="112"/>
  <c r="X10" i="112"/>
  <c r="W10" i="112"/>
  <c r="V10" i="112"/>
  <c r="U10" i="112"/>
  <c r="T10" i="112"/>
  <c r="S10" i="112"/>
  <c r="R10" i="112"/>
  <c r="Q10" i="112"/>
  <c r="P10" i="112"/>
  <c r="O10" i="112"/>
  <c r="N10" i="112"/>
  <c r="M10" i="112"/>
  <c r="L10" i="112"/>
  <c r="K10" i="112"/>
  <c r="J10" i="112"/>
  <c r="I10" i="112"/>
  <c r="H10" i="112"/>
  <c r="G10" i="112"/>
  <c r="F10" i="112"/>
  <c r="C10" i="112" a="1"/>
  <c r="C10" i="112" s="1"/>
  <c r="B7" i="111"/>
  <c r="B3" i="112" a="1"/>
  <c r="B3" i="112" s="1"/>
  <c r="B10" i="112" s="1"/>
  <c r="B11" i="112" s="1"/>
  <c r="B12" i="112" s="1"/>
  <c r="D11" i="112"/>
  <c r="D12" i="112" s="1"/>
  <c r="Y9" i="112"/>
  <c r="X9" i="112"/>
  <c r="W9" i="112"/>
  <c r="V9" i="112"/>
  <c r="U9" i="112"/>
  <c r="T9" i="112"/>
  <c r="S9" i="112"/>
  <c r="R9" i="112"/>
  <c r="Q9" i="112"/>
  <c r="P9" i="112"/>
  <c r="O9" i="112"/>
  <c r="N9" i="112"/>
  <c r="M9" i="112"/>
  <c r="L9" i="112"/>
  <c r="K9" i="112"/>
  <c r="J9" i="112"/>
  <c r="I9" i="112"/>
  <c r="H9" i="112"/>
  <c r="G9" i="112"/>
  <c r="F9" i="112"/>
  <c r="A1" i="112"/>
  <c r="A1" i="111"/>
  <c r="D12" i="110"/>
  <c r="D13" i="110" s="1"/>
  <c r="D14" i="110" s="1"/>
  <c r="D15" i="110" s="1"/>
  <c r="D16" i="110" s="1"/>
  <c r="D17" i="110" s="1"/>
  <c r="D18" i="110" s="1"/>
  <c r="D19" i="110" s="1"/>
  <c r="D20" i="110" s="1"/>
  <c r="D21" i="110" s="1"/>
  <c r="D22" i="110" s="1"/>
  <c r="D23" i="110" s="1"/>
  <c r="D24" i="110" s="1"/>
  <c r="D25" i="110" s="1"/>
  <c r="D26" i="110" s="1"/>
  <c r="D27" i="110" s="1"/>
  <c r="D11" i="110"/>
  <c r="X9" i="110"/>
  <c r="W9" i="110"/>
  <c r="V9" i="110"/>
  <c r="U9" i="110"/>
  <c r="T9" i="110"/>
  <c r="S9" i="110"/>
  <c r="R9" i="110"/>
  <c r="Q9" i="110"/>
  <c r="P9" i="110"/>
  <c r="O9" i="110"/>
  <c r="N9" i="110"/>
  <c r="M9" i="110"/>
  <c r="L9" i="110"/>
  <c r="K9" i="110"/>
  <c r="J9" i="110"/>
  <c r="I9" i="110"/>
  <c r="H9" i="110"/>
  <c r="G9" i="110"/>
  <c r="F9" i="110"/>
  <c r="E9" i="110"/>
  <c r="A1" i="110"/>
  <c r="A1" i="109"/>
  <c r="B16" i="113" l="1" a="1"/>
  <c r="B16" i="113" s="1"/>
  <c r="D19" i="113"/>
  <c r="B17" i="113" a="1"/>
  <c r="B17" i="113" s="1"/>
  <c r="B18" i="113" a="1"/>
  <c r="B18" i="113" s="1"/>
  <c r="B19" i="113" a="1"/>
  <c r="B19" i="113" s="1"/>
  <c r="B20" i="113" a="1"/>
  <c r="B20" i="113" s="1"/>
  <c r="B21" i="113" a="1"/>
  <c r="B21" i="113" s="1"/>
  <c r="D20" i="112"/>
  <c r="Q70" i="112"/>
  <c r="P70" i="112"/>
  <c r="H70" i="112"/>
  <c r="G70" i="112"/>
  <c r="F70" i="112"/>
  <c r="R70" i="112"/>
  <c r="Q90" i="112"/>
  <c r="G90" i="112"/>
  <c r="R90" i="112"/>
  <c r="F90" i="112"/>
  <c r="P90" i="112"/>
  <c r="H90" i="112"/>
  <c r="O110" i="112"/>
  <c r="Y110" i="112"/>
  <c r="X110" i="112"/>
  <c r="W110" i="112"/>
  <c r="V110" i="112"/>
  <c r="G110" i="112"/>
  <c r="Q110" i="112"/>
  <c r="B119" i="112"/>
  <c r="B111" i="112"/>
  <c r="N110" i="112"/>
  <c r="M110" i="112"/>
  <c r="L110" i="112"/>
  <c r="K110" i="112"/>
  <c r="J110" i="112"/>
  <c r="U110" i="112"/>
  <c r="I110" i="112"/>
  <c r="T110" i="112"/>
  <c r="H110" i="112"/>
  <c r="S110" i="112"/>
  <c r="R110" i="112"/>
  <c r="F110" i="112"/>
  <c r="P110" i="112"/>
  <c r="O90" i="112"/>
  <c r="B91" i="112"/>
  <c r="N90" i="112"/>
  <c r="Y90" i="112"/>
  <c r="M90" i="112"/>
  <c r="X90" i="112"/>
  <c r="L90" i="112"/>
  <c r="W90" i="112"/>
  <c r="K90" i="112"/>
  <c r="V90" i="112"/>
  <c r="J90" i="112"/>
  <c r="U90" i="112"/>
  <c r="I90" i="112"/>
  <c r="S90" i="112"/>
  <c r="T90" i="112"/>
  <c r="B99" i="112"/>
  <c r="O70" i="112"/>
  <c r="B71" i="112"/>
  <c r="N70" i="112"/>
  <c r="Y70" i="112"/>
  <c r="M70" i="112"/>
  <c r="X70" i="112"/>
  <c r="L70" i="112"/>
  <c r="W70" i="112"/>
  <c r="K70" i="112"/>
  <c r="V70" i="112"/>
  <c r="J70" i="112"/>
  <c r="U70" i="112"/>
  <c r="I70" i="112"/>
  <c r="S70" i="112"/>
  <c r="T70" i="112"/>
  <c r="B79" i="112"/>
  <c r="O50" i="112"/>
  <c r="Y50" i="112"/>
  <c r="W50" i="112"/>
  <c r="K50" i="112"/>
  <c r="J50" i="112"/>
  <c r="B51" i="112"/>
  <c r="N50" i="112"/>
  <c r="M50" i="112"/>
  <c r="X50" i="112"/>
  <c r="L50" i="112"/>
  <c r="V50" i="112"/>
  <c r="U50" i="112"/>
  <c r="I50" i="112"/>
  <c r="T50" i="112"/>
  <c r="H50" i="112"/>
  <c r="S50" i="112"/>
  <c r="G50" i="112"/>
  <c r="R50" i="112"/>
  <c r="F50" i="112"/>
  <c r="P50" i="112"/>
  <c r="Q50" i="112"/>
  <c r="B59" i="112"/>
  <c r="S30" i="112"/>
  <c r="G30" i="112"/>
  <c r="Q30" i="112"/>
  <c r="O30" i="112"/>
  <c r="B31" i="112"/>
  <c r="B40" i="112" s="1"/>
  <c r="N30" i="112"/>
  <c r="Y30" i="112"/>
  <c r="M30" i="112"/>
  <c r="K30" i="112"/>
  <c r="V30" i="112"/>
  <c r="J30" i="112"/>
  <c r="H30" i="112"/>
  <c r="R30" i="112"/>
  <c r="F30" i="112"/>
  <c r="P30" i="112"/>
  <c r="X30" i="112"/>
  <c r="L30" i="112"/>
  <c r="W30" i="112"/>
  <c r="U30" i="112"/>
  <c r="I30" i="112"/>
  <c r="T30" i="112"/>
  <c r="D22" i="113" l="1"/>
  <c r="B22" i="113" s="1" a="1"/>
  <c r="B22" i="113" s="1"/>
  <c r="D21" i="112"/>
  <c r="D41" i="112" s="1"/>
  <c r="D61" i="112" s="1"/>
  <c r="D81" i="112" s="1"/>
  <c r="D101" i="112" s="1"/>
  <c r="D121" i="112" s="1"/>
  <c r="D40" i="112"/>
  <c r="D60" i="112" s="1"/>
  <c r="D80" i="112" s="1"/>
  <c r="D100" i="112" s="1"/>
  <c r="D120" i="112" s="1"/>
  <c r="O111" i="112"/>
  <c r="Y111" i="112"/>
  <c r="X111" i="112"/>
  <c r="W111" i="112"/>
  <c r="V111" i="112"/>
  <c r="S111" i="112"/>
  <c r="G111" i="112"/>
  <c r="F111" i="112"/>
  <c r="P111" i="112"/>
  <c r="B112" i="112"/>
  <c r="N111" i="112"/>
  <c r="M111" i="112"/>
  <c r="L111" i="112"/>
  <c r="K111" i="112"/>
  <c r="J111" i="112"/>
  <c r="U111" i="112"/>
  <c r="I111" i="112"/>
  <c r="T111" i="112"/>
  <c r="H111" i="112"/>
  <c r="R111" i="112"/>
  <c r="Q111" i="112"/>
  <c r="B120" i="112"/>
  <c r="O91" i="112"/>
  <c r="B92" i="112"/>
  <c r="N91" i="112"/>
  <c r="Y91" i="112"/>
  <c r="M91" i="112"/>
  <c r="X91" i="112"/>
  <c r="L91" i="112"/>
  <c r="W91" i="112"/>
  <c r="K91" i="112"/>
  <c r="V91" i="112"/>
  <c r="J91" i="112"/>
  <c r="U91" i="112"/>
  <c r="I91" i="112"/>
  <c r="B100" i="112"/>
  <c r="T91" i="112"/>
  <c r="S91" i="112"/>
  <c r="R91" i="112"/>
  <c r="Q91" i="112"/>
  <c r="P91" i="112"/>
  <c r="H91" i="112"/>
  <c r="G91" i="112"/>
  <c r="F91" i="112"/>
  <c r="O71" i="112"/>
  <c r="B72" i="112"/>
  <c r="N71" i="112"/>
  <c r="Y71" i="112"/>
  <c r="M71" i="112"/>
  <c r="X71" i="112"/>
  <c r="L71" i="112"/>
  <c r="W71" i="112"/>
  <c r="K71" i="112"/>
  <c r="V71" i="112"/>
  <c r="J71" i="112"/>
  <c r="U71" i="112"/>
  <c r="I71" i="112"/>
  <c r="B80" i="112"/>
  <c r="T71" i="112"/>
  <c r="S71" i="112"/>
  <c r="R71" i="112"/>
  <c r="Q71" i="112"/>
  <c r="P71" i="112"/>
  <c r="H71" i="112"/>
  <c r="G71" i="112"/>
  <c r="F71" i="112"/>
  <c r="O51" i="112"/>
  <c r="W51" i="112"/>
  <c r="K51" i="112"/>
  <c r="J51" i="112"/>
  <c r="B52" i="112"/>
  <c r="N51" i="112"/>
  <c r="Y51" i="112"/>
  <c r="M51" i="112"/>
  <c r="X51" i="112"/>
  <c r="L51" i="112"/>
  <c r="V51" i="112"/>
  <c r="U51" i="112"/>
  <c r="I51" i="112"/>
  <c r="T51" i="112"/>
  <c r="H51" i="112"/>
  <c r="S51" i="112"/>
  <c r="G51" i="112"/>
  <c r="R51" i="112"/>
  <c r="F51" i="112"/>
  <c r="B60" i="112"/>
  <c r="Q51" i="112"/>
  <c r="P51" i="112"/>
  <c r="T31" i="112"/>
  <c r="H31" i="112"/>
  <c r="R31" i="112"/>
  <c r="Q31" i="112"/>
  <c r="P31" i="112"/>
  <c r="O31" i="112"/>
  <c r="B32" i="112"/>
  <c r="B41" i="112" s="1"/>
  <c r="N31" i="112"/>
  <c r="M31" i="112"/>
  <c r="L31" i="112"/>
  <c r="W31" i="112"/>
  <c r="K31" i="112"/>
  <c r="J31" i="112"/>
  <c r="I31" i="112"/>
  <c r="S31" i="112"/>
  <c r="G31" i="112"/>
  <c r="F31" i="112"/>
  <c r="Y31" i="112"/>
  <c r="X31" i="112"/>
  <c r="V31" i="112"/>
  <c r="U31" i="112"/>
  <c r="B23" i="113" l="1" a="1"/>
  <c r="B23" i="113" s="1"/>
  <c r="D25" i="113"/>
  <c r="B24" i="113" a="1"/>
  <c r="B24" i="113" s="1"/>
  <c r="B25" i="113" a="1"/>
  <c r="B25" i="113" s="1"/>
  <c r="B26" i="113" a="1"/>
  <c r="B26" i="113" s="1"/>
  <c r="B27" i="113" a="1"/>
  <c r="B27" i="113" s="1"/>
  <c r="O112" i="112"/>
  <c r="Y112" i="112"/>
  <c r="X112" i="112"/>
  <c r="W112" i="112"/>
  <c r="V112" i="112"/>
  <c r="I112" i="112"/>
  <c r="S112" i="112"/>
  <c r="G112" i="112"/>
  <c r="F112" i="112"/>
  <c r="Q112" i="112"/>
  <c r="N112" i="112"/>
  <c r="M112" i="112"/>
  <c r="L112" i="112"/>
  <c r="K112" i="112"/>
  <c r="J112" i="112"/>
  <c r="U112" i="112"/>
  <c r="T112" i="112"/>
  <c r="H112" i="112"/>
  <c r="R112" i="112"/>
  <c r="B121" i="112"/>
  <c r="P112" i="112"/>
  <c r="O92" i="112"/>
  <c r="N92" i="112"/>
  <c r="Y92" i="112"/>
  <c r="M92" i="112"/>
  <c r="X92" i="112"/>
  <c r="L92" i="112"/>
  <c r="W92" i="112"/>
  <c r="K92" i="112"/>
  <c r="V92" i="112"/>
  <c r="J92" i="112"/>
  <c r="U92" i="112"/>
  <c r="I92" i="112"/>
  <c r="F92" i="112"/>
  <c r="T92" i="112"/>
  <c r="S92" i="112"/>
  <c r="B101" i="112"/>
  <c r="R92" i="112"/>
  <c r="Q92" i="112"/>
  <c r="P92" i="112"/>
  <c r="H92" i="112"/>
  <c r="G92" i="112"/>
  <c r="O72" i="112"/>
  <c r="N72" i="112"/>
  <c r="Y72" i="112"/>
  <c r="M72" i="112"/>
  <c r="X72" i="112"/>
  <c r="L72" i="112"/>
  <c r="W72" i="112"/>
  <c r="K72" i="112"/>
  <c r="V72" i="112"/>
  <c r="J72" i="112"/>
  <c r="U72" i="112"/>
  <c r="I72" i="112"/>
  <c r="F72" i="112"/>
  <c r="T72" i="112"/>
  <c r="S72" i="112"/>
  <c r="B81" i="112"/>
  <c r="R72" i="112"/>
  <c r="Q72" i="112"/>
  <c r="P72" i="112"/>
  <c r="H72" i="112"/>
  <c r="G72" i="112"/>
  <c r="O52" i="112"/>
  <c r="M52" i="112"/>
  <c r="W52" i="112"/>
  <c r="K52" i="112"/>
  <c r="J52" i="112"/>
  <c r="N52" i="112"/>
  <c r="Y52" i="112"/>
  <c r="X52" i="112"/>
  <c r="L52" i="112"/>
  <c r="V52" i="112"/>
  <c r="U52" i="112"/>
  <c r="I52" i="112"/>
  <c r="T52" i="112"/>
  <c r="H52" i="112"/>
  <c r="S52" i="112"/>
  <c r="G52" i="112"/>
  <c r="R52" i="112"/>
  <c r="F52" i="112"/>
  <c r="B61" i="112"/>
  <c r="Q52" i="112"/>
  <c r="P52" i="112"/>
  <c r="U32" i="112"/>
  <c r="I32" i="112"/>
  <c r="S32" i="112"/>
  <c r="R32" i="112"/>
  <c r="Q32" i="112"/>
  <c r="P32" i="112"/>
  <c r="O32" i="112"/>
  <c r="Y32" i="112"/>
  <c r="X32" i="112"/>
  <c r="L32" i="112"/>
  <c r="J32" i="112"/>
  <c r="T32" i="112"/>
  <c r="H32" i="112"/>
  <c r="G32" i="112"/>
  <c r="F32" i="112"/>
  <c r="N32" i="112"/>
  <c r="M32" i="112"/>
  <c r="W32" i="112"/>
  <c r="K32" i="112"/>
  <c r="V32" i="112"/>
  <c r="Z28" i="88" l="1"/>
  <c r="Y28" i="88"/>
  <c r="X28" i="88"/>
  <c r="W28" i="88"/>
  <c r="V28" i="88"/>
  <c r="U28" i="88"/>
  <c r="T28" i="88"/>
  <c r="S28" i="88"/>
  <c r="R28" i="88"/>
  <c r="Q28" i="88"/>
  <c r="P28" i="88"/>
  <c r="O28" i="88"/>
  <c r="N28" i="88"/>
  <c r="M28" i="88"/>
  <c r="L28" i="88"/>
  <c r="K28" i="88"/>
  <c r="J28" i="88"/>
  <c r="I28" i="88"/>
  <c r="H28" i="88"/>
  <c r="G28" i="88"/>
  <c r="G27" i="88"/>
  <c r="H27" i="88"/>
  <c r="I27" i="88" s="1"/>
  <c r="J27" i="88" s="1"/>
  <c r="K27" i="88" s="1"/>
  <c r="L27" i="88" s="1"/>
  <c r="M27" i="88" s="1"/>
  <c r="N27" i="88" s="1"/>
  <c r="O27" i="88" s="1"/>
  <c r="P27" i="88" s="1"/>
  <c r="Q27" i="88" s="1"/>
  <c r="R27" i="88" s="1"/>
  <c r="S27" i="88" s="1"/>
  <c r="T27" i="88" s="1"/>
  <c r="U27" i="88" s="1"/>
  <c r="V27" i="88" s="1"/>
  <c r="W27" i="88" s="1"/>
  <c r="X27" i="88" s="1"/>
  <c r="Y27" i="88" s="1"/>
  <c r="Z27" i="88" s="1"/>
  <c r="G22" i="88"/>
  <c r="H22" i="88" s="1"/>
  <c r="I22" i="88" s="1"/>
  <c r="J22" i="88" s="1"/>
  <c r="K22" i="88" s="1"/>
  <c r="L22" i="88" s="1"/>
  <c r="M22" i="88" s="1"/>
  <c r="N22" i="88" s="1"/>
  <c r="O22" i="88" s="1"/>
  <c r="P22" i="88" s="1"/>
  <c r="Q22" i="88" s="1"/>
  <c r="E10" i="112" l="1"/>
  <c r="E12" i="112"/>
  <c r="E11" i="112"/>
  <c r="J10" i="113" s="1"/>
  <c r="E30" i="112"/>
  <c r="E90" i="112"/>
  <c r="E110" i="112"/>
  <c r="E50" i="112"/>
  <c r="E70" i="112"/>
  <c r="E31" i="112"/>
  <c r="J13" i="113" s="1"/>
  <c r="E91" i="112"/>
  <c r="E51" i="112"/>
  <c r="E71" i="112"/>
  <c r="E111" i="112"/>
  <c r="E52" i="112"/>
  <c r="E32" i="112"/>
  <c r="E72" i="112"/>
  <c r="E92" i="112"/>
  <c r="E112" i="112"/>
  <c r="B10" i="108" a="1"/>
  <c r="B10" i="108" s="1"/>
  <c r="A1" i="108"/>
  <c r="H3" i="107"/>
  <c r="H49" i="107" s="1"/>
  <c r="J25" i="113" l="1"/>
  <c r="J15" i="113"/>
  <c r="J14" i="113"/>
  <c r="J16" i="113"/>
  <c r="J19" i="113"/>
  <c r="J26" i="113"/>
  <c r="J27" i="113"/>
  <c r="J23" i="113"/>
  <c r="J24" i="113"/>
  <c r="J12" i="113"/>
  <c r="J11" i="113"/>
  <c r="J21" i="113"/>
  <c r="J20" i="113"/>
  <c r="J18" i="113"/>
  <c r="J17" i="113"/>
  <c r="J22" i="113"/>
  <c r="I3" i="107"/>
  <c r="I49" i="107" s="1"/>
  <c r="H12" i="107"/>
  <c r="H8" i="107" s="1"/>
  <c r="I12" i="107" l="1"/>
  <c r="I8" i="107" s="1"/>
  <c r="J3" i="107"/>
  <c r="J49" i="107" s="1"/>
  <c r="K3" i="107" l="1"/>
  <c r="K49" i="107" s="1"/>
  <c r="J12" i="107"/>
  <c r="J8" i="107" s="1"/>
  <c r="K12" i="107" l="1"/>
  <c r="K8" i="107" s="1"/>
  <c r="L3" i="107"/>
  <c r="L49" i="107" s="1"/>
  <c r="L12" i="107" l="1"/>
  <c r="L8" i="107" s="1"/>
  <c r="M3" i="107"/>
  <c r="M49" i="107" s="1"/>
  <c r="N3" i="107" l="1"/>
  <c r="N49" i="107" s="1"/>
  <c r="M12" i="107"/>
  <c r="M8" i="107" s="1"/>
  <c r="N12" i="107" l="1"/>
  <c r="N8" i="107" s="1"/>
  <c r="O3" i="107"/>
  <c r="O49" i="107" s="1"/>
  <c r="P3" i="107" l="1"/>
  <c r="P49" i="107" s="1"/>
  <c r="O12" i="107"/>
  <c r="O8" i="107" s="1"/>
  <c r="P12" i="107" l="1"/>
  <c r="P8" i="107" s="1"/>
  <c r="Q3" i="107"/>
  <c r="Q49" i="107" s="1"/>
  <c r="R3" i="107" l="1"/>
  <c r="R49" i="107" s="1"/>
  <c r="Q12" i="107"/>
  <c r="Q8" i="107" s="1"/>
  <c r="R12" i="107" l="1"/>
  <c r="R8" i="107" s="1"/>
  <c r="S3" i="107"/>
  <c r="S49" i="107" s="1"/>
  <c r="S12" i="107" l="1"/>
  <c r="S8" i="107" s="1"/>
  <c r="T3" i="107"/>
  <c r="T49" i="107" s="1"/>
  <c r="U3" i="107" l="1"/>
  <c r="U49" i="107" s="1"/>
  <c r="T12" i="107"/>
  <c r="T8" i="107" s="1"/>
  <c r="U12" i="107" l="1"/>
  <c r="U8" i="107" s="1"/>
  <c r="V3" i="107"/>
  <c r="V49" i="107" s="1"/>
  <c r="V12" i="107" l="1"/>
  <c r="V8" i="107" s="1"/>
  <c r="W3" i="107"/>
  <c r="W49" i="107" s="1"/>
  <c r="X3" i="107" l="1"/>
  <c r="X49" i="107" s="1"/>
  <c r="W12" i="107"/>
  <c r="W8" i="107" s="1"/>
  <c r="X12" i="107" l="1"/>
  <c r="X8" i="107" s="1"/>
  <c r="Y3" i="107"/>
  <c r="Y49" i="107" s="1"/>
  <c r="Z3" i="107" l="1"/>
  <c r="Z49" i="107" s="1"/>
  <c r="Y12" i="107"/>
  <c r="Y8" i="107" s="1"/>
  <c r="Z12" i="107" l="1"/>
  <c r="Z8" i="107" s="1"/>
  <c r="AA3" i="107"/>
  <c r="AA49" i="107" s="1"/>
  <c r="AB3" i="107" l="1"/>
  <c r="AB49" i="107" s="1"/>
  <c r="AA12" i="107"/>
  <c r="AA8" i="107" s="1"/>
  <c r="AB12" i="107" l="1"/>
  <c r="AB8" i="107" s="1"/>
  <c r="AC3" i="107"/>
  <c r="AC49" i="107" s="1"/>
  <c r="AD3" i="107" l="1"/>
  <c r="AD49" i="107" s="1"/>
  <c r="AC12" i="107"/>
  <c r="AC8" i="107" s="1"/>
  <c r="AD12" i="107" l="1"/>
  <c r="AD8" i="107" s="1"/>
  <c r="AE3" i="107"/>
  <c r="AE49" i="107" s="1"/>
  <c r="AF3" i="107" l="1"/>
  <c r="AF49" i="107" s="1"/>
  <c r="AE12" i="107"/>
  <c r="AE8" i="107" s="1"/>
  <c r="AG3" i="107" l="1"/>
  <c r="AG49" i="107" s="1"/>
  <c r="AF12" i="107"/>
  <c r="AF8" i="107" s="1"/>
  <c r="AH3" i="107" l="1"/>
  <c r="AH49" i="107" s="1"/>
  <c r="AG12" i="107"/>
  <c r="AG8" i="107" s="1"/>
  <c r="AI3" i="107" l="1"/>
  <c r="AI49" i="107" s="1"/>
  <c r="AH12" i="107"/>
  <c r="AH8" i="107" s="1"/>
  <c r="AI12" i="107" l="1"/>
  <c r="AI8" i="107" s="1"/>
  <c r="AJ3" i="107"/>
  <c r="AJ49" i="107" s="1"/>
  <c r="AJ12" i="107" l="1"/>
  <c r="AJ8" i="107" s="1"/>
  <c r="AK3" i="107"/>
  <c r="AK49" i="107" s="1"/>
  <c r="AK12" i="107" l="1"/>
  <c r="AK8" i="107" s="1"/>
  <c r="E51" i="107" a="1"/>
  <c r="E15" i="107" a="1"/>
  <c r="E36" i="107" l="1"/>
  <c r="B36" i="107" s="1"/>
  <c r="E24" i="107"/>
  <c r="B24" i="107" s="1"/>
  <c r="E38" i="107"/>
  <c r="B38" i="107" s="1"/>
  <c r="E25" i="107"/>
  <c r="B25" i="107" s="1"/>
  <c r="E34" i="107"/>
  <c r="B34" i="107" s="1"/>
  <c r="E21" i="107"/>
  <c r="B21" i="107" s="1"/>
  <c r="E32" i="107"/>
  <c r="B32" i="107" s="1"/>
  <c r="E19" i="107"/>
  <c r="B19" i="107" s="1"/>
  <c r="E43" i="107"/>
  <c r="B43" i="107" s="1"/>
  <c r="E30" i="107"/>
  <c r="B30" i="107" s="1"/>
  <c r="E17" i="107"/>
  <c r="B17" i="107" s="1"/>
  <c r="E42" i="107"/>
  <c r="B42" i="107" s="1"/>
  <c r="E29" i="107"/>
  <c r="B29" i="107" s="1"/>
  <c r="E16" i="107"/>
  <c r="B16" i="107" s="1"/>
  <c r="E41" i="107"/>
  <c r="B41" i="107" s="1"/>
  <c r="E28" i="107"/>
  <c r="B28" i="107" s="1"/>
  <c r="E15" i="107"/>
  <c r="B15" i="107" s="1"/>
  <c r="E40" i="107"/>
  <c r="B40" i="107" s="1"/>
  <c r="E27" i="107"/>
  <c r="B27" i="107" s="1"/>
  <c r="E31" i="107"/>
  <c r="B31" i="107" s="1"/>
  <c r="E18" i="107"/>
  <c r="B18" i="107" s="1"/>
  <c r="E26" i="107"/>
  <c r="B26" i="107" s="1"/>
  <c r="E20" i="107"/>
  <c r="B20" i="107" s="1"/>
  <c r="E44" i="107"/>
  <c r="B44" i="107" s="1"/>
  <c r="E22" i="107"/>
  <c r="B22" i="107" s="1"/>
  <c r="E39" i="107"/>
  <c r="B39" i="107" s="1"/>
  <c r="E33" i="107"/>
  <c r="B33" i="107" s="1"/>
  <c r="E23" i="107"/>
  <c r="B23" i="107" s="1"/>
  <c r="E37" i="107"/>
  <c r="B37" i="107" s="1"/>
  <c r="E35" i="107"/>
  <c r="B35" i="107" s="1"/>
  <c r="E80" i="107"/>
  <c r="E68" i="107"/>
  <c r="E56" i="107"/>
  <c r="E71" i="107"/>
  <c r="E58" i="107"/>
  <c r="E70" i="107"/>
  <c r="E57" i="107"/>
  <c r="E69" i="107"/>
  <c r="E55" i="107"/>
  <c r="E74" i="107"/>
  <c r="E54" i="107"/>
  <c r="E72" i="107"/>
  <c r="E52" i="107"/>
  <c r="E67" i="107"/>
  <c r="E51" i="107"/>
  <c r="E66" i="107"/>
  <c r="E64" i="107"/>
  <c r="E79" i="107"/>
  <c r="E60" i="107"/>
  <c r="E53" i="107"/>
  <c r="E77" i="107"/>
  <c r="E75" i="107"/>
  <c r="E65" i="107"/>
  <c r="E63" i="107"/>
  <c r="E62" i="107"/>
  <c r="E61" i="107"/>
  <c r="E59" i="107"/>
  <c r="E73" i="107"/>
  <c r="E78" i="107"/>
  <c r="E76" i="107"/>
  <c r="AK44" i="107" l="1"/>
  <c r="AK80" i="107" s="1"/>
  <c r="AI42" i="107"/>
  <c r="AI78" i="107" s="1"/>
  <c r="M20" i="107"/>
  <c r="M56" i="107" s="1"/>
  <c r="N20" i="107"/>
  <c r="N56" i="107" s="1"/>
  <c r="J17" i="107"/>
  <c r="J53" i="107" s="1"/>
  <c r="S26" i="107"/>
  <c r="S62" i="107" s="1"/>
  <c r="W30" i="107"/>
  <c r="W66" i="107" s="1"/>
  <c r="K18" i="107"/>
  <c r="K54" i="107" s="1"/>
  <c r="AJ43" i="107"/>
  <c r="AJ79" i="107" s="1"/>
  <c r="X31" i="107"/>
  <c r="X67" i="107" s="1"/>
  <c r="L19" i="107"/>
  <c r="L55" i="107" s="1"/>
  <c r="T27" i="107"/>
  <c r="T63" i="107" s="1"/>
  <c r="Y32" i="107"/>
  <c r="Y68" i="107" s="1"/>
  <c r="AB35" i="107"/>
  <c r="AB71" i="107" s="1"/>
  <c r="AG40" i="107"/>
  <c r="AG76" i="107" s="1"/>
  <c r="N21" i="107"/>
  <c r="N57" i="107" s="1"/>
  <c r="AD37" i="107"/>
  <c r="AD73" i="107" s="1"/>
  <c r="H15" i="107"/>
  <c r="H51" i="107" s="1"/>
  <c r="AA34" i="107"/>
  <c r="AA70" i="107" s="1"/>
  <c r="P23" i="107"/>
  <c r="P59" i="107" s="1"/>
  <c r="U28" i="107"/>
  <c r="U64" i="107" s="1"/>
  <c r="R25" i="107"/>
  <c r="R61" i="107" s="1"/>
  <c r="Z33" i="107"/>
  <c r="Z69" i="107" s="1"/>
  <c r="AH41" i="107"/>
  <c r="AH77" i="107" s="1"/>
  <c r="AE38" i="107"/>
  <c r="AE74" i="107" s="1"/>
  <c r="AF39" i="107"/>
  <c r="AF75" i="107" s="1"/>
  <c r="I16" i="107"/>
  <c r="I52" i="107" s="1"/>
  <c r="Q24" i="107"/>
  <c r="Q60" i="107" s="1"/>
  <c r="O22" i="107"/>
  <c r="O58" i="107" s="1"/>
  <c r="V29" i="107"/>
  <c r="V65" i="107" s="1"/>
  <c r="AC36" i="107"/>
  <c r="AC72" i="107" s="1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02" i="5"/>
  <c r="A1" i="93"/>
  <c r="B8" i="93" a="1"/>
  <c r="B8" i="93" s="1"/>
  <c r="C15" i="93"/>
  <c r="C47" i="93" s="1"/>
  <c r="C48" i="93" s="1"/>
  <c r="C49" i="93" s="1"/>
  <c r="C50" i="93" s="1"/>
  <c r="F20" i="5"/>
  <c r="F21" i="5" s="1"/>
  <c r="F22" i="5" s="1"/>
  <c r="D10" i="92"/>
  <c r="D36" i="92" s="1"/>
  <c r="B20" i="5" a="1"/>
  <c r="B57" i="5" s="1"/>
  <c r="B83" i="5" s="1"/>
  <c r="B109" i="5" s="1"/>
  <c r="B135" i="5" s="1"/>
  <c r="B161" i="5" s="1"/>
  <c r="B187" i="5" s="1"/>
  <c r="B213" i="5" s="1"/>
  <c r="G19" i="5" a="1"/>
  <c r="G19" i="5" s="1"/>
  <c r="A1" i="103"/>
  <c r="D10" i="91" a="1"/>
  <c r="D15" i="91" s="1"/>
  <c r="B10" i="100" a="1"/>
  <c r="B10" i="100" s="1"/>
  <c r="C14" i="100" s="1" a="1"/>
  <c r="C14" i="100" s="1"/>
  <c r="B14" i="34" a="1"/>
  <c r="B47" i="34" s="1"/>
  <c r="C5" i="34" a="1"/>
  <c r="C5" i="34" s="1"/>
  <c r="B10" i="3" a="1"/>
  <c r="B10" i="3" s="1"/>
  <c r="C22" i="3" s="1" a="1"/>
  <c r="C22" i="3" s="1"/>
  <c r="G9" i="3" a="1"/>
  <c r="G9" i="3" s="1"/>
  <c r="F9" i="3" s="1"/>
  <c r="D9" i="62"/>
  <c r="E9" i="62"/>
  <c r="F9" i="62"/>
  <c r="G9" i="62"/>
  <c r="H9" i="62"/>
  <c r="I9" i="62"/>
  <c r="J9" i="62"/>
  <c r="K9" i="62"/>
  <c r="L9" i="62"/>
  <c r="M9" i="62"/>
  <c r="N9" i="62"/>
  <c r="O9" i="62"/>
  <c r="P9" i="62"/>
  <c r="Q9" i="62"/>
  <c r="R9" i="62"/>
  <c r="S9" i="62"/>
  <c r="T9" i="62"/>
  <c r="U9" i="62"/>
  <c r="V9" i="62"/>
  <c r="W9" i="62"/>
  <c r="X9" i="62"/>
  <c r="Y9" i="62"/>
  <c r="Z9" i="62"/>
  <c r="AA9" i="62"/>
  <c r="AB9" i="62"/>
  <c r="G13" i="34" a="1"/>
  <c r="P43" i="34" s="1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L28" i="77"/>
  <c r="L29" i="77"/>
  <c r="L30" i="77"/>
  <c r="L31" i="77"/>
  <c r="L32" i="77"/>
  <c r="L33" i="77"/>
  <c r="L34" i="77"/>
  <c r="L35" i="77"/>
  <c r="L36" i="77"/>
  <c r="L37" i="77"/>
  <c r="L38" i="77"/>
  <c r="L39" i="77"/>
  <c r="L40" i="77"/>
  <c r="L41" i="77"/>
  <c r="L42" i="77"/>
  <c r="L43" i="77"/>
  <c r="L44" i="77"/>
  <c r="L45" i="77"/>
  <c r="L46" i="77"/>
  <c r="L47" i="77"/>
  <c r="L48" i="77"/>
  <c r="L49" i="77"/>
  <c r="L50" i="77"/>
  <c r="L51" i="77"/>
  <c r="L52" i="77"/>
  <c r="C10" i="92" a="1"/>
  <c r="C10" i="92" s="1"/>
  <c r="C10" i="25" a="1"/>
  <c r="C29" i="25" s="1"/>
  <c r="E15" i="34"/>
  <c r="V15" i="34"/>
  <c r="V14" i="34"/>
  <c r="V31" i="68" a="1"/>
  <c r="V31" i="68"/>
  <c r="U31" i="68" a="1"/>
  <c r="U31" i="68"/>
  <c r="T31" i="68" a="1"/>
  <c r="T31" i="68"/>
  <c r="S31" i="68" a="1"/>
  <c r="S31" i="68"/>
  <c r="R31" i="68" a="1"/>
  <c r="R31" i="68"/>
  <c r="Q31" i="68" a="1"/>
  <c r="Q31" i="68"/>
  <c r="P31" i="68" a="1"/>
  <c r="P31" i="68"/>
  <c r="O31" i="68" a="1"/>
  <c r="O31" i="68"/>
  <c r="N31" i="68" a="1"/>
  <c r="N31" i="68"/>
  <c r="M31" i="68" a="1"/>
  <c r="M31" i="68"/>
  <c r="L31" i="68" a="1"/>
  <c r="L31" i="68"/>
  <c r="K31" i="68" a="1"/>
  <c r="K31" i="68"/>
  <c r="J31" i="68" a="1"/>
  <c r="J31" i="68"/>
  <c r="T29" i="68"/>
  <c r="U29" i="68"/>
  <c r="V29" i="68"/>
  <c r="T28" i="68"/>
  <c r="U28" i="68"/>
  <c r="V28" i="68"/>
  <c r="T27" i="68"/>
  <c r="U27" i="68"/>
  <c r="V27" i="68"/>
  <c r="T26" i="68"/>
  <c r="U26" i="68"/>
  <c r="V26" i="68"/>
  <c r="T25" i="68"/>
  <c r="U25" i="68"/>
  <c r="V25" i="68"/>
  <c r="T24" i="68"/>
  <c r="U24" i="68"/>
  <c r="V24" i="68"/>
  <c r="T23" i="68"/>
  <c r="U23" i="68"/>
  <c r="V23" i="68"/>
  <c r="U22" i="68"/>
  <c r="V22" i="68"/>
  <c r="T22" i="68"/>
  <c r="T21" i="68"/>
  <c r="U21" i="68"/>
  <c r="V21" i="68"/>
  <c r="T20" i="68"/>
  <c r="U20" i="68"/>
  <c r="V20" i="68"/>
  <c r="T19" i="68"/>
  <c r="U19" i="68"/>
  <c r="V19" i="68"/>
  <c r="T18" i="68"/>
  <c r="U18" i="68"/>
  <c r="V18" i="68"/>
  <c r="T17" i="68"/>
  <c r="U17" i="68"/>
  <c r="V17" i="68"/>
  <c r="T16" i="68"/>
  <c r="U16" i="68"/>
  <c r="V16" i="68"/>
  <c r="T15" i="68"/>
  <c r="U15" i="68"/>
  <c r="V15" i="68"/>
  <c r="T14" i="68"/>
  <c r="U14" i="68"/>
  <c r="V14" i="68"/>
  <c r="T13" i="68"/>
  <c r="U13" i="68"/>
  <c r="V13" i="68"/>
  <c r="T12" i="68"/>
  <c r="U12" i="68"/>
  <c r="V12" i="68"/>
  <c r="T11" i="68"/>
  <c r="U11" i="68"/>
  <c r="V11" i="68"/>
  <c r="T10" i="68"/>
  <c r="U10" i="68"/>
  <c r="V10" i="68"/>
  <c r="D29" i="25"/>
  <c r="D36" i="25"/>
  <c r="D28" i="25"/>
  <c r="D35" i="25"/>
  <c r="D46" i="25"/>
  <c r="D45" i="25"/>
  <c r="D52" i="25"/>
  <c r="D51" i="25"/>
  <c r="Q50" i="25"/>
  <c r="F9" i="25" a="1"/>
  <c r="L16" i="25" s="1"/>
  <c r="L33" i="25" s="1"/>
  <c r="L50" i="25" s="1"/>
  <c r="B50" i="25"/>
  <c r="B46" i="25"/>
  <c r="B53" i="25"/>
  <c r="B45" i="25"/>
  <c r="B52" i="25"/>
  <c r="B44" i="25"/>
  <c r="B51" i="25"/>
  <c r="D43" i="25"/>
  <c r="D50" i="25"/>
  <c r="C43" i="25"/>
  <c r="C50" i="25"/>
  <c r="B43" i="25"/>
  <c r="Q16" i="25"/>
  <c r="Q33" i="25"/>
  <c r="D34" i="25"/>
  <c r="B31" i="25"/>
  <c r="B48" i="25"/>
  <c r="B24" i="25"/>
  <c r="B41" i="25"/>
  <c r="D17" i="25"/>
  <c r="B17" i="25"/>
  <c r="D16" i="25"/>
  <c r="C16" i="25"/>
  <c r="B16" i="25"/>
  <c r="W9" i="3"/>
  <c r="U9" i="3"/>
  <c r="T9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G9" i="100" a="1"/>
  <c r="G9" i="100" s="1"/>
  <c r="F9" i="100" s="1"/>
  <c r="A1" i="100"/>
  <c r="S43" i="34"/>
  <c r="E44" i="34"/>
  <c r="E43" i="34"/>
  <c r="D43" i="34"/>
  <c r="C43" i="34"/>
  <c r="B43" i="34"/>
  <c r="A1" i="34"/>
  <c r="A1" i="2"/>
  <c r="D53" i="25"/>
  <c r="G7" i="5" a="1"/>
  <c r="G7" i="5" s="1"/>
  <c r="D8" i="5" a="1"/>
  <c r="D8" i="5" s="1"/>
  <c r="D11" i="5" s="1"/>
  <c r="B19" i="2" a="1"/>
  <c r="B19" i="2" s="1"/>
  <c r="B58" i="93"/>
  <c r="C56" i="93"/>
  <c r="C57" i="93" s="1"/>
  <c r="C58" i="93" s="1"/>
  <c r="C54" i="93"/>
  <c r="B54" i="93"/>
  <c r="B50" i="93"/>
  <c r="C46" i="93"/>
  <c r="B46" i="93"/>
  <c r="B42" i="93"/>
  <c r="P38" i="93"/>
  <c r="C38" i="93"/>
  <c r="B38" i="93"/>
  <c r="B34" i="93"/>
  <c r="P30" i="93"/>
  <c r="C30" i="93"/>
  <c r="B30" i="93"/>
  <c r="N26" i="93"/>
  <c r="N17" i="104" s="1"/>
  <c r="M26" i="93"/>
  <c r="M17" i="104" s="1"/>
  <c r="L26" i="93"/>
  <c r="L17" i="104" s="1"/>
  <c r="K26" i="93"/>
  <c r="K17" i="104" s="1"/>
  <c r="J26" i="93"/>
  <c r="J17" i="104" s="1"/>
  <c r="I26" i="93"/>
  <c r="I17" i="104" s="1"/>
  <c r="H26" i="93"/>
  <c r="H17" i="104" s="1"/>
  <c r="G26" i="93"/>
  <c r="G17" i="104" s="1"/>
  <c r="F26" i="93"/>
  <c r="F17" i="104" s="1"/>
  <c r="E26" i="93"/>
  <c r="E17" i="104" s="1"/>
  <c r="B26" i="93"/>
  <c r="P25" i="93"/>
  <c r="P24" i="93"/>
  <c r="P23" i="93"/>
  <c r="P26" i="93" s="1"/>
  <c r="P22" i="93"/>
  <c r="C22" i="93"/>
  <c r="B22" i="93"/>
  <c r="B15" i="93" a="1"/>
  <c r="B15" i="93" s="1"/>
  <c r="E14" i="93" a="1"/>
  <c r="H54" i="93" s="1"/>
  <c r="N30" i="93"/>
  <c r="F54" i="93"/>
  <c r="B41" i="92"/>
  <c r="D35" i="92"/>
  <c r="C35" i="92"/>
  <c r="B39" i="92"/>
  <c r="B35" i="92"/>
  <c r="B33" i="92"/>
  <c r="B23" i="92"/>
  <c r="B26" i="92"/>
  <c r="B52" i="92"/>
  <c r="B18" i="92"/>
  <c r="B19" i="92"/>
  <c r="B20" i="92"/>
  <c r="B46" i="92"/>
  <c r="B10" i="92"/>
  <c r="B11" i="92"/>
  <c r="B37" i="92"/>
  <c r="B21" i="92"/>
  <c r="B47" i="92"/>
  <c r="B17" i="92"/>
  <c r="B43" i="92"/>
  <c r="D18" i="92"/>
  <c r="D44" i="92" s="1"/>
  <c r="Q17" i="92"/>
  <c r="Q35" i="92"/>
  <c r="D17" i="92"/>
  <c r="D43" i="92"/>
  <c r="C17" i="92"/>
  <c r="C43" i="92"/>
  <c r="D11" i="92"/>
  <c r="D12" i="92" s="1"/>
  <c r="F9" i="92" a="1"/>
  <c r="O35" i="92" s="1"/>
  <c r="A1" i="92"/>
  <c r="B45" i="92"/>
  <c r="C25" i="92"/>
  <c r="C51" i="92"/>
  <c r="B49" i="92"/>
  <c r="D25" i="92"/>
  <c r="D51" i="92"/>
  <c r="B36" i="92"/>
  <c r="B44" i="92"/>
  <c r="B25" i="92"/>
  <c r="B51" i="92"/>
  <c r="B29" i="92"/>
  <c r="B55" i="92"/>
  <c r="Q25" i="92"/>
  <c r="Q43" i="92"/>
  <c r="B27" i="92"/>
  <c r="B53" i="92"/>
  <c r="B12" i="92"/>
  <c r="B38" i="92"/>
  <c r="C14" i="91"/>
  <c r="C15" i="91"/>
  <c r="C12" i="91"/>
  <c r="C11" i="91"/>
  <c r="E11" i="91"/>
  <c r="E12" i="91"/>
  <c r="E13" i="91"/>
  <c r="E14" i="91"/>
  <c r="E15" i="91"/>
  <c r="G9" i="91" a="1"/>
  <c r="G9" i="91" s="1"/>
  <c r="F9" i="91" s="1"/>
  <c r="A1" i="91"/>
  <c r="B28" i="92"/>
  <c r="B54" i="92"/>
  <c r="D17" i="88"/>
  <c r="B27" i="25"/>
  <c r="D26" i="25"/>
  <c r="C26" i="25"/>
  <c r="B26" i="25"/>
  <c r="D11" i="25"/>
  <c r="B11" i="25"/>
  <c r="AI19" i="62"/>
  <c r="AI14" i="62"/>
  <c r="AI13" i="62"/>
  <c r="AI12" i="62"/>
  <c r="AI11" i="62"/>
  <c r="AJ11" i="62" a="1"/>
  <c r="AL10" i="62" a="1"/>
  <c r="AL10" i="62" s="1"/>
  <c r="AL16" i="62" s="1"/>
  <c r="R43" i="34"/>
  <c r="E39" i="34"/>
  <c r="E69" i="34"/>
  <c r="E38" i="34"/>
  <c r="E68" i="34"/>
  <c r="E37" i="34"/>
  <c r="E67" i="34"/>
  <c r="E36" i="34"/>
  <c r="E66" i="34"/>
  <c r="E35" i="34"/>
  <c r="E65" i="34"/>
  <c r="E34" i="34"/>
  <c r="E64" i="34"/>
  <c r="E33" i="34"/>
  <c r="E63" i="34"/>
  <c r="E32" i="34"/>
  <c r="E62" i="34"/>
  <c r="E31" i="34"/>
  <c r="E61" i="34"/>
  <c r="E30" i="34"/>
  <c r="E60" i="34"/>
  <c r="E29" i="34"/>
  <c r="E59" i="34"/>
  <c r="E28" i="34"/>
  <c r="E58" i="34"/>
  <c r="E27" i="34"/>
  <c r="E57" i="34"/>
  <c r="E26" i="34"/>
  <c r="E56" i="34"/>
  <c r="E25" i="34"/>
  <c r="E55" i="34"/>
  <c r="E24" i="34"/>
  <c r="E54" i="34"/>
  <c r="E23" i="34"/>
  <c r="E53" i="34"/>
  <c r="E22" i="34"/>
  <c r="E52" i="34"/>
  <c r="E21" i="34"/>
  <c r="E51" i="34"/>
  <c r="E20" i="34"/>
  <c r="E50" i="34"/>
  <c r="E19" i="34"/>
  <c r="E49" i="34"/>
  <c r="E18" i="34"/>
  <c r="E48" i="34"/>
  <c r="E17" i="34"/>
  <c r="E47" i="34"/>
  <c r="E16" i="34"/>
  <c r="E46" i="34"/>
  <c r="E45" i="34"/>
  <c r="A1" i="77"/>
  <c r="D33" i="25"/>
  <c r="B34" i="25"/>
  <c r="C33" i="25"/>
  <c r="B33" i="25"/>
  <c r="C18" i="25"/>
  <c r="D12" i="25"/>
  <c r="D19" i="25"/>
  <c r="D18" i="25"/>
  <c r="B12" i="25"/>
  <c r="B18" i="25"/>
  <c r="B28" i="25"/>
  <c r="J23" i="88"/>
  <c r="A1" i="88"/>
  <c r="B35" i="25"/>
  <c r="B29" i="25"/>
  <c r="B19" i="25"/>
  <c r="C7" i="54" a="1"/>
  <c r="C7" i="54" s="1"/>
  <c r="B36" i="25"/>
  <c r="AF85" i="62"/>
  <c r="AE85" i="62"/>
  <c r="AD85" i="62"/>
  <c r="AF84" i="62"/>
  <c r="AE84" i="62"/>
  <c r="AD84" i="62"/>
  <c r="AF83" i="62"/>
  <c r="AE83" i="62"/>
  <c r="AD83" i="62"/>
  <c r="AF82" i="62"/>
  <c r="AE82" i="62"/>
  <c r="AD82" i="62"/>
  <c r="AF81" i="62"/>
  <c r="AE81" i="62"/>
  <c r="AD81" i="62"/>
  <c r="AF80" i="62"/>
  <c r="AE80" i="62"/>
  <c r="AD80" i="62"/>
  <c r="AF79" i="62"/>
  <c r="AE79" i="62"/>
  <c r="AD79" i="62"/>
  <c r="AF78" i="62"/>
  <c r="AE78" i="62"/>
  <c r="AD78" i="62"/>
  <c r="AF77" i="62"/>
  <c r="AE77" i="62"/>
  <c r="AD77" i="62"/>
  <c r="AF76" i="62"/>
  <c r="AE76" i="62"/>
  <c r="AD76" i="62"/>
  <c r="AF75" i="62"/>
  <c r="AE75" i="62"/>
  <c r="AD75" i="62"/>
  <c r="AF74" i="62"/>
  <c r="AE74" i="62"/>
  <c r="AD74" i="62"/>
  <c r="AF73" i="62"/>
  <c r="AE73" i="62"/>
  <c r="AD73" i="62"/>
  <c r="AF72" i="62"/>
  <c r="AE72" i="62"/>
  <c r="AD72" i="62"/>
  <c r="AF71" i="62"/>
  <c r="AE71" i="62"/>
  <c r="AD71" i="62"/>
  <c r="AF70" i="62"/>
  <c r="AE70" i="62"/>
  <c r="AD70" i="62"/>
  <c r="AF69" i="62"/>
  <c r="AE69" i="62"/>
  <c r="AD69" i="62"/>
  <c r="AF68" i="62"/>
  <c r="AE68" i="62"/>
  <c r="AD68" i="62"/>
  <c r="AF67" i="62"/>
  <c r="AE67" i="62"/>
  <c r="AD67" i="62"/>
  <c r="AF66" i="62"/>
  <c r="AE66" i="62"/>
  <c r="AD66" i="62"/>
  <c r="AF65" i="62"/>
  <c r="AE65" i="62"/>
  <c r="AD65" i="62"/>
  <c r="AF64" i="62"/>
  <c r="AE64" i="62"/>
  <c r="AD64" i="62"/>
  <c r="AF63" i="62"/>
  <c r="AE63" i="62"/>
  <c r="AD63" i="62"/>
  <c r="AF62" i="62"/>
  <c r="AE62" i="62"/>
  <c r="AD62" i="62"/>
  <c r="AF61" i="62"/>
  <c r="AE61" i="62"/>
  <c r="AD61" i="62"/>
  <c r="AF60" i="62"/>
  <c r="AE60" i="62"/>
  <c r="AD60" i="62"/>
  <c r="AF59" i="62"/>
  <c r="AE59" i="62"/>
  <c r="AD59" i="62"/>
  <c r="AF58" i="62"/>
  <c r="AE58" i="62"/>
  <c r="AD58" i="62"/>
  <c r="AF57" i="62"/>
  <c r="AE57" i="62"/>
  <c r="AD57" i="62"/>
  <c r="AF56" i="62"/>
  <c r="AE56" i="62"/>
  <c r="AD56" i="62"/>
  <c r="AF55" i="62"/>
  <c r="AE55" i="62"/>
  <c r="AD55" i="62"/>
  <c r="AF54" i="62"/>
  <c r="AE54" i="62"/>
  <c r="AD54" i="62"/>
  <c r="AF53" i="62"/>
  <c r="AE53" i="62"/>
  <c r="AD53" i="62"/>
  <c r="AF52" i="62"/>
  <c r="AE52" i="62"/>
  <c r="AD52" i="62"/>
  <c r="AF51" i="62"/>
  <c r="AE51" i="62"/>
  <c r="AD51" i="62"/>
  <c r="AF50" i="62"/>
  <c r="AE50" i="62"/>
  <c r="AD50" i="62"/>
  <c r="AF49" i="62"/>
  <c r="AE49" i="62"/>
  <c r="AD49" i="62"/>
  <c r="AF48" i="62"/>
  <c r="AE48" i="62"/>
  <c r="AD48" i="62"/>
  <c r="AF47" i="62"/>
  <c r="AE47" i="62"/>
  <c r="AD47" i="62"/>
  <c r="AF46" i="62"/>
  <c r="AE46" i="62"/>
  <c r="AD46" i="62"/>
  <c r="AF45" i="62"/>
  <c r="AE45" i="62"/>
  <c r="AD45" i="62"/>
  <c r="AF44" i="62"/>
  <c r="AE44" i="62"/>
  <c r="AD44" i="62"/>
  <c r="AF43" i="62"/>
  <c r="AE43" i="62"/>
  <c r="AD43" i="62"/>
  <c r="AF42" i="62"/>
  <c r="AE42" i="62"/>
  <c r="AD42" i="62"/>
  <c r="AF41" i="62"/>
  <c r="AE41" i="62"/>
  <c r="AD41" i="62"/>
  <c r="AF40" i="62"/>
  <c r="AE40" i="62"/>
  <c r="AD40" i="62"/>
  <c r="AF39" i="62"/>
  <c r="AE39" i="62"/>
  <c r="AD39" i="62"/>
  <c r="AF38" i="62"/>
  <c r="AE38" i="62"/>
  <c r="AD38" i="62"/>
  <c r="AF37" i="62"/>
  <c r="AE37" i="62"/>
  <c r="AD37" i="62"/>
  <c r="AF36" i="62"/>
  <c r="AE36" i="62"/>
  <c r="AD36" i="62"/>
  <c r="AF35" i="62"/>
  <c r="AE35" i="62"/>
  <c r="AD35" i="62"/>
  <c r="AF34" i="62"/>
  <c r="AE34" i="62"/>
  <c r="AD34" i="62"/>
  <c r="AF33" i="62"/>
  <c r="AE33" i="62"/>
  <c r="AD33" i="62"/>
  <c r="AF32" i="62"/>
  <c r="AE32" i="62"/>
  <c r="AD32" i="62"/>
  <c r="AF31" i="62"/>
  <c r="AE31" i="62"/>
  <c r="AD31" i="62"/>
  <c r="AF30" i="62"/>
  <c r="AE30" i="62"/>
  <c r="AD30" i="62"/>
  <c r="AF29" i="62"/>
  <c r="AE29" i="62"/>
  <c r="AD29" i="62"/>
  <c r="AF28" i="62"/>
  <c r="AE28" i="62"/>
  <c r="AD28" i="62"/>
  <c r="AF27" i="62"/>
  <c r="AE27" i="62"/>
  <c r="AD27" i="62"/>
  <c r="AF26" i="62"/>
  <c r="AE26" i="62"/>
  <c r="AD26" i="62"/>
  <c r="AF25" i="62"/>
  <c r="AE25" i="62"/>
  <c r="AD25" i="62"/>
  <c r="AF24" i="62"/>
  <c r="AE24" i="62"/>
  <c r="AD24" i="62"/>
  <c r="AF23" i="62"/>
  <c r="AE23" i="62"/>
  <c r="AD23" i="62"/>
  <c r="AF22" i="62"/>
  <c r="AE22" i="62"/>
  <c r="AD22" i="62"/>
  <c r="AF21" i="62"/>
  <c r="AE21" i="62"/>
  <c r="AD21" i="62"/>
  <c r="AF20" i="62"/>
  <c r="AE20" i="62"/>
  <c r="AD20" i="62"/>
  <c r="AF19" i="62"/>
  <c r="AE19" i="62"/>
  <c r="AD19" i="62"/>
  <c r="AF18" i="62"/>
  <c r="AE18" i="62"/>
  <c r="AD18" i="62"/>
  <c r="AF17" i="62"/>
  <c r="AE17" i="62"/>
  <c r="AD17" i="62"/>
  <c r="AF16" i="62"/>
  <c r="AE16" i="62"/>
  <c r="AD16" i="62"/>
  <c r="AF15" i="62"/>
  <c r="AE15" i="62"/>
  <c r="AD15" i="62"/>
  <c r="AF14" i="62"/>
  <c r="AE14" i="62"/>
  <c r="AD14" i="62"/>
  <c r="AF13" i="62"/>
  <c r="AE13" i="62"/>
  <c r="AD13" i="62"/>
  <c r="AF12" i="62"/>
  <c r="AE12" i="62"/>
  <c r="AD12" i="62"/>
  <c r="AD11" i="62"/>
  <c r="AE11" i="62"/>
  <c r="AF11" i="62"/>
  <c r="A1" i="68"/>
  <c r="A1" i="62"/>
  <c r="A1" i="54"/>
  <c r="A1" i="64"/>
  <c r="A1" i="61"/>
  <c r="A1" i="25"/>
  <c r="A1" i="5"/>
  <c r="A1" i="3"/>
  <c r="A1" i="32"/>
  <c r="A1" i="14"/>
  <c r="A1" i="10"/>
  <c r="A1" i="69"/>
  <c r="A1" i="63"/>
  <c r="B6" i="63"/>
  <c r="B7" i="63"/>
  <c r="B8" i="63"/>
  <c r="B9" i="63"/>
  <c r="B10" i="63"/>
  <c r="B11" i="63"/>
  <c r="B12" i="63"/>
  <c r="B13" i="63"/>
  <c r="B14" i="63"/>
  <c r="B15" i="63"/>
  <c r="D39" i="61"/>
  <c r="D38" i="61"/>
  <c r="D37" i="61"/>
  <c r="D36" i="61"/>
  <c r="D35" i="61"/>
  <c r="C41" i="61" s="1"/>
  <c r="C43" i="61" s="1"/>
  <c r="C9" i="2" s="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G18" i="77"/>
  <c r="H18" i="77"/>
  <c r="I18" i="77"/>
  <c r="J18" i="77"/>
  <c r="K18" i="77"/>
  <c r="L18" i="77"/>
  <c r="M18" i="77"/>
  <c r="N18" i="77"/>
  <c r="O18" i="77"/>
  <c r="P18" i="77"/>
  <c r="F18" i="77"/>
  <c r="E18" i="77"/>
  <c r="D18" i="77"/>
  <c r="O14" i="77"/>
  <c r="N14" i="77"/>
  <c r="M14" i="77"/>
  <c r="L14" i="77"/>
  <c r="K14" i="77"/>
  <c r="J14" i="77"/>
  <c r="I14" i="77"/>
  <c r="H14" i="77"/>
  <c r="G14" i="77"/>
  <c r="F14" i="77"/>
  <c r="E14" i="77"/>
  <c r="D14" i="77"/>
  <c r="I52" i="77"/>
  <c r="J52" i="77"/>
  <c r="I51" i="77"/>
  <c r="J51" i="77"/>
  <c r="I50" i="77"/>
  <c r="J50" i="77"/>
  <c r="I49" i="77"/>
  <c r="J49" i="77"/>
  <c r="I48" i="77"/>
  <c r="J48" i="77"/>
  <c r="I47" i="77"/>
  <c r="J47" i="77"/>
  <c r="I46" i="77"/>
  <c r="J46" i="77"/>
  <c r="I45" i="77"/>
  <c r="J45" i="77"/>
  <c r="I44" i="77"/>
  <c r="J44" i="77"/>
  <c r="I43" i="77"/>
  <c r="J43" i="77"/>
  <c r="I42" i="77"/>
  <c r="J42" i="77"/>
  <c r="I41" i="77"/>
  <c r="J41" i="77"/>
  <c r="I40" i="77"/>
  <c r="J40" i="77"/>
  <c r="I39" i="77"/>
  <c r="J39" i="77"/>
  <c r="I38" i="77"/>
  <c r="J38" i="77"/>
  <c r="I37" i="77"/>
  <c r="J37" i="77"/>
  <c r="I36" i="77"/>
  <c r="J36" i="77"/>
  <c r="I35" i="77"/>
  <c r="J35" i="77"/>
  <c r="I34" i="77"/>
  <c r="J34" i="77"/>
  <c r="I33" i="77"/>
  <c r="J33" i="77"/>
  <c r="I32" i="77"/>
  <c r="J32" i="77"/>
  <c r="I31" i="77"/>
  <c r="J31" i="77"/>
  <c r="I30" i="77"/>
  <c r="J30" i="77"/>
  <c r="I29" i="77"/>
  <c r="J29" i="77"/>
  <c r="I28" i="77"/>
  <c r="J28" i="77"/>
  <c r="P14" i="77"/>
  <c r="C10" i="61"/>
  <c r="D10" i="61"/>
  <c r="E10" i="61"/>
  <c r="F10" i="61"/>
  <c r="G10" i="61"/>
  <c r="AH9" i="3"/>
  <c r="Z9" i="3"/>
  <c r="AG9" i="3"/>
  <c r="AA9" i="3"/>
  <c r="AF9" i="3"/>
  <c r="AE9" i="3"/>
  <c r="AD9" i="3"/>
  <c r="AB9" i="3"/>
  <c r="AC9" i="3"/>
  <c r="Y9" i="3"/>
  <c r="C12" i="61"/>
  <c r="X9" i="3"/>
  <c r="R26" i="107" l="1"/>
  <c r="R62" i="107" s="1"/>
  <c r="T26" i="107"/>
  <c r="T62" i="107" s="1"/>
  <c r="J18" i="107"/>
  <c r="J54" i="107" s="1"/>
  <c r="P24" i="107"/>
  <c r="P60" i="107" s="1"/>
  <c r="J16" i="107"/>
  <c r="J52" i="107" s="1"/>
  <c r="AE39" i="107"/>
  <c r="AE75" i="107" s="1"/>
  <c r="AD38" i="107"/>
  <c r="AD74" i="107" s="1"/>
  <c r="AD36" i="107"/>
  <c r="AD72" i="107" s="1"/>
  <c r="R24" i="107"/>
  <c r="R60" i="107" s="1"/>
  <c r="T21" i="3"/>
  <c r="AR12" i="62"/>
  <c r="B51" i="100"/>
  <c r="B77" i="100" s="1"/>
  <c r="AG60" i="62"/>
  <c r="B48" i="100"/>
  <c r="B74" i="100" s="1"/>
  <c r="C27" i="100" a="1"/>
  <c r="C27" i="100" s="1"/>
  <c r="AG77" i="62"/>
  <c r="B50" i="100"/>
  <c r="B76" i="100" s="1"/>
  <c r="AG43" i="62"/>
  <c r="B43" i="100"/>
  <c r="B69" i="100" s="1"/>
  <c r="K35" i="92"/>
  <c r="G17" i="92"/>
  <c r="G43" i="92" s="1"/>
  <c r="B49" i="34"/>
  <c r="B48" i="34"/>
  <c r="B47" i="3"/>
  <c r="B73" i="3" s="1"/>
  <c r="T73" i="3" s="1"/>
  <c r="B46" i="34"/>
  <c r="C32" i="100" a="1"/>
  <c r="C32" i="100" s="1"/>
  <c r="N17" i="92"/>
  <c r="N43" i="92" s="1"/>
  <c r="T11" i="3"/>
  <c r="C28" i="100" a="1"/>
  <c r="C28" i="100" s="1"/>
  <c r="T10" i="3"/>
  <c r="T29" i="3"/>
  <c r="G35" i="92"/>
  <c r="B59" i="3"/>
  <c r="B85" i="3" s="1"/>
  <c r="T85" i="3" s="1"/>
  <c r="AO16" i="62"/>
  <c r="AP13" i="62"/>
  <c r="C13" i="100" a="1"/>
  <c r="C13" i="100" s="1"/>
  <c r="B65" i="34"/>
  <c r="B57" i="3"/>
  <c r="B83" i="3" s="1"/>
  <c r="T83" i="3" s="1"/>
  <c r="C25" i="3" a="1"/>
  <c r="C25" i="3" s="1"/>
  <c r="I25" i="3" s="1" a="1"/>
  <c r="I25" i="3" s="1"/>
  <c r="T12" i="3"/>
  <c r="T35" i="3"/>
  <c r="T20" i="3"/>
  <c r="C28" i="3" a="1"/>
  <c r="C28" i="3" s="1"/>
  <c r="U28" i="3" s="1"/>
  <c r="C20" i="100" a="1"/>
  <c r="C20" i="100" s="1"/>
  <c r="T15" i="3"/>
  <c r="C16" i="100" a="1"/>
  <c r="C16" i="100" s="1"/>
  <c r="B39" i="3"/>
  <c r="B65" i="3" s="1"/>
  <c r="T65" i="3" s="1"/>
  <c r="C15" i="100" a="1"/>
  <c r="C15" i="100" s="1"/>
  <c r="AG75" i="62"/>
  <c r="T34" i="3"/>
  <c r="T30" i="3"/>
  <c r="T31" i="3"/>
  <c r="T16" i="3"/>
  <c r="T17" i="3"/>
  <c r="AS16" i="62"/>
  <c r="B61" i="34"/>
  <c r="B56" i="3"/>
  <c r="C34" i="3" a="1"/>
  <c r="C34" i="3" s="1"/>
  <c r="U34" i="3" s="1"/>
  <c r="B46" i="3"/>
  <c r="T27" i="3"/>
  <c r="H17" i="92"/>
  <c r="H43" i="92" s="1"/>
  <c r="T22" i="3"/>
  <c r="T23" i="3"/>
  <c r="AR13" i="62"/>
  <c r="B36" i="100"/>
  <c r="B62" i="100" s="1"/>
  <c r="B37" i="3"/>
  <c r="B63" i="3" s="1"/>
  <c r="T63" i="3" s="1"/>
  <c r="T24" i="3"/>
  <c r="AT16" i="62"/>
  <c r="AG73" i="62"/>
  <c r="I17" i="92"/>
  <c r="I43" i="92" s="1"/>
  <c r="B60" i="34"/>
  <c r="B52" i="3"/>
  <c r="B45" i="3"/>
  <c r="C25" i="100" a="1"/>
  <c r="C25" i="100" s="1"/>
  <c r="T26" i="3"/>
  <c r="T28" i="3"/>
  <c r="B39" i="100"/>
  <c r="B65" i="100" s="1"/>
  <c r="B61" i="3"/>
  <c r="B40" i="3"/>
  <c r="T14" i="3"/>
  <c r="B38" i="100"/>
  <c r="B64" i="100" s="1"/>
  <c r="AG44" i="62"/>
  <c r="B58" i="3"/>
  <c r="T58" i="3" s="1"/>
  <c r="T25" i="3"/>
  <c r="T32" i="3"/>
  <c r="T33" i="3"/>
  <c r="AU16" i="62"/>
  <c r="AG48" i="62"/>
  <c r="L17" i="92"/>
  <c r="L43" i="92" s="1"/>
  <c r="B60" i="100"/>
  <c r="B86" i="100" s="1"/>
  <c r="B58" i="34"/>
  <c r="B51" i="3"/>
  <c r="B77" i="3" s="1"/>
  <c r="T77" i="3" s="1"/>
  <c r="T19" i="3"/>
  <c r="B44" i="3"/>
  <c r="AG15" i="62"/>
  <c r="T18" i="3"/>
  <c r="T13" i="3"/>
  <c r="AG23" i="62"/>
  <c r="M17" i="92"/>
  <c r="M25" i="92" s="1"/>
  <c r="M51" i="92" s="1"/>
  <c r="D39" i="34"/>
  <c r="D69" i="34" s="1"/>
  <c r="B55" i="100"/>
  <c r="B81" i="100" s="1"/>
  <c r="B53" i="34"/>
  <c r="B49" i="3"/>
  <c r="C31" i="93"/>
  <c r="C39" i="93"/>
  <c r="C23" i="93"/>
  <c r="F8" i="5"/>
  <c r="AG52" i="62"/>
  <c r="AG32" i="62"/>
  <c r="AG80" i="62"/>
  <c r="AG13" i="62"/>
  <c r="AP16" i="62"/>
  <c r="AG26" i="62"/>
  <c r="AG72" i="62"/>
  <c r="AG47" i="62"/>
  <c r="AG22" i="62"/>
  <c r="AG84" i="62"/>
  <c r="AG67" i="62"/>
  <c r="AP12" i="62"/>
  <c r="C28" i="25"/>
  <c r="C35" i="25" s="1"/>
  <c r="C19" i="3" a="1"/>
  <c r="C19" i="3" s="1"/>
  <c r="L19" i="3" s="1" a="1"/>
  <c r="L19" i="3" s="1"/>
  <c r="AG40" i="62"/>
  <c r="AG57" i="62"/>
  <c r="AG27" i="62"/>
  <c r="AG34" i="62"/>
  <c r="AG30" i="62"/>
  <c r="AQ16" i="62"/>
  <c r="AG18" i="62"/>
  <c r="AG64" i="62"/>
  <c r="AG39" i="62"/>
  <c r="AG14" i="62"/>
  <c r="AG76" i="62"/>
  <c r="AG59" i="62"/>
  <c r="D14" i="91"/>
  <c r="AG61" i="62"/>
  <c r="AR16" i="62"/>
  <c r="AO12" i="62"/>
  <c r="AG81" i="62"/>
  <c r="AG56" i="62"/>
  <c r="AG31" i="62"/>
  <c r="AG85" i="62"/>
  <c r="AG68" i="62"/>
  <c r="AG51" i="62"/>
  <c r="AG74" i="62"/>
  <c r="AG49" i="62"/>
  <c r="AG24" i="62"/>
  <c r="AG70" i="62"/>
  <c r="AG53" i="62"/>
  <c r="AG36" i="62"/>
  <c r="AG19" i="62"/>
  <c r="AG69" i="62"/>
  <c r="AG35" i="62"/>
  <c r="T59" i="3"/>
  <c r="AG66" i="62"/>
  <c r="AG41" i="62"/>
  <c r="AG16" i="62"/>
  <c r="AG62" i="62"/>
  <c r="AG45" i="62"/>
  <c r="AG28" i="62"/>
  <c r="AG11" i="62"/>
  <c r="AG58" i="62"/>
  <c r="AG33" i="62"/>
  <c r="AG79" i="62"/>
  <c r="AG54" i="62"/>
  <c r="AG37" i="62"/>
  <c r="AG20" i="62"/>
  <c r="AG82" i="62"/>
  <c r="AG78" i="62"/>
  <c r="AM16" i="62"/>
  <c r="AG50" i="62"/>
  <c r="AG25" i="62"/>
  <c r="AG71" i="62"/>
  <c r="AG46" i="62"/>
  <c r="AG29" i="62"/>
  <c r="AG12" i="62"/>
  <c r="AG65" i="62"/>
  <c r="AN16" i="62"/>
  <c r="AG42" i="62"/>
  <c r="AG17" i="62"/>
  <c r="AG63" i="62"/>
  <c r="AG38" i="62"/>
  <c r="AG21" i="62"/>
  <c r="AG83" i="62"/>
  <c r="K17" i="92"/>
  <c r="J35" i="92"/>
  <c r="C38" i="92"/>
  <c r="AG55" i="62"/>
  <c r="P22" i="107"/>
  <c r="P58" i="107" s="1"/>
  <c r="T28" i="107"/>
  <c r="AF38" i="107"/>
  <c r="K19" i="107"/>
  <c r="K55" i="107" s="1"/>
  <c r="Q23" i="107"/>
  <c r="Q59" i="107" s="1"/>
  <c r="AG41" i="107"/>
  <c r="AG77" i="107" s="1"/>
  <c r="K17" i="107"/>
  <c r="K53" i="107" s="1"/>
  <c r="H16" i="107"/>
  <c r="H52" i="107" s="1"/>
  <c r="AI41" i="107"/>
  <c r="AI43" i="107"/>
  <c r="AI79" i="107" s="1"/>
  <c r="AK43" i="107"/>
  <c r="AK79" i="107" s="1"/>
  <c r="Q25" i="107"/>
  <c r="Q61" i="107" s="1"/>
  <c r="AH40" i="107"/>
  <c r="AH76" i="107" s="1"/>
  <c r="X30" i="107"/>
  <c r="X66" i="107" s="1"/>
  <c r="U29" i="107"/>
  <c r="AC38" i="107"/>
  <c r="AC74" i="107" s="1"/>
  <c r="V30" i="107"/>
  <c r="V66" i="107" s="1"/>
  <c r="W29" i="107"/>
  <c r="V28" i="107"/>
  <c r="V64" i="107" s="1"/>
  <c r="AJ44" i="107"/>
  <c r="O23" i="88"/>
  <c r="J17" i="92"/>
  <c r="J43" i="92" s="1"/>
  <c r="C16" i="3" a="1"/>
  <c r="C16" i="3" s="1"/>
  <c r="N16" i="3" s="1" a="1"/>
  <c r="N16" i="3" s="1"/>
  <c r="Y33" i="107"/>
  <c r="I17" i="107"/>
  <c r="K16" i="107"/>
  <c r="Z34" i="107"/>
  <c r="I15" i="107"/>
  <c r="O20" i="107"/>
  <c r="AJ42" i="107"/>
  <c r="AA33" i="107"/>
  <c r="C45" i="25"/>
  <c r="C52" i="25" s="1"/>
  <c r="AB34" i="107"/>
  <c r="S27" i="107"/>
  <c r="F30" i="93"/>
  <c r="AF40" i="107"/>
  <c r="W31" i="107"/>
  <c r="AJ11" i="62"/>
  <c r="AQ11" i="62" s="1"/>
  <c r="O24" i="107"/>
  <c r="U27" i="107"/>
  <c r="L18" i="107"/>
  <c r="AD39" i="107"/>
  <c r="S25" i="107"/>
  <c r="C19" i="25"/>
  <c r="C37" i="92"/>
  <c r="O21" i="107"/>
  <c r="Y31" i="107"/>
  <c r="U26" i="107"/>
  <c r="Q26" i="107"/>
  <c r="AB36" i="107"/>
  <c r="AC37" i="107"/>
  <c r="M21" i="107"/>
  <c r="AA35" i="107"/>
  <c r="Z32" i="107"/>
  <c r="M19" i="107"/>
  <c r="N22" i="107"/>
  <c r="AG39" i="107"/>
  <c r="X32" i="107"/>
  <c r="I18" i="107"/>
  <c r="L20" i="107"/>
  <c r="AH42" i="107"/>
  <c r="Q23" i="88"/>
  <c r="AN12" i="62"/>
  <c r="AE36" i="107"/>
  <c r="O23" i="107"/>
  <c r="AE37" i="107"/>
  <c r="AC35" i="107"/>
  <c r="U22" i="3"/>
  <c r="O22" i="3" a="1"/>
  <c r="O22" i="3" s="1"/>
  <c r="N22" i="3" a="1"/>
  <c r="N22" i="3" s="1"/>
  <c r="L43" i="34"/>
  <c r="P23" i="88"/>
  <c r="AQ13" i="62"/>
  <c r="AT13" i="62"/>
  <c r="AM12" i="62"/>
  <c r="G26" i="25"/>
  <c r="G43" i="25" s="1"/>
  <c r="M26" i="25"/>
  <c r="M43" i="25" s="1"/>
  <c r="M43" i="34"/>
  <c r="C24" i="100" a="1"/>
  <c r="C24" i="100" s="1"/>
  <c r="C12" i="100" a="1"/>
  <c r="C12" i="100" s="1"/>
  <c r="B59" i="100"/>
  <c r="B85" i="100" s="1"/>
  <c r="B47" i="100"/>
  <c r="B73" i="100" s="1"/>
  <c r="B69" i="34"/>
  <c r="B57" i="34"/>
  <c r="B45" i="34"/>
  <c r="B55" i="3"/>
  <c r="B43" i="3"/>
  <c r="C31" i="3" a="1"/>
  <c r="C31" i="3" s="1"/>
  <c r="H31" i="3" s="1" a="1"/>
  <c r="H31" i="3" s="1"/>
  <c r="AU12" i="62"/>
  <c r="AU13" i="62"/>
  <c r="K23" i="88"/>
  <c r="AT12" i="62"/>
  <c r="AO13" i="62"/>
  <c r="AM13" i="62"/>
  <c r="O17" i="92"/>
  <c r="F9" i="25"/>
  <c r="F26" i="25" s="1"/>
  <c r="F43" i="25" s="1"/>
  <c r="N43" i="34"/>
  <c r="C35" i="100" a="1"/>
  <c r="C35" i="100" s="1"/>
  <c r="C23" i="100" a="1"/>
  <c r="C23" i="100" s="1"/>
  <c r="B58" i="100"/>
  <c r="B84" i="100" s="1"/>
  <c r="B46" i="100"/>
  <c r="B72" i="100" s="1"/>
  <c r="B68" i="34"/>
  <c r="B56" i="34"/>
  <c r="B54" i="3"/>
  <c r="B42" i="3"/>
  <c r="O43" i="34"/>
  <c r="C34" i="100" a="1"/>
  <c r="C34" i="100" s="1"/>
  <c r="C22" i="100" a="1"/>
  <c r="C22" i="100" s="1"/>
  <c r="B57" i="100"/>
  <c r="B83" i="100" s="1"/>
  <c r="B45" i="100"/>
  <c r="B71" i="100" s="1"/>
  <c r="B67" i="34"/>
  <c r="B55" i="34"/>
  <c r="B53" i="3"/>
  <c r="B41" i="3"/>
  <c r="H26" i="25"/>
  <c r="H43" i="25" s="1"/>
  <c r="N26" i="25"/>
  <c r="N43" i="25" s="1"/>
  <c r="J16" i="25"/>
  <c r="J33" i="25" s="1"/>
  <c r="J50" i="25" s="1"/>
  <c r="N23" i="88"/>
  <c r="AN13" i="62"/>
  <c r="N16" i="25"/>
  <c r="N33" i="25" s="1"/>
  <c r="N50" i="25" s="1"/>
  <c r="C33" i="100" a="1"/>
  <c r="C33" i="100" s="1"/>
  <c r="C21" i="100" a="1"/>
  <c r="C21" i="100" s="1"/>
  <c r="B56" i="100"/>
  <c r="B82" i="100" s="1"/>
  <c r="B44" i="100"/>
  <c r="B70" i="100" s="1"/>
  <c r="B66" i="34"/>
  <c r="B54" i="34"/>
  <c r="B69" i="5"/>
  <c r="B95" i="5" s="1"/>
  <c r="B121" i="5" s="1"/>
  <c r="B147" i="5" s="1"/>
  <c r="B173" i="5" s="1"/>
  <c r="B199" i="5" s="1"/>
  <c r="B225" i="5" s="1"/>
  <c r="B64" i="5"/>
  <c r="B90" i="5" s="1"/>
  <c r="B116" i="5" s="1"/>
  <c r="B142" i="5" s="1"/>
  <c r="B168" i="5" s="1"/>
  <c r="B194" i="5" s="1"/>
  <c r="B220" i="5" s="1"/>
  <c r="AS12" i="62"/>
  <c r="F9" i="92"/>
  <c r="D19" i="92"/>
  <c r="D37" i="92"/>
  <c r="F9" i="5"/>
  <c r="D10" i="91"/>
  <c r="D13" i="91" s="1"/>
  <c r="C31" i="100" a="1"/>
  <c r="C31" i="100" s="1"/>
  <c r="C19" i="100" a="1"/>
  <c r="C19" i="100" s="1"/>
  <c r="B54" i="100"/>
  <c r="B80" i="100" s="1"/>
  <c r="B42" i="100"/>
  <c r="B68" i="100" s="1"/>
  <c r="B64" i="34"/>
  <c r="B52" i="34"/>
  <c r="B50" i="3"/>
  <c r="B38" i="3"/>
  <c r="B56" i="5"/>
  <c r="B82" i="5" s="1"/>
  <c r="B108" i="5" s="1"/>
  <c r="B134" i="5" s="1"/>
  <c r="B160" i="5" s="1"/>
  <c r="B186" i="5" s="1"/>
  <c r="B212" i="5" s="1"/>
  <c r="I26" i="25"/>
  <c r="I43" i="25" s="1"/>
  <c r="O26" i="25"/>
  <c r="O43" i="25" s="1"/>
  <c r="AQ12" i="62"/>
  <c r="J26" i="25"/>
  <c r="J43" i="25" s="1"/>
  <c r="C30" i="100" a="1"/>
  <c r="C30" i="100" s="1"/>
  <c r="C18" i="100" a="1"/>
  <c r="C18" i="100" s="1"/>
  <c r="B53" i="100"/>
  <c r="B79" i="100" s="1"/>
  <c r="B41" i="100"/>
  <c r="B67" i="100" s="1"/>
  <c r="B63" i="34"/>
  <c r="B51" i="34"/>
  <c r="B52" i="5"/>
  <c r="B78" i="5" s="1"/>
  <c r="B104" i="5" s="1"/>
  <c r="B130" i="5" s="1"/>
  <c r="B156" i="5" s="1"/>
  <c r="B182" i="5" s="1"/>
  <c r="B208" i="5" s="1"/>
  <c r="H43" i="34"/>
  <c r="C29" i="100" a="1"/>
  <c r="C29" i="100" s="1"/>
  <c r="C17" i="100" a="1"/>
  <c r="C17" i="100" s="1"/>
  <c r="B52" i="100"/>
  <c r="B78" i="100" s="1"/>
  <c r="B40" i="100"/>
  <c r="B66" i="100" s="1"/>
  <c r="B62" i="34"/>
  <c r="B50" i="34"/>
  <c r="B60" i="3"/>
  <c r="B48" i="3"/>
  <c r="B14" i="34"/>
  <c r="B49" i="5"/>
  <c r="B75" i="5" s="1"/>
  <c r="B101" i="5" s="1"/>
  <c r="B127" i="5" s="1"/>
  <c r="B153" i="5" s="1"/>
  <c r="B179" i="5" s="1"/>
  <c r="B205" i="5" s="1"/>
  <c r="K26" i="25"/>
  <c r="K43" i="25" s="1"/>
  <c r="I43" i="34"/>
  <c r="J43" i="34"/>
  <c r="D26" i="92"/>
  <c r="D52" i="92" s="1"/>
  <c r="H23" i="88"/>
  <c r="AS13" i="62"/>
  <c r="L26" i="25"/>
  <c r="L43" i="25" s="1"/>
  <c r="K43" i="34"/>
  <c r="C26" i="100" a="1"/>
  <c r="C26" i="100" s="1"/>
  <c r="B61" i="100"/>
  <c r="B87" i="100" s="1"/>
  <c r="B49" i="100"/>
  <c r="B75" i="100" s="1"/>
  <c r="B37" i="100"/>
  <c r="B63" i="100" s="1"/>
  <c r="B59" i="34"/>
  <c r="J30" i="93"/>
  <c r="C16" i="93"/>
  <c r="C40" i="93" s="1"/>
  <c r="G38" i="93"/>
  <c r="I30" i="93"/>
  <c r="I46" i="93"/>
  <c r="K22" i="93"/>
  <c r="L30" i="93"/>
  <c r="C18" i="92"/>
  <c r="C36" i="92"/>
  <c r="D20" i="92"/>
  <c r="D38" i="92"/>
  <c r="C46" i="25"/>
  <c r="C53" i="25" s="1"/>
  <c r="C36" i="25"/>
  <c r="D13" i="92"/>
  <c r="AL12" i="62"/>
  <c r="AL13" i="62"/>
  <c r="AK10" i="62"/>
  <c r="F10" i="5"/>
  <c r="F23" i="5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I16" i="25"/>
  <c r="I33" i="25" s="1"/>
  <c r="I50" i="25" s="1"/>
  <c r="M16" i="25"/>
  <c r="M33" i="25" s="1"/>
  <c r="M50" i="25" s="1"/>
  <c r="L35" i="92"/>
  <c r="C10" i="25"/>
  <c r="L23" i="88"/>
  <c r="H22" i="93"/>
  <c r="K54" i="93"/>
  <c r="I23" i="88"/>
  <c r="M23" i="88"/>
  <c r="C19" i="92"/>
  <c r="I35" i="92"/>
  <c r="B24" i="93"/>
  <c r="D13" i="5"/>
  <c r="G16" i="25"/>
  <c r="G33" i="25" s="1"/>
  <c r="G50" i="25" s="1"/>
  <c r="K16" i="25"/>
  <c r="K33" i="25" s="1"/>
  <c r="K50" i="25" s="1"/>
  <c r="O16" i="25"/>
  <c r="O33" i="25" s="1"/>
  <c r="O50" i="25" s="1"/>
  <c r="H35" i="92"/>
  <c r="H30" i="93"/>
  <c r="G46" i="93"/>
  <c r="D12" i="5"/>
  <c r="N35" i="92"/>
  <c r="M54" i="93"/>
  <c r="J22" i="93"/>
  <c r="C20" i="92"/>
  <c r="M35" i="92"/>
  <c r="K46" i="93"/>
  <c r="H46" i="93"/>
  <c r="H16" i="25"/>
  <c r="H33" i="25" s="1"/>
  <c r="H50" i="25" s="1"/>
  <c r="M22" i="93"/>
  <c r="I38" i="93"/>
  <c r="G22" i="3" a="1"/>
  <c r="G22" i="3" s="1"/>
  <c r="F22" i="3" a="1"/>
  <c r="F22" i="3" s="1"/>
  <c r="H22" i="3" a="1"/>
  <c r="H22" i="3" s="1"/>
  <c r="P22" i="3" a="1"/>
  <c r="P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C10" i="3" a="1"/>
  <c r="C10" i="3" s="1"/>
  <c r="C13" i="3" a="1"/>
  <c r="C13" i="3" s="1"/>
  <c r="C11" i="3" a="1"/>
  <c r="C11" i="3" s="1"/>
  <c r="C14" i="3" a="1"/>
  <c r="C14" i="3" s="1"/>
  <c r="C17" i="3" a="1"/>
  <c r="C17" i="3" s="1"/>
  <c r="C20" i="3" a="1"/>
  <c r="C20" i="3" s="1"/>
  <c r="C23" i="3" a="1"/>
  <c r="C23" i="3" s="1"/>
  <c r="C26" i="3" a="1"/>
  <c r="C26" i="3" s="1"/>
  <c r="C29" i="3" a="1"/>
  <c r="C29" i="3" s="1"/>
  <c r="C32" i="3" a="1"/>
  <c r="C32" i="3" s="1"/>
  <c r="C35" i="3" a="1"/>
  <c r="C35" i="3" s="1"/>
  <c r="B36" i="3"/>
  <c r="C15" i="3" a="1"/>
  <c r="C15" i="3" s="1"/>
  <c r="C18" i="3" a="1"/>
  <c r="C18" i="3" s="1"/>
  <c r="C21" i="3" a="1"/>
  <c r="C21" i="3" s="1"/>
  <c r="C24" i="3" a="1"/>
  <c r="C24" i="3" s="1"/>
  <c r="C27" i="3" a="1"/>
  <c r="C27" i="3" s="1"/>
  <c r="C30" i="3" a="1"/>
  <c r="C30" i="3" s="1"/>
  <c r="C33" i="3" a="1"/>
  <c r="C33" i="3" s="1"/>
  <c r="C12" i="3" a="1"/>
  <c r="C12" i="3" s="1"/>
  <c r="C10" i="100" a="1"/>
  <c r="C10" i="100" s="1"/>
  <c r="C11" i="100" a="1"/>
  <c r="C11" i="100" s="1"/>
  <c r="G13" i="34"/>
  <c r="B63" i="5"/>
  <c r="B89" i="5" s="1"/>
  <c r="B115" i="5" s="1"/>
  <c r="B141" i="5" s="1"/>
  <c r="B167" i="5" s="1"/>
  <c r="B193" i="5" s="1"/>
  <c r="B219" i="5" s="1"/>
  <c r="B48" i="5"/>
  <c r="B74" i="5" s="1"/>
  <c r="B100" i="5" s="1"/>
  <c r="B126" i="5" s="1"/>
  <c r="B152" i="5" s="1"/>
  <c r="B178" i="5" s="1"/>
  <c r="B204" i="5" s="1"/>
  <c r="B71" i="5"/>
  <c r="B97" i="5" s="1"/>
  <c r="B123" i="5" s="1"/>
  <c r="B55" i="5"/>
  <c r="B81" i="5" s="1"/>
  <c r="B107" i="5" s="1"/>
  <c r="B133" i="5" s="1"/>
  <c r="B159" i="5" s="1"/>
  <c r="B185" i="5" s="1"/>
  <c r="B211" i="5" s="1"/>
  <c r="B70" i="5"/>
  <c r="B96" i="5" s="1"/>
  <c r="B122" i="5" s="1"/>
  <c r="B148" i="5" s="1"/>
  <c r="B174" i="5" s="1"/>
  <c r="B200" i="5" s="1"/>
  <c r="B226" i="5" s="1"/>
  <c r="B62" i="5"/>
  <c r="B88" i="5" s="1"/>
  <c r="B114" i="5" s="1"/>
  <c r="B140" i="5" s="1"/>
  <c r="B166" i="5" s="1"/>
  <c r="B192" i="5" s="1"/>
  <c r="B218" i="5" s="1"/>
  <c r="B54" i="5"/>
  <c r="B80" i="5" s="1"/>
  <c r="B106" i="5" s="1"/>
  <c r="B132" i="5" s="1"/>
  <c r="B158" i="5" s="1"/>
  <c r="B184" i="5" s="1"/>
  <c r="B210" i="5" s="1"/>
  <c r="B47" i="5"/>
  <c r="B73" i="5" s="1"/>
  <c r="B99" i="5" s="1"/>
  <c r="B125" i="5" s="1"/>
  <c r="B151" i="5" s="1"/>
  <c r="B177" i="5" s="1"/>
  <c r="B203" i="5" s="1"/>
  <c r="B68" i="5"/>
  <c r="B94" i="5" s="1"/>
  <c r="B120" i="5" s="1"/>
  <c r="B146" i="5" s="1"/>
  <c r="B172" i="5" s="1"/>
  <c r="B198" i="5" s="1"/>
  <c r="B224" i="5" s="1"/>
  <c r="B61" i="5"/>
  <c r="B87" i="5" s="1"/>
  <c r="B113" i="5" s="1"/>
  <c r="B139" i="5" s="1"/>
  <c r="B165" i="5" s="1"/>
  <c r="B191" i="5" s="1"/>
  <c r="B217" i="5" s="1"/>
  <c r="B53" i="5"/>
  <c r="B79" i="5" s="1"/>
  <c r="B105" i="5" s="1"/>
  <c r="B131" i="5" s="1"/>
  <c r="B157" i="5" s="1"/>
  <c r="B183" i="5" s="1"/>
  <c r="B209" i="5" s="1"/>
  <c r="B20" i="5"/>
  <c r="B67" i="5"/>
  <c r="B93" i="5" s="1"/>
  <c r="B119" i="5" s="1"/>
  <c r="B145" i="5" s="1"/>
  <c r="B171" i="5" s="1"/>
  <c r="B197" i="5" s="1"/>
  <c r="B223" i="5" s="1"/>
  <c r="B60" i="5"/>
  <c r="B86" i="5" s="1"/>
  <c r="B112" i="5" s="1"/>
  <c r="B138" i="5" s="1"/>
  <c r="B164" i="5" s="1"/>
  <c r="B190" i="5" s="1"/>
  <c r="B216" i="5" s="1"/>
  <c r="B51" i="5"/>
  <c r="B77" i="5" s="1"/>
  <c r="B103" i="5" s="1"/>
  <c r="B129" i="5" s="1"/>
  <c r="B155" i="5" s="1"/>
  <c r="B181" i="5" s="1"/>
  <c r="B207" i="5" s="1"/>
  <c r="B66" i="5"/>
  <c r="B92" i="5" s="1"/>
  <c r="B118" i="5" s="1"/>
  <c r="B144" i="5" s="1"/>
  <c r="B170" i="5" s="1"/>
  <c r="B196" i="5" s="1"/>
  <c r="B222" i="5" s="1"/>
  <c r="B59" i="5"/>
  <c r="B85" i="5" s="1"/>
  <c r="B111" i="5" s="1"/>
  <c r="B137" i="5" s="1"/>
  <c r="B163" i="5" s="1"/>
  <c r="B189" i="5" s="1"/>
  <c r="B215" i="5" s="1"/>
  <c r="B58" i="5"/>
  <c r="B84" i="5" s="1"/>
  <c r="B110" i="5" s="1"/>
  <c r="B136" i="5" s="1"/>
  <c r="B162" i="5" s="1"/>
  <c r="B188" i="5" s="1"/>
  <c r="B214" i="5" s="1"/>
  <c r="B50" i="5"/>
  <c r="B76" i="5" s="1"/>
  <c r="B102" i="5" s="1"/>
  <c r="B128" i="5" s="1"/>
  <c r="B154" i="5" s="1"/>
  <c r="B180" i="5" s="1"/>
  <c r="B206" i="5" s="1"/>
  <c r="B65" i="5"/>
  <c r="B91" i="5" s="1"/>
  <c r="B117" i="5" s="1"/>
  <c r="B143" i="5" s="1"/>
  <c r="B169" i="5" s="1"/>
  <c r="B195" i="5" s="1"/>
  <c r="B221" i="5" s="1"/>
  <c r="B55" i="93"/>
  <c r="B31" i="93"/>
  <c r="B47" i="93"/>
  <c r="B39" i="93"/>
  <c r="B23" i="93"/>
  <c r="B25" i="93"/>
  <c r="G54" i="93"/>
  <c r="N22" i="93"/>
  <c r="I54" i="93"/>
  <c r="M46" i="93"/>
  <c r="F22" i="93"/>
  <c r="L22" i="93"/>
  <c r="I22" i="93"/>
  <c r="G22" i="93"/>
  <c r="M38" i="93"/>
  <c r="K38" i="93"/>
  <c r="B32" i="93"/>
  <c r="B56" i="93"/>
  <c r="N54" i="93"/>
  <c r="G30" i="93"/>
  <c r="M30" i="93"/>
  <c r="B48" i="93"/>
  <c r="E14" i="93"/>
  <c r="N46" i="93"/>
  <c r="L46" i="93"/>
  <c r="L54" i="93"/>
  <c r="B33" i="93"/>
  <c r="J38" i="93"/>
  <c r="F46" i="93"/>
  <c r="N38" i="93"/>
  <c r="J46" i="93"/>
  <c r="J54" i="93"/>
  <c r="B40" i="93"/>
  <c r="K30" i="93"/>
  <c r="B57" i="93"/>
  <c r="H38" i="93"/>
  <c r="F38" i="93"/>
  <c r="L38" i="93"/>
  <c r="B41" i="93"/>
  <c r="B49" i="93"/>
  <c r="S24" i="107" l="1"/>
  <c r="R23" i="107"/>
  <c r="AF41" i="107"/>
  <c r="Y30" i="107"/>
  <c r="Q22" i="107"/>
  <c r="AI40" i="107"/>
  <c r="J19" i="107"/>
  <c r="J55" i="107" s="1"/>
  <c r="L17" i="107"/>
  <c r="U30" i="107"/>
  <c r="U66" i="107" s="1"/>
  <c r="C36" i="100" a="1"/>
  <c r="C36" i="100" s="1"/>
  <c r="L25" i="92"/>
  <c r="L51" i="92" s="1"/>
  <c r="G31" i="3" a="1"/>
  <c r="G31" i="3" s="1"/>
  <c r="L28" i="3" a="1"/>
  <c r="L28" i="3" s="1"/>
  <c r="K31" i="3" a="1"/>
  <c r="K31" i="3" s="1"/>
  <c r="P31" i="3" a="1"/>
  <c r="P31" i="3" s="1"/>
  <c r="N28" i="3" a="1"/>
  <c r="N28" i="3" s="1"/>
  <c r="K28" i="3" a="1"/>
  <c r="K28" i="3" s="1"/>
  <c r="F31" i="3" a="1"/>
  <c r="F31" i="3" s="1"/>
  <c r="AL11" i="62"/>
  <c r="AL14" i="62" s="1"/>
  <c r="AL17" i="62" s="1"/>
  <c r="N25" i="92"/>
  <c r="N51" i="92" s="1"/>
  <c r="G28" i="3" a="1"/>
  <c r="G28" i="3" s="1"/>
  <c r="J28" i="3" a="1"/>
  <c r="J28" i="3" s="1"/>
  <c r="I28" i="3" a="1"/>
  <c r="I28" i="3" s="1"/>
  <c r="P28" i="3" a="1"/>
  <c r="P28" i="3" s="1"/>
  <c r="AO11" i="62"/>
  <c r="AO14" i="62" s="1"/>
  <c r="AO17" i="62" s="1"/>
  <c r="F28" i="3" a="1"/>
  <c r="F28" i="3" s="1"/>
  <c r="H28" i="3" a="1"/>
  <c r="H28" i="3" s="1"/>
  <c r="K16" i="3" a="1"/>
  <c r="K16" i="3" s="1"/>
  <c r="AU11" i="62"/>
  <c r="AU14" i="62" s="1"/>
  <c r="AU17" i="62" s="1"/>
  <c r="T51" i="3"/>
  <c r="G25" i="92"/>
  <c r="G51" i="92" s="1"/>
  <c r="M28" i="3" a="1"/>
  <c r="M28" i="3" s="1"/>
  <c r="T37" i="3"/>
  <c r="AR11" i="62"/>
  <c r="AR14" i="62" s="1"/>
  <c r="AR17" i="62" s="1"/>
  <c r="T39" i="3"/>
  <c r="L34" i="3" a="1"/>
  <c r="L34" i="3" s="1"/>
  <c r="O28" i="3" a="1"/>
  <c r="O28" i="3" s="1"/>
  <c r="AM11" i="62"/>
  <c r="AM14" i="62" s="1"/>
  <c r="AM17" i="62" s="1"/>
  <c r="B84" i="3"/>
  <c r="T84" i="3" s="1"/>
  <c r="P25" i="3" a="1"/>
  <c r="P25" i="3" s="1"/>
  <c r="N34" i="3" a="1"/>
  <c r="N34" i="3" s="1"/>
  <c r="N25" i="3" a="1"/>
  <c r="N25" i="3" s="1"/>
  <c r="H25" i="3" a="1"/>
  <c r="H25" i="3" s="1"/>
  <c r="K19" i="3" a="1"/>
  <c r="K19" i="3" s="1"/>
  <c r="P19" i="3" a="1"/>
  <c r="P19" i="3" s="1"/>
  <c r="O34" i="3" a="1"/>
  <c r="O34" i="3" s="1"/>
  <c r="F19" i="3" a="1"/>
  <c r="F19" i="3" s="1"/>
  <c r="J34" i="3" a="1"/>
  <c r="J34" i="3" s="1"/>
  <c r="D87" i="100"/>
  <c r="K34" i="3" a="1"/>
  <c r="K34" i="3" s="1"/>
  <c r="M43" i="92"/>
  <c r="G34" i="3" a="1"/>
  <c r="G34" i="3" s="1"/>
  <c r="F16" i="25"/>
  <c r="F33" i="25" s="1"/>
  <c r="F50" i="25" s="1"/>
  <c r="E45" i="5"/>
  <c r="T47" i="3"/>
  <c r="G19" i="3" a="1"/>
  <c r="G19" i="3" s="1"/>
  <c r="C48" i="3" a="1"/>
  <c r="C48" i="3" s="1"/>
  <c r="U48" i="3" s="1"/>
  <c r="G16" i="3" a="1"/>
  <c r="G16" i="3" s="1"/>
  <c r="I16" i="3" a="1"/>
  <c r="I16" i="3" s="1"/>
  <c r="L16" i="3" a="1"/>
  <c r="L16" i="3" s="1"/>
  <c r="M34" i="3" a="1"/>
  <c r="M34" i="3" s="1"/>
  <c r="F16" i="3" a="1"/>
  <c r="F16" i="3" s="1"/>
  <c r="AP11" i="62"/>
  <c r="AP14" i="62" s="1"/>
  <c r="AP17" i="62" s="1"/>
  <c r="J25" i="92"/>
  <c r="J51" i="92" s="1"/>
  <c r="T57" i="3"/>
  <c r="B82" i="3"/>
  <c r="T82" i="3" s="1"/>
  <c r="T56" i="3"/>
  <c r="G25" i="3" a="1"/>
  <c r="G25" i="3" s="1"/>
  <c r="J16" i="3" a="1"/>
  <c r="J16" i="3" s="1"/>
  <c r="B78" i="3"/>
  <c r="T78" i="3" s="1"/>
  <c r="T52" i="3"/>
  <c r="E71" i="5"/>
  <c r="I34" i="3" a="1"/>
  <c r="I34" i="3" s="1"/>
  <c r="M19" i="3" a="1"/>
  <c r="M19" i="3" s="1"/>
  <c r="O25" i="3" a="1"/>
  <c r="O25" i="3" s="1"/>
  <c r="M25" i="3" a="1"/>
  <c r="M25" i="3" s="1"/>
  <c r="F25" i="3" a="1"/>
  <c r="F25" i="3" s="1"/>
  <c r="B71" i="3"/>
  <c r="T71" i="3" s="1"/>
  <c r="T45" i="3"/>
  <c r="H25" i="92"/>
  <c r="H51" i="92" s="1"/>
  <c r="B72" i="3"/>
  <c r="T72" i="3" s="1"/>
  <c r="T46" i="3"/>
  <c r="H16" i="3" a="1"/>
  <c r="H16" i="3" s="1"/>
  <c r="B70" i="3"/>
  <c r="T70" i="3" s="1"/>
  <c r="T44" i="3"/>
  <c r="J31" i="3" a="1"/>
  <c r="J31" i="3" s="1"/>
  <c r="P34" i="3" a="1"/>
  <c r="P34" i="3" s="1"/>
  <c r="J19" i="3" a="1"/>
  <c r="J19" i="3" s="1"/>
  <c r="P16" i="3" a="1"/>
  <c r="P16" i="3" s="1"/>
  <c r="L31" i="3" a="1"/>
  <c r="L31" i="3" s="1"/>
  <c r="L25" i="3" a="1"/>
  <c r="L25" i="3" s="1"/>
  <c r="H34" i="3" a="1"/>
  <c r="H34" i="3" s="1"/>
  <c r="N19" i="3" a="1"/>
  <c r="N19" i="3" s="1"/>
  <c r="B75" i="3"/>
  <c r="T75" i="3" s="1"/>
  <c r="T49" i="3"/>
  <c r="B66" i="3"/>
  <c r="T66" i="3" s="1"/>
  <c r="T40" i="3"/>
  <c r="J25" i="3" a="1"/>
  <c r="J25" i="3" s="1"/>
  <c r="O19" i="3" a="1"/>
  <c r="O19" i="3" s="1"/>
  <c r="AN11" i="62"/>
  <c r="AN14" i="62" s="1"/>
  <c r="AN17" i="62" s="1"/>
  <c r="H19" i="3" a="1"/>
  <c r="H19" i="3" s="1"/>
  <c r="K25" i="3" a="1"/>
  <c r="K25" i="3" s="1"/>
  <c r="F34" i="3" a="1"/>
  <c r="F34" i="3" s="1"/>
  <c r="I25" i="92"/>
  <c r="I51" i="92" s="1"/>
  <c r="U25" i="3"/>
  <c r="B87" i="3"/>
  <c r="T87" i="3" s="1"/>
  <c r="T61" i="3"/>
  <c r="C41" i="100" a="1"/>
  <c r="C41" i="100" s="1"/>
  <c r="K43" i="92"/>
  <c r="K25" i="92"/>
  <c r="K51" i="92" s="1"/>
  <c r="C40" i="100" a="1"/>
  <c r="C40" i="100" s="1"/>
  <c r="C60" i="3" a="1"/>
  <c r="C60" i="3" s="1"/>
  <c r="H60" i="3" s="1" a="1"/>
  <c r="H60" i="3" s="1"/>
  <c r="C37" i="100" a="1"/>
  <c r="C37" i="100" s="1"/>
  <c r="D61" i="100"/>
  <c r="C83" i="100" a="1"/>
  <c r="C83" i="100" s="1"/>
  <c r="I19" i="3" a="1"/>
  <c r="I19" i="3" s="1"/>
  <c r="U19" i="3"/>
  <c r="C47" i="100" a="1"/>
  <c r="C47" i="100" s="1"/>
  <c r="C43" i="100" a="1"/>
  <c r="C43" i="100" s="1"/>
  <c r="AI77" i="107"/>
  <c r="AJ41" i="107"/>
  <c r="AJ80" i="107"/>
  <c r="AI44" i="107"/>
  <c r="W28" i="107"/>
  <c r="W64" i="107" s="1"/>
  <c r="W65" i="107"/>
  <c r="X29" i="107"/>
  <c r="P25" i="107"/>
  <c r="O25" i="107" s="1"/>
  <c r="U65" i="107"/>
  <c r="T29" i="107"/>
  <c r="AF74" i="107"/>
  <c r="AG38" i="107"/>
  <c r="T64" i="107"/>
  <c r="S28" i="107"/>
  <c r="AH43" i="107"/>
  <c r="AH79" i="107" s="1"/>
  <c r="AB38" i="107"/>
  <c r="AB74" i="107" s="1"/>
  <c r="X68" i="107"/>
  <c r="W32" i="107"/>
  <c r="AC73" i="107"/>
  <c r="AB37" i="107"/>
  <c r="L53" i="107"/>
  <c r="M17" i="107"/>
  <c r="Y66" i="107"/>
  <c r="Z30" i="107"/>
  <c r="C85" i="100" a="1"/>
  <c r="C85" i="100" s="1"/>
  <c r="C39" i="100" a="1"/>
  <c r="C39" i="100" s="1"/>
  <c r="AS11" i="62"/>
  <c r="AS14" i="62" s="1"/>
  <c r="AS17" i="62" s="1"/>
  <c r="AC71" i="107"/>
  <c r="AD35" i="107"/>
  <c r="AG75" i="107"/>
  <c r="AH39" i="107"/>
  <c r="R59" i="107"/>
  <c r="S23" i="107"/>
  <c r="S61" i="107"/>
  <c r="T25" i="107"/>
  <c r="K52" i="107"/>
  <c r="L16" i="107"/>
  <c r="B44" i="34"/>
  <c r="C48" i="100" a="1"/>
  <c r="C48" i="100" s="1"/>
  <c r="AT11" i="62"/>
  <c r="AT14" i="62" s="1"/>
  <c r="AT17" i="62" s="1"/>
  <c r="AE73" i="107"/>
  <c r="AF37" i="107"/>
  <c r="S60" i="107"/>
  <c r="T24" i="107"/>
  <c r="AD75" i="107"/>
  <c r="AC39" i="107"/>
  <c r="S63" i="107"/>
  <c r="R27" i="107"/>
  <c r="Q58" i="107"/>
  <c r="R22" i="107"/>
  <c r="O59" i="107"/>
  <c r="N23" i="107"/>
  <c r="N58" i="107"/>
  <c r="M22" i="107"/>
  <c r="L54" i="107"/>
  <c r="M18" i="107"/>
  <c r="AB70" i="107"/>
  <c r="AC34" i="107"/>
  <c r="AB72" i="107"/>
  <c r="AA36" i="107"/>
  <c r="U63" i="107"/>
  <c r="V27" i="107"/>
  <c r="I53" i="107"/>
  <c r="H17" i="107"/>
  <c r="H53" i="107" s="1"/>
  <c r="AE72" i="107"/>
  <c r="AF36" i="107"/>
  <c r="D13" i="88" s="1"/>
  <c r="Q62" i="107"/>
  <c r="P26" i="107"/>
  <c r="O60" i="107"/>
  <c r="N24" i="107"/>
  <c r="AA69" i="107"/>
  <c r="AB33" i="107"/>
  <c r="C46" i="100" a="1"/>
  <c r="C46" i="100" s="1"/>
  <c r="U62" i="107"/>
  <c r="V26" i="107"/>
  <c r="Y69" i="107"/>
  <c r="X33" i="107"/>
  <c r="C80" i="100" a="1"/>
  <c r="C80" i="100" s="1"/>
  <c r="Y67" i="107"/>
  <c r="Z31" i="107"/>
  <c r="W67" i="107"/>
  <c r="V31" i="107"/>
  <c r="AJ78" i="107"/>
  <c r="AK42" i="107"/>
  <c r="AK78" i="107" s="1"/>
  <c r="C24" i="93"/>
  <c r="C44" i="100" a="1"/>
  <c r="C44" i="100" s="1"/>
  <c r="M55" i="107"/>
  <c r="N19" i="107"/>
  <c r="AI76" i="107"/>
  <c r="AJ40" i="107"/>
  <c r="I19" i="107"/>
  <c r="O56" i="107"/>
  <c r="P20" i="107"/>
  <c r="M16" i="3" a="1"/>
  <c r="M16" i="3" s="1"/>
  <c r="U16" i="3"/>
  <c r="O16" i="3" a="1"/>
  <c r="O16" i="3" s="1"/>
  <c r="AH78" i="107"/>
  <c r="AG42" i="107"/>
  <c r="Z68" i="107"/>
  <c r="AA32" i="107"/>
  <c r="O57" i="107"/>
  <c r="P21" i="107"/>
  <c r="AF76" i="107"/>
  <c r="AE40" i="107"/>
  <c r="I51" i="107"/>
  <c r="J15" i="107"/>
  <c r="C65" i="100" a="1"/>
  <c r="C65" i="100" s="1"/>
  <c r="L56" i="107"/>
  <c r="K20" i="107"/>
  <c r="AA71" i="107"/>
  <c r="Z35" i="107"/>
  <c r="Z70" i="107"/>
  <c r="Y34" i="107"/>
  <c r="I54" i="107"/>
  <c r="H18" i="107"/>
  <c r="H54" i="107" s="1"/>
  <c r="M57" i="107"/>
  <c r="L21" i="107"/>
  <c r="AF77" i="107"/>
  <c r="AE41" i="107"/>
  <c r="AQ14" i="62"/>
  <c r="AQ17" i="62" s="1"/>
  <c r="C57" i="3" a="1"/>
  <c r="C57" i="3" s="1"/>
  <c r="P57" i="3" s="1" a="1"/>
  <c r="P57" i="3" s="1"/>
  <c r="C59" i="3" a="1"/>
  <c r="C59" i="3" s="1"/>
  <c r="U59" i="3" s="1"/>
  <c r="C74" i="100" a="1"/>
  <c r="C74" i="100" s="1"/>
  <c r="C71" i="100" a="1"/>
  <c r="C71" i="100" s="1"/>
  <c r="C68" i="100" a="1"/>
  <c r="C68" i="100" s="1"/>
  <c r="C77" i="100" a="1"/>
  <c r="C77" i="100" s="1"/>
  <c r="B67" i="3"/>
  <c r="T67" i="3" s="1"/>
  <c r="T41" i="3"/>
  <c r="C54" i="3" a="1"/>
  <c r="C54" i="3" s="1"/>
  <c r="H54" i="3" s="1" a="1"/>
  <c r="H54" i="3" s="1"/>
  <c r="C56" i="3" a="1"/>
  <c r="C56" i="3" s="1"/>
  <c r="N56" i="3" s="1" a="1"/>
  <c r="N56" i="3" s="1"/>
  <c r="C73" i="100" a="1"/>
  <c r="C73" i="100" s="1"/>
  <c r="C59" i="100" a="1"/>
  <c r="C59" i="100" s="1"/>
  <c r="C56" i="100" a="1"/>
  <c r="C56" i="100" s="1"/>
  <c r="C53" i="100" a="1"/>
  <c r="C53" i="100" s="1"/>
  <c r="B79" i="3"/>
  <c r="T79" i="3" s="1"/>
  <c r="T53" i="3"/>
  <c r="C51" i="3" a="1"/>
  <c r="C51" i="3" s="1"/>
  <c r="I51" i="3" s="1" a="1"/>
  <c r="I51" i="3" s="1"/>
  <c r="C62" i="100" a="1"/>
  <c r="C62" i="100" s="1"/>
  <c r="T54" i="3"/>
  <c r="B80" i="3"/>
  <c r="T80" i="3" s="1"/>
  <c r="C61" i="100" a="1"/>
  <c r="C61" i="100" s="1"/>
  <c r="C82" i="100" a="1"/>
  <c r="C82" i="100" s="1"/>
  <c r="C79" i="100" a="1"/>
  <c r="C79" i="100" s="1"/>
  <c r="C76" i="100" a="1"/>
  <c r="C76" i="100" s="1"/>
  <c r="B74" i="3"/>
  <c r="T74" i="3" s="1"/>
  <c r="T48" i="3"/>
  <c r="B64" i="3"/>
  <c r="T64" i="3" s="1"/>
  <c r="T38" i="3"/>
  <c r="D27" i="92"/>
  <c r="D53" i="92" s="1"/>
  <c r="D45" i="92"/>
  <c r="C50" i="100" a="1"/>
  <c r="C50" i="100" s="1"/>
  <c r="C70" i="100" a="1"/>
  <c r="C70" i="100" s="1"/>
  <c r="C67" i="100" a="1"/>
  <c r="C67" i="100" s="1"/>
  <c r="C64" i="100" a="1"/>
  <c r="C64" i="100" s="1"/>
  <c r="B86" i="3"/>
  <c r="T86" i="3" s="1"/>
  <c r="T60" i="3"/>
  <c r="B76" i="3"/>
  <c r="T76" i="3" s="1"/>
  <c r="T50" i="3"/>
  <c r="F17" i="92"/>
  <c r="F35" i="92"/>
  <c r="C49" i="100" a="1"/>
  <c r="C49" i="100" s="1"/>
  <c r="C58" i="100" a="1"/>
  <c r="C58" i="100" s="1"/>
  <c r="C55" i="100" a="1"/>
  <c r="C55" i="100" s="1"/>
  <c r="C52" i="100" a="1"/>
  <c r="C52" i="100" s="1"/>
  <c r="C38" i="100" a="1"/>
  <c r="C38" i="100" s="1"/>
  <c r="D35" i="100"/>
  <c r="C84" i="100" a="1"/>
  <c r="C84" i="100" s="1"/>
  <c r="C72" i="100" a="1"/>
  <c r="C72" i="100" s="1"/>
  <c r="C81" i="100" a="1"/>
  <c r="C81" i="100" s="1"/>
  <c r="C78" i="100" a="1"/>
  <c r="C78" i="100" s="1"/>
  <c r="C87" i="100" a="1"/>
  <c r="C87" i="100" s="1"/>
  <c r="M31" i="3" a="1"/>
  <c r="M31" i="3" s="1"/>
  <c r="U31" i="3"/>
  <c r="O31" i="3" a="1"/>
  <c r="O31" i="3" s="1"/>
  <c r="I31" i="3" a="1"/>
  <c r="I31" i="3" s="1"/>
  <c r="N31" i="3" a="1"/>
  <c r="N31" i="3" s="1"/>
  <c r="C60" i="100" a="1"/>
  <c r="C60" i="100" s="1"/>
  <c r="C69" i="100" a="1"/>
  <c r="C69" i="100" s="1"/>
  <c r="C66" i="100" a="1"/>
  <c r="C66" i="100" s="1"/>
  <c r="C51" i="100" a="1"/>
  <c r="C51" i="100" s="1"/>
  <c r="T43" i="3"/>
  <c r="B69" i="3"/>
  <c r="T69" i="3" s="1"/>
  <c r="C57" i="100" a="1"/>
  <c r="C57" i="100" s="1"/>
  <c r="C54" i="100" a="1"/>
  <c r="C54" i="100" s="1"/>
  <c r="T55" i="3"/>
  <c r="B81" i="3"/>
  <c r="T81" i="3" s="1"/>
  <c r="C86" i="100" a="1"/>
  <c r="C86" i="100" s="1"/>
  <c r="C45" i="100" a="1"/>
  <c r="C45" i="100" s="1"/>
  <c r="C42" i="100" a="1"/>
  <c r="C42" i="100" s="1"/>
  <c r="T42" i="3"/>
  <c r="B68" i="3"/>
  <c r="T68" i="3" s="1"/>
  <c r="O25" i="92"/>
  <c r="O51" i="92" s="1"/>
  <c r="O43" i="92"/>
  <c r="C32" i="93"/>
  <c r="C17" i="93"/>
  <c r="H21" i="3" a="1"/>
  <c r="H21" i="3" s="1"/>
  <c r="P21" i="3" a="1"/>
  <c r="P21" i="3" s="1"/>
  <c r="F21" i="3" a="1"/>
  <c r="F21" i="3" s="1"/>
  <c r="J21" i="3" a="1"/>
  <c r="J21" i="3" s="1"/>
  <c r="K21" i="3" a="1"/>
  <c r="K21" i="3" s="1"/>
  <c r="G21" i="3" a="1"/>
  <c r="G21" i="3" s="1"/>
  <c r="L21" i="3" a="1"/>
  <c r="L21" i="3" s="1"/>
  <c r="M21" i="3" a="1"/>
  <c r="M21" i="3" s="1"/>
  <c r="N21" i="3" a="1"/>
  <c r="N21" i="3" s="1"/>
  <c r="I21" i="3" a="1"/>
  <c r="I21" i="3" s="1"/>
  <c r="O21" i="3" a="1"/>
  <c r="O21" i="3" s="1"/>
  <c r="U21" i="3"/>
  <c r="H57" i="3" a="1"/>
  <c r="H57" i="3" s="1"/>
  <c r="J57" i="3" a="1"/>
  <c r="J57" i="3" s="1"/>
  <c r="G26" i="3" a="1"/>
  <c r="G26" i="3" s="1"/>
  <c r="F26" i="3" a="1"/>
  <c r="F26" i="3" s="1"/>
  <c r="H26" i="3" a="1"/>
  <c r="H26" i="3" s="1"/>
  <c r="P26" i="3" a="1"/>
  <c r="P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I26" i="3" a="1"/>
  <c r="I26" i="3" s="1"/>
  <c r="U26" i="3"/>
  <c r="F12" i="3" a="1"/>
  <c r="F12" i="3" s="1"/>
  <c r="G12" i="3" a="1"/>
  <c r="G12" i="3" s="1"/>
  <c r="H12" i="3" a="1"/>
  <c r="H12" i="3" s="1"/>
  <c r="P12" i="3" a="1"/>
  <c r="P12" i="3" s="1"/>
  <c r="I12" i="3" a="1"/>
  <c r="I12" i="3" s="1"/>
  <c r="J12" i="3" a="1"/>
  <c r="J12" i="3" s="1"/>
  <c r="L12" i="3" a="1"/>
  <c r="L12" i="3" s="1"/>
  <c r="M12" i="3" a="1"/>
  <c r="M12" i="3" s="1"/>
  <c r="K12" i="3" a="1"/>
  <c r="K12" i="3" s="1"/>
  <c r="O12" i="3" a="1"/>
  <c r="O12" i="3" s="1"/>
  <c r="N12" i="3" a="1"/>
  <c r="N12" i="3" s="1"/>
  <c r="U12" i="3"/>
  <c r="P18" i="3" a="1"/>
  <c r="P18" i="3" s="1"/>
  <c r="F18" i="3" a="1"/>
  <c r="F18" i="3" s="1"/>
  <c r="H18" i="3" a="1"/>
  <c r="H18" i="3" s="1"/>
  <c r="G18" i="3" a="1"/>
  <c r="G18" i="3" s="1"/>
  <c r="I18" i="3" a="1"/>
  <c r="I18" i="3" s="1"/>
  <c r="K18" i="3" a="1"/>
  <c r="K18" i="3" s="1"/>
  <c r="L18" i="3" a="1"/>
  <c r="L18" i="3" s="1"/>
  <c r="O18" i="3" a="1"/>
  <c r="O18" i="3" s="1"/>
  <c r="N18" i="3" a="1"/>
  <c r="N18" i="3" s="1"/>
  <c r="J18" i="3" a="1"/>
  <c r="J18" i="3" s="1"/>
  <c r="M18" i="3" a="1"/>
  <c r="M18" i="3" s="1"/>
  <c r="U18" i="3"/>
  <c r="N59" i="3" a="1"/>
  <c r="N59" i="3" s="1"/>
  <c r="M59" i="3" a="1"/>
  <c r="M59" i="3" s="1"/>
  <c r="G23" i="3" a="1"/>
  <c r="G23" i="3" s="1"/>
  <c r="H23" i="3" a="1"/>
  <c r="H23" i="3" s="1"/>
  <c r="F23" i="3" a="1"/>
  <c r="F23" i="3" s="1"/>
  <c r="P23" i="3" a="1"/>
  <c r="P23" i="3" s="1"/>
  <c r="I23" i="3" a="1"/>
  <c r="I23" i="3" s="1"/>
  <c r="J23" i="3" a="1"/>
  <c r="J23" i="3" s="1"/>
  <c r="K23" i="3" a="1"/>
  <c r="K23" i="3" s="1"/>
  <c r="L23" i="3" a="1"/>
  <c r="L23" i="3" s="1"/>
  <c r="M23" i="3" a="1"/>
  <c r="M23" i="3" s="1"/>
  <c r="N23" i="3" a="1"/>
  <c r="N23" i="3" s="1"/>
  <c r="O23" i="3" a="1"/>
  <c r="O23" i="3" s="1"/>
  <c r="U23" i="3"/>
  <c r="G15" i="3" a="1"/>
  <c r="G15" i="3" s="1"/>
  <c r="F15" i="3" a="1"/>
  <c r="F15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P15" i="3" a="1"/>
  <c r="P15" i="3" s="1"/>
  <c r="N15" i="3" a="1"/>
  <c r="N15" i="3" s="1"/>
  <c r="M15" i="3" a="1"/>
  <c r="M15" i="3" s="1"/>
  <c r="O15" i="3" a="1"/>
  <c r="O15" i="3" s="1"/>
  <c r="U15" i="3"/>
  <c r="P20" i="3" a="1"/>
  <c r="P20" i="3" s="1"/>
  <c r="F20" i="3" a="1"/>
  <c r="F20" i="3" s="1"/>
  <c r="K20" i="3" a="1"/>
  <c r="K20" i="3" s="1"/>
  <c r="G20" i="3" a="1"/>
  <c r="G20" i="3" s="1"/>
  <c r="L20" i="3" a="1"/>
  <c r="L20" i="3" s="1"/>
  <c r="H20" i="3" a="1"/>
  <c r="H20" i="3" s="1"/>
  <c r="I20" i="3" a="1"/>
  <c r="I20" i="3" s="1"/>
  <c r="M20" i="3" a="1"/>
  <c r="M20" i="3" s="1"/>
  <c r="J20" i="3" a="1"/>
  <c r="J20" i="3" s="1"/>
  <c r="O20" i="3" a="1"/>
  <c r="O20" i="3" s="1"/>
  <c r="N20" i="3" a="1"/>
  <c r="N20" i="3" s="1"/>
  <c r="U20" i="3"/>
  <c r="AK16" i="62"/>
  <c r="AK13" i="62"/>
  <c r="AK12" i="62"/>
  <c r="AK11" i="62"/>
  <c r="B62" i="3"/>
  <c r="C46" i="3" a="1"/>
  <c r="C46" i="3" s="1"/>
  <c r="C61" i="3" a="1"/>
  <c r="C61" i="3" s="1"/>
  <c r="C40" i="3" a="1"/>
  <c r="C40" i="3" s="1"/>
  <c r="C55" i="3" a="1"/>
  <c r="C55" i="3" s="1"/>
  <c r="C49" i="3" a="1"/>
  <c r="C49" i="3" s="1"/>
  <c r="C43" i="3" a="1"/>
  <c r="C43" i="3" s="1"/>
  <c r="C58" i="3" a="1"/>
  <c r="C58" i="3" s="1"/>
  <c r="C52" i="3" a="1"/>
  <c r="C52" i="3" s="1"/>
  <c r="C37" i="3" a="1"/>
  <c r="C37" i="3" s="1"/>
  <c r="T36" i="3"/>
  <c r="C53" i="3" a="1"/>
  <c r="C53" i="3" s="1"/>
  <c r="P17" i="3" a="1"/>
  <c r="P17" i="3" s="1"/>
  <c r="F17" i="3" a="1"/>
  <c r="F17" i="3" s="1"/>
  <c r="G17" i="3" a="1"/>
  <c r="G17" i="3" s="1"/>
  <c r="I17" i="3" a="1"/>
  <c r="I17" i="3" s="1"/>
  <c r="J17" i="3" a="1"/>
  <c r="J17" i="3" s="1"/>
  <c r="L17" i="3" a="1"/>
  <c r="L17" i="3" s="1"/>
  <c r="H17" i="3" a="1"/>
  <c r="H17" i="3" s="1"/>
  <c r="K17" i="3" a="1"/>
  <c r="K17" i="3" s="1"/>
  <c r="O17" i="3" a="1"/>
  <c r="O17" i="3" s="1"/>
  <c r="M17" i="3" a="1"/>
  <c r="M17" i="3" s="1"/>
  <c r="N17" i="3" a="1"/>
  <c r="N17" i="3" s="1"/>
  <c r="U17" i="3"/>
  <c r="C45" i="3" a="1"/>
  <c r="C45" i="3" s="1"/>
  <c r="C50" i="3" a="1"/>
  <c r="C50" i="3" s="1"/>
  <c r="G14" i="3" a="1"/>
  <c r="G14" i="3" s="1"/>
  <c r="F14" i="3" a="1"/>
  <c r="F14" i="3" s="1"/>
  <c r="H14" i="3" a="1"/>
  <c r="H14" i="3" s="1"/>
  <c r="P14" i="3" a="1"/>
  <c r="P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I14" i="3" a="1"/>
  <c r="I14" i="3" s="1"/>
  <c r="O14" i="3" a="1"/>
  <c r="O14" i="3" s="1"/>
  <c r="U14" i="3"/>
  <c r="B149" i="5"/>
  <c r="E123" i="5"/>
  <c r="C42" i="3" a="1"/>
  <c r="C42" i="3" s="1"/>
  <c r="C47" i="3" a="1"/>
  <c r="C47" i="3" s="1"/>
  <c r="G11" i="3" a="1"/>
  <c r="G11" i="3" s="1"/>
  <c r="H11" i="3" a="1"/>
  <c r="H11" i="3" s="1"/>
  <c r="P11" i="3" a="1"/>
  <c r="P11" i="3" s="1"/>
  <c r="F11" i="3" a="1"/>
  <c r="F11" i="3" s="1"/>
  <c r="I11" i="3" a="1"/>
  <c r="I11" i="3" s="1"/>
  <c r="J11" i="3" a="1"/>
  <c r="J11" i="3" s="1"/>
  <c r="K11" i="3" a="1"/>
  <c r="K11" i="3" s="1"/>
  <c r="M11" i="3" a="1"/>
  <c r="M11" i="3" s="1"/>
  <c r="N11" i="3" a="1"/>
  <c r="N11" i="3" s="1"/>
  <c r="O11" i="3" a="1"/>
  <c r="O11" i="3" s="1"/>
  <c r="U11" i="3"/>
  <c r="L11" i="3" a="1"/>
  <c r="L11" i="3" s="1"/>
  <c r="C75" i="100" a="1"/>
  <c r="C75" i="100" s="1"/>
  <c r="D39" i="92"/>
  <c r="D21" i="92"/>
  <c r="C39" i="3" a="1"/>
  <c r="C39" i="3" s="1"/>
  <c r="C44" i="3" a="1"/>
  <c r="C44" i="3" s="1"/>
  <c r="F13" i="3" a="1"/>
  <c r="F13" i="3" s="1"/>
  <c r="G13" i="3" a="1"/>
  <c r="G13" i="3" s="1"/>
  <c r="H13" i="3" a="1"/>
  <c r="H13" i="3" s="1"/>
  <c r="P13" i="3" a="1"/>
  <c r="P13" i="3" s="1"/>
  <c r="I13" i="3" a="1"/>
  <c r="I13" i="3" s="1"/>
  <c r="K13" i="3" a="1"/>
  <c r="K13" i="3" s="1"/>
  <c r="L13" i="3" a="1"/>
  <c r="L13" i="3" s="1"/>
  <c r="M13" i="3" a="1"/>
  <c r="M13" i="3" s="1"/>
  <c r="O13" i="3" a="1"/>
  <c r="O13" i="3" s="1"/>
  <c r="J13" i="3" a="1"/>
  <c r="J13" i="3" s="1"/>
  <c r="N13" i="3" a="1"/>
  <c r="N13" i="3" s="1"/>
  <c r="U13" i="3"/>
  <c r="C63" i="100" a="1"/>
  <c r="C63" i="100" s="1"/>
  <c r="C36" i="3" a="1"/>
  <c r="C36" i="3" s="1"/>
  <c r="C41" i="3" a="1"/>
  <c r="C41" i="3" s="1"/>
  <c r="P10" i="3" a="1"/>
  <c r="P10" i="3" s="1"/>
  <c r="F10" i="3" a="1"/>
  <c r="F10" i="3" s="1"/>
  <c r="G10" i="3" a="1"/>
  <c r="G10" i="3" s="1"/>
  <c r="L10" i="3" a="1"/>
  <c r="L10" i="3" s="1"/>
  <c r="H10" i="3" a="1"/>
  <c r="H10" i="3" s="1"/>
  <c r="J10" i="3" a="1"/>
  <c r="J10" i="3" s="1"/>
  <c r="I10" i="3" a="1"/>
  <c r="I10" i="3" s="1"/>
  <c r="M10" i="3" a="1"/>
  <c r="M10" i="3" s="1"/>
  <c r="K10" i="3" a="1"/>
  <c r="K10" i="3" s="1"/>
  <c r="N10" i="3" a="1"/>
  <c r="N10" i="3" s="1"/>
  <c r="O10" i="3" a="1"/>
  <c r="O10" i="3" s="1"/>
  <c r="U10" i="3"/>
  <c r="C21" i="5" a="1"/>
  <c r="C21" i="5" s="1"/>
  <c r="C41" i="5" a="1"/>
  <c r="C41" i="5" s="1"/>
  <c r="C22" i="5" a="1"/>
  <c r="C22" i="5" s="1"/>
  <c r="C32" i="5" a="1"/>
  <c r="C32" i="5" s="1"/>
  <c r="C42" i="5" a="1"/>
  <c r="C42" i="5" s="1"/>
  <c r="C23" i="5" a="1"/>
  <c r="C23" i="5" s="1"/>
  <c r="C43" i="5" a="1"/>
  <c r="C43" i="5" s="1"/>
  <c r="C24" i="5" a="1"/>
  <c r="C24" i="5" s="1"/>
  <c r="C33" i="5" a="1"/>
  <c r="C33" i="5" s="1"/>
  <c r="C44" i="5" a="1"/>
  <c r="C44" i="5" s="1"/>
  <c r="C25" i="5" a="1"/>
  <c r="C25" i="5" s="1"/>
  <c r="C34" i="5" a="1"/>
  <c r="C34" i="5" s="1"/>
  <c r="C20" i="5" a="1"/>
  <c r="C20" i="5" s="1"/>
  <c r="C26" i="5" a="1"/>
  <c r="C26" i="5" s="1"/>
  <c r="C35" i="5" a="1"/>
  <c r="C35" i="5" s="1"/>
  <c r="C45" i="5" a="1"/>
  <c r="C45" i="5" s="1"/>
  <c r="C36" i="5" a="1"/>
  <c r="C36" i="5" s="1"/>
  <c r="C27" i="5" a="1"/>
  <c r="C27" i="5" s="1"/>
  <c r="C37" i="5" a="1"/>
  <c r="C37" i="5" s="1"/>
  <c r="C28" i="5" a="1"/>
  <c r="C28" i="5" s="1"/>
  <c r="C38" i="5" a="1"/>
  <c r="C38" i="5" s="1"/>
  <c r="C29" i="5" a="1"/>
  <c r="C29" i="5" s="1"/>
  <c r="C30" i="5" a="1"/>
  <c r="C30" i="5" s="1"/>
  <c r="C31" i="5" a="1"/>
  <c r="C31" i="5" s="1"/>
  <c r="C39" i="5" a="1"/>
  <c r="C39" i="5" s="1"/>
  <c r="C40" i="5" a="1"/>
  <c r="C40" i="5" s="1"/>
  <c r="B46" i="5"/>
  <c r="C52" i="5" s="1" a="1"/>
  <c r="C52" i="5" s="1"/>
  <c r="H33" i="3" a="1"/>
  <c r="H33" i="3" s="1"/>
  <c r="P33" i="3" a="1"/>
  <c r="P33" i="3" s="1"/>
  <c r="F33" i="3" a="1"/>
  <c r="F33" i="3" s="1"/>
  <c r="J33" i="3" a="1"/>
  <c r="J33" i="3" s="1"/>
  <c r="K33" i="3" a="1"/>
  <c r="K33" i="3" s="1"/>
  <c r="L33" i="3" a="1"/>
  <c r="L33" i="3" s="1"/>
  <c r="G33" i="3" a="1"/>
  <c r="G33" i="3" s="1"/>
  <c r="M33" i="3" a="1"/>
  <c r="M33" i="3" s="1"/>
  <c r="I33" i="3" a="1"/>
  <c r="I33" i="3" s="1"/>
  <c r="N33" i="3" a="1"/>
  <c r="N33" i="3" s="1"/>
  <c r="O33" i="3" a="1"/>
  <c r="O33" i="3" s="1"/>
  <c r="U33" i="3"/>
  <c r="C38" i="3" a="1"/>
  <c r="C38" i="3" s="1"/>
  <c r="C28" i="92"/>
  <c r="C54" i="92" s="1"/>
  <c r="C46" i="92"/>
  <c r="P30" i="3" a="1"/>
  <c r="P30" i="3" s="1"/>
  <c r="F30" i="3" a="1"/>
  <c r="F30" i="3" s="1"/>
  <c r="I30" i="3" a="1"/>
  <c r="I30" i="3" s="1"/>
  <c r="K30" i="3" a="1"/>
  <c r="K30" i="3" s="1"/>
  <c r="G30" i="3" a="1"/>
  <c r="G30" i="3" s="1"/>
  <c r="J30" i="3" a="1"/>
  <c r="J30" i="3" s="1"/>
  <c r="H30" i="3" a="1"/>
  <c r="H30" i="3" s="1"/>
  <c r="O30" i="3" a="1"/>
  <c r="O30" i="3" s="1"/>
  <c r="N30" i="3" a="1"/>
  <c r="N30" i="3" s="1"/>
  <c r="L30" i="3" a="1"/>
  <c r="L30" i="3" s="1"/>
  <c r="M30" i="3" a="1"/>
  <c r="M30" i="3" s="1"/>
  <c r="U30" i="3"/>
  <c r="G35" i="3" a="1"/>
  <c r="G35" i="3" s="1"/>
  <c r="F35" i="3" a="1"/>
  <c r="F35" i="3" s="1"/>
  <c r="P35" i="3" a="1"/>
  <c r="P35" i="3" s="1"/>
  <c r="I35" i="3" a="1"/>
  <c r="I35" i="3" s="1"/>
  <c r="H35" i="3" a="1"/>
  <c r="H35" i="3" s="1"/>
  <c r="J35" i="3" a="1"/>
  <c r="J35" i="3" s="1"/>
  <c r="K35" i="3" a="1"/>
  <c r="K35" i="3" s="1"/>
  <c r="M35" i="3" a="1"/>
  <c r="M35" i="3" s="1"/>
  <c r="L35" i="3" a="1"/>
  <c r="L35" i="3" s="1"/>
  <c r="N35" i="3" a="1"/>
  <c r="N35" i="3" s="1"/>
  <c r="O35" i="3" a="1"/>
  <c r="O35" i="3" s="1"/>
  <c r="U35" i="3"/>
  <c r="E97" i="5"/>
  <c r="G23" i="88"/>
  <c r="D28" i="92"/>
  <c r="D54" i="92" s="1"/>
  <c r="D46" i="92"/>
  <c r="F13" i="34"/>
  <c r="F43" i="34" s="1"/>
  <c r="G43" i="34"/>
  <c r="G27" i="3" a="1"/>
  <c r="G27" i="3" s="1"/>
  <c r="F27" i="3" a="1"/>
  <c r="F27" i="3" s="1"/>
  <c r="P27" i="3" a="1"/>
  <c r="P27" i="3" s="1"/>
  <c r="I27" i="3" a="1"/>
  <c r="I27" i="3" s="1"/>
  <c r="J27" i="3" a="1"/>
  <c r="J27" i="3" s="1"/>
  <c r="K27" i="3" a="1"/>
  <c r="K27" i="3" s="1"/>
  <c r="H27" i="3" a="1"/>
  <c r="H27" i="3" s="1"/>
  <c r="L27" i="3" a="1"/>
  <c r="L27" i="3" s="1"/>
  <c r="N27" i="3" a="1"/>
  <c r="N27" i="3" s="1"/>
  <c r="M27" i="3" a="1"/>
  <c r="M27" i="3" s="1"/>
  <c r="O27" i="3" a="1"/>
  <c r="O27" i="3" s="1"/>
  <c r="U27" i="3"/>
  <c r="P32" i="3" a="1"/>
  <c r="P32" i="3" s="1"/>
  <c r="F32" i="3" a="1"/>
  <c r="F32" i="3" s="1"/>
  <c r="K32" i="3" a="1"/>
  <c r="K32" i="3" s="1"/>
  <c r="H32" i="3" a="1"/>
  <c r="H32" i="3" s="1"/>
  <c r="L32" i="3" a="1"/>
  <c r="L32" i="3" s="1"/>
  <c r="G32" i="3" a="1"/>
  <c r="G32" i="3" s="1"/>
  <c r="I32" i="3" a="1"/>
  <c r="I32" i="3" s="1"/>
  <c r="O32" i="3" a="1"/>
  <c r="O32" i="3" s="1"/>
  <c r="J32" i="3" a="1"/>
  <c r="J32" i="3" s="1"/>
  <c r="M32" i="3" a="1"/>
  <c r="M32" i="3" s="1"/>
  <c r="N32" i="3" a="1"/>
  <c r="N32" i="3" s="1"/>
  <c r="U32" i="3"/>
  <c r="R22" i="3"/>
  <c r="C17" i="25"/>
  <c r="C27" i="25"/>
  <c r="G24" i="3" a="1"/>
  <c r="G24" i="3" s="1"/>
  <c r="P24" i="3" a="1"/>
  <c r="P24" i="3" s="1"/>
  <c r="F24" i="3" a="1"/>
  <c r="F24" i="3" s="1"/>
  <c r="I24" i="3" a="1"/>
  <c r="I24" i="3" s="1"/>
  <c r="J24" i="3" a="1"/>
  <c r="J24" i="3" s="1"/>
  <c r="H24" i="3" a="1"/>
  <c r="H24" i="3" s="1"/>
  <c r="N24" i="3" a="1"/>
  <c r="N24" i="3" s="1"/>
  <c r="K24" i="3" a="1"/>
  <c r="K24" i="3" s="1"/>
  <c r="M24" i="3" a="1"/>
  <c r="M24" i="3" s="1"/>
  <c r="O24" i="3" a="1"/>
  <c r="O24" i="3" s="1"/>
  <c r="L24" i="3" a="1"/>
  <c r="L24" i="3" s="1"/>
  <c r="U24" i="3"/>
  <c r="P29" i="3" a="1"/>
  <c r="P29" i="3" s="1"/>
  <c r="F29" i="3" a="1"/>
  <c r="F29" i="3" s="1"/>
  <c r="G29" i="3" a="1"/>
  <c r="G29" i="3" s="1"/>
  <c r="I29" i="3" a="1"/>
  <c r="I29" i="3" s="1"/>
  <c r="J29" i="3" a="1"/>
  <c r="J29" i="3" s="1"/>
  <c r="H29" i="3" a="1"/>
  <c r="H29" i="3" s="1"/>
  <c r="L29" i="3" a="1"/>
  <c r="L29" i="3" s="1"/>
  <c r="K29" i="3" a="1"/>
  <c r="K29" i="3" s="1"/>
  <c r="M29" i="3" a="1"/>
  <c r="M29" i="3" s="1"/>
  <c r="O29" i="3" a="1"/>
  <c r="O29" i="3" s="1"/>
  <c r="N29" i="3" a="1"/>
  <c r="N29" i="3" s="1"/>
  <c r="U29" i="3"/>
  <c r="C27" i="92"/>
  <c r="C53" i="92" s="1"/>
  <c r="C45" i="92"/>
  <c r="C44" i="92"/>
  <c r="C26" i="92"/>
  <c r="C52" i="92" s="1"/>
  <c r="E54" i="93"/>
  <c r="E38" i="93"/>
  <c r="E46" i="93"/>
  <c r="E22" i="93"/>
  <c r="E30" i="93"/>
  <c r="P61" i="107" l="1"/>
  <c r="T30" i="107"/>
  <c r="AG43" i="107"/>
  <c r="X28" i="107"/>
  <c r="AA38" i="107"/>
  <c r="Y121" i="112"/>
  <c r="M121" i="112"/>
  <c r="U120" i="112"/>
  <c r="I120" i="112"/>
  <c r="Q119" i="112"/>
  <c r="Y101" i="112"/>
  <c r="M101" i="112"/>
  <c r="U100" i="112"/>
  <c r="I100" i="112"/>
  <c r="Q99" i="112"/>
  <c r="Y81" i="112"/>
  <c r="M81" i="112"/>
  <c r="U80" i="112"/>
  <c r="I80" i="112"/>
  <c r="Q79" i="112"/>
  <c r="Y61" i="112"/>
  <c r="M61" i="112"/>
  <c r="U60" i="112"/>
  <c r="I60" i="112"/>
  <c r="Q59" i="112"/>
  <c r="Y41" i="112"/>
  <c r="M41" i="112"/>
  <c r="U40" i="112"/>
  <c r="I40" i="112"/>
  <c r="Q39" i="112"/>
  <c r="Y21" i="112"/>
  <c r="M21" i="112"/>
  <c r="U20" i="112"/>
  <c r="I20" i="112"/>
  <c r="Q19" i="112"/>
  <c r="X121" i="112"/>
  <c r="L121" i="112"/>
  <c r="T120" i="112"/>
  <c r="H120" i="112"/>
  <c r="P119" i="112"/>
  <c r="X101" i="112"/>
  <c r="L101" i="112"/>
  <c r="T100" i="112"/>
  <c r="H100" i="112"/>
  <c r="P99" i="112"/>
  <c r="X81" i="112"/>
  <c r="L81" i="112"/>
  <c r="T80" i="112"/>
  <c r="H80" i="112"/>
  <c r="P79" i="112"/>
  <c r="X61" i="112"/>
  <c r="L61" i="112"/>
  <c r="T60" i="112"/>
  <c r="H60" i="112"/>
  <c r="P59" i="112"/>
  <c r="X41" i="112"/>
  <c r="L41" i="112"/>
  <c r="T40" i="112"/>
  <c r="H40" i="112"/>
  <c r="P39" i="112"/>
  <c r="X21" i="112"/>
  <c r="L21" i="112"/>
  <c r="T20" i="112"/>
  <c r="H20" i="112"/>
  <c r="P19" i="112"/>
  <c r="W121" i="112"/>
  <c r="K121" i="112"/>
  <c r="S120" i="112"/>
  <c r="G120" i="112"/>
  <c r="O119" i="112"/>
  <c r="W101" i="112"/>
  <c r="K101" i="112"/>
  <c r="S100" i="112"/>
  <c r="G100" i="112"/>
  <c r="O99" i="112"/>
  <c r="W81" i="112"/>
  <c r="K81" i="112"/>
  <c r="S80" i="112"/>
  <c r="G80" i="112"/>
  <c r="O79" i="112"/>
  <c r="W61" i="112"/>
  <c r="K61" i="112"/>
  <c r="S60" i="112"/>
  <c r="G60" i="112"/>
  <c r="O59" i="112"/>
  <c r="W41" i="112"/>
  <c r="K41" i="112"/>
  <c r="S40" i="112"/>
  <c r="G40" i="112"/>
  <c r="O39" i="112"/>
  <c r="W21" i="112"/>
  <c r="K21" i="112"/>
  <c r="S20" i="112"/>
  <c r="G20" i="112"/>
  <c r="O19" i="112"/>
  <c r="V121" i="112"/>
  <c r="J121" i="112"/>
  <c r="R120" i="112"/>
  <c r="F120" i="112"/>
  <c r="N119" i="112"/>
  <c r="V101" i="112"/>
  <c r="J101" i="112"/>
  <c r="R100" i="112"/>
  <c r="F100" i="112"/>
  <c r="N99" i="112"/>
  <c r="V81" i="112"/>
  <c r="J81" i="112"/>
  <c r="R80" i="112"/>
  <c r="F80" i="112"/>
  <c r="N79" i="112"/>
  <c r="V61" i="112"/>
  <c r="J61" i="112"/>
  <c r="R60" i="112"/>
  <c r="F60" i="112"/>
  <c r="N59" i="112"/>
  <c r="V41" i="112"/>
  <c r="J41" i="112"/>
  <c r="R40" i="112"/>
  <c r="F40" i="112"/>
  <c r="N39" i="112"/>
  <c r="V21" i="112"/>
  <c r="J21" i="112"/>
  <c r="R20" i="112"/>
  <c r="F20" i="112"/>
  <c r="N19" i="112"/>
  <c r="U121" i="112"/>
  <c r="I121" i="112"/>
  <c r="Q120" i="112"/>
  <c r="Y119" i="112"/>
  <c r="M119" i="112"/>
  <c r="U101" i="112"/>
  <c r="I101" i="112"/>
  <c r="Q100" i="112"/>
  <c r="Y99" i="112"/>
  <c r="M99" i="112"/>
  <c r="U81" i="112"/>
  <c r="I81" i="112"/>
  <c r="Q80" i="112"/>
  <c r="Y79" i="112"/>
  <c r="M79" i="112"/>
  <c r="U61" i="112"/>
  <c r="I61" i="112"/>
  <c r="Q60" i="112"/>
  <c r="Y59" i="112"/>
  <c r="M59" i="112"/>
  <c r="U41" i="112"/>
  <c r="I41" i="112"/>
  <c r="Q40" i="112"/>
  <c r="Y39" i="112"/>
  <c r="M39" i="112"/>
  <c r="U21" i="112"/>
  <c r="I21" i="112"/>
  <c r="Q20" i="112"/>
  <c r="Y19" i="112"/>
  <c r="M19" i="112"/>
  <c r="L119" i="112"/>
  <c r="P100" i="112"/>
  <c r="L99" i="112"/>
  <c r="T81" i="112"/>
  <c r="P80" i="112"/>
  <c r="X79" i="112"/>
  <c r="L79" i="112"/>
  <c r="H61" i="112"/>
  <c r="P60" i="112"/>
  <c r="L59" i="112"/>
  <c r="H41" i="112"/>
  <c r="P40" i="112"/>
  <c r="L39" i="112"/>
  <c r="H21" i="112"/>
  <c r="P20" i="112"/>
  <c r="L19" i="112"/>
  <c r="S41" i="112"/>
  <c r="O20" i="112"/>
  <c r="W19" i="112"/>
  <c r="R59" i="112"/>
  <c r="T121" i="112"/>
  <c r="H121" i="112"/>
  <c r="P120" i="112"/>
  <c r="X119" i="112"/>
  <c r="T101" i="112"/>
  <c r="H101" i="112"/>
  <c r="X99" i="112"/>
  <c r="H81" i="112"/>
  <c r="T61" i="112"/>
  <c r="X59" i="112"/>
  <c r="T41" i="112"/>
  <c r="X39" i="112"/>
  <c r="T21" i="112"/>
  <c r="X19" i="112"/>
  <c r="W39" i="112"/>
  <c r="J60" i="112"/>
  <c r="S121" i="112"/>
  <c r="G121" i="112"/>
  <c r="O120" i="112"/>
  <c r="W119" i="112"/>
  <c r="K119" i="112"/>
  <c r="S101" i="112"/>
  <c r="G101" i="112"/>
  <c r="O100" i="112"/>
  <c r="W99" i="112"/>
  <c r="K99" i="112"/>
  <c r="S81" i="112"/>
  <c r="G81" i="112"/>
  <c r="O80" i="112"/>
  <c r="W79" i="112"/>
  <c r="K79" i="112"/>
  <c r="S61" i="112"/>
  <c r="G61" i="112"/>
  <c r="O60" i="112"/>
  <c r="W59" i="112"/>
  <c r="K59" i="112"/>
  <c r="G41" i="112"/>
  <c r="O40" i="112"/>
  <c r="K39" i="112"/>
  <c r="S21" i="112"/>
  <c r="G21" i="112"/>
  <c r="K19" i="112"/>
  <c r="J20" i="112"/>
  <c r="R121" i="112"/>
  <c r="F121" i="112"/>
  <c r="N120" i="112"/>
  <c r="V119" i="112"/>
  <c r="J119" i="112"/>
  <c r="R101" i="112"/>
  <c r="F101" i="112"/>
  <c r="N100" i="112"/>
  <c r="V99" i="112"/>
  <c r="J99" i="112"/>
  <c r="R81" i="112"/>
  <c r="F81" i="112"/>
  <c r="N80" i="112"/>
  <c r="V79" i="112"/>
  <c r="J79" i="112"/>
  <c r="R61" i="112"/>
  <c r="F61" i="112"/>
  <c r="N60" i="112"/>
  <c r="V59" i="112"/>
  <c r="J59" i="112"/>
  <c r="R41" i="112"/>
  <c r="F41" i="112"/>
  <c r="N40" i="112"/>
  <c r="V39" i="112"/>
  <c r="J39" i="112"/>
  <c r="R21" i="112"/>
  <c r="F21" i="112"/>
  <c r="N20" i="112"/>
  <c r="V19" i="112"/>
  <c r="J19" i="112"/>
  <c r="I59" i="112"/>
  <c r="Y20" i="112"/>
  <c r="U19" i="112"/>
  <c r="O101" i="112"/>
  <c r="S79" i="112"/>
  <c r="O61" i="112"/>
  <c r="K60" i="112"/>
  <c r="O41" i="112"/>
  <c r="S39" i="112"/>
  <c r="O21" i="112"/>
  <c r="S19" i="112"/>
  <c r="N121" i="112"/>
  <c r="J120" i="112"/>
  <c r="N101" i="112"/>
  <c r="J100" i="112"/>
  <c r="N81" i="112"/>
  <c r="J80" i="112"/>
  <c r="V60" i="112"/>
  <c r="V40" i="112"/>
  <c r="R39" i="112"/>
  <c r="N21" i="112"/>
  <c r="F19" i="112"/>
  <c r="Q121" i="112"/>
  <c r="Y120" i="112"/>
  <c r="M120" i="112"/>
  <c r="U119" i="112"/>
  <c r="I119" i="112"/>
  <c r="Q101" i="112"/>
  <c r="Y100" i="112"/>
  <c r="M100" i="112"/>
  <c r="U99" i="112"/>
  <c r="I99" i="112"/>
  <c r="Q81" i="112"/>
  <c r="Y80" i="112"/>
  <c r="M80" i="112"/>
  <c r="U79" i="112"/>
  <c r="I79" i="112"/>
  <c r="Q61" i="112"/>
  <c r="Y60" i="112"/>
  <c r="M60" i="112"/>
  <c r="U59" i="112"/>
  <c r="Q41" i="112"/>
  <c r="Y40" i="112"/>
  <c r="M40" i="112"/>
  <c r="U39" i="112"/>
  <c r="I39" i="112"/>
  <c r="Q21" i="112"/>
  <c r="M20" i="112"/>
  <c r="I19" i="112"/>
  <c r="S99" i="112"/>
  <c r="S59" i="112"/>
  <c r="W20" i="112"/>
  <c r="F119" i="112"/>
  <c r="F99" i="112"/>
  <c r="F79" i="112"/>
  <c r="F59" i="112"/>
  <c r="J40" i="112"/>
  <c r="V20" i="112"/>
  <c r="P121" i="112"/>
  <c r="X120" i="112"/>
  <c r="L120" i="112"/>
  <c r="T119" i="112"/>
  <c r="H119" i="112"/>
  <c r="P101" i="112"/>
  <c r="X100" i="112"/>
  <c r="L100" i="112"/>
  <c r="T99" i="112"/>
  <c r="H99" i="112"/>
  <c r="P81" i="112"/>
  <c r="X80" i="112"/>
  <c r="L80" i="112"/>
  <c r="T79" i="112"/>
  <c r="H79" i="112"/>
  <c r="P61" i="112"/>
  <c r="X60" i="112"/>
  <c r="L60" i="112"/>
  <c r="T59" i="112"/>
  <c r="H59" i="112"/>
  <c r="P41" i="112"/>
  <c r="X40" i="112"/>
  <c r="L40" i="112"/>
  <c r="T39" i="112"/>
  <c r="H39" i="112"/>
  <c r="P21" i="112"/>
  <c r="X20" i="112"/>
  <c r="L20" i="112"/>
  <c r="T19" i="112"/>
  <c r="H19" i="112"/>
  <c r="O121" i="112"/>
  <c r="W120" i="112"/>
  <c r="K120" i="112"/>
  <c r="S119" i="112"/>
  <c r="G119" i="112"/>
  <c r="W100" i="112"/>
  <c r="K100" i="112"/>
  <c r="G99" i="112"/>
  <c r="O81" i="112"/>
  <c r="W80" i="112"/>
  <c r="K80" i="112"/>
  <c r="G79" i="112"/>
  <c r="W60" i="112"/>
  <c r="G59" i="112"/>
  <c r="W40" i="112"/>
  <c r="K40" i="112"/>
  <c r="G39" i="112"/>
  <c r="K20" i="112"/>
  <c r="G19" i="112"/>
  <c r="V120" i="112"/>
  <c r="R119" i="112"/>
  <c r="V100" i="112"/>
  <c r="R99" i="112"/>
  <c r="V80" i="112"/>
  <c r="R79" i="112"/>
  <c r="N61" i="112"/>
  <c r="N41" i="112"/>
  <c r="F39" i="112"/>
  <c r="R19" i="112"/>
  <c r="N54" i="3" a="1"/>
  <c r="N54" i="3" s="1"/>
  <c r="M48" i="3" a="1"/>
  <c r="M48" i="3" s="1"/>
  <c r="J48" i="3" a="1"/>
  <c r="J48" i="3" s="1"/>
  <c r="O59" i="3" a="1"/>
  <c r="O59" i="3" s="1"/>
  <c r="R28" i="3"/>
  <c r="O48" i="3" a="1"/>
  <c r="O48" i="3" s="1"/>
  <c r="U54" i="3"/>
  <c r="L48" i="3" a="1"/>
  <c r="L48" i="3" s="1"/>
  <c r="N48" i="3" a="1"/>
  <c r="N48" i="3" s="1"/>
  <c r="F60" i="3" a="1"/>
  <c r="F60" i="3" s="1"/>
  <c r="M54" i="3" a="1"/>
  <c r="M54" i="3" s="1"/>
  <c r="G60" i="3" a="1"/>
  <c r="G60" i="3" s="1"/>
  <c r="F54" i="3" a="1"/>
  <c r="F54" i="3" s="1"/>
  <c r="C66" i="5" a="1"/>
  <c r="C66" i="5" s="1"/>
  <c r="C62" i="5" a="1"/>
  <c r="C62" i="5" s="1"/>
  <c r="G54" i="3" a="1"/>
  <c r="G54" i="3" s="1"/>
  <c r="P60" i="3" a="1"/>
  <c r="P60" i="3" s="1"/>
  <c r="R16" i="3"/>
  <c r="C65" i="5" a="1"/>
  <c r="C65" i="5" s="1"/>
  <c r="D65" i="5" s="1"/>
  <c r="P54" i="3" a="1"/>
  <c r="P54" i="3" s="1"/>
  <c r="U57" i="3"/>
  <c r="N57" i="3" a="1"/>
  <c r="N57" i="3" s="1"/>
  <c r="M56" i="3" a="1"/>
  <c r="M56" i="3" s="1"/>
  <c r="K48" i="3" a="1"/>
  <c r="K48" i="3" s="1"/>
  <c r="K56" i="3" a="1"/>
  <c r="K56" i="3" s="1"/>
  <c r="O54" i="3" a="1"/>
  <c r="O54" i="3" s="1"/>
  <c r="R25" i="3"/>
  <c r="F48" i="3" a="1"/>
  <c r="F48" i="3" s="1"/>
  <c r="L56" i="3" a="1"/>
  <c r="L56" i="3" s="1"/>
  <c r="L54" i="3" a="1"/>
  <c r="L54" i="3" s="1"/>
  <c r="R31" i="3"/>
  <c r="I56" i="3" a="1"/>
  <c r="I56" i="3" s="1"/>
  <c r="I48" i="3" a="1"/>
  <c r="I48" i="3" s="1"/>
  <c r="H48" i="3" a="1"/>
  <c r="H48" i="3" s="1"/>
  <c r="K54" i="3" a="1"/>
  <c r="K54" i="3" s="1"/>
  <c r="P48" i="3" a="1"/>
  <c r="P48" i="3" s="1"/>
  <c r="G56" i="3" a="1"/>
  <c r="G56" i="3" s="1"/>
  <c r="J54" i="3" a="1"/>
  <c r="J54" i="3" s="1"/>
  <c r="J56" i="3" a="1"/>
  <c r="J56" i="3" s="1"/>
  <c r="R34" i="3"/>
  <c r="C60" i="5" a="1"/>
  <c r="C60" i="5" s="1"/>
  <c r="D60" i="5" s="1"/>
  <c r="C68" i="3" a="1"/>
  <c r="C68" i="3" s="1"/>
  <c r="F68" i="3" s="1" a="1"/>
  <c r="F68" i="3" s="1"/>
  <c r="G48" i="3" a="1"/>
  <c r="G48" i="3" s="1"/>
  <c r="L51" i="3" a="1"/>
  <c r="L51" i="3" s="1"/>
  <c r="I54" i="3" a="1"/>
  <c r="I54" i="3" s="1"/>
  <c r="H56" i="3" a="1"/>
  <c r="H56" i="3" s="1"/>
  <c r="K51" i="3" a="1"/>
  <c r="K51" i="3" s="1"/>
  <c r="F56" i="3" a="1"/>
  <c r="F56" i="3" s="1"/>
  <c r="I59" i="3" a="1"/>
  <c r="I59" i="3" s="1"/>
  <c r="L57" i="3" a="1"/>
  <c r="L57" i="3" s="1"/>
  <c r="U60" i="3"/>
  <c r="C81" i="3" a="1"/>
  <c r="C81" i="3" s="1"/>
  <c r="L81" i="3" s="1" a="1"/>
  <c r="L81" i="3" s="1"/>
  <c r="H59" i="3" a="1"/>
  <c r="H59" i="3" s="1"/>
  <c r="O60" i="3" a="1"/>
  <c r="O60" i="3" s="1"/>
  <c r="L59" i="3" a="1"/>
  <c r="L59" i="3" s="1"/>
  <c r="M60" i="3" a="1"/>
  <c r="M60" i="3" s="1"/>
  <c r="O57" i="3" a="1"/>
  <c r="O57" i="3" s="1"/>
  <c r="N60" i="3" a="1"/>
  <c r="N60" i="3" s="1"/>
  <c r="I57" i="3" a="1"/>
  <c r="I57" i="3" s="1"/>
  <c r="K60" i="3" a="1"/>
  <c r="K60" i="3" s="1"/>
  <c r="P56" i="3" a="1"/>
  <c r="P56" i="3" s="1"/>
  <c r="P59" i="3" a="1"/>
  <c r="P59" i="3" s="1"/>
  <c r="G57" i="3" a="1"/>
  <c r="G57" i="3" s="1"/>
  <c r="K59" i="3" a="1"/>
  <c r="K59" i="3" s="1"/>
  <c r="L60" i="3" a="1"/>
  <c r="L60" i="3" s="1"/>
  <c r="J60" i="3" a="1"/>
  <c r="J60" i="3" s="1"/>
  <c r="U56" i="3"/>
  <c r="F59" i="3" a="1"/>
  <c r="F59" i="3" s="1"/>
  <c r="K57" i="3" a="1"/>
  <c r="K57" i="3" s="1"/>
  <c r="M57" i="3" a="1"/>
  <c r="M57" i="3" s="1"/>
  <c r="J59" i="3" a="1"/>
  <c r="J59" i="3" s="1"/>
  <c r="C63" i="3" a="1"/>
  <c r="C63" i="3" s="1"/>
  <c r="H63" i="3" s="1" a="1"/>
  <c r="H63" i="3" s="1"/>
  <c r="I60" i="3" a="1"/>
  <c r="I60" i="3" s="1"/>
  <c r="C50" i="5" a="1"/>
  <c r="C50" i="5" s="1"/>
  <c r="D50" i="5" s="1"/>
  <c r="O56" i="3" a="1"/>
  <c r="O56" i="3" s="1"/>
  <c r="G59" i="3" a="1"/>
  <c r="G59" i="3" s="1"/>
  <c r="F57" i="3" a="1"/>
  <c r="F57" i="3" s="1"/>
  <c r="R19" i="3"/>
  <c r="C80" i="3" a="1"/>
  <c r="C80" i="3" s="1"/>
  <c r="U80" i="3" s="1"/>
  <c r="O51" i="3" a="1"/>
  <c r="O51" i="3" s="1"/>
  <c r="C71" i="3" a="1"/>
  <c r="C71" i="3" s="1"/>
  <c r="M71" i="3" s="1" a="1"/>
  <c r="M71" i="3" s="1"/>
  <c r="AE71" i="3" s="1"/>
  <c r="C66" i="3" a="1"/>
  <c r="C66" i="3" s="1"/>
  <c r="M66" i="3" s="1" a="1"/>
  <c r="M66" i="3" s="1"/>
  <c r="C76" i="3" a="1"/>
  <c r="C76" i="3" s="1"/>
  <c r="H76" i="3" s="1" a="1"/>
  <c r="H76" i="3" s="1"/>
  <c r="N51" i="3" a="1"/>
  <c r="N51" i="3" s="1"/>
  <c r="C75" i="3" a="1"/>
  <c r="C75" i="3" s="1"/>
  <c r="F75" i="3" s="1" a="1"/>
  <c r="F75" i="3" s="1"/>
  <c r="M51" i="3" a="1"/>
  <c r="M51" i="3" s="1"/>
  <c r="C74" i="3" a="1"/>
  <c r="C74" i="3" s="1"/>
  <c r="G74" i="3" s="1" a="1"/>
  <c r="G74" i="3" s="1"/>
  <c r="C69" i="3" a="1"/>
  <c r="C69" i="3" s="1"/>
  <c r="M69" i="3" s="1" a="1"/>
  <c r="M69" i="3" s="1"/>
  <c r="C77" i="3" a="1"/>
  <c r="C77" i="3" s="1"/>
  <c r="M77" i="3" s="1" a="1"/>
  <c r="M77" i="3" s="1"/>
  <c r="H51" i="3" a="1"/>
  <c r="H51" i="3" s="1"/>
  <c r="P51" i="3" a="1"/>
  <c r="P51" i="3" s="1"/>
  <c r="C67" i="3" a="1"/>
  <c r="C67" i="3" s="1"/>
  <c r="O67" i="3" s="1" a="1"/>
  <c r="O67" i="3" s="1"/>
  <c r="C72" i="3" a="1"/>
  <c r="C72" i="3" s="1"/>
  <c r="H72" i="3" s="1" a="1"/>
  <c r="H72" i="3" s="1"/>
  <c r="F51" i="3" a="1"/>
  <c r="F51" i="3" s="1"/>
  <c r="C78" i="3" a="1"/>
  <c r="C78" i="3" s="1"/>
  <c r="K78" i="3" s="1" a="1"/>
  <c r="K78" i="3" s="1"/>
  <c r="C64" i="3" a="1"/>
  <c r="C64" i="3" s="1"/>
  <c r="J64" i="3" s="1" a="1"/>
  <c r="J64" i="3" s="1"/>
  <c r="G51" i="3" a="1"/>
  <c r="G51" i="3" s="1"/>
  <c r="C57" i="5" a="1"/>
  <c r="C57" i="5" s="1"/>
  <c r="D57" i="5" s="1"/>
  <c r="U51" i="3"/>
  <c r="J51" i="3" a="1"/>
  <c r="J51" i="3" s="1"/>
  <c r="AG74" i="107"/>
  <c r="AH38" i="107"/>
  <c r="T65" i="107"/>
  <c r="S29" i="107"/>
  <c r="X65" i="107"/>
  <c r="Y29" i="107"/>
  <c r="AI80" i="107"/>
  <c r="AH44" i="107"/>
  <c r="S64" i="107"/>
  <c r="R28" i="107"/>
  <c r="AJ77" i="107"/>
  <c r="AK41" i="107"/>
  <c r="AK77" i="107" s="1"/>
  <c r="C73" i="3" a="1"/>
  <c r="C73" i="3" s="1"/>
  <c r="I73" i="3" s="1" a="1"/>
  <c r="I73" i="3" s="1"/>
  <c r="I55" i="107"/>
  <c r="H19" i="107"/>
  <c r="H55" i="107" s="1"/>
  <c r="V67" i="107"/>
  <c r="U31" i="107"/>
  <c r="AC70" i="107"/>
  <c r="AD34" i="107"/>
  <c r="AC75" i="107"/>
  <c r="AB39" i="107"/>
  <c r="P57" i="107"/>
  <c r="Q21" i="107"/>
  <c r="T66" i="107"/>
  <c r="S30" i="107"/>
  <c r="Y70" i="107"/>
  <c r="X34" i="107"/>
  <c r="AJ76" i="107"/>
  <c r="AK40" i="107"/>
  <c r="AK76" i="107" s="1"/>
  <c r="Z67" i="107"/>
  <c r="AA31" i="107"/>
  <c r="O61" i="107"/>
  <c r="N25" i="107"/>
  <c r="V63" i="107"/>
  <c r="W27" i="107"/>
  <c r="M54" i="107"/>
  <c r="N18" i="107"/>
  <c r="X64" i="107"/>
  <c r="Y28" i="107"/>
  <c r="AA68" i="107"/>
  <c r="AB32" i="107"/>
  <c r="T61" i="107"/>
  <c r="U25" i="107"/>
  <c r="C56" i="5" a="1"/>
  <c r="C56" i="5" s="1"/>
  <c r="D56" i="5" s="1"/>
  <c r="Z71" i="107"/>
  <c r="Y35" i="107"/>
  <c r="N55" i="107"/>
  <c r="O19" i="107"/>
  <c r="AG79" i="107"/>
  <c r="AF43" i="107"/>
  <c r="AB69" i="107"/>
  <c r="AC33" i="107"/>
  <c r="AA72" i="107"/>
  <c r="Z36" i="107"/>
  <c r="M58" i="107"/>
  <c r="L22" i="107"/>
  <c r="T60" i="107"/>
  <c r="U24" i="107"/>
  <c r="Z66" i="107"/>
  <c r="AA30" i="107"/>
  <c r="C67" i="5" a="1"/>
  <c r="C67" i="5" s="1"/>
  <c r="D67" i="5" s="1"/>
  <c r="AG78" i="107"/>
  <c r="AF42" i="107"/>
  <c r="S59" i="107"/>
  <c r="T23" i="107"/>
  <c r="K56" i="107"/>
  <c r="J20" i="107"/>
  <c r="N60" i="107"/>
  <c r="M24" i="107"/>
  <c r="N59" i="107"/>
  <c r="M23" i="107"/>
  <c r="AF73" i="107"/>
  <c r="AG37" i="107"/>
  <c r="M53" i="107"/>
  <c r="N17" i="107"/>
  <c r="X69" i="107"/>
  <c r="W33" i="107"/>
  <c r="AH75" i="107"/>
  <c r="AI39" i="107"/>
  <c r="AE77" i="107"/>
  <c r="AD41" i="107"/>
  <c r="AA74" i="107"/>
  <c r="Z38" i="107"/>
  <c r="P62" i="107"/>
  <c r="O26" i="107"/>
  <c r="R58" i="107"/>
  <c r="S22" i="107"/>
  <c r="AB73" i="107"/>
  <c r="AA37" i="107"/>
  <c r="J51" i="107"/>
  <c r="K15" i="107"/>
  <c r="V62" i="107"/>
  <c r="W26" i="107"/>
  <c r="AD71" i="107"/>
  <c r="AE35" i="107"/>
  <c r="C49" i="5" a="1"/>
  <c r="C49" i="5" s="1"/>
  <c r="C54" i="5" a="1"/>
  <c r="C54" i="5" s="1"/>
  <c r="D54" i="5" s="1"/>
  <c r="L57" i="107"/>
  <c r="K21" i="107"/>
  <c r="P56" i="107"/>
  <c r="Q20" i="107"/>
  <c r="AF72" i="107"/>
  <c r="AG36" i="107"/>
  <c r="R63" i="107"/>
  <c r="Q27" i="107"/>
  <c r="W68" i="107"/>
  <c r="V32" i="107"/>
  <c r="C46" i="5" a="1"/>
  <c r="C46" i="5" s="1"/>
  <c r="D46" i="5" s="1"/>
  <c r="C51" i="5" a="1"/>
  <c r="C51" i="5" s="1"/>
  <c r="D51" i="5" s="1"/>
  <c r="AE76" i="107"/>
  <c r="AD40" i="107"/>
  <c r="L52" i="107"/>
  <c r="M16" i="107"/>
  <c r="C71" i="5" a="1"/>
  <c r="C71" i="5" s="1"/>
  <c r="D71" i="5" s="1"/>
  <c r="C64" i="5" a="1"/>
  <c r="C64" i="5" s="1"/>
  <c r="D64" i="5" s="1"/>
  <c r="C53" i="5" a="1"/>
  <c r="C53" i="5" s="1"/>
  <c r="D53" i="5" s="1"/>
  <c r="C59" i="5" a="1"/>
  <c r="C59" i="5" s="1"/>
  <c r="D59" i="5" s="1"/>
  <c r="C85" i="3" a="1"/>
  <c r="C85" i="3" s="1"/>
  <c r="F85" i="3" s="1" a="1"/>
  <c r="F85" i="3" s="1"/>
  <c r="C83" i="3" a="1"/>
  <c r="C83" i="3" s="1"/>
  <c r="G83" i="3" s="1" a="1"/>
  <c r="G83" i="3" s="1"/>
  <c r="G35" i="34" s="1"/>
  <c r="C82" i="3" a="1"/>
  <c r="C82" i="3" s="1"/>
  <c r="O82" i="3" s="1" a="1"/>
  <c r="O82" i="3" s="1"/>
  <c r="F43" i="92"/>
  <c r="F25" i="92"/>
  <c r="F51" i="92" s="1"/>
  <c r="C86" i="3" a="1"/>
  <c r="C86" i="3" s="1"/>
  <c r="J86" i="3" s="1" a="1"/>
  <c r="J86" i="3" s="1"/>
  <c r="AB60" i="3" s="1"/>
  <c r="C33" i="93"/>
  <c r="C25" i="93"/>
  <c r="C18" i="93"/>
  <c r="C41" i="93"/>
  <c r="D38" i="5"/>
  <c r="R30" i="3"/>
  <c r="R17" i="3"/>
  <c r="R35" i="3"/>
  <c r="D25" i="5"/>
  <c r="D22" i="5"/>
  <c r="R27" i="3"/>
  <c r="B72" i="5"/>
  <c r="C91" i="5" s="1" a="1"/>
  <c r="C91" i="5" s="1"/>
  <c r="D39" i="5"/>
  <c r="D28" i="5"/>
  <c r="D44" i="5"/>
  <c r="D41" i="5"/>
  <c r="R13" i="3"/>
  <c r="G47" i="3" a="1"/>
  <c r="G47" i="3" s="1"/>
  <c r="H47" i="3" a="1"/>
  <c r="H47" i="3" s="1"/>
  <c r="F47" i="3" a="1"/>
  <c r="F47" i="3" s="1"/>
  <c r="P47" i="3" a="1"/>
  <c r="P47" i="3" s="1"/>
  <c r="I47" i="3" a="1"/>
  <c r="I47" i="3" s="1"/>
  <c r="J47" i="3" a="1"/>
  <c r="J47" i="3" s="1"/>
  <c r="K47" i="3" a="1"/>
  <c r="K47" i="3" s="1"/>
  <c r="L47" i="3" a="1"/>
  <c r="L47" i="3" s="1"/>
  <c r="O47" i="3" a="1"/>
  <c r="O47" i="3" s="1"/>
  <c r="N47" i="3" a="1"/>
  <c r="N47" i="3" s="1"/>
  <c r="M47" i="3" a="1"/>
  <c r="M47" i="3" s="1"/>
  <c r="U47" i="3"/>
  <c r="P45" i="3" a="1"/>
  <c r="P45" i="3" s="1"/>
  <c r="F45" i="3" a="1"/>
  <c r="F45" i="3" s="1"/>
  <c r="K45" i="3" a="1"/>
  <c r="K45" i="3" s="1"/>
  <c r="L45" i="3" a="1"/>
  <c r="L45" i="3" s="1"/>
  <c r="H45" i="3" a="1"/>
  <c r="H45" i="3" s="1"/>
  <c r="I45" i="3" a="1"/>
  <c r="I45" i="3" s="1"/>
  <c r="J45" i="3" a="1"/>
  <c r="J45" i="3" s="1"/>
  <c r="G45" i="3" a="1"/>
  <c r="G45" i="3" s="1"/>
  <c r="O45" i="3" a="1"/>
  <c r="O45" i="3" s="1"/>
  <c r="N45" i="3" a="1"/>
  <c r="N45" i="3" s="1"/>
  <c r="M45" i="3" a="1"/>
  <c r="M45" i="3" s="1"/>
  <c r="U45" i="3"/>
  <c r="F49" i="3" a="1"/>
  <c r="F49" i="3" s="1"/>
  <c r="G49" i="3" a="1"/>
  <c r="G49" i="3" s="1"/>
  <c r="P49" i="3" a="1"/>
  <c r="P49" i="3" s="1"/>
  <c r="H49" i="3" a="1"/>
  <c r="H49" i="3" s="1"/>
  <c r="I49" i="3" a="1"/>
  <c r="I49" i="3" s="1"/>
  <c r="J49" i="3" a="1"/>
  <c r="J49" i="3" s="1"/>
  <c r="L49" i="3" a="1"/>
  <c r="L49" i="3" s="1"/>
  <c r="M49" i="3" a="1"/>
  <c r="M49" i="3" s="1"/>
  <c r="K49" i="3" a="1"/>
  <c r="K49" i="3" s="1"/>
  <c r="O49" i="3" a="1"/>
  <c r="O49" i="3" s="1"/>
  <c r="N49" i="3" a="1"/>
  <c r="N49" i="3" s="1"/>
  <c r="U49" i="3"/>
  <c r="R24" i="3"/>
  <c r="R32" i="3"/>
  <c r="C44" i="25"/>
  <c r="C51" i="25" s="1"/>
  <c r="C34" i="25"/>
  <c r="C55" i="5" a="1"/>
  <c r="C55" i="5" s="1"/>
  <c r="D33" i="5"/>
  <c r="D21" i="5"/>
  <c r="P44" i="3" a="1"/>
  <c r="P44" i="3" s="1"/>
  <c r="F44" i="3" a="1"/>
  <c r="F44" i="3" s="1"/>
  <c r="G44" i="3" a="1"/>
  <c r="G44" i="3" s="1"/>
  <c r="L44" i="3" a="1"/>
  <c r="L44" i="3" s="1"/>
  <c r="J44" i="3" a="1"/>
  <c r="J44" i="3" s="1"/>
  <c r="H44" i="3" a="1"/>
  <c r="H44" i="3" s="1"/>
  <c r="M44" i="3" a="1"/>
  <c r="M44" i="3" s="1"/>
  <c r="I44" i="3" a="1"/>
  <c r="I44" i="3" s="1"/>
  <c r="N44" i="3" a="1"/>
  <c r="N44" i="3" s="1"/>
  <c r="K44" i="3" a="1"/>
  <c r="K44" i="3" s="1"/>
  <c r="O44" i="3" a="1"/>
  <c r="O44" i="3" s="1"/>
  <c r="U44" i="3"/>
  <c r="D29" i="92"/>
  <c r="D55" i="92" s="1"/>
  <c r="D47" i="92"/>
  <c r="H83" i="3" a="1"/>
  <c r="H83" i="3" s="1"/>
  <c r="Z83" i="3" s="1"/>
  <c r="P81" i="3" a="1"/>
  <c r="P81" i="3" s="1"/>
  <c r="F81" i="3" a="1"/>
  <c r="F81" i="3" s="1"/>
  <c r="K81" i="3" a="1"/>
  <c r="K81" i="3" s="1"/>
  <c r="J81" i="3" a="1"/>
  <c r="J81" i="3" s="1"/>
  <c r="M81" i="3" a="1"/>
  <c r="M81" i="3" s="1"/>
  <c r="U81" i="3"/>
  <c r="F53" i="3" a="1"/>
  <c r="F53" i="3" s="1"/>
  <c r="P53" i="3" a="1"/>
  <c r="P53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G53" i="3" a="1"/>
  <c r="G53" i="3" s="1"/>
  <c r="O53" i="3" a="1"/>
  <c r="O53" i="3" s="1"/>
  <c r="U53" i="3"/>
  <c r="C70" i="3" a="1"/>
  <c r="C70" i="3" s="1"/>
  <c r="R29" i="3"/>
  <c r="U68" i="3"/>
  <c r="D31" i="5"/>
  <c r="D37" i="5"/>
  <c r="D24" i="5"/>
  <c r="C69" i="5" a="1"/>
  <c r="C69" i="5" s="1"/>
  <c r="P42" i="3" a="1"/>
  <c r="P42" i="3" s="1"/>
  <c r="G42" i="3" a="1"/>
  <c r="G42" i="3" s="1"/>
  <c r="F42" i="3" a="1"/>
  <c r="F42" i="3" s="1"/>
  <c r="H42" i="3" a="1"/>
  <c r="H42" i="3" s="1"/>
  <c r="I42" i="3" a="1"/>
  <c r="I42" i="3" s="1"/>
  <c r="J42" i="3" a="1"/>
  <c r="J42" i="3" s="1"/>
  <c r="L42" i="3" a="1"/>
  <c r="L42" i="3" s="1"/>
  <c r="K42" i="3" a="1"/>
  <c r="K42" i="3" s="1"/>
  <c r="M42" i="3" a="1"/>
  <c r="M42" i="3" s="1"/>
  <c r="O42" i="3" a="1"/>
  <c r="O42" i="3" s="1"/>
  <c r="N42" i="3" a="1"/>
  <c r="N42" i="3" s="1"/>
  <c r="U42" i="3"/>
  <c r="L85" i="3" a="1"/>
  <c r="L85" i="3" s="1"/>
  <c r="F55" i="3" a="1"/>
  <c r="F55" i="3" s="1"/>
  <c r="P55" i="3" a="1"/>
  <c r="P55" i="3" s="1"/>
  <c r="G55" i="3" a="1"/>
  <c r="G55" i="3" s="1"/>
  <c r="H55" i="3" a="1"/>
  <c r="H55" i="3" s="1"/>
  <c r="I55" i="3" a="1"/>
  <c r="I55" i="3" s="1"/>
  <c r="K55" i="3" a="1"/>
  <c r="K55" i="3" s="1"/>
  <c r="L55" i="3" a="1"/>
  <c r="L55" i="3" s="1"/>
  <c r="J55" i="3" a="1"/>
  <c r="J55" i="3" s="1"/>
  <c r="N55" i="3" a="1"/>
  <c r="N55" i="3" s="1"/>
  <c r="M55" i="3" a="1"/>
  <c r="M55" i="3" s="1"/>
  <c r="O55" i="3" a="1"/>
  <c r="O55" i="3" s="1"/>
  <c r="U55" i="3"/>
  <c r="D27" i="5"/>
  <c r="D62" i="5"/>
  <c r="G39" i="3" a="1"/>
  <c r="G39" i="3" s="1"/>
  <c r="H39" i="3" a="1"/>
  <c r="H39" i="3" s="1"/>
  <c r="F39" i="3" a="1"/>
  <c r="F39" i="3" s="1"/>
  <c r="P39" i="3" a="1"/>
  <c r="P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I39" i="3" a="1"/>
  <c r="I39" i="3" s="1"/>
  <c r="U39" i="3"/>
  <c r="J82" i="3" a="1"/>
  <c r="J82" i="3" s="1"/>
  <c r="K82" i="3" a="1"/>
  <c r="K82" i="3" s="1"/>
  <c r="AC82" i="3" s="1"/>
  <c r="G82" i="3" a="1"/>
  <c r="G82" i="3" s="1"/>
  <c r="Y30" i="3" s="1"/>
  <c r="H82" i="3" a="1"/>
  <c r="H82" i="3" s="1"/>
  <c r="I82" i="3" a="1"/>
  <c r="I82" i="3" s="1"/>
  <c r="N82" i="3" a="1"/>
  <c r="N82" i="3" s="1"/>
  <c r="AF56" i="3" s="1"/>
  <c r="F40" i="3" a="1"/>
  <c r="F40" i="3" s="1"/>
  <c r="G40" i="3" a="1"/>
  <c r="G40" i="3" s="1"/>
  <c r="P40" i="3" a="1"/>
  <c r="P40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N40" i="3" a="1"/>
  <c r="N40" i="3" s="1"/>
  <c r="M40" i="3" a="1"/>
  <c r="M40" i="3" s="1"/>
  <c r="O40" i="3" a="1"/>
  <c r="O40" i="3" s="1"/>
  <c r="U40" i="3"/>
  <c r="N75" i="3" a="1"/>
  <c r="N75" i="3" s="1"/>
  <c r="O75" i="3" a="1"/>
  <c r="O75" i="3" s="1"/>
  <c r="I75" i="3" a="1"/>
  <c r="I75" i="3" s="1"/>
  <c r="F37" i="3" a="1"/>
  <c r="F37" i="3" s="1"/>
  <c r="G37" i="3" a="1"/>
  <c r="G37" i="3" s="1"/>
  <c r="P37" i="3" a="1"/>
  <c r="P37" i="3" s="1"/>
  <c r="I37" i="3" a="1"/>
  <c r="I37" i="3" s="1"/>
  <c r="H37" i="3" a="1"/>
  <c r="H37" i="3" s="1"/>
  <c r="J37" i="3" a="1"/>
  <c r="J37" i="3" s="1"/>
  <c r="K37" i="3" a="1"/>
  <c r="K37" i="3" s="1"/>
  <c r="M37" i="3" a="1"/>
  <c r="M37" i="3" s="1"/>
  <c r="L37" i="3" a="1"/>
  <c r="L37" i="3" s="1"/>
  <c r="N37" i="3" a="1"/>
  <c r="N37" i="3" s="1"/>
  <c r="O37" i="3" a="1"/>
  <c r="O37" i="3" s="1"/>
  <c r="U37" i="3"/>
  <c r="D49" i="5"/>
  <c r="D30" i="5"/>
  <c r="D45" i="5"/>
  <c r="D43" i="5"/>
  <c r="E149" i="5"/>
  <c r="B175" i="5"/>
  <c r="F61" i="3" a="1"/>
  <c r="F61" i="3" s="1"/>
  <c r="G61" i="3" a="1"/>
  <c r="G61" i="3" s="1"/>
  <c r="P61" i="3" a="1"/>
  <c r="P61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O61" i="3" a="1"/>
  <c r="O61" i="3" s="1"/>
  <c r="N61" i="3" a="1"/>
  <c r="N61" i="3" s="1"/>
  <c r="M61" i="3" a="1"/>
  <c r="M61" i="3" s="1"/>
  <c r="U61" i="3"/>
  <c r="R23" i="3"/>
  <c r="R18" i="3"/>
  <c r="R12" i="3"/>
  <c r="D66" i="5"/>
  <c r="D36" i="5"/>
  <c r="D35" i="5"/>
  <c r="D23" i="5"/>
  <c r="R10" i="3"/>
  <c r="F52" i="3" a="1"/>
  <c r="F52" i="3" s="1"/>
  <c r="G52" i="3" a="1"/>
  <c r="G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H52" i="3" a="1"/>
  <c r="H52" i="3" s="1"/>
  <c r="O52" i="3" a="1"/>
  <c r="O52" i="3" s="1"/>
  <c r="P52" i="3" a="1"/>
  <c r="P52" i="3" s="1"/>
  <c r="U52" i="3"/>
  <c r="F46" i="3" a="1"/>
  <c r="F46" i="3" s="1"/>
  <c r="P46" i="3" a="1"/>
  <c r="P46" i="3" s="1"/>
  <c r="J46" i="3" a="1"/>
  <c r="J46" i="3" s="1"/>
  <c r="K46" i="3" a="1"/>
  <c r="K46" i="3" s="1"/>
  <c r="L46" i="3" a="1"/>
  <c r="L46" i="3" s="1"/>
  <c r="G46" i="3" a="1"/>
  <c r="G46" i="3" s="1"/>
  <c r="H46" i="3" a="1"/>
  <c r="H46" i="3" s="1"/>
  <c r="N46" i="3" a="1"/>
  <c r="N46" i="3" s="1"/>
  <c r="I46" i="3" a="1"/>
  <c r="I46" i="3" s="1"/>
  <c r="O46" i="3" a="1"/>
  <c r="O46" i="3" s="1"/>
  <c r="M46" i="3" a="1"/>
  <c r="M46" i="3" s="1"/>
  <c r="U46" i="3"/>
  <c r="R33" i="3"/>
  <c r="D26" i="5"/>
  <c r="U73" i="3"/>
  <c r="T62" i="3"/>
  <c r="C65" i="3" a="1"/>
  <c r="C65" i="3" s="1"/>
  <c r="C84" i="3" a="1"/>
  <c r="C84" i="3" s="1"/>
  <c r="C87" i="3" a="1"/>
  <c r="C87" i="3" s="1"/>
  <c r="C62" i="3" a="1"/>
  <c r="C62" i="3" s="1"/>
  <c r="C48" i="5" a="1"/>
  <c r="C48" i="5" s="1"/>
  <c r="C63" i="5" a="1"/>
  <c r="C63" i="5" s="1"/>
  <c r="D20" i="5"/>
  <c r="C61" i="5" a="1"/>
  <c r="C61" i="5" s="1"/>
  <c r="C68" i="5" a="1"/>
  <c r="C68" i="5" s="1"/>
  <c r="F41" i="3" a="1"/>
  <c r="F41" i="3" s="1"/>
  <c r="P41" i="3" a="1"/>
  <c r="P41" i="3" s="1"/>
  <c r="H41" i="3" a="1"/>
  <c r="H41" i="3" s="1"/>
  <c r="I41" i="3" a="1"/>
  <c r="I41" i="3" s="1"/>
  <c r="G41" i="3" a="1"/>
  <c r="G41" i="3" s="1"/>
  <c r="J41" i="3" a="1"/>
  <c r="J41" i="3" s="1"/>
  <c r="K41" i="3" a="1"/>
  <c r="K41" i="3" s="1"/>
  <c r="N41" i="3" a="1"/>
  <c r="N41" i="3" s="1"/>
  <c r="M41" i="3" a="1"/>
  <c r="M41" i="3" s="1"/>
  <c r="L41" i="3" a="1"/>
  <c r="L41" i="3" s="1"/>
  <c r="O41" i="3" a="1"/>
  <c r="O41" i="3" s="1"/>
  <c r="U41" i="3"/>
  <c r="R11" i="3"/>
  <c r="R14" i="3"/>
  <c r="F58" i="3" a="1"/>
  <c r="F58" i="3" s="1"/>
  <c r="P58" i="3" a="1"/>
  <c r="P58" i="3" s="1"/>
  <c r="J58" i="3" a="1"/>
  <c r="J58" i="3" s="1"/>
  <c r="K58" i="3" a="1"/>
  <c r="K58" i="3" s="1"/>
  <c r="G58" i="3" a="1"/>
  <c r="G58" i="3" s="1"/>
  <c r="L58" i="3" a="1"/>
  <c r="L58" i="3" s="1"/>
  <c r="H58" i="3" a="1"/>
  <c r="H58" i="3" s="1"/>
  <c r="I58" i="3" a="1"/>
  <c r="I58" i="3" s="1"/>
  <c r="M58" i="3" a="1"/>
  <c r="M58" i="3" s="1"/>
  <c r="N58" i="3" a="1"/>
  <c r="N58" i="3" s="1"/>
  <c r="O58" i="3" a="1"/>
  <c r="O58" i="3" s="1"/>
  <c r="U58" i="3"/>
  <c r="R15" i="3"/>
  <c r="R26" i="3"/>
  <c r="R21" i="3"/>
  <c r="G38" i="3" a="1"/>
  <c r="G38" i="3" s="1"/>
  <c r="F38" i="3" a="1"/>
  <c r="F38" i="3" s="1"/>
  <c r="P38" i="3" a="1"/>
  <c r="P38" i="3" s="1"/>
  <c r="I38" i="3" a="1"/>
  <c r="I38" i="3" s="1"/>
  <c r="K38" i="3" a="1"/>
  <c r="K38" i="3" s="1"/>
  <c r="L38" i="3" a="1"/>
  <c r="L38" i="3" s="1"/>
  <c r="M38" i="3" a="1"/>
  <c r="M38" i="3" s="1"/>
  <c r="O38" i="3" a="1"/>
  <c r="O38" i="3" s="1"/>
  <c r="H38" i="3" a="1"/>
  <c r="H38" i="3" s="1"/>
  <c r="J38" i="3" a="1"/>
  <c r="J38" i="3" s="1"/>
  <c r="N38" i="3" a="1"/>
  <c r="N38" i="3" s="1"/>
  <c r="U38" i="3"/>
  <c r="D40" i="5"/>
  <c r="D29" i="5"/>
  <c r="D52" i="5"/>
  <c r="D42" i="5"/>
  <c r="K77" i="3" a="1"/>
  <c r="K77" i="3" s="1"/>
  <c r="O77" i="3" a="1"/>
  <c r="O77" i="3" s="1"/>
  <c r="F43" i="3" a="1"/>
  <c r="F43" i="3" s="1"/>
  <c r="P43" i="3" a="1"/>
  <c r="P43" i="3" s="1"/>
  <c r="G43" i="3" a="1"/>
  <c r="G43" i="3" s="1"/>
  <c r="H43" i="3" a="1"/>
  <c r="H43" i="3" s="1"/>
  <c r="I43" i="3" a="1"/>
  <c r="I43" i="3" s="1"/>
  <c r="K43" i="3" a="1"/>
  <c r="K43" i="3" s="1"/>
  <c r="J43" i="3" a="1"/>
  <c r="J43" i="3" s="1"/>
  <c r="N43" i="3" a="1"/>
  <c r="N43" i="3" s="1"/>
  <c r="L43" i="3" a="1"/>
  <c r="L43" i="3" s="1"/>
  <c r="O43" i="3" a="1"/>
  <c r="O43" i="3" s="1"/>
  <c r="M43" i="3" a="1"/>
  <c r="M43" i="3" s="1"/>
  <c r="U43" i="3"/>
  <c r="AK14" i="62"/>
  <c r="AK17" i="62" s="1"/>
  <c r="R20" i="3"/>
  <c r="O74" i="3" a="1"/>
  <c r="O74" i="3" s="1"/>
  <c r="O26" i="34" s="1"/>
  <c r="L69" i="3" a="1"/>
  <c r="L69" i="3" s="1"/>
  <c r="G69" i="3" a="1"/>
  <c r="G69" i="3" s="1"/>
  <c r="I69" i="3" a="1"/>
  <c r="I69" i="3" s="1"/>
  <c r="H69" i="3" a="1"/>
  <c r="H69" i="3" s="1"/>
  <c r="J69" i="3" a="1"/>
  <c r="J69" i="3" s="1"/>
  <c r="O69" i="3" a="1"/>
  <c r="O69" i="3" s="1"/>
  <c r="C47" i="5" a="1"/>
  <c r="C47" i="5" s="1"/>
  <c r="D34" i="5"/>
  <c r="C70" i="5" a="1"/>
  <c r="C70" i="5" s="1"/>
  <c r="D32" i="5"/>
  <c r="C58" i="5" a="1"/>
  <c r="C58" i="5" s="1"/>
  <c r="H36" i="3" a="1"/>
  <c r="H36" i="3" s="1"/>
  <c r="P36" i="3" a="1"/>
  <c r="P36" i="3" s="1"/>
  <c r="F36" i="3" a="1"/>
  <c r="F36" i="3" s="1"/>
  <c r="J36" i="3" a="1"/>
  <c r="J36" i="3" s="1"/>
  <c r="K36" i="3" a="1"/>
  <c r="K36" i="3" s="1"/>
  <c r="L36" i="3" a="1"/>
  <c r="L36" i="3" s="1"/>
  <c r="G36" i="3" a="1"/>
  <c r="G36" i="3" s="1"/>
  <c r="I36" i="3" a="1"/>
  <c r="I36" i="3" s="1"/>
  <c r="N36" i="3" a="1"/>
  <c r="N36" i="3" s="1"/>
  <c r="M36" i="3" a="1"/>
  <c r="M36" i="3" s="1"/>
  <c r="O36" i="3" a="1"/>
  <c r="O36" i="3" s="1"/>
  <c r="U36" i="3"/>
  <c r="G50" i="3" a="1"/>
  <c r="G50" i="3" s="1"/>
  <c r="F50" i="3" a="1"/>
  <c r="F50" i="3" s="1"/>
  <c r="P50" i="3" a="1"/>
  <c r="P50" i="3" s="1"/>
  <c r="H50" i="3" a="1"/>
  <c r="H50" i="3" s="1"/>
  <c r="I50" i="3" a="1"/>
  <c r="I50" i="3" s="1"/>
  <c r="K50" i="3" a="1"/>
  <c r="K50" i="3" s="1"/>
  <c r="L50" i="3" a="1"/>
  <c r="L50" i="3" s="1"/>
  <c r="M50" i="3" a="1"/>
  <c r="M50" i="3" s="1"/>
  <c r="O50" i="3" a="1"/>
  <c r="O50" i="3" s="1"/>
  <c r="J50" i="3" a="1"/>
  <c r="J50" i="3" s="1"/>
  <c r="N50" i="3" a="1"/>
  <c r="N50" i="3" s="1"/>
  <c r="U50" i="3"/>
  <c r="C79" i="3" a="1"/>
  <c r="C79" i="3" s="1"/>
  <c r="E79" i="112" l="1"/>
  <c r="E119" i="112"/>
  <c r="E80" i="112"/>
  <c r="K19" i="113" s="1"/>
  <c r="L19" i="113" s="1"/>
  <c r="E40" i="112"/>
  <c r="E101" i="112"/>
  <c r="E81" i="112"/>
  <c r="E100" i="112"/>
  <c r="E120" i="112"/>
  <c r="K25" i="113" s="1"/>
  <c r="L25" i="113" s="1"/>
  <c r="E61" i="112"/>
  <c r="E99" i="112"/>
  <c r="E19" i="112"/>
  <c r="E60" i="112"/>
  <c r="K16" i="113" s="1"/>
  <c r="L16" i="113" s="1"/>
  <c r="E41" i="112"/>
  <c r="E21" i="112"/>
  <c r="E39" i="112"/>
  <c r="E59" i="112"/>
  <c r="E121" i="112"/>
  <c r="E20" i="112"/>
  <c r="I78" i="3" a="1"/>
  <c r="I78" i="3" s="1"/>
  <c r="M76" i="3" a="1"/>
  <c r="M76" i="3" s="1"/>
  <c r="P63" i="3" a="1"/>
  <c r="P63" i="3" s="1"/>
  <c r="J78" i="3" a="1"/>
  <c r="J78" i="3" s="1"/>
  <c r="L76" i="3" a="1"/>
  <c r="L76" i="3" s="1"/>
  <c r="R48" i="3"/>
  <c r="P77" i="3" a="1"/>
  <c r="P77" i="3" s="1"/>
  <c r="P29" i="34" s="1"/>
  <c r="N73" i="3" a="1"/>
  <c r="N73" i="3" s="1"/>
  <c r="AF73" i="3" s="1"/>
  <c r="AG82" i="3"/>
  <c r="F63" i="3" a="1"/>
  <c r="F63" i="3" s="1"/>
  <c r="X11" i="3" s="1"/>
  <c r="R54" i="3"/>
  <c r="U63" i="3"/>
  <c r="J77" i="3" a="1"/>
  <c r="J77" i="3" s="1"/>
  <c r="AB51" i="3" s="1"/>
  <c r="M63" i="3" a="1"/>
  <c r="M63" i="3" s="1"/>
  <c r="M15" i="34" s="1"/>
  <c r="G63" i="3" a="1"/>
  <c r="G63" i="3" s="1"/>
  <c r="Y37" i="3" s="1"/>
  <c r="R59" i="3"/>
  <c r="AC77" i="3"/>
  <c r="G77" i="3" a="1"/>
  <c r="G77" i="3" s="1"/>
  <c r="Y51" i="3" s="1"/>
  <c r="AB56" i="3"/>
  <c r="K63" i="3" a="1"/>
  <c r="K63" i="3" s="1"/>
  <c r="K15" i="34" s="1"/>
  <c r="I77" i="3" a="1"/>
  <c r="I77" i="3" s="1"/>
  <c r="AA77" i="3" s="1"/>
  <c r="M73" i="3" a="1"/>
  <c r="M73" i="3" s="1"/>
  <c r="M25" i="34" s="1"/>
  <c r="H64" i="3" a="1"/>
  <c r="H64" i="3" s="1"/>
  <c r="Z38" i="3" s="1"/>
  <c r="N67" i="3" a="1"/>
  <c r="N67" i="3" s="1"/>
  <c r="N19" i="34" s="1"/>
  <c r="F69" i="3" a="1"/>
  <c r="F69" i="3" s="1"/>
  <c r="X17" i="3" s="1"/>
  <c r="M67" i="3" a="1"/>
  <c r="M67" i="3" s="1"/>
  <c r="M19" i="34" s="1"/>
  <c r="N63" i="3" a="1"/>
  <c r="N63" i="3" s="1"/>
  <c r="AF37" i="3" s="1"/>
  <c r="P68" i="3" a="1"/>
  <c r="P68" i="3" s="1"/>
  <c r="P20" i="34" s="1"/>
  <c r="F64" i="3" a="1"/>
  <c r="F64" i="3" s="1"/>
  <c r="X64" i="3" s="1"/>
  <c r="O68" i="3" a="1"/>
  <c r="O68" i="3" s="1"/>
  <c r="O20" i="34" s="1"/>
  <c r="U64" i="3"/>
  <c r="O63" i="3" a="1"/>
  <c r="O63" i="3" s="1"/>
  <c r="AG11" i="3" s="1"/>
  <c r="N68" i="3" a="1"/>
  <c r="N68" i="3" s="1"/>
  <c r="AF68" i="3" s="1"/>
  <c r="K69" i="3" a="1"/>
  <c r="K69" i="3" s="1"/>
  <c r="AC69" i="3" s="1"/>
  <c r="I63" i="3" a="1"/>
  <c r="I63" i="3" s="1"/>
  <c r="AA37" i="3" s="1"/>
  <c r="M68" i="3" a="1"/>
  <c r="M68" i="3" s="1"/>
  <c r="AE16" i="3" s="1"/>
  <c r="O64" i="3" a="1"/>
  <c r="O64" i="3" s="1"/>
  <c r="O16" i="34" s="1"/>
  <c r="P69" i="3" a="1"/>
  <c r="P69" i="3" s="1"/>
  <c r="P21" i="34" s="1"/>
  <c r="L63" i="3" a="1"/>
  <c r="L63" i="3" s="1"/>
  <c r="AD63" i="3" s="1"/>
  <c r="O80" i="3" a="1"/>
  <c r="O80" i="3" s="1"/>
  <c r="AG80" i="3" s="1"/>
  <c r="N80" i="3" a="1"/>
  <c r="N80" i="3" s="1"/>
  <c r="AF54" i="3" s="1"/>
  <c r="J63" i="3" a="1"/>
  <c r="J63" i="3" s="1"/>
  <c r="AB63" i="3" s="1"/>
  <c r="U69" i="3"/>
  <c r="L82" i="3" a="1"/>
  <c r="L82" i="3" s="1"/>
  <c r="AD82" i="3" s="1"/>
  <c r="N81" i="3" a="1"/>
  <c r="N81" i="3" s="1"/>
  <c r="AF29" i="3" s="1"/>
  <c r="R51" i="3"/>
  <c r="R60" i="3"/>
  <c r="Z56" i="3"/>
  <c r="L66" i="3" a="1"/>
  <c r="L66" i="3" s="1"/>
  <c r="AD40" i="3" s="1"/>
  <c r="K68" i="3" a="1"/>
  <c r="K68" i="3" s="1"/>
  <c r="AC68" i="3" s="1"/>
  <c r="K80" i="3" a="1"/>
  <c r="K80" i="3" s="1"/>
  <c r="AC80" i="3" s="1"/>
  <c r="N69" i="3" a="1"/>
  <c r="N69" i="3" s="1"/>
  <c r="R56" i="3"/>
  <c r="L71" i="3" a="1"/>
  <c r="L71" i="3" s="1"/>
  <c r="AD71" i="3" s="1"/>
  <c r="J73" i="3" a="1"/>
  <c r="J73" i="3" s="1"/>
  <c r="AB21" i="3" s="1"/>
  <c r="P82" i="3" a="1"/>
  <c r="P82" i="3" s="1"/>
  <c r="AH56" i="3" s="1"/>
  <c r="AC29" i="3"/>
  <c r="J80" i="3" a="1"/>
  <c r="J80" i="3" s="1"/>
  <c r="AB54" i="3" s="1"/>
  <c r="J68" i="3" a="1"/>
  <c r="J68" i="3" s="1"/>
  <c r="J20" i="34" s="1"/>
  <c r="O81" i="3" a="1"/>
  <c r="O81" i="3" s="1"/>
  <c r="AG29" i="3" s="1"/>
  <c r="I66" i="3" a="1"/>
  <c r="I66" i="3" s="1"/>
  <c r="AA14" i="3" s="1"/>
  <c r="M80" i="3" a="1"/>
  <c r="M80" i="3" s="1"/>
  <c r="M32" i="34" s="1"/>
  <c r="H71" i="3" a="1"/>
  <c r="H71" i="3" s="1"/>
  <c r="Z19" i="3" s="1"/>
  <c r="O73" i="3" a="1"/>
  <c r="O73" i="3" s="1"/>
  <c r="AG73" i="3" s="1"/>
  <c r="AD55" i="3"/>
  <c r="I68" i="3" a="1"/>
  <c r="I68" i="3" s="1"/>
  <c r="F77" i="3" a="1"/>
  <c r="F77" i="3" s="1"/>
  <c r="X77" i="3" s="1"/>
  <c r="C76" i="5" a="1"/>
  <c r="C76" i="5" s="1"/>
  <c r="K71" i="3" a="1"/>
  <c r="K71" i="3" s="1"/>
  <c r="AC71" i="3" s="1"/>
  <c r="H73" i="3" a="1"/>
  <c r="H73" i="3" s="1"/>
  <c r="Z73" i="3" s="1"/>
  <c r="AE37" i="3"/>
  <c r="F82" i="3" a="1"/>
  <c r="F82" i="3" s="1"/>
  <c r="X82" i="3" s="1"/>
  <c r="H68" i="3" a="1"/>
  <c r="H68" i="3" s="1"/>
  <c r="Z42" i="3" s="1"/>
  <c r="G81" i="3" a="1"/>
  <c r="G81" i="3" s="1"/>
  <c r="F72" i="3" a="1"/>
  <c r="F72" i="3" s="1"/>
  <c r="X72" i="3" s="1"/>
  <c r="J66" i="3" a="1"/>
  <c r="J66" i="3" s="1"/>
  <c r="J18" i="34" s="1"/>
  <c r="L67" i="3" a="1"/>
  <c r="L67" i="3" s="1"/>
  <c r="AD67" i="3" s="1"/>
  <c r="J71" i="3" a="1"/>
  <c r="J71" i="3" s="1"/>
  <c r="AB45" i="3" s="1"/>
  <c r="P73" i="3" a="1"/>
  <c r="P73" i="3" s="1"/>
  <c r="AH73" i="3" s="1"/>
  <c r="U82" i="3"/>
  <c r="H15" i="34"/>
  <c r="L68" i="3" a="1"/>
  <c r="L68" i="3" s="1"/>
  <c r="L20" i="34" s="1"/>
  <c r="H81" i="3" a="1"/>
  <c r="H81" i="3" s="1"/>
  <c r="Z29" i="3" s="1"/>
  <c r="P72" i="3" a="1"/>
  <c r="P72" i="3" s="1"/>
  <c r="P24" i="34" s="1"/>
  <c r="AG25" i="3"/>
  <c r="X20" i="3"/>
  <c r="G67" i="3" a="1"/>
  <c r="G67" i="3" s="1"/>
  <c r="Y67" i="3" s="1"/>
  <c r="AF75" i="3"/>
  <c r="G73" i="3" a="1"/>
  <c r="G73" i="3" s="1"/>
  <c r="Y73" i="3" s="1"/>
  <c r="M82" i="3" a="1"/>
  <c r="M82" i="3" s="1"/>
  <c r="C81" i="5" a="1"/>
  <c r="C81" i="5" s="1"/>
  <c r="AH11" i="3"/>
  <c r="G68" i="3" a="1"/>
  <c r="G68" i="3" s="1"/>
  <c r="G20" i="34" s="1"/>
  <c r="I81" i="3" a="1"/>
  <c r="I81" i="3" s="1"/>
  <c r="AA55" i="3" s="1"/>
  <c r="J67" i="3" a="1"/>
  <c r="J67" i="3" s="1"/>
  <c r="AB41" i="3" s="1"/>
  <c r="I80" i="3" a="1"/>
  <c r="I80" i="3" s="1"/>
  <c r="AA54" i="3" s="1"/>
  <c r="H77" i="3" a="1"/>
  <c r="H77" i="3" s="1"/>
  <c r="Z25" i="3" s="1"/>
  <c r="U77" i="3"/>
  <c r="F73" i="3" a="1"/>
  <c r="F73" i="3" s="1"/>
  <c r="X21" i="3" s="1"/>
  <c r="P33" i="34"/>
  <c r="R57" i="3"/>
  <c r="K76" i="3" a="1"/>
  <c r="K76" i="3" s="1"/>
  <c r="AC24" i="3" s="1"/>
  <c r="F78" i="3" a="1"/>
  <c r="F78" i="3" s="1"/>
  <c r="X52" i="3" s="1"/>
  <c r="Z11" i="3"/>
  <c r="AA66" i="3"/>
  <c r="J15" i="34"/>
  <c r="G78" i="3" a="1"/>
  <c r="G78" i="3" s="1"/>
  <c r="G30" i="34" s="1"/>
  <c r="Y56" i="3"/>
  <c r="P66" i="3" a="1"/>
  <c r="P66" i="3" s="1"/>
  <c r="AH66" i="3" s="1"/>
  <c r="F71" i="3" a="1"/>
  <c r="F71" i="3" s="1"/>
  <c r="F23" i="34" s="1"/>
  <c r="U78" i="3"/>
  <c r="N72" i="3" a="1"/>
  <c r="N72" i="3" s="1"/>
  <c r="AF46" i="3" s="1"/>
  <c r="U86" i="3"/>
  <c r="U66" i="3"/>
  <c r="G71" i="3" a="1"/>
  <c r="G71" i="3" s="1"/>
  <c r="Y71" i="3" s="1"/>
  <c r="M72" i="3" a="1"/>
  <c r="M72" i="3" s="1"/>
  <c r="AE72" i="3" s="1"/>
  <c r="N86" i="3" a="1"/>
  <c r="N86" i="3" s="1"/>
  <c r="AF86" i="3" s="1"/>
  <c r="K66" i="3" a="1"/>
  <c r="K66" i="3" s="1"/>
  <c r="AC40" i="3" s="1"/>
  <c r="U71" i="3"/>
  <c r="K73" i="3" a="1"/>
  <c r="K73" i="3" s="1"/>
  <c r="K25" i="34" s="1"/>
  <c r="AC52" i="3"/>
  <c r="P67" i="3" a="1"/>
  <c r="P67" i="3" s="1"/>
  <c r="AH15" i="3" s="1"/>
  <c r="U76" i="3"/>
  <c r="N78" i="3" a="1"/>
  <c r="N78" i="3" s="1"/>
  <c r="AF78" i="3" s="1"/>
  <c r="G80" i="3" a="1"/>
  <c r="G80" i="3" s="1"/>
  <c r="Y80" i="3" s="1"/>
  <c r="L72" i="3" a="1"/>
  <c r="L72" i="3" s="1"/>
  <c r="AD72" i="3" s="1"/>
  <c r="M86" i="3" a="1"/>
  <c r="M86" i="3" s="1"/>
  <c r="AE86" i="3" s="1"/>
  <c r="H78" i="3" a="1"/>
  <c r="H78" i="3" s="1"/>
  <c r="Z78" i="3" s="1"/>
  <c r="C82" i="5" a="1"/>
  <c r="C82" i="5" s="1"/>
  <c r="H66" i="3" a="1"/>
  <c r="H66" i="3" s="1"/>
  <c r="Z66" i="3" s="1"/>
  <c r="F66" i="3" a="1"/>
  <c r="F66" i="3" s="1"/>
  <c r="F18" i="34" s="1"/>
  <c r="J76" i="3" a="1"/>
  <c r="J76" i="3" s="1"/>
  <c r="J28" i="34" s="1"/>
  <c r="I76" i="3" a="1"/>
  <c r="I76" i="3" s="1"/>
  <c r="AA76" i="3" s="1"/>
  <c r="AC56" i="3"/>
  <c r="P78" i="3" a="1"/>
  <c r="P78" i="3" s="1"/>
  <c r="AH78" i="3" s="1"/>
  <c r="O72" i="3" a="1"/>
  <c r="O72" i="3" s="1"/>
  <c r="AG20" i="3" s="1"/>
  <c r="I67" i="3" a="1"/>
  <c r="I67" i="3" s="1"/>
  <c r="I19" i="34" s="1"/>
  <c r="G76" i="3" a="1"/>
  <c r="G76" i="3" s="1"/>
  <c r="G28" i="34" s="1"/>
  <c r="H80" i="3" a="1"/>
  <c r="H80" i="3" s="1"/>
  <c r="H32" i="34" s="1"/>
  <c r="O29" i="34"/>
  <c r="H67" i="3" a="1"/>
  <c r="H67" i="3" s="1"/>
  <c r="Z15" i="3" s="1"/>
  <c r="F76" i="3" a="1"/>
  <c r="F76" i="3" s="1"/>
  <c r="X50" i="3" s="1"/>
  <c r="L78" i="3" a="1"/>
  <c r="L78" i="3" s="1"/>
  <c r="L30" i="34" s="1"/>
  <c r="L80" i="3" a="1"/>
  <c r="L80" i="3" s="1"/>
  <c r="AD54" i="3" s="1"/>
  <c r="L77" i="3" a="1"/>
  <c r="L77" i="3" s="1"/>
  <c r="AD77" i="3" s="1"/>
  <c r="N77" i="3" a="1"/>
  <c r="N77" i="3" s="1"/>
  <c r="AF51" i="3" s="1"/>
  <c r="N66" i="3" a="1"/>
  <c r="N66" i="3" s="1"/>
  <c r="N18" i="34" s="1"/>
  <c r="O71" i="3" a="1"/>
  <c r="O71" i="3" s="1"/>
  <c r="AG71" i="3" s="1"/>
  <c r="L73" i="3" a="1"/>
  <c r="L73" i="3" s="1"/>
  <c r="AD47" i="3" s="1"/>
  <c r="AB52" i="3"/>
  <c r="F67" i="3" a="1"/>
  <c r="F67" i="3" s="1"/>
  <c r="F19" i="34" s="1"/>
  <c r="O76" i="3" a="1"/>
  <c r="O76" i="3" s="1"/>
  <c r="AG24" i="3" s="1"/>
  <c r="AG37" i="3"/>
  <c r="O78" i="3" a="1"/>
  <c r="O78" i="3" s="1"/>
  <c r="O30" i="34" s="1"/>
  <c r="M85" i="3" a="1"/>
  <c r="M85" i="3" s="1"/>
  <c r="AE59" i="3" s="1"/>
  <c r="F80" i="3" a="1"/>
  <c r="F80" i="3" s="1"/>
  <c r="K72" i="3" a="1"/>
  <c r="K72" i="3" s="1"/>
  <c r="O86" i="3" a="1"/>
  <c r="O86" i="3" s="1"/>
  <c r="AG60" i="3" s="1"/>
  <c r="C90" i="5" a="1"/>
  <c r="C90" i="5" s="1"/>
  <c r="P76" i="3" a="1"/>
  <c r="P76" i="3" s="1"/>
  <c r="P28" i="34" s="1"/>
  <c r="C72" i="5" a="1"/>
  <c r="C72" i="5" s="1"/>
  <c r="Y69" i="3"/>
  <c r="G72" i="3" a="1"/>
  <c r="G72" i="3" s="1"/>
  <c r="Y72" i="3" s="1"/>
  <c r="I71" i="3" a="1"/>
  <c r="I71" i="3" s="1"/>
  <c r="AA45" i="3" s="1"/>
  <c r="U72" i="3"/>
  <c r="G66" i="3" a="1"/>
  <c r="G66" i="3" s="1"/>
  <c r="Y40" i="3" s="1"/>
  <c r="P71" i="3" a="1"/>
  <c r="P71" i="3" s="1"/>
  <c r="AH71" i="3" s="1"/>
  <c r="K67" i="3" a="1"/>
  <c r="K67" i="3" s="1"/>
  <c r="AC67" i="3" s="1"/>
  <c r="O66" i="3" a="1"/>
  <c r="O66" i="3" s="1"/>
  <c r="AG66" i="3" s="1"/>
  <c r="N71" i="3" a="1"/>
  <c r="N71" i="3" s="1"/>
  <c r="AF19" i="3" s="1"/>
  <c r="AA52" i="3"/>
  <c r="U67" i="3"/>
  <c r="N76" i="3" a="1"/>
  <c r="N76" i="3" s="1"/>
  <c r="N28" i="34" s="1"/>
  <c r="M78" i="3" a="1"/>
  <c r="M78" i="3" s="1"/>
  <c r="AE52" i="3" s="1"/>
  <c r="AD85" i="3"/>
  <c r="P80" i="3" a="1"/>
  <c r="P80" i="3" s="1"/>
  <c r="AH54" i="3" s="1"/>
  <c r="J72" i="3" a="1"/>
  <c r="J72" i="3" s="1"/>
  <c r="J24" i="34" s="1"/>
  <c r="P86" i="3" a="1"/>
  <c r="P86" i="3" s="1"/>
  <c r="AH86" i="3" s="1"/>
  <c r="AE25" i="3"/>
  <c r="P30" i="34"/>
  <c r="AE29" i="3"/>
  <c r="I72" i="3" a="1"/>
  <c r="I72" i="3" s="1"/>
  <c r="AA72" i="3" s="1"/>
  <c r="L86" i="3" a="1"/>
  <c r="L86" i="3" s="1"/>
  <c r="AD60" i="3" s="1"/>
  <c r="F27" i="34"/>
  <c r="C78" i="5" a="1"/>
  <c r="C78" i="5" s="1"/>
  <c r="K86" i="3" a="1"/>
  <c r="K86" i="3" s="1"/>
  <c r="AC86" i="3" s="1"/>
  <c r="X59" i="3"/>
  <c r="X33" i="3"/>
  <c r="AE66" i="3"/>
  <c r="U74" i="3"/>
  <c r="J30" i="34"/>
  <c r="L37" i="34"/>
  <c r="G75" i="3" a="1"/>
  <c r="G75" i="3" s="1"/>
  <c r="Y23" i="3" s="1"/>
  <c r="U85" i="3"/>
  <c r="N32" i="34"/>
  <c r="U83" i="3"/>
  <c r="P64" i="3" a="1"/>
  <c r="P64" i="3" s="1"/>
  <c r="AH12" i="3" s="1"/>
  <c r="N74" i="3" a="1"/>
  <c r="N74" i="3" s="1"/>
  <c r="AF22" i="3" s="1"/>
  <c r="M74" i="3" a="1"/>
  <c r="M74" i="3" s="1"/>
  <c r="AE74" i="3" s="1"/>
  <c r="M29" i="34"/>
  <c r="Z46" i="3"/>
  <c r="U75" i="3"/>
  <c r="N85" i="3" a="1"/>
  <c r="N85" i="3" s="1"/>
  <c r="AF85" i="3" s="1"/>
  <c r="N83" i="3" a="1"/>
  <c r="N83" i="3" s="1"/>
  <c r="AF31" i="3" s="1"/>
  <c r="I64" i="3" a="1"/>
  <c r="I64" i="3" s="1"/>
  <c r="AA38" i="3" s="1"/>
  <c r="I74" i="3" a="1"/>
  <c r="I74" i="3" s="1"/>
  <c r="AA74" i="3" s="1"/>
  <c r="J74" i="3" a="1"/>
  <c r="J74" i="3" s="1"/>
  <c r="AB48" i="3" s="1"/>
  <c r="M75" i="3" a="1"/>
  <c r="M75" i="3" s="1"/>
  <c r="AE75" i="3" s="1"/>
  <c r="O85" i="3" a="1"/>
  <c r="O85" i="3" s="1"/>
  <c r="AG85" i="3" s="1"/>
  <c r="O83" i="3" a="1"/>
  <c r="O83" i="3" s="1"/>
  <c r="G64" i="3" a="1"/>
  <c r="G64" i="3" s="1"/>
  <c r="Y12" i="3" s="1"/>
  <c r="AC46" i="3"/>
  <c r="L74" i="3" a="1"/>
  <c r="L74" i="3" s="1"/>
  <c r="AD48" i="3" s="1"/>
  <c r="K85" i="3" a="1"/>
  <c r="K85" i="3" s="1"/>
  <c r="K37" i="34" s="1"/>
  <c r="L75" i="3" a="1"/>
  <c r="L75" i="3" s="1"/>
  <c r="AD75" i="3" s="1"/>
  <c r="J85" i="3" a="1"/>
  <c r="J85" i="3" s="1"/>
  <c r="J37" i="34" s="1"/>
  <c r="H74" i="3" a="1"/>
  <c r="H74" i="3" s="1"/>
  <c r="Z48" i="3" s="1"/>
  <c r="C97" i="5" a="1"/>
  <c r="C97" i="5" s="1"/>
  <c r="K75" i="3" a="1"/>
  <c r="K75" i="3" s="1"/>
  <c r="AC75" i="3" s="1"/>
  <c r="I85" i="3" a="1"/>
  <c r="I85" i="3" s="1"/>
  <c r="AA59" i="3" s="1"/>
  <c r="J83" i="3" a="1"/>
  <c r="J83" i="3" s="1"/>
  <c r="AB31" i="3" s="1"/>
  <c r="C87" i="5" a="1"/>
  <c r="C87" i="5" s="1"/>
  <c r="I86" i="3" a="1"/>
  <c r="I86" i="3" s="1"/>
  <c r="AA60" i="3" s="1"/>
  <c r="N64" i="3" a="1"/>
  <c r="N64" i="3" s="1"/>
  <c r="N16" i="34" s="1"/>
  <c r="M83" i="3" a="1"/>
  <c r="M83" i="3" s="1"/>
  <c r="M35" i="34" s="1"/>
  <c r="K83" i="3" a="1"/>
  <c r="K83" i="3" s="1"/>
  <c r="AC57" i="3" s="1"/>
  <c r="P74" i="3" a="1"/>
  <c r="P74" i="3" s="1"/>
  <c r="AH22" i="3" s="1"/>
  <c r="O27" i="34"/>
  <c r="AB38" i="3"/>
  <c r="C77" i="5" a="1"/>
  <c r="C77" i="5" s="1"/>
  <c r="Z37" i="3"/>
  <c r="J75" i="3" a="1"/>
  <c r="J75" i="3" s="1"/>
  <c r="AB75" i="3" s="1"/>
  <c r="H85" i="3" a="1"/>
  <c r="H85" i="3" s="1"/>
  <c r="Z33" i="3" s="1"/>
  <c r="Z57" i="3"/>
  <c r="I83" i="3" a="1"/>
  <c r="I83" i="3" s="1"/>
  <c r="AA57" i="3" s="1"/>
  <c r="H86" i="3" a="1"/>
  <c r="H86" i="3" s="1"/>
  <c r="Z86" i="3" s="1"/>
  <c r="M64" i="3" a="1"/>
  <c r="M64" i="3" s="1"/>
  <c r="AE38" i="3" s="1"/>
  <c r="AB55" i="3"/>
  <c r="F74" i="3" a="1"/>
  <c r="F74" i="3" s="1"/>
  <c r="X74" i="3" s="1"/>
  <c r="H75" i="3" a="1"/>
  <c r="H75" i="3" s="1"/>
  <c r="H27" i="34" s="1"/>
  <c r="P85" i="3" a="1"/>
  <c r="P85" i="3" s="1"/>
  <c r="P83" i="3" a="1"/>
  <c r="P83" i="3" s="1"/>
  <c r="AH57" i="3" s="1"/>
  <c r="F86" i="3" a="1"/>
  <c r="F86" i="3" s="1"/>
  <c r="X86" i="3" s="1"/>
  <c r="L64" i="3" a="1"/>
  <c r="L64" i="3" s="1"/>
  <c r="AD64" i="3" s="1"/>
  <c r="K74" i="3" a="1"/>
  <c r="K74" i="3" s="1"/>
  <c r="AC22" i="3" s="1"/>
  <c r="L83" i="3" a="1"/>
  <c r="L83" i="3" s="1"/>
  <c r="L35" i="34" s="1"/>
  <c r="AG38" i="3"/>
  <c r="C96" i="5" a="1"/>
  <c r="C96" i="5" s="1"/>
  <c r="AH37" i="3"/>
  <c r="P75" i="3" a="1"/>
  <c r="P75" i="3" s="1"/>
  <c r="AH49" i="3" s="1"/>
  <c r="G85" i="3" a="1"/>
  <c r="G85" i="3" s="1"/>
  <c r="F83" i="3" a="1"/>
  <c r="F83" i="3" s="1"/>
  <c r="X57" i="3" s="1"/>
  <c r="K64" i="3" a="1"/>
  <c r="K64" i="3" s="1"/>
  <c r="AC64" i="3" s="1"/>
  <c r="AF23" i="3"/>
  <c r="K24" i="34"/>
  <c r="Z31" i="3"/>
  <c r="AA46" i="3"/>
  <c r="Q28" i="107"/>
  <c r="R64" i="107"/>
  <c r="AH80" i="107"/>
  <c r="AG44" i="107"/>
  <c r="Y65" i="107"/>
  <c r="Z29" i="107"/>
  <c r="S65" i="107"/>
  <c r="R29" i="107"/>
  <c r="AH74" i="107"/>
  <c r="AI38" i="107"/>
  <c r="U60" i="107"/>
  <c r="V24" i="107"/>
  <c r="Y71" i="107"/>
  <c r="X35" i="107"/>
  <c r="AD76" i="107"/>
  <c r="AC40" i="107"/>
  <c r="Q56" i="107"/>
  <c r="R20" i="107"/>
  <c r="AA73" i="107"/>
  <c r="Z37" i="107"/>
  <c r="AI75" i="107"/>
  <c r="AJ39" i="107"/>
  <c r="M60" i="107"/>
  <c r="L24" i="107"/>
  <c r="W63" i="107"/>
  <c r="X27" i="107"/>
  <c r="Q57" i="107"/>
  <c r="R21" i="107"/>
  <c r="I27" i="34"/>
  <c r="AA21" i="3"/>
  <c r="L58" i="107"/>
  <c r="K22" i="107"/>
  <c r="K57" i="107"/>
  <c r="J21" i="107"/>
  <c r="S58" i="107"/>
  <c r="T22" i="107"/>
  <c r="W69" i="107"/>
  <c r="V33" i="107"/>
  <c r="J56" i="107"/>
  <c r="I20" i="107"/>
  <c r="U61" i="107"/>
  <c r="V25" i="107"/>
  <c r="N61" i="107"/>
  <c r="M25" i="107"/>
  <c r="AB75" i="107"/>
  <c r="AA39" i="107"/>
  <c r="K30" i="34"/>
  <c r="Z72" i="107"/>
  <c r="Y36" i="107"/>
  <c r="V68" i="107"/>
  <c r="U32" i="107"/>
  <c r="N53" i="107"/>
  <c r="O17" i="107"/>
  <c r="T59" i="107"/>
  <c r="U23" i="107"/>
  <c r="AB68" i="107"/>
  <c r="AC32" i="107"/>
  <c r="AA67" i="107"/>
  <c r="AB31" i="107"/>
  <c r="AD70" i="107"/>
  <c r="AE34" i="107"/>
  <c r="AC69" i="107"/>
  <c r="AD33" i="107"/>
  <c r="Q63" i="107"/>
  <c r="P27" i="107"/>
  <c r="AE71" i="107"/>
  <c r="AF35" i="107"/>
  <c r="O62" i="107"/>
  <c r="N26" i="107"/>
  <c r="AG73" i="107"/>
  <c r="AH37" i="107"/>
  <c r="AF78" i="107"/>
  <c r="AE42" i="107"/>
  <c r="U67" i="107"/>
  <c r="T31" i="107"/>
  <c r="AG69" i="3"/>
  <c r="AC30" i="3"/>
  <c r="G86" i="3" a="1"/>
  <c r="G86" i="3" s="1"/>
  <c r="AF79" i="107"/>
  <c r="AE43" i="107"/>
  <c r="C89" i="5" a="1"/>
  <c r="C89" i="5" s="1"/>
  <c r="M52" i="107"/>
  <c r="N16" i="107"/>
  <c r="W62" i="107"/>
  <c r="X26" i="107"/>
  <c r="Z74" i="107"/>
  <c r="Y38" i="107"/>
  <c r="M59" i="107"/>
  <c r="L23" i="107"/>
  <c r="Y64" i="107"/>
  <c r="Z28" i="107"/>
  <c r="X70" i="107"/>
  <c r="W34" i="107"/>
  <c r="Y17" i="3"/>
  <c r="Z69" i="3"/>
  <c r="AA66" i="107"/>
  <c r="AB30" i="107"/>
  <c r="O55" i="107"/>
  <c r="P19" i="107"/>
  <c r="AG72" i="107"/>
  <c r="AH36" i="107"/>
  <c r="K51" i="107"/>
  <c r="L15" i="107"/>
  <c r="AD77" i="107"/>
  <c r="AC41" i="107"/>
  <c r="N54" i="107"/>
  <c r="O18" i="107"/>
  <c r="S66" i="107"/>
  <c r="R30" i="107"/>
  <c r="AC20" i="3"/>
  <c r="X23" i="3"/>
  <c r="M33" i="34"/>
  <c r="AD41" i="3"/>
  <c r="AA73" i="3"/>
  <c r="AE81" i="3"/>
  <c r="AA75" i="3"/>
  <c r="AA23" i="3"/>
  <c r="Y57" i="3"/>
  <c r="Z20" i="3"/>
  <c r="AE17" i="3"/>
  <c r="AF30" i="3"/>
  <c r="AH55" i="3"/>
  <c r="K34" i="34"/>
  <c r="AE14" i="3"/>
  <c r="C26" i="93"/>
  <c r="C42" i="93"/>
  <c r="C34" i="93"/>
  <c r="AB43" i="3"/>
  <c r="AB17" i="3"/>
  <c r="J21" i="34"/>
  <c r="R36" i="3"/>
  <c r="Y74" i="3"/>
  <c r="G26" i="34"/>
  <c r="Y22" i="3"/>
  <c r="Y48" i="3"/>
  <c r="AA43" i="3"/>
  <c r="AA17" i="3"/>
  <c r="I21" i="34"/>
  <c r="AA82" i="3"/>
  <c r="I34" i="34"/>
  <c r="AA30" i="3"/>
  <c r="AA56" i="3"/>
  <c r="AF69" i="3"/>
  <c r="AE50" i="3"/>
  <c r="M28" i="34"/>
  <c r="AE24" i="3"/>
  <c r="AE69" i="3"/>
  <c r="N26" i="34"/>
  <c r="F65" i="3" a="1"/>
  <c r="F65" i="3" s="1"/>
  <c r="F17" i="34" s="1"/>
  <c r="G65" i="3" a="1"/>
  <c r="G65" i="3" s="1"/>
  <c r="Y65" i="3" s="1"/>
  <c r="H65" i="3" a="1"/>
  <c r="H65" i="3" s="1"/>
  <c r="H17" i="34" s="1"/>
  <c r="I65" i="3" a="1"/>
  <c r="I65" i="3" s="1"/>
  <c r="AA39" i="3" s="1"/>
  <c r="P65" i="3" a="1"/>
  <c r="P65" i="3" s="1"/>
  <c r="AH65" i="3" s="1"/>
  <c r="J65" i="3" a="1"/>
  <c r="J65" i="3" s="1"/>
  <c r="J17" i="34" s="1"/>
  <c r="K65" i="3" a="1"/>
  <c r="K65" i="3" s="1"/>
  <c r="K17" i="34" s="1"/>
  <c r="M65" i="3" a="1"/>
  <c r="M65" i="3" s="1"/>
  <c r="AE65" i="3" s="1"/>
  <c r="L65" i="3" a="1"/>
  <c r="L65" i="3" s="1"/>
  <c r="AD39" i="3" s="1"/>
  <c r="N65" i="3" a="1"/>
  <c r="N65" i="3" s="1"/>
  <c r="AF65" i="3" s="1"/>
  <c r="U65" i="3"/>
  <c r="O65" i="3" a="1"/>
  <c r="O65" i="3" s="1"/>
  <c r="O17" i="34" s="1"/>
  <c r="AG75" i="3"/>
  <c r="AG23" i="3"/>
  <c r="AB86" i="3"/>
  <c r="J38" i="34"/>
  <c r="AB34" i="3"/>
  <c r="AD50" i="3"/>
  <c r="L28" i="34"/>
  <c r="AD24" i="3"/>
  <c r="Y43" i="3"/>
  <c r="G21" i="34"/>
  <c r="AG77" i="3"/>
  <c r="AG51" i="3"/>
  <c r="AF55" i="3"/>
  <c r="F79" i="3" a="1"/>
  <c r="F79" i="3" s="1"/>
  <c r="P79" i="3" a="1"/>
  <c r="P79" i="3" s="1"/>
  <c r="AH79" i="3" s="1"/>
  <c r="H79" i="3" a="1"/>
  <c r="H79" i="3" s="1"/>
  <c r="H31" i="34" s="1"/>
  <c r="G79" i="3" a="1"/>
  <c r="G79" i="3" s="1"/>
  <c r="Y79" i="3" s="1"/>
  <c r="I79" i="3" a="1"/>
  <c r="I79" i="3" s="1"/>
  <c r="I31" i="34" s="1"/>
  <c r="K79" i="3" a="1"/>
  <c r="K79" i="3" s="1"/>
  <c r="AC53" i="3" s="1"/>
  <c r="O79" i="3" a="1"/>
  <c r="O79" i="3" s="1"/>
  <c r="AG79" i="3" s="1"/>
  <c r="M79" i="3" a="1"/>
  <c r="M79" i="3" s="1"/>
  <c r="AE79" i="3" s="1"/>
  <c r="N79" i="3" a="1"/>
  <c r="N79" i="3" s="1"/>
  <c r="AF53" i="3" s="1"/>
  <c r="J79" i="3" a="1"/>
  <c r="J79" i="3" s="1"/>
  <c r="J31" i="34" s="1"/>
  <c r="L79" i="3" a="1"/>
  <c r="L79" i="3" s="1"/>
  <c r="AD79" i="3" s="1"/>
  <c r="U79" i="3"/>
  <c r="AF43" i="3"/>
  <c r="N21" i="34"/>
  <c r="AF17" i="3"/>
  <c r="AA50" i="3"/>
  <c r="I28" i="34"/>
  <c r="AA24" i="3"/>
  <c r="D58" i="5"/>
  <c r="AG74" i="3"/>
  <c r="AG22" i="3"/>
  <c r="AG48" i="3"/>
  <c r="R43" i="3"/>
  <c r="AC63" i="3"/>
  <c r="Z50" i="3"/>
  <c r="Z24" i="3"/>
  <c r="H28" i="34"/>
  <c r="D70" i="5"/>
  <c r="AA69" i="3"/>
  <c r="D47" i="5"/>
  <c r="AE43" i="3"/>
  <c r="M21" i="34"/>
  <c r="AE77" i="3"/>
  <c r="AE51" i="3"/>
  <c r="AH39" i="3"/>
  <c r="R44" i="3"/>
  <c r="AD69" i="3"/>
  <c r="L21" i="34"/>
  <c r="AD17" i="3"/>
  <c r="O21" i="34"/>
  <c r="AG41" i="3"/>
  <c r="AG15" i="3"/>
  <c r="O19" i="34"/>
  <c r="D68" i="5"/>
  <c r="R61" i="3"/>
  <c r="H21" i="34"/>
  <c r="X76" i="3"/>
  <c r="F28" i="34"/>
  <c r="R37" i="3"/>
  <c r="R38" i="3"/>
  <c r="X71" i="3"/>
  <c r="M23" i="34"/>
  <c r="R39" i="3"/>
  <c r="X49" i="3"/>
  <c r="R49" i="3"/>
  <c r="Z45" i="3"/>
  <c r="AC72" i="3"/>
  <c r="AH29" i="3"/>
  <c r="AB77" i="3"/>
  <c r="AB25" i="3"/>
  <c r="AG67" i="3"/>
  <c r="AG17" i="3"/>
  <c r="AB40" i="3"/>
  <c r="Z82" i="3"/>
  <c r="H34" i="34"/>
  <c r="Z63" i="3"/>
  <c r="Z68" i="3"/>
  <c r="AB81" i="3"/>
  <c r="AA47" i="3"/>
  <c r="J33" i="34"/>
  <c r="AB64" i="3"/>
  <c r="AA40" i="3"/>
  <c r="I18" i="34"/>
  <c r="Y82" i="3"/>
  <c r="G34" i="34"/>
  <c r="AC55" i="3"/>
  <c r="K33" i="34"/>
  <c r="AH63" i="3"/>
  <c r="AF49" i="3"/>
  <c r="N27" i="34"/>
  <c r="AB29" i="3"/>
  <c r="Z43" i="3"/>
  <c r="AC41" i="3"/>
  <c r="D61" i="5"/>
  <c r="O25" i="34"/>
  <c r="Z76" i="3"/>
  <c r="I25" i="34"/>
  <c r="Y81" i="3"/>
  <c r="AB12" i="3"/>
  <c r="AG49" i="3"/>
  <c r="R45" i="3"/>
  <c r="R47" i="3"/>
  <c r="C92" i="5" a="1"/>
  <c r="C92" i="5" s="1"/>
  <c r="Z72" i="3"/>
  <c r="AD29" i="3"/>
  <c r="N24" i="34"/>
  <c r="Y11" i="3"/>
  <c r="H24" i="34"/>
  <c r="R46" i="3"/>
  <c r="R52" i="3"/>
  <c r="AB26" i="3"/>
  <c r="AB14" i="3"/>
  <c r="AC26" i="3"/>
  <c r="AC51" i="3"/>
  <c r="AE76" i="3"/>
  <c r="AB82" i="3"/>
  <c r="J34" i="34"/>
  <c r="AF80" i="3"/>
  <c r="AF28" i="3"/>
  <c r="X68" i="3"/>
  <c r="P23" i="34"/>
  <c r="C83" i="5" a="1"/>
  <c r="C83" i="5" s="1"/>
  <c r="H35" i="34"/>
  <c r="M18" i="34"/>
  <c r="AD76" i="3"/>
  <c r="AC16" i="3"/>
  <c r="AE80" i="3"/>
  <c r="AE28" i="3"/>
  <c r="J16" i="34"/>
  <c r="AB53" i="3"/>
  <c r="AB30" i="3"/>
  <c r="D63" i="5"/>
  <c r="Z17" i="3"/>
  <c r="B201" i="5"/>
  <c r="E175" i="5"/>
  <c r="G19" i="34"/>
  <c r="AH76" i="3"/>
  <c r="X75" i="3"/>
  <c r="R40" i="3"/>
  <c r="AC78" i="3"/>
  <c r="F70" i="3" a="1"/>
  <c r="F70" i="3" s="1"/>
  <c r="F22" i="34" s="1"/>
  <c r="P70" i="3" a="1"/>
  <c r="P70" i="3" s="1"/>
  <c r="J70" i="3" a="1"/>
  <c r="J70" i="3" s="1"/>
  <c r="J22" i="34" s="1"/>
  <c r="K70" i="3" a="1"/>
  <c r="K70" i="3" s="1"/>
  <c r="L70" i="3" a="1"/>
  <c r="L70" i="3" s="1"/>
  <c r="AD70" i="3" s="1"/>
  <c r="G70" i="3" a="1"/>
  <c r="G70" i="3" s="1"/>
  <c r="Y44" i="3" s="1"/>
  <c r="H70" i="3" a="1"/>
  <c r="H70" i="3" s="1"/>
  <c r="Z44" i="3" s="1"/>
  <c r="N70" i="3" a="1"/>
  <c r="N70" i="3" s="1"/>
  <c r="AF44" i="3" s="1"/>
  <c r="I70" i="3" a="1"/>
  <c r="I70" i="3" s="1"/>
  <c r="AA44" i="3" s="1"/>
  <c r="M70" i="3" a="1"/>
  <c r="M70" i="3" s="1"/>
  <c r="M22" i="34" s="1"/>
  <c r="O70" i="3" a="1"/>
  <c r="O70" i="3" s="1"/>
  <c r="AG44" i="3" s="1"/>
  <c r="U70" i="3"/>
  <c r="AD81" i="3"/>
  <c r="AE45" i="3"/>
  <c r="AE19" i="3"/>
  <c r="P15" i="34"/>
  <c r="B98" i="5"/>
  <c r="C98" i="5" s="1" a="1"/>
  <c r="C98" i="5" s="1"/>
  <c r="C79" i="5" a="1"/>
  <c r="C79" i="5" s="1"/>
  <c r="C80" i="5" a="1"/>
  <c r="C80" i="5" s="1"/>
  <c r="C73" i="5" a="1"/>
  <c r="C73" i="5" s="1"/>
  <c r="C88" i="5" a="1"/>
  <c r="C88" i="5" s="1"/>
  <c r="C84" i="5" a="1"/>
  <c r="C84" i="5" s="1"/>
  <c r="C74" i="5" a="1"/>
  <c r="C74" i="5" s="1"/>
  <c r="C93" i="5" a="1"/>
  <c r="C93" i="5" s="1"/>
  <c r="C85" i="5" a="1"/>
  <c r="C85" i="5" s="1"/>
  <c r="C94" i="5" a="1"/>
  <c r="C94" i="5" s="1"/>
  <c r="C86" i="5" a="1"/>
  <c r="C86" i="5" s="1"/>
  <c r="C75" i="5" a="1"/>
  <c r="C75" i="5" s="1"/>
  <c r="C95" i="5" a="1"/>
  <c r="C95" i="5" s="1"/>
  <c r="I30" i="34"/>
  <c r="R58" i="3"/>
  <c r="D48" i="5"/>
  <c r="AC76" i="3"/>
  <c r="AB78" i="3"/>
  <c r="R55" i="3"/>
  <c r="X55" i="3"/>
  <c r="F33" i="34"/>
  <c r="X85" i="3"/>
  <c r="F37" i="34"/>
  <c r="D69" i="5"/>
  <c r="AC81" i="3"/>
  <c r="D91" i="5"/>
  <c r="AA26" i="3"/>
  <c r="L33" i="34"/>
  <c r="G62" i="3" a="1"/>
  <c r="G62" i="3" s="1"/>
  <c r="Y36" i="3" s="1"/>
  <c r="F62" i="3" a="1"/>
  <c r="F62" i="3" s="1"/>
  <c r="X36" i="3" s="1"/>
  <c r="P62" i="3" a="1"/>
  <c r="P62" i="3" s="1"/>
  <c r="H62" i="3" a="1"/>
  <c r="H62" i="3" s="1"/>
  <c r="Z62" i="3" s="1"/>
  <c r="I62" i="3" a="1"/>
  <c r="I62" i="3" s="1"/>
  <c r="AA62" i="3" s="1"/>
  <c r="K62" i="3" a="1"/>
  <c r="K62" i="3" s="1"/>
  <c r="AC36" i="3" s="1"/>
  <c r="L62" i="3" a="1"/>
  <c r="L62" i="3" s="1"/>
  <c r="AD62" i="3" s="1"/>
  <c r="M62" i="3" a="1"/>
  <c r="M62" i="3" s="1"/>
  <c r="AE62" i="3" s="1"/>
  <c r="O62" i="3" a="1"/>
  <c r="O62" i="3" s="1"/>
  <c r="AG62" i="3" s="1"/>
  <c r="J62" i="3" a="1"/>
  <c r="J62" i="3" s="1"/>
  <c r="AB62" i="3" s="1"/>
  <c r="N62" i="3" a="1"/>
  <c r="N62" i="3" s="1"/>
  <c r="AF36" i="3" s="1"/>
  <c r="U62" i="3"/>
  <c r="AA78" i="3"/>
  <c r="AA42" i="3"/>
  <c r="AA16" i="3"/>
  <c r="X81" i="3"/>
  <c r="AA49" i="3"/>
  <c r="Z30" i="3"/>
  <c r="AG43" i="3"/>
  <c r="AH14" i="3"/>
  <c r="O24" i="34"/>
  <c r="AE40" i="3"/>
  <c r="AD59" i="3"/>
  <c r="X53" i="3"/>
  <c r="R53" i="3"/>
  <c r="AH81" i="3"/>
  <c r="X83" i="3"/>
  <c r="X31" i="3"/>
  <c r="D55" i="5"/>
  <c r="AG47" i="3"/>
  <c r="O34" i="34"/>
  <c r="R41" i="3"/>
  <c r="F87" i="3" a="1"/>
  <c r="F87" i="3" s="1"/>
  <c r="X61" i="3" s="1"/>
  <c r="G87" i="3" a="1"/>
  <c r="G87" i="3" s="1"/>
  <c r="Y61" i="3" s="1"/>
  <c r="P87" i="3" a="1"/>
  <c r="P87" i="3" s="1"/>
  <c r="AH61" i="3" s="1"/>
  <c r="H87" i="3" a="1"/>
  <c r="H87" i="3" s="1"/>
  <c r="Z87" i="3" s="1"/>
  <c r="J87" i="3" a="1"/>
  <c r="J87" i="3" s="1"/>
  <c r="AB87" i="3" s="1"/>
  <c r="K87" i="3" a="1"/>
  <c r="K87" i="3" s="1"/>
  <c r="AC87" i="3" s="1"/>
  <c r="L87" i="3" a="1"/>
  <c r="L87" i="3" s="1"/>
  <c r="AD87" i="3" s="1"/>
  <c r="N87" i="3" a="1"/>
  <c r="N87" i="3" s="1"/>
  <c r="O87" i="3" a="1"/>
  <c r="O87" i="3" s="1"/>
  <c r="I87" i="3" a="1"/>
  <c r="I87" i="3" s="1"/>
  <c r="AA87" i="3" s="1"/>
  <c r="M87" i="3" a="1"/>
  <c r="M87" i="3" s="1"/>
  <c r="AE87" i="3" s="1"/>
  <c r="U87" i="3"/>
  <c r="AC25" i="3"/>
  <c r="R50" i="3"/>
  <c r="AB69" i="3"/>
  <c r="Y15" i="3"/>
  <c r="AD43" i="3"/>
  <c r="AH25" i="3"/>
  <c r="G84" i="3" a="1"/>
  <c r="G84" i="3" s="1"/>
  <c r="Y84" i="3" s="1"/>
  <c r="P84" i="3" a="1"/>
  <c r="P84" i="3" s="1"/>
  <c r="AH84" i="3" s="1"/>
  <c r="F84" i="3" a="1"/>
  <c r="F84" i="3" s="1"/>
  <c r="F36" i="34" s="1"/>
  <c r="H84" i="3" a="1"/>
  <c r="H84" i="3" s="1"/>
  <c r="Z58" i="3" s="1"/>
  <c r="I84" i="3" a="1"/>
  <c r="I84" i="3" s="1"/>
  <c r="I36" i="34" s="1"/>
  <c r="J84" i="3" a="1"/>
  <c r="J84" i="3" s="1"/>
  <c r="AB84" i="3" s="1"/>
  <c r="K84" i="3" a="1"/>
  <c r="K84" i="3" s="1"/>
  <c r="AC84" i="3" s="1"/>
  <c r="L84" i="3" a="1"/>
  <c r="L84" i="3" s="1"/>
  <c r="N84" i="3" a="1"/>
  <c r="N84" i="3" s="1"/>
  <c r="AF58" i="3" s="1"/>
  <c r="M84" i="3" a="1"/>
  <c r="M84" i="3" s="1"/>
  <c r="AE84" i="3" s="1"/>
  <c r="O84" i="3" a="1"/>
  <c r="O84" i="3" s="1"/>
  <c r="AG84" i="3" s="1"/>
  <c r="U84" i="3"/>
  <c r="G36" i="34"/>
  <c r="K29" i="34"/>
  <c r="AD33" i="3"/>
  <c r="AF82" i="3"/>
  <c r="N34" i="34"/>
  <c r="AE55" i="3"/>
  <c r="X42" i="3"/>
  <c r="R42" i="3"/>
  <c r="F20" i="34"/>
  <c r="X16" i="3"/>
  <c r="X29" i="3"/>
  <c r="Y83" i="3"/>
  <c r="Y31" i="3"/>
  <c r="AG56" i="3"/>
  <c r="AG30" i="3"/>
  <c r="F24" i="34"/>
  <c r="K10" i="113" l="1"/>
  <c r="L10" i="113" s="1"/>
  <c r="K15" i="113"/>
  <c r="L15" i="113" s="1"/>
  <c r="K14" i="113"/>
  <c r="L14" i="113" s="1"/>
  <c r="K18" i="113"/>
  <c r="L18" i="113" s="1"/>
  <c r="K17" i="113"/>
  <c r="L17" i="113" s="1"/>
  <c r="K22" i="113"/>
  <c r="L22" i="113" s="1"/>
  <c r="K21" i="113"/>
  <c r="L21" i="113" s="1"/>
  <c r="K20" i="113"/>
  <c r="L20" i="113" s="1"/>
  <c r="K27" i="113"/>
  <c r="L27" i="113" s="1"/>
  <c r="K26" i="113"/>
  <c r="L26" i="113" s="1"/>
  <c r="K24" i="113"/>
  <c r="L24" i="113" s="1"/>
  <c r="K23" i="113"/>
  <c r="L23" i="113" s="1"/>
  <c r="K13" i="113"/>
  <c r="L13" i="113" s="1"/>
  <c r="K11" i="113"/>
  <c r="L11" i="113" s="1"/>
  <c r="K12" i="113"/>
  <c r="L12" i="113" s="1"/>
  <c r="AE21" i="3"/>
  <c r="AH45" i="3"/>
  <c r="H16" i="34"/>
  <c r="O15" i="34"/>
  <c r="Z64" i="3"/>
  <c r="L34" i="34"/>
  <c r="M20" i="34"/>
  <c r="AH31" i="3"/>
  <c r="AE47" i="3"/>
  <c r="AH72" i="3"/>
  <c r="AG78" i="3"/>
  <c r="AA25" i="3"/>
  <c r="X63" i="3"/>
  <c r="AF42" i="3"/>
  <c r="G29" i="34"/>
  <c r="AH51" i="3"/>
  <c r="AF47" i="3"/>
  <c r="AE22" i="3"/>
  <c r="AH77" i="3"/>
  <c r="P35" i="34"/>
  <c r="Y68" i="3"/>
  <c r="J26" i="34"/>
  <c r="AH83" i="3"/>
  <c r="AG63" i="3"/>
  <c r="AC73" i="3"/>
  <c r="Y25" i="3"/>
  <c r="AB37" i="3"/>
  <c r="AC47" i="3"/>
  <c r="H38" i="34"/>
  <c r="AF15" i="3"/>
  <c r="AD53" i="3"/>
  <c r="F30" i="34"/>
  <c r="AE42" i="3"/>
  <c r="AB22" i="3"/>
  <c r="AC12" i="3"/>
  <c r="X37" i="3"/>
  <c r="AC11" i="3"/>
  <c r="AH38" i="3"/>
  <c r="Y77" i="3"/>
  <c r="N25" i="34"/>
  <c r="AH46" i="3"/>
  <c r="AH19" i="3"/>
  <c r="AC37" i="3"/>
  <c r="AF16" i="3"/>
  <c r="AB74" i="3"/>
  <c r="AE68" i="3"/>
  <c r="AA63" i="3"/>
  <c r="K19" i="34"/>
  <c r="AF21" i="3"/>
  <c r="N33" i="34"/>
  <c r="AD37" i="3"/>
  <c r="H18" i="34"/>
  <c r="Y42" i="3"/>
  <c r="I15" i="34"/>
  <c r="X51" i="3"/>
  <c r="AC17" i="3"/>
  <c r="AE73" i="3"/>
  <c r="AE11" i="3"/>
  <c r="AC43" i="3"/>
  <c r="Y13" i="3"/>
  <c r="H33" i="34"/>
  <c r="AE41" i="3"/>
  <c r="Z67" i="3"/>
  <c r="Y16" i="3"/>
  <c r="AG55" i="3"/>
  <c r="H25" i="34"/>
  <c r="Z55" i="3"/>
  <c r="AJ55" i="3" s="1"/>
  <c r="AF81" i="3"/>
  <c r="K28" i="34"/>
  <c r="J29" i="34"/>
  <c r="AE63" i="3"/>
  <c r="Y63" i="3"/>
  <c r="Y39" i="3"/>
  <c r="F34" i="34"/>
  <c r="Z12" i="3"/>
  <c r="AF83" i="3"/>
  <c r="X43" i="3"/>
  <c r="AJ43" i="3" s="1"/>
  <c r="AC50" i="3"/>
  <c r="AF24" i="3"/>
  <c r="AJ24" i="3" s="1"/>
  <c r="N20" i="34"/>
  <c r="O33" i="34"/>
  <c r="AH48" i="3"/>
  <c r="I24" i="34"/>
  <c r="AF76" i="3"/>
  <c r="AE15" i="3"/>
  <c r="P34" i="34"/>
  <c r="C34" i="34" s="1"/>
  <c r="AE67" i="3"/>
  <c r="AF11" i="3"/>
  <c r="AD68" i="3"/>
  <c r="N15" i="34"/>
  <c r="AF67" i="3"/>
  <c r="F21" i="34"/>
  <c r="C21" i="34" s="1"/>
  <c r="C51" i="34" s="1"/>
  <c r="J51" i="34" s="1"/>
  <c r="AH17" i="3"/>
  <c r="K21" i="34"/>
  <c r="R21" i="34" s="1"/>
  <c r="AA11" i="3"/>
  <c r="M30" i="34"/>
  <c r="D72" i="5"/>
  <c r="AB11" i="3"/>
  <c r="N29" i="34"/>
  <c r="AE83" i="3"/>
  <c r="G15" i="34"/>
  <c r="J25" i="34"/>
  <c r="F15" i="34"/>
  <c r="C15" i="34" s="1"/>
  <c r="N31" i="34"/>
  <c r="AF50" i="3"/>
  <c r="AD56" i="3"/>
  <c r="I35" i="34"/>
  <c r="AH30" i="3"/>
  <c r="R81" i="3"/>
  <c r="K20" i="34"/>
  <c r="AG81" i="3"/>
  <c r="R69" i="3"/>
  <c r="X69" i="3"/>
  <c r="AG64" i="3"/>
  <c r="Y76" i="3"/>
  <c r="I29" i="34"/>
  <c r="AB44" i="3"/>
  <c r="AF41" i="3"/>
  <c r="K18" i="34"/>
  <c r="AG27" i="3"/>
  <c r="AG68" i="3"/>
  <c r="I32" i="34"/>
  <c r="O32" i="34"/>
  <c r="I33" i="34"/>
  <c r="G33" i="34"/>
  <c r="R63" i="3"/>
  <c r="L15" i="34"/>
  <c r="G39" i="34"/>
  <c r="AB42" i="3"/>
  <c r="J19" i="34"/>
  <c r="AD16" i="3"/>
  <c r="Y55" i="3"/>
  <c r="Y24" i="3"/>
  <c r="Z77" i="3"/>
  <c r="AA15" i="3"/>
  <c r="AD14" i="3"/>
  <c r="AH69" i="3"/>
  <c r="X12" i="3"/>
  <c r="AC28" i="3"/>
  <c r="AG16" i="3"/>
  <c r="AD45" i="3"/>
  <c r="AH16" i="3"/>
  <c r="X38" i="3"/>
  <c r="X26" i="3"/>
  <c r="Y45" i="3"/>
  <c r="K32" i="34"/>
  <c r="K35" i="34"/>
  <c r="AG39" i="3"/>
  <c r="AA51" i="3"/>
  <c r="AB67" i="3"/>
  <c r="AG42" i="3"/>
  <c r="AG34" i="3"/>
  <c r="AH42" i="3"/>
  <c r="Y50" i="3"/>
  <c r="AB46" i="3"/>
  <c r="AC66" i="3"/>
  <c r="R82" i="3"/>
  <c r="Y29" i="3"/>
  <c r="X15" i="3"/>
  <c r="AF64" i="3"/>
  <c r="AA28" i="3"/>
  <c r="AB15" i="3"/>
  <c r="AH43" i="3"/>
  <c r="AD19" i="3"/>
  <c r="AH20" i="3"/>
  <c r="Y19" i="3"/>
  <c r="AF63" i="3"/>
  <c r="AG12" i="3"/>
  <c r="AD42" i="3"/>
  <c r="AE26" i="3"/>
  <c r="AF12" i="3"/>
  <c r="AG28" i="3"/>
  <c r="H23" i="34"/>
  <c r="AE54" i="3"/>
  <c r="AF14" i="3"/>
  <c r="X78" i="3"/>
  <c r="Z49" i="3"/>
  <c r="H20" i="34"/>
  <c r="X13" i="3"/>
  <c r="C33" i="34"/>
  <c r="D33" i="34" s="1"/>
  <c r="AD66" i="3"/>
  <c r="AA81" i="3"/>
  <c r="AG86" i="3"/>
  <c r="H30" i="34"/>
  <c r="AB23" i="3"/>
  <c r="L18" i="34"/>
  <c r="Z71" i="3"/>
  <c r="R85" i="3"/>
  <c r="Z21" i="3"/>
  <c r="R68" i="3"/>
  <c r="F16" i="34"/>
  <c r="AC42" i="3"/>
  <c r="AA80" i="3"/>
  <c r="AE20" i="3"/>
  <c r="AA29" i="3"/>
  <c r="AG54" i="3"/>
  <c r="X40" i="3"/>
  <c r="H37" i="34"/>
  <c r="AB49" i="3"/>
  <c r="Z81" i="3"/>
  <c r="X67" i="3"/>
  <c r="Z16" i="3"/>
  <c r="AC54" i="3"/>
  <c r="F26" i="34"/>
  <c r="C26" i="34" s="1"/>
  <c r="AC14" i="3"/>
  <c r="AE78" i="3"/>
  <c r="AD11" i="3"/>
  <c r="AF40" i="3"/>
  <c r="AH68" i="3"/>
  <c r="Z47" i="3"/>
  <c r="Z85" i="3"/>
  <c r="AF74" i="3"/>
  <c r="O38" i="34"/>
  <c r="AD73" i="3"/>
  <c r="AD30" i="3"/>
  <c r="AG50" i="3"/>
  <c r="AG59" i="3"/>
  <c r="X24" i="3"/>
  <c r="C19" i="34"/>
  <c r="C49" i="34" s="1"/>
  <c r="AD80" i="3"/>
  <c r="AF72" i="3"/>
  <c r="AE48" i="3"/>
  <c r="AH82" i="3"/>
  <c r="H19" i="34"/>
  <c r="AA68" i="3"/>
  <c r="F29" i="34"/>
  <c r="C29" i="34" s="1"/>
  <c r="D29" i="34" s="1"/>
  <c r="AE64" i="3"/>
  <c r="AH53" i="3"/>
  <c r="AB76" i="3"/>
  <c r="AC19" i="3"/>
  <c r="Y41" i="3"/>
  <c r="AB66" i="3"/>
  <c r="R78" i="3"/>
  <c r="AF39" i="3"/>
  <c r="Y47" i="3"/>
  <c r="AA33" i="3"/>
  <c r="AC45" i="3"/>
  <c r="D90" i="5"/>
  <c r="AD21" i="3"/>
  <c r="I20" i="34"/>
  <c r="I26" i="34"/>
  <c r="L16" i="34"/>
  <c r="L27" i="34"/>
  <c r="R66" i="3"/>
  <c r="Z41" i="3"/>
  <c r="R67" i="3"/>
  <c r="K23" i="34"/>
  <c r="AB68" i="3"/>
  <c r="P18" i="34"/>
  <c r="C18" i="34" s="1"/>
  <c r="D18" i="34" s="1"/>
  <c r="O37" i="34"/>
  <c r="X25" i="3"/>
  <c r="AG33" i="3"/>
  <c r="X19" i="3"/>
  <c r="AA48" i="3"/>
  <c r="D96" i="5"/>
  <c r="R86" i="3"/>
  <c r="AD23" i="3"/>
  <c r="L25" i="34"/>
  <c r="AA31" i="3"/>
  <c r="X46" i="3"/>
  <c r="X45" i="3"/>
  <c r="H26" i="34"/>
  <c r="Z14" i="3"/>
  <c r="AD15" i="3"/>
  <c r="AA22" i="3"/>
  <c r="AH50" i="3"/>
  <c r="Y21" i="3"/>
  <c r="AD12" i="3"/>
  <c r="P25" i="34"/>
  <c r="AF66" i="3"/>
  <c r="AB71" i="3"/>
  <c r="AH21" i="3"/>
  <c r="M34" i="34"/>
  <c r="R34" i="34" s="1"/>
  <c r="Z34" i="3"/>
  <c r="AE82" i="3"/>
  <c r="AE39" i="3"/>
  <c r="F25" i="34"/>
  <c r="AB47" i="3"/>
  <c r="AE23" i="3"/>
  <c r="X66" i="3"/>
  <c r="J23" i="34"/>
  <c r="X41" i="3"/>
  <c r="AG21" i="3"/>
  <c r="D82" i="5"/>
  <c r="AB28" i="3"/>
  <c r="AA83" i="3"/>
  <c r="AE49" i="3"/>
  <c r="AC15" i="3"/>
  <c r="AH40" i="3"/>
  <c r="Z22" i="3"/>
  <c r="AD78" i="3"/>
  <c r="D97" i="5"/>
  <c r="AD26" i="3"/>
  <c r="G25" i="34"/>
  <c r="H29" i="34"/>
  <c r="AB50" i="3"/>
  <c r="X30" i="3"/>
  <c r="X56" i="3"/>
  <c r="P19" i="34"/>
  <c r="AE13" i="3"/>
  <c r="X47" i="3"/>
  <c r="AH47" i="3"/>
  <c r="D89" i="5"/>
  <c r="L19" i="34"/>
  <c r="AH74" i="3"/>
  <c r="AB19" i="3"/>
  <c r="I39" i="34"/>
  <c r="J32" i="34"/>
  <c r="AD49" i="3"/>
  <c r="R72" i="3"/>
  <c r="Z40" i="3"/>
  <c r="Z74" i="3"/>
  <c r="AH28" i="3"/>
  <c r="R73" i="3"/>
  <c r="AD52" i="3"/>
  <c r="Z51" i="3"/>
  <c r="R64" i="3"/>
  <c r="AB73" i="3"/>
  <c r="Z26" i="3"/>
  <c r="AH41" i="3"/>
  <c r="AE56" i="3"/>
  <c r="AE30" i="3"/>
  <c r="AD28" i="3"/>
  <c r="D81" i="5"/>
  <c r="P26" i="34"/>
  <c r="AH67" i="3"/>
  <c r="D76" i="5"/>
  <c r="L23" i="34"/>
  <c r="AD34" i="3"/>
  <c r="AB80" i="3"/>
  <c r="AB16" i="3"/>
  <c r="Z59" i="3"/>
  <c r="M27" i="34"/>
  <c r="X73" i="3"/>
  <c r="Y20" i="3"/>
  <c r="AF48" i="3"/>
  <c r="X54" i="3"/>
  <c r="F32" i="34"/>
  <c r="I16" i="34"/>
  <c r="AG72" i="3"/>
  <c r="AF34" i="3"/>
  <c r="AG46" i="3"/>
  <c r="AD46" i="3"/>
  <c r="G24" i="34"/>
  <c r="AB57" i="3"/>
  <c r="AF25" i="3"/>
  <c r="Z53" i="3"/>
  <c r="J35" i="34"/>
  <c r="R77" i="3"/>
  <c r="AA12" i="3"/>
  <c r="AE60" i="3"/>
  <c r="R80" i="3"/>
  <c r="Y78" i="3"/>
  <c r="Y46" i="3"/>
  <c r="AF77" i="3"/>
  <c r="I38" i="34"/>
  <c r="AB83" i="3"/>
  <c r="M24" i="34"/>
  <c r="AG76" i="3"/>
  <c r="X80" i="3"/>
  <c r="X48" i="3"/>
  <c r="AC48" i="3"/>
  <c r="AD38" i="3"/>
  <c r="G27" i="34"/>
  <c r="Y54" i="3"/>
  <c r="G23" i="34"/>
  <c r="AA20" i="3"/>
  <c r="G18" i="34"/>
  <c r="AF26" i="3"/>
  <c r="AH80" i="3"/>
  <c r="R71" i="3"/>
  <c r="K26" i="34"/>
  <c r="G32" i="34"/>
  <c r="Y33" i="3"/>
  <c r="AE34" i="3"/>
  <c r="O23" i="34"/>
  <c r="N23" i="34"/>
  <c r="AG45" i="3"/>
  <c r="AA67" i="3"/>
  <c r="AF33" i="3"/>
  <c r="G16" i="34"/>
  <c r="AA86" i="3"/>
  <c r="AA53" i="3"/>
  <c r="AA85" i="3"/>
  <c r="AB72" i="3"/>
  <c r="AC21" i="3"/>
  <c r="AC74" i="3"/>
  <c r="AH24" i="3"/>
  <c r="AD74" i="3"/>
  <c r="Y14" i="3"/>
  <c r="M37" i="34"/>
  <c r="O28" i="34"/>
  <c r="R28" i="34" s="1"/>
  <c r="Y28" i="3"/>
  <c r="J27" i="34"/>
  <c r="Z52" i="3"/>
  <c r="G37" i="34"/>
  <c r="AE46" i="3"/>
  <c r="AH26" i="3"/>
  <c r="P16" i="34"/>
  <c r="X28" i="3"/>
  <c r="Y52" i="3"/>
  <c r="AH64" i="3"/>
  <c r="AD20" i="3"/>
  <c r="N38" i="34"/>
  <c r="Y75" i="3"/>
  <c r="P32" i="34"/>
  <c r="AD22" i="3"/>
  <c r="L24" i="34"/>
  <c r="AA41" i="3"/>
  <c r="AF52" i="3"/>
  <c r="J14" i="34"/>
  <c r="AD44" i="3"/>
  <c r="AG19" i="3"/>
  <c r="AA34" i="3"/>
  <c r="AA64" i="3"/>
  <c r="I37" i="34"/>
  <c r="D77" i="5"/>
  <c r="L26" i="34"/>
  <c r="AE33" i="3"/>
  <c r="G17" i="34"/>
  <c r="Y49" i="3"/>
  <c r="N37" i="34"/>
  <c r="O18" i="34"/>
  <c r="AC23" i="3"/>
  <c r="AB39" i="3"/>
  <c r="Z60" i="3"/>
  <c r="R83" i="3"/>
  <c r="K38" i="34"/>
  <c r="R75" i="3"/>
  <c r="M38" i="34"/>
  <c r="D78" i="5"/>
  <c r="N30" i="34"/>
  <c r="Y64" i="3"/>
  <c r="D87" i="5"/>
  <c r="K27" i="34"/>
  <c r="I23" i="34"/>
  <c r="Y66" i="3"/>
  <c r="AE85" i="3"/>
  <c r="AC34" i="3"/>
  <c r="M26" i="34"/>
  <c r="AC60" i="3"/>
  <c r="AH34" i="3"/>
  <c r="L32" i="34"/>
  <c r="AH52" i="3"/>
  <c r="AF59" i="3"/>
  <c r="Y26" i="3"/>
  <c r="AG52" i="3"/>
  <c r="AF71" i="3"/>
  <c r="Y38" i="3"/>
  <c r="AA71" i="3"/>
  <c r="AJ71" i="3" s="1"/>
  <c r="AF57" i="3"/>
  <c r="Z39" i="3"/>
  <c r="AA19" i="3"/>
  <c r="AH27" i="3"/>
  <c r="AF45" i="3"/>
  <c r="AC31" i="3"/>
  <c r="AB20" i="3"/>
  <c r="L38" i="34"/>
  <c r="AC49" i="3"/>
  <c r="AG26" i="3"/>
  <c r="X39" i="3"/>
  <c r="R76" i="3"/>
  <c r="AD51" i="3"/>
  <c r="AD25" i="3"/>
  <c r="AB24" i="3"/>
  <c r="AC38" i="3"/>
  <c r="AG14" i="3"/>
  <c r="AH60" i="3"/>
  <c r="Z80" i="3"/>
  <c r="Z54" i="3"/>
  <c r="Z28" i="3"/>
  <c r="X14" i="3"/>
  <c r="AG40" i="3"/>
  <c r="AF60" i="3"/>
  <c r="P38" i="34"/>
  <c r="L29" i="34"/>
  <c r="C30" i="34"/>
  <c r="AC83" i="3"/>
  <c r="AD86" i="3"/>
  <c r="K16" i="34"/>
  <c r="N35" i="34"/>
  <c r="AH13" i="3"/>
  <c r="AF20" i="3"/>
  <c r="P36" i="34"/>
  <c r="C36" i="34" s="1"/>
  <c r="X22" i="3"/>
  <c r="AH85" i="3"/>
  <c r="AH33" i="3"/>
  <c r="AH59" i="3"/>
  <c r="P37" i="34"/>
  <c r="C37" i="34" s="1"/>
  <c r="AF38" i="3"/>
  <c r="R74" i="3"/>
  <c r="Z75" i="3"/>
  <c r="Z23" i="3"/>
  <c r="I14" i="34"/>
  <c r="AE31" i="3"/>
  <c r="AE57" i="3"/>
  <c r="AB85" i="3"/>
  <c r="AB59" i="3"/>
  <c r="AB33" i="3"/>
  <c r="M17" i="34"/>
  <c r="Y85" i="3"/>
  <c r="Y59" i="3"/>
  <c r="F35" i="34"/>
  <c r="C35" i="34" s="1"/>
  <c r="C65" i="34" s="1"/>
  <c r="AH75" i="3"/>
  <c r="AH23" i="3"/>
  <c r="AD83" i="3"/>
  <c r="AD31" i="3"/>
  <c r="AD57" i="3"/>
  <c r="P27" i="34"/>
  <c r="C27" i="34" s="1"/>
  <c r="AC85" i="3"/>
  <c r="AC59" i="3"/>
  <c r="AC33" i="3"/>
  <c r="F38" i="34"/>
  <c r="X60" i="3"/>
  <c r="X34" i="3"/>
  <c r="AE12" i="3"/>
  <c r="M16" i="34"/>
  <c r="AG83" i="3"/>
  <c r="AG57" i="3"/>
  <c r="AG31" i="3"/>
  <c r="O35" i="34"/>
  <c r="AI74" i="107"/>
  <c r="AJ38" i="107"/>
  <c r="Q29" i="107"/>
  <c r="R65" i="107"/>
  <c r="Z65" i="107"/>
  <c r="AA29" i="107"/>
  <c r="AG80" i="107"/>
  <c r="AF44" i="107"/>
  <c r="Q64" i="107"/>
  <c r="P28" i="107"/>
  <c r="W70" i="107"/>
  <c r="V34" i="107"/>
  <c r="N52" i="107"/>
  <c r="O16" i="107"/>
  <c r="AJ75" i="107"/>
  <c r="AK39" i="107"/>
  <c r="AK75" i="107" s="1"/>
  <c r="AH72" i="107"/>
  <c r="AI36" i="107"/>
  <c r="O53" i="107"/>
  <c r="P17" i="107"/>
  <c r="M61" i="107"/>
  <c r="L25" i="107"/>
  <c r="K58" i="107"/>
  <c r="J22" i="107"/>
  <c r="Z64" i="107"/>
  <c r="AA28" i="107"/>
  <c r="AE78" i="107"/>
  <c r="AD42" i="107"/>
  <c r="AD69" i="107"/>
  <c r="AE33" i="107"/>
  <c r="Z73" i="107"/>
  <c r="Y37" i="107"/>
  <c r="R66" i="107"/>
  <c r="Q30" i="107"/>
  <c r="AE79" i="107"/>
  <c r="AD43" i="107"/>
  <c r="V61" i="107"/>
  <c r="W25" i="107"/>
  <c r="L59" i="107"/>
  <c r="K23" i="107"/>
  <c r="AH73" i="107"/>
  <c r="AI37" i="107"/>
  <c r="R56" i="107"/>
  <c r="S20" i="107"/>
  <c r="O54" i="107"/>
  <c r="P18" i="107"/>
  <c r="P55" i="107"/>
  <c r="Q19" i="107"/>
  <c r="Y86" i="3"/>
  <c r="Y60" i="3"/>
  <c r="Y34" i="3"/>
  <c r="G38" i="34"/>
  <c r="AE70" i="107"/>
  <c r="AF34" i="107"/>
  <c r="U68" i="107"/>
  <c r="T32" i="107"/>
  <c r="I56" i="107"/>
  <c r="H20" i="107"/>
  <c r="H56" i="107" s="1"/>
  <c r="AD35" i="3"/>
  <c r="K12" i="25"/>
  <c r="K39" i="34"/>
  <c r="L14" i="34"/>
  <c r="Y74" i="107"/>
  <c r="X38" i="107"/>
  <c r="N62" i="107"/>
  <c r="M26" i="107"/>
  <c r="R57" i="107"/>
  <c r="S21" i="107"/>
  <c r="AC76" i="107"/>
  <c r="AB40" i="107"/>
  <c r="J39" i="34"/>
  <c r="AB66" i="107"/>
  <c r="AC30" i="107"/>
  <c r="AB67" i="107"/>
  <c r="AC31" i="107"/>
  <c r="V69" i="107"/>
  <c r="U33" i="107"/>
  <c r="N14" i="34"/>
  <c r="X62" i="107"/>
  <c r="Y26" i="107"/>
  <c r="AF71" i="107"/>
  <c r="AG35" i="107"/>
  <c r="Y72" i="107"/>
  <c r="X36" i="107"/>
  <c r="X63" i="107"/>
  <c r="Y27" i="107"/>
  <c r="X71" i="107"/>
  <c r="W35" i="107"/>
  <c r="AC77" i="107"/>
  <c r="AB41" i="107"/>
  <c r="AC68" i="107"/>
  <c r="AD32" i="107"/>
  <c r="T58" i="107"/>
  <c r="U22" i="107"/>
  <c r="N36" i="34"/>
  <c r="T67" i="107"/>
  <c r="S31" i="107"/>
  <c r="P63" i="107"/>
  <c r="O27" i="107"/>
  <c r="L60" i="107"/>
  <c r="K24" i="107"/>
  <c r="V60" i="107"/>
  <c r="W24" i="107"/>
  <c r="L51" i="107"/>
  <c r="M15" i="107"/>
  <c r="U59" i="107"/>
  <c r="V23" i="107"/>
  <c r="AA75" i="107"/>
  <c r="Z39" i="107"/>
  <c r="J57" i="107"/>
  <c r="I21" i="107"/>
  <c r="C60" i="34"/>
  <c r="K60" i="34" s="1"/>
  <c r="D30" i="34"/>
  <c r="E192" i="5" s="1"/>
  <c r="AC61" i="3"/>
  <c r="Y58" i="3"/>
  <c r="X58" i="3"/>
  <c r="L31" i="34"/>
  <c r="N17" i="34"/>
  <c r="H39" i="34"/>
  <c r="C99" i="5" a="1"/>
  <c r="C99" i="5" s="1"/>
  <c r="C106" i="5" a="1"/>
  <c r="C106" i="5" s="1"/>
  <c r="AE44" i="3"/>
  <c r="AF13" i="3"/>
  <c r="AC32" i="3"/>
  <c r="C102" i="5" a="1"/>
  <c r="C102" i="5" s="1"/>
  <c r="C121" i="5" a="1"/>
  <c r="C121" i="5" s="1"/>
  <c r="L12" i="25"/>
  <c r="O31" i="34"/>
  <c r="I12" i="25"/>
  <c r="O14" i="34"/>
  <c r="C118" i="5" a="1"/>
  <c r="C118" i="5" s="1"/>
  <c r="F10" i="25"/>
  <c r="K36" i="34"/>
  <c r="AG53" i="3"/>
  <c r="AE27" i="3"/>
  <c r="F11" i="25"/>
  <c r="I10" i="25"/>
  <c r="AE53" i="3"/>
  <c r="AG58" i="3"/>
  <c r="M12" i="25"/>
  <c r="AH62" i="3"/>
  <c r="O12" i="25"/>
  <c r="D85" i="5"/>
  <c r="D84" i="5"/>
  <c r="AB70" i="3"/>
  <c r="AB18" i="3"/>
  <c r="AB61" i="3"/>
  <c r="AD10" i="3"/>
  <c r="C28" i="34"/>
  <c r="M11" i="25"/>
  <c r="N11" i="25"/>
  <c r="Z79" i="3"/>
  <c r="Z27" i="3"/>
  <c r="AB35" i="3"/>
  <c r="AB65" i="3"/>
  <c r="AB13" i="3"/>
  <c r="Z36" i="3"/>
  <c r="AB10" i="3"/>
  <c r="X62" i="3"/>
  <c r="R62" i="3"/>
  <c r="D86" i="5"/>
  <c r="D93" i="5"/>
  <c r="AH70" i="3"/>
  <c r="AH18" i="3"/>
  <c r="P22" i="34"/>
  <c r="C22" i="34" s="1"/>
  <c r="N12" i="25"/>
  <c r="Y32" i="3"/>
  <c r="F14" i="34"/>
  <c r="M10" i="25"/>
  <c r="K11" i="25"/>
  <c r="AB32" i="3"/>
  <c r="AG36" i="3"/>
  <c r="G31" i="34"/>
  <c r="I11" i="25"/>
  <c r="AC70" i="3"/>
  <c r="K22" i="34"/>
  <c r="AC18" i="3"/>
  <c r="C23" i="34"/>
  <c r="C24" i="34"/>
  <c r="AF84" i="3"/>
  <c r="AF32" i="3"/>
  <c r="AG87" i="3"/>
  <c r="AG35" i="3"/>
  <c r="AH35" i="3"/>
  <c r="Y62" i="3"/>
  <c r="Y10" i="3"/>
  <c r="F12" i="25"/>
  <c r="D94" i="5"/>
  <c r="B124" i="5"/>
  <c r="C136" i="5" s="1" a="1"/>
  <c r="C136" i="5" s="1"/>
  <c r="C115" i="5" a="1"/>
  <c r="C115" i="5" s="1"/>
  <c r="C114" i="5" a="1"/>
  <c r="C114" i="5" s="1"/>
  <c r="C112" i="5" a="1"/>
  <c r="C112" i="5" s="1"/>
  <c r="C111" i="5" a="1"/>
  <c r="C111" i="5" s="1"/>
  <c r="C108" i="5" a="1"/>
  <c r="C108" i="5" s="1"/>
  <c r="X70" i="3"/>
  <c r="R70" i="3"/>
  <c r="AC58" i="3"/>
  <c r="AD36" i="3"/>
  <c r="G10" i="25"/>
  <c r="X79" i="3"/>
  <c r="R79" i="3"/>
  <c r="X27" i="3"/>
  <c r="AA65" i="3"/>
  <c r="AA13" i="3"/>
  <c r="I17" i="34"/>
  <c r="K14" i="34"/>
  <c r="AB36" i="3"/>
  <c r="D74" i="5"/>
  <c r="AD84" i="3"/>
  <c r="L36" i="34"/>
  <c r="AF87" i="3"/>
  <c r="AF35" i="3"/>
  <c r="C104" i="5" a="1"/>
  <c r="C104" i="5" s="1"/>
  <c r="C113" i="5" a="1"/>
  <c r="C113" i="5" s="1"/>
  <c r="C110" i="5" a="1"/>
  <c r="C110" i="5" s="1"/>
  <c r="D80" i="5"/>
  <c r="AB58" i="3"/>
  <c r="L10" i="25"/>
  <c r="P14" i="34"/>
  <c r="AH44" i="3"/>
  <c r="AA58" i="3"/>
  <c r="AD18" i="3"/>
  <c r="AC10" i="3"/>
  <c r="Z65" i="3"/>
  <c r="Z13" i="3"/>
  <c r="J36" i="34"/>
  <c r="AD27" i="3"/>
  <c r="AG32" i="3"/>
  <c r="AC65" i="3"/>
  <c r="AC13" i="3"/>
  <c r="O10" i="25"/>
  <c r="Z61" i="3"/>
  <c r="AF62" i="3"/>
  <c r="AF10" i="3"/>
  <c r="C103" i="5" a="1"/>
  <c r="C103" i="5" s="1"/>
  <c r="C123" i="5" a="1"/>
  <c r="C123" i="5" s="1"/>
  <c r="C120" i="5" a="1"/>
  <c r="C120" i="5" s="1"/>
  <c r="C109" i="5" a="1"/>
  <c r="C109" i="5" s="1"/>
  <c r="C100" i="5" a="1"/>
  <c r="C100" i="5" s="1"/>
  <c r="AG70" i="3"/>
  <c r="O22" i="34"/>
  <c r="AG18" i="3"/>
  <c r="AH58" i="3"/>
  <c r="AG61" i="3"/>
  <c r="AJ37" i="3"/>
  <c r="AE10" i="3"/>
  <c r="L22" i="34"/>
  <c r="J11" i="25"/>
  <c r="AE32" i="3"/>
  <c r="D92" i="5"/>
  <c r="G11" i="25"/>
  <c r="N39" i="34"/>
  <c r="AH32" i="3"/>
  <c r="G12" i="25"/>
  <c r="D95" i="5"/>
  <c r="C119" i="5" a="1"/>
  <c r="C119" i="5" s="1"/>
  <c r="AE70" i="3"/>
  <c r="AE18" i="3"/>
  <c r="AD32" i="3"/>
  <c r="C101" i="5" a="1"/>
  <c r="C101" i="5" s="1"/>
  <c r="L11" i="25"/>
  <c r="AA35" i="3"/>
  <c r="F31" i="34"/>
  <c r="AB79" i="3"/>
  <c r="AB27" i="3"/>
  <c r="X65" i="3"/>
  <c r="R65" i="3"/>
  <c r="AE58" i="3"/>
  <c r="AA84" i="3"/>
  <c r="AA32" i="3"/>
  <c r="M39" i="34"/>
  <c r="D27" i="34"/>
  <c r="C57" i="34"/>
  <c r="AA61" i="3"/>
  <c r="C116" i="5" a="1"/>
  <c r="C116" i="5" s="1"/>
  <c r="D88" i="5"/>
  <c r="C122" i="5" a="1"/>
  <c r="C122" i="5" s="1"/>
  <c r="AA70" i="3"/>
  <c r="AA18" i="3"/>
  <c r="I22" i="34"/>
  <c r="AE61" i="3"/>
  <c r="Y53" i="3"/>
  <c r="AE36" i="3"/>
  <c r="P31" i="34"/>
  <c r="AF79" i="3"/>
  <c r="AF27" i="3"/>
  <c r="AG65" i="3"/>
  <c r="AG13" i="3"/>
  <c r="AC39" i="3"/>
  <c r="D98" i="5"/>
  <c r="AF70" i="3"/>
  <c r="AF18" i="3"/>
  <c r="N22" i="34"/>
  <c r="AD61" i="3"/>
  <c r="AC44" i="3"/>
  <c r="F39" i="34"/>
  <c r="C59" i="34"/>
  <c r="L39" i="34"/>
  <c r="D73" i="5"/>
  <c r="Z84" i="3"/>
  <c r="Z32" i="3"/>
  <c r="H14" i="34"/>
  <c r="X84" i="3"/>
  <c r="R84" i="3"/>
  <c r="AH87" i="3"/>
  <c r="P39" i="34"/>
  <c r="J10" i="25"/>
  <c r="M14" i="34"/>
  <c r="AC35" i="3"/>
  <c r="Z70" i="3"/>
  <c r="Z18" i="3"/>
  <c r="H22" i="34"/>
  <c r="AJ77" i="3"/>
  <c r="D83" i="5"/>
  <c r="H12" i="25"/>
  <c r="H10" i="25"/>
  <c r="X35" i="3"/>
  <c r="X18" i="3"/>
  <c r="AA10" i="3"/>
  <c r="AH10" i="3"/>
  <c r="Z35" i="3"/>
  <c r="C20" i="34"/>
  <c r="H36" i="34"/>
  <c r="Y87" i="3"/>
  <c r="Y35" i="3"/>
  <c r="AC62" i="3"/>
  <c r="J12" i="25"/>
  <c r="Y27" i="3"/>
  <c r="C117" i="5" a="1"/>
  <c r="C117" i="5" s="1"/>
  <c r="C107" i="5" a="1"/>
  <c r="C107" i="5" s="1"/>
  <c r="C105" i="5" a="1"/>
  <c r="C105" i="5" s="1"/>
  <c r="Y70" i="3"/>
  <c r="Y18" i="3"/>
  <c r="G22" i="34"/>
  <c r="AD58" i="3"/>
  <c r="X32" i="3"/>
  <c r="H11" i="25"/>
  <c r="O11" i="25"/>
  <c r="M31" i="34"/>
  <c r="AC79" i="3"/>
  <c r="AC27" i="3"/>
  <c r="P17" i="34"/>
  <c r="C17" i="34" s="1"/>
  <c r="AD65" i="3"/>
  <c r="AD13" i="3"/>
  <c r="K10" i="25"/>
  <c r="M36" i="34"/>
  <c r="O39" i="34"/>
  <c r="X87" i="3"/>
  <c r="R87" i="3"/>
  <c r="AE35" i="3"/>
  <c r="N10" i="25"/>
  <c r="G14" i="34"/>
  <c r="D75" i="5"/>
  <c r="D79" i="5"/>
  <c r="B227" i="5"/>
  <c r="E201" i="5"/>
  <c r="O36" i="34"/>
  <c r="AF61" i="3"/>
  <c r="X44" i="3"/>
  <c r="AA36" i="3"/>
  <c r="AH36" i="3"/>
  <c r="K31" i="34"/>
  <c r="AA79" i="3"/>
  <c r="AA27" i="3"/>
  <c r="L17" i="34"/>
  <c r="Z10" i="3"/>
  <c r="X10" i="3"/>
  <c r="AG10" i="3"/>
  <c r="D24" i="2" l="1"/>
  <c r="D12" i="88"/>
  <c r="D10" i="88"/>
  <c r="E24" i="2"/>
  <c r="AJ68" i="3"/>
  <c r="AJ16" i="3"/>
  <c r="AJ56" i="3"/>
  <c r="AJ81" i="3"/>
  <c r="AJ14" i="3"/>
  <c r="AJ78" i="3"/>
  <c r="C16" i="34"/>
  <c r="R15" i="34"/>
  <c r="AJ17" i="3"/>
  <c r="O17" i="100" s="1"/>
  <c r="R30" i="34"/>
  <c r="R26" i="34"/>
  <c r="AJ47" i="3"/>
  <c r="AJ11" i="3"/>
  <c r="AJ63" i="3"/>
  <c r="AJ76" i="3"/>
  <c r="AJ29" i="3"/>
  <c r="R19" i="34"/>
  <c r="R20" i="34"/>
  <c r="AJ69" i="3"/>
  <c r="G69" i="100" s="1"/>
  <c r="R33" i="34"/>
  <c r="C45" i="34"/>
  <c r="J45" i="34" s="1"/>
  <c r="J37" i="100" s="1"/>
  <c r="D15" i="34"/>
  <c r="D45" i="34" s="1"/>
  <c r="D21" i="34"/>
  <c r="E79" i="5" s="1"/>
  <c r="R25" i="34"/>
  <c r="AJ82" i="3"/>
  <c r="C127" i="5" a="1"/>
  <c r="C127" i="5" s="1"/>
  <c r="AJ50" i="3"/>
  <c r="D19" i="34"/>
  <c r="E25" i="5" s="1"/>
  <c r="AJ19" i="3"/>
  <c r="AJ67" i="3"/>
  <c r="C147" i="5" a="1"/>
  <c r="C147" i="5" s="1"/>
  <c r="AJ64" i="3"/>
  <c r="AJ46" i="3"/>
  <c r="AJ42" i="3"/>
  <c r="AJ28" i="3"/>
  <c r="AJ48" i="3"/>
  <c r="D102" i="5"/>
  <c r="C63" i="34"/>
  <c r="N63" i="34" s="1"/>
  <c r="N29" i="100" s="1"/>
  <c r="AJ20" i="3"/>
  <c r="AJ86" i="3"/>
  <c r="R32" i="34"/>
  <c r="C25" i="34"/>
  <c r="AJ73" i="3"/>
  <c r="AJ41" i="3"/>
  <c r="AJ51" i="3"/>
  <c r="AJ52" i="3"/>
  <c r="K52" i="100" s="1"/>
  <c r="AJ80" i="3"/>
  <c r="AJ30" i="3"/>
  <c r="AJ34" i="3"/>
  <c r="AJ74" i="3"/>
  <c r="AJ66" i="3"/>
  <c r="AJ15" i="3"/>
  <c r="E36" i="5"/>
  <c r="C48" i="34"/>
  <c r="J48" i="34" s="1"/>
  <c r="G60" i="34"/>
  <c r="AJ21" i="3"/>
  <c r="R23" i="34"/>
  <c r="O60" i="34"/>
  <c r="N60" i="34"/>
  <c r="N78" i="100" s="1"/>
  <c r="AJ57" i="3"/>
  <c r="AJ85" i="3"/>
  <c r="R29" i="34"/>
  <c r="AJ25" i="3"/>
  <c r="AJ45" i="3"/>
  <c r="AJ26" i="3"/>
  <c r="K26" i="100" s="1"/>
  <c r="AJ75" i="3"/>
  <c r="AJ49" i="3"/>
  <c r="D52" i="100"/>
  <c r="AJ31" i="3"/>
  <c r="AJ22" i="3"/>
  <c r="R37" i="34"/>
  <c r="AJ72" i="3"/>
  <c r="R27" i="34"/>
  <c r="R24" i="34"/>
  <c r="D106" i="5"/>
  <c r="AJ83" i="3"/>
  <c r="R18" i="34"/>
  <c r="AJ38" i="3"/>
  <c r="R16" i="34"/>
  <c r="AJ53" i="3"/>
  <c r="AJ12" i="3"/>
  <c r="AJ40" i="3"/>
  <c r="D78" i="100"/>
  <c r="L60" i="34"/>
  <c r="E88" i="5"/>
  <c r="G51" i="34"/>
  <c r="G43" i="100" s="1"/>
  <c r="C38" i="34"/>
  <c r="C68" i="34" s="1"/>
  <c r="AJ23" i="3"/>
  <c r="D118" i="5"/>
  <c r="M51" i="34"/>
  <c r="M43" i="100" s="1"/>
  <c r="AJ39" i="3"/>
  <c r="AJ33" i="3"/>
  <c r="E218" i="5"/>
  <c r="K51" i="34"/>
  <c r="P60" i="34"/>
  <c r="O51" i="34"/>
  <c r="AJ44" i="3"/>
  <c r="E166" i="5"/>
  <c r="F60" i="34"/>
  <c r="D35" i="34"/>
  <c r="E223" i="5" s="1"/>
  <c r="AJ60" i="3"/>
  <c r="E140" i="5"/>
  <c r="D60" i="34"/>
  <c r="M60" i="34"/>
  <c r="R38" i="34"/>
  <c r="N51" i="34"/>
  <c r="E114" i="5"/>
  <c r="F51" i="34"/>
  <c r="F43" i="100" s="1"/>
  <c r="C130" i="5" a="1"/>
  <c r="C130" i="5" s="1"/>
  <c r="E62" i="5"/>
  <c r="R35" i="34"/>
  <c r="C137" i="5" a="1"/>
  <c r="C137" i="5" s="1"/>
  <c r="C141" i="5" a="1"/>
  <c r="C141" i="5" s="1"/>
  <c r="D26" i="100"/>
  <c r="I60" i="34"/>
  <c r="AJ59" i="3"/>
  <c r="AJ54" i="3"/>
  <c r="H60" i="34"/>
  <c r="J60" i="34"/>
  <c r="C32" i="34"/>
  <c r="L51" i="34"/>
  <c r="L43" i="100" s="1"/>
  <c r="H51" i="34"/>
  <c r="C149" i="5" a="1"/>
  <c r="C149" i="5" s="1"/>
  <c r="P64" i="107"/>
  <c r="O28" i="107"/>
  <c r="AE44" i="107"/>
  <c r="AF80" i="107"/>
  <c r="AA65" i="107"/>
  <c r="AB29" i="107"/>
  <c r="Q65" i="107"/>
  <c r="P29" i="107"/>
  <c r="AJ74" i="107"/>
  <c r="AK38" i="107"/>
  <c r="AK74" i="107" s="1"/>
  <c r="M51" i="107"/>
  <c r="N15" i="107"/>
  <c r="X72" i="107"/>
  <c r="W36" i="107"/>
  <c r="W61" i="107"/>
  <c r="X25" i="107"/>
  <c r="AE69" i="107"/>
  <c r="AF33" i="107"/>
  <c r="P53" i="107"/>
  <c r="Q17" i="107"/>
  <c r="R39" i="34"/>
  <c r="Q11" i="25"/>
  <c r="AJ87" i="3"/>
  <c r="I51" i="34"/>
  <c r="I43" i="100" s="1"/>
  <c r="C39" i="34"/>
  <c r="C69" i="34" s="1"/>
  <c r="G69" i="34" s="1"/>
  <c r="C139" i="5" a="1"/>
  <c r="C139" i="5" s="1"/>
  <c r="W60" i="107"/>
  <c r="X24" i="107"/>
  <c r="U58" i="107"/>
  <c r="V22" i="107"/>
  <c r="AG71" i="107"/>
  <c r="AH35" i="107"/>
  <c r="Q55" i="107"/>
  <c r="R19" i="107"/>
  <c r="AD78" i="107"/>
  <c r="AC42" i="107"/>
  <c r="AI72" i="107"/>
  <c r="AJ36" i="107"/>
  <c r="C132" i="5" a="1"/>
  <c r="C132" i="5" s="1"/>
  <c r="K60" i="107"/>
  <c r="J24" i="107"/>
  <c r="AD68" i="107"/>
  <c r="AE32" i="107"/>
  <c r="Y62" i="107"/>
  <c r="Z26" i="107"/>
  <c r="AB76" i="107"/>
  <c r="AA40" i="107"/>
  <c r="P54" i="107"/>
  <c r="Q18" i="107"/>
  <c r="AD79" i="107"/>
  <c r="AC43" i="107"/>
  <c r="AA64" i="107"/>
  <c r="AB28" i="107"/>
  <c r="AJ84" i="3"/>
  <c r="R17" i="34"/>
  <c r="R36" i="34"/>
  <c r="I57" i="107"/>
  <c r="H21" i="107"/>
  <c r="H57" i="107" s="1"/>
  <c r="O63" i="107"/>
  <c r="N27" i="107"/>
  <c r="AB77" i="107"/>
  <c r="AA41" i="107"/>
  <c r="S57" i="107"/>
  <c r="T21" i="107"/>
  <c r="T68" i="107"/>
  <c r="S32" i="107"/>
  <c r="S56" i="107"/>
  <c r="T20" i="107"/>
  <c r="D121" i="5"/>
  <c r="U69" i="107"/>
  <c r="T33" i="107"/>
  <c r="O52" i="107"/>
  <c r="P16" i="107"/>
  <c r="D99" i="5"/>
  <c r="Z75" i="107"/>
  <c r="Y39" i="107"/>
  <c r="S67" i="107"/>
  <c r="R31" i="107"/>
  <c r="W71" i="107"/>
  <c r="V35" i="107"/>
  <c r="M62" i="107"/>
  <c r="L26" i="107"/>
  <c r="AF70" i="107"/>
  <c r="AG34" i="107"/>
  <c r="AI73" i="107"/>
  <c r="AJ37" i="107"/>
  <c r="Q66" i="107"/>
  <c r="P30" i="107"/>
  <c r="J58" i="107"/>
  <c r="I22" i="107"/>
  <c r="P51" i="34"/>
  <c r="C148" i="5" a="1"/>
  <c r="C148" i="5" s="1"/>
  <c r="AC67" i="107"/>
  <c r="AD31" i="107"/>
  <c r="V70" i="107"/>
  <c r="U34" i="107"/>
  <c r="V59" i="107"/>
  <c r="W23" i="107"/>
  <c r="Y63" i="107"/>
  <c r="Z27" i="107"/>
  <c r="X74" i="107"/>
  <c r="W38" i="107"/>
  <c r="K59" i="107"/>
  <c r="J23" i="107"/>
  <c r="Y73" i="107"/>
  <c r="X37" i="107"/>
  <c r="L61" i="107"/>
  <c r="K25" i="107"/>
  <c r="C144" i="5" a="1"/>
  <c r="C144" i="5" s="1"/>
  <c r="AC66" i="107"/>
  <c r="AD30" i="107"/>
  <c r="AJ13" i="3"/>
  <c r="C134" i="5" a="1"/>
  <c r="C134" i="5" s="1"/>
  <c r="R14" i="34"/>
  <c r="AJ61" i="3"/>
  <c r="R31" i="34"/>
  <c r="AJ58" i="3"/>
  <c r="Q10" i="25"/>
  <c r="C129" i="5" a="1"/>
  <c r="C129" i="5" s="1"/>
  <c r="R22" i="34"/>
  <c r="AJ36" i="3"/>
  <c r="D17" i="34"/>
  <c r="C47" i="34"/>
  <c r="C52" i="34"/>
  <c r="D22" i="34"/>
  <c r="D105" i="5"/>
  <c r="P63" i="34"/>
  <c r="P81" i="100" s="1"/>
  <c r="F57" i="34"/>
  <c r="F75" i="100" s="1"/>
  <c r="L57" i="34"/>
  <c r="H57" i="34"/>
  <c r="H23" i="100" s="1"/>
  <c r="K57" i="34"/>
  <c r="K23" i="100" s="1"/>
  <c r="N57" i="34"/>
  <c r="N23" i="100" s="1"/>
  <c r="G57" i="34"/>
  <c r="P57" i="34"/>
  <c r="M57" i="34"/>
  <c r="I57" i="34"/>
  <c r="J57" i="34"/>
  <c r="O57" i="34"/>
  <c r="C31" i="34"/>
  <c r="E203" i="5"/>
  <c r="E73" i="5"/>
  <c r="D112" i="5"/>
  <c r="C128" i="5" a="1"/>
  <c r="C128" i="5" s="1"/>
  <c r="D107" i="5"/>
  <c r="O63" i="34"/>
  <c r="O81" i="100" s="1"/>
  <c r="D57" i="34"/>
  <c r="E59" i="5"/>
  <c r="E215" i="5"/>
  <c r="D23" i="100"/>
  <c r="D49" i="100"/>
  <c r="E137" i="5"/>
  <c r="E85" i="5"/>
  <c r="E163" i="5"/>
  <c r="E189" i="5"/>
  <c r="E111" i="5"/>
  <c r="D75" i="100"/>
  <c r="E33" i="5"/>
  <c r="D100" i="5"/>
  <c r="D110" i="5"/>
  <c r="C143" i="5" a="1"/>
  <c r="C143" i="5" s="1"/>
  <c r="C50" i="34"/>
  <c r="D20" i="34"/>
  <c r="AJ32" i="3"/>
  <c r="D117" i="5"/>
  <c r="D16" i="34"/>
  <c r="C46" i="34"/>
  <c r="D119" i="5"/>
  <c r="D109" i="5"/>
  <c r="F45" i="34"/>
  <c r="F11" i="100" s="1"/>
  <c r="D24" i="34"/>
  <c r="C54" i="34"/>
  <c r="E139" i="5"/>
  <c r="D51" i="100"/>
  <c r="E217" i="5"/>
  <c r="D59" i="34"/>
  <c r="E87" i="5"/>
  <c r="D77" i="100"/>
  <c r="E191" i="5"/>
  <c r="E35" i="5"/>
  <c r="E113" i="5"/>
  <c r="E165" i="5"/>
  <c r="E61" i="5"/>
  <c r="D25" i="100"/>
  <c r="D120" i="5"/>
  <c r="D113" i="5"/>
  <c r="P45" i="34"/>
  <c r="P37" i="100" s="1"/>
  <c r="AJ10" i="3"/>
  <c r="O59" i="34"/>
  <c r="L59" i="34"/>
  <c r="L77" i="100" s="1"/>
  <c r="J59" i="34"/>
  <c r="J77" i="100" s="1"/>
  <c r="G59" i="34"/>
  <c r="P59" i="34"/>
  <c r="N59" i="34"/>
  <c r="M59" i="34"/>
  <c r="F59" i="34"/>
  <c r="H59" i="34"/>
  <c r="H77" i="100" s="1"/>
  <c r="I59" i="34"/>
  <c r="I77" i="100" s="1"/>
  <c r="K59" i="34"/>
  <c r="K77" i="100" s="1"/>
  <c r="D104" i="5"/>
  <c r="AJ70" i="3"/>
  <c r="M49" i="34"/>
  <c r="L49" i="34"/>
  <c r="F49" i="34"/>
  <c r="J49" i="34"/>
  <c r="G49" i="34"/>
  <c r="K49" i="34"/>
  <c r="O49" i="34"/>
  <c r="I49" i="34"/>
  <c r="H49" i="34"/>
  <c r="N49" i="34"/>
  <c r="P49" i="34"/>
  <c r="J43" i="100"/>
  <c r="C56" i="34"/>
  <c r="D26" i="34"/>
  <c r="H63" i="34"/>
  <c r="H29" i="100" s="1"/>
  <c r="D123" i="5"/>
  <c r="AJ27" i="3"/>
  <c r="D114" i="5"/>
  <c r="D41" i="100"/>
  <c r="E129" i="5"/>
  <c r="C135" i="5" a="1"/>
  <c r="C135" i="5" s="1"/>
  <c r="C67" i="34"/>
  <c r="D37" i="34"/>
  <c r="D122" i="5"/>
  <c r="C64" i="34"/>
  <c r="D34" i="34"/>
  <c r="D103" i="5"/>
  <c r="D115" i="5"/>
  <c r="C142" i="5" a="1"/>
  <c r="C142" i="5" s="1"/>
  <c r="D28" i="34"/>
  <c r="C58" i="34"/>
  <c r="D51" i="34"/>
  <c r="J69" i="100"/>
  <c r="I63" i="34"/>
  <c r="I29" i="100" s="1"/>
  <c r="D101" i="5"/>
  <c r="AJ79" i="3"/>
  <c r="M45" i="34"/>
  <c r="M37" i="100" s="1"/>
  <c r="C124" i="5" a="1"/>
  <c r="C124" i="5" s="1"/>
  <c r="C138" i="5" a="1"/>
  <c r="C138" i="5" s="1"/>
  <c r="C125" i="5" a="1"/>
  <c r="C125" i="5" s="1"/>
  <c r="E76" i="5"/>
  <c r="E24" i="5"/>
  <c r="E154" i="5"/>
  <c r="E50" i="5"/>
  <c r="D66" i="100"/>
  <c r="D48" i="34"/>
  <c r="E206" i="5"/>
  <c r="E128" i="5"/>
  <c r="E180" i="5"/>
  <c r="E102" i="5"/>
  <c r="D40" i="100"/>
  <c r="D14" i="100"/>
  <c r="D23" i="34"/>
  <c r="C53" i="34"/>
  <c r="I227" i="5"/>
  <c r="E227" i="5"/>
  <c r="O227" i="5"/>
  <c r="H227" i="5"/>
  <c r="P227" i="5"/>
  <c r="K227" i="5"/>
  <c r="M227" i="5"/>
  <c r="J227" i="5"/>
  <c r="L227" i="5"/>
  <c r="G227" i="5"/>
  <c r="N227" i="5"/>
  <c r="AJ18" i="3"/>
  <c r="P78" i="100"/>
  <c r="M78" i="100"/>
  <c r="G78" i="100"/>
  <c r="K78" i="100"/>
  <c r="O78" i="100"/>
  <c r="O45" i="34"/>
  <c r="O11" i="100" s="1"/>
  <c r="D108" i="5"/>
  <c r="C133" i="5" a="1"/>
  <c r="C133" i="5" s="1"/>
  <c r="AJ35" i="3"/>
  <c r="D116" i="5"/>
  <c r="AJ65" i="3"/>
  <c r="D111" i="5"/>
  <c r="AJ62" i="3"/>
  <c r="D127" i="5"/>
  <c r="D136" i="5"/>
  <c r="B150" i="5"/>
  <c r="C166" i="5" s="1" a="1"/>
  <c r="C166" i="5" s="1"/>
  <c r="C145" i="5" a="1"/>
  <c r="C145" i="5" s="1"/>
  <c r="C140" i="5" a="1"/>
  <c r="C140" i="5" s="1"/>
  <c r="C146" i="5" a="1"/>
  <c r="C146" i="5" s="1"/>
  <c r="C131" i="5" a="1"/>
  <c r="C131" i="5" s="1"/>
  <c r="C126" i="5" a="1"/>
  <c r="C126" i="5" s="1"/>
  <c r="Q12" i="25"/>
  <c r="C14" i="34"/>
  <c r="N65" i="34"/>
  <c r="O65" i="34"/>
  <c r="J65" i="34"/>
  <c r="G65" i="34"/>
  <c r="L65" i="34"/>
  <c r="K65" i="34"/>
  <c r="I65" i="34"/>
  <c r="F65" i="34"/>
  <c r="F57" i="100" s="1"/>
  <c r="P65" i="34"/>
  <c r="P57" i="100" s="1"/>
  <c r="H65" i="34"/>
  <c r="H57" i="100" s="1"/>
  <c r="M65" i="34"/>
  <c r="C66" i="34"/>
  <c r="D36" i="34"/>
  <c r="E39" i="5"/>
  <c r="D63" i="34"/>
  <c r="D29" i="100"/>
  <c r="E91" i="5"/>
  <c r="E117" i="5"/>
  <c r="E143" i="5"/>
  <c r="E221" i="5"/>
  <c r="E169" i="5"/>
  <c r="E195" i="5"/>
  <c r="D55" i="100"/>
  <c r="D81" i="100"/>
  <c r="E65" i="5"/>
  <c r="D21" i="2" l="1"/>
  <c r="D20" i="2"/>
  <c r="D19" i="2"/>
  <c r="N205" i="5"/>
  <c r="O226" i="5"/>
  <c r="G223" i="5"/>
  <c r="J213" i="5"/>
  <c r="K215" i="5"/>
  <c r="L221" i="5"/>
  <c r="O210" i="5"/>
  <c r="K225" i="5"/>
  <c r="I206" i="5"/>
  <c r="L225" i="5"/>
  <c r="H222" i="5"/>
  <c r="M224" i="5"/>
  <c r="J224" i="5"/>
  <c r="I212" i="5"/>
  <c r="N222" i="5"/>
  <c r="M219" i="5"/>
  <c r="K224" i="5"/>
  <c r="K207" i="5"/>
  <c r="G218" i="5"/>
  <c r="L223" i="5"/>
  <c r="P225" i="5"/>
  <c r="I205" i="5"/>
  <c r="M211" i="5"/>
  <c r="M213" i="5"/>
  <c r="J226" i="5"/>
  <c r="O203" i="5"/>
  <c r="J210" i="5"/>
  <c r="H207" i="5"/>
  <c r="P221" i="5"/>
  <c r="H216" i="5"/>
  <c r="P215" i="5"/>
  <c r="J214" i="5"/>
  <c r="N212" i="5"/>
  <c r="L213" i="5"/>
  <c r="J204" i="5"/>
  <c r="O213" i="5"/>
  <c r="M214" i="5"/>
  <c r="H212" i="5"/>
  <c r="O225" i="5"/>
  <c r="L222" i="5"/>
  <c r="O204" i="5"/>
  <c r="N226" i="5"/>
  <c r="I207" i="5"/>
  <c r="G222" i="5"/>
  <c r="I213" i="5"/>
  <c r="K220" i="5"/>
  <c r="P204" i="5"/>
  <c r="O217" i="5"/>
  <c r="P214" i="5"/>
  <c r="K214" i="5"/>
  <c r="H213" i="5"/>
  <c r="P211" i="5"/>
  <c r="I209" i="5"/>
  <c r="I220" i="5"/>
  <c r="N211" i="5"/>
  <c r="G225" i="5"/>
  <c r="M204" i="5"/>
  <c r="I208" i="5"/>
  <c r="G204" i="5"/>
  <c r="P216" i="5"/>
  <c r="N214" i="5"/>
  <c r="K211" i="5"/>
  <c r="P223" i="5"/>
  <c r="N203" i="5"/>
  <c r="I216" i="5"/>
  <c r="K219" i="5"/>
  <c r="J215" i="5"/>
  <c r="I210" i="5"/>
  <c r="N216" i="5"/>
  <c r="N219" i="5"/>
  <c r="K205" i="5"/>
  <c r="O214" i="5"/>
  <c r="K209" i="5"/>
  <c r="H225" i="5"/>
  <c r="M209" i="5"/>
  <c r="J222" i="5"/>
  <c r="G209" i="5"/>
  <c r="J211" i="5"/>
  <c r="O223" i="5"/>
  <c r="I214" i="5"/>
  <c r="J216" i="5"/>
  <c r="O221" i="5"/>
  <c r="N213" i="5"/>
  <c r="N220" i="5"/>
  <c r="M217" i="5"/>
  <c r="N207" i="5"/>
  <c r="P207" i="5"/>
  <c r="P203" i="5"/>
  <c r="I218" i="5"/>
  <c r="L204" i="5"/>
  <c r="L219" i="5"/>
  <c r="N225" i="5"/>
  <c r="I224" i="5"/>
  <c r="L206" i="5"/>
  <c r="I223" i="5"/>
  <c r="O208" i="5"/>
  <c r="M215" i="5"/>
  <c r="L214" i="5"/>
  <c r="G211" i="5"/>
  <c r="K208" i="5"/>
  <c r="H205" i="5"/>
  <c r="G221" i="5"/>
  <c r="M222" i="5"/>
  <c r="J221" i="5"/>
  <c r="G224" i="5"/>
  <c r="L226" i="5"/>
  <c r="O207" i="5"/>
  <c r="G226" i="5"/>
  <c r="P218" i="5"/>
  <c r="O215" i="5"/>
  <c r="H204" i="5"/>
  <c r="H203" i="5"/>
  <c r="L203" i="5"/>
  <c r="G216" i="5"/>
  <c r="P210" i="5"/>
  <c r="H217" i="5"/>
  <c r="L209" i="5"/>
  <c r="M208" i="5"/>
  <c r="M221" i="5"/>
  <c r="L216" i="5"/>
  <c r="N206" i="5"/>
  <c r="P213" i="5"/>
  <c r="P205" i="5"/>
  <c r="K223" i="5"/>
  <c r="H219" i="5"/>
  <c r="N204" i="5"/>
  <c r="J219" i="5"/>
  <c r="I217" i="5"/>
  <c r="G220" i="5"/>
  <c r="L224" i="5"/>
  <c r="O206" i="5"/>
  <c r="M223" i="5"/>
  <c r="P212" i="5"/>
  <c r="H206" i="5"/>
  <c r="K206" i="5"/>
  <c r="P224" i="5"/>
  <c r="O216" i="5"/>
  <c r="K218" i="5"/>
  <c r="M218" i="5"/>
  <c r="J223" i="5"/>
  <c r="L217" i="5"/>
  <c r="N221" i="5"/>
  <c r="N210" i="5"/>
  <c r="M207" i="5"/>
  <c r="H214" i="5"/>
  <c r="H211" i="5"/>
  <c r="I219" i="5"/>
  <c r="N215" i="5"/>
  <c r="K212" i="5"/>
  <c r="O222" i="5"/>
  <c r="J225" i="5"/>
  <c r="O205" i="5"/>
  <c r="K217" i="5"/>
  <c r="L211" i="5"/>
  <c r="H220" i="5"/>
  <c r="N209" i="5"/>
  <c r="K222" i="5"/>
  <c r="M212" i="5"/>
  <c r="L218" i="5"/>
  <c r="L207" i="5"/>
  <c r="O212" i="5"/>
  <c r="K210" i="5"/>
  <c r="O220" i="5"/>
  <c r="G219" i="5"/>
  <c r="H226" i="5"/>
  <c r="I221" i="5"/>
  <c r="L220" i="5"/>
  <c r="G205" i="5"/>
  <c r="G213" i="5"/>
  <c r="L205" i="5"/>
  <c r="G214" i="5"/>
  <c r="G212" i="5"/>
  <c r="I222" i="5"/>
  <c r="P220" i="5"/>
  <c r="J205" i="5"/>
  <c r="J217" i="5"/>
  <c r="N218" i="5"/>
  <c r="K203" i="5"/>
  <c r="N223" i="5"/>
  <c r="J206" i="5"/>
  <c r="J208" i="5"/>
  <c r="H208" i="5"/>
  <c r="J209" i="5"/>
  <c r="P219" i="5"/>
  <c r="J203" i="5"/>
  <c r="K226" i="5"/>
  <c r="M206" i="5"/>
  <c r="P208" i="5"/>
  <c r="J220" i="5"/>
  <c r="H218" i="5"/>
  <c r="K221" i="5"/>
  <c r="N217" i="5"/>
  <c r="I203" i="5"/>
  <c r="H209" i="5"/>
  <c r="K204" i="5"/>
  <c r="N208" i="5"/>
  <c r="O218" i="5"/>
  <c r="O211" i="5"/>
  <c r="G208" i="5"/>
  <c r="I215" i="5"/>
  <c r="I211" i="5"/>
  <c r="M225" i="5"/>
  <c r="J207" i="5"/>
  <c r="I204" i="5"/>
  <c r="M210" i="5"/>
  <c r="H210" i="5"/>
  <c r="G206" i="5"/>
  <c r="G217" i="5"/>
  <c r="H215" i="5"/>
  <c r="N224" i="5"/>
  <c r="P206" i="5"/>
  <c r="G215" i="5"/>
  <c r="P209" i="5"/>
  <c r="O219" i="5"/>
  <c r="H224" i="5"/>
  <c r="L212" i="5"/>
  <c r="M203" i="5"/>
  <c r="M205" i="5"/>
  <c r="J218" i="5"/>
  <c r="P226" i="5"/>
  <c r="P217" i="5"/>
  <c r="G207" i="5"/>
  <c r="I225" i="5"/>
  <c r="L208" i="5"/>
  <c r="M220" i="5"/>
  <c r="L215" i="5"/>
  <c r="H223" i="5"/>
  <c r="L210" i="5"/>
  <c r="I226" i="5"/>
  <c r="K213" i="5"/>
  <c r="M216" i="5"/>
  <c r="G210" i="5"/>
  <c r="O209" i="5"/>
  <c r="H221" i="5"/>
  <c r="K216" i="5"/>
  <c r="J212" i="5"/>
  <c r="M226" i="5"/>
  <c r="P222" i="5"/>
  <c r="O224" i="5"/>
  <c r="G203" i="5"/>
  <c r="E27" i="5"/>
  <c r="E183" i="5"/>
  <c r="E53" i="5"/>
  <c r="E21" i="5"/>
  <c r="G17" i="100"/>
  <c r="K45" i="34"/>
  <c r="K11" i="100" s="1"/>
  <c r="M52" i="100"/>
  <c r="G52" i="100"/>
  <c r="L45" i="34"/>
  <c r="L63" i="100" s="1"/>
  <c r="N69" i="100"/>
  <c r="J17" i="100"/>
  <c r="N69" i="34"/>
  <c r="D69" i="100"/>
  <c r="E151" i="5"/>
  <c r="O69" i="100"/>
  <c r="P69" i="34"/>
  <c r="D130" i="5"/>
  <c r="D43" i="100"/>
  <c r="D67" i="100"/>
  <c r="H41" i="100"/>
  <c r="I45" i="34"/>
  <c r="I37" i="100" s="1"/>
  <c r="D37" i="100"/>
  <c r="P17" i="100"/>
  <c r="P52" i="100"/>
  <c r="J11" i="100"/>
  <c r="F52" i="100"/>
  <c r="J63" i="100"/>
  <c r="E157" i="5"/>
  <c r="P41" i="100"/>
  <c r="G45" i="34"/>
  <c r="G63" i="100" s="1"/>
  <c r="D63" i="100"/>
  <c r="H45" i="34"/>
  <c r="H37" i="100" s="1"/>
  <c r="H69" i="100"/>
  <c r="N41" i="100"/>
  <c r="E209" i="5"/>
  <c r="E207" i="5"/>
  <c r="E125" i="5"/>
  <c r="O49" i="100"/>
  <c r="K69" i="100"/>
  <c r="E47" i="5"/>
  <c r="L41" i="100"/>
  <c r="D11" i="100"/>
  <c r="E131" i="5"/>
  <c r="L69" i="100"/>
  <c r="D17" i="100"/>
  <c r="E99" i="5"/>
  <c r="E105" i="5"/>
  <c r="E177" i="5"/>
  <c r="H17" i="100"/>
  <c r="N45" i="34"/>
  <c r="N11" i="100" s="1"/>
  <c r="K57" i="100"/>
  <c r="G63" i="34"/>
  <c r="G29" i="100" s="1"/>
  <c r="O57" i="100"/>
  <c r="D147" i="5"/>
  <c r="E103" i="5"/>
  <c r="I23" i="100"/>
  <c r="I57" i="100"/>
  <c r="L57" i="100"/>
  <c r="H63" i="100"/>
  <c r="P61" i="100"/>
  <c r="D49" i="34"/>
  <c r="O75" i="100"/>
  <c r="N57" i="100"/>
  <c r="K63" i="34"/>
  <c r="K29" i="100" s="1"/>
  <c r="E155" i="5"/>
  <c r="E77" i="5"/>
  <c r="G67" i="100"/>
  <c r="N61" i="100"/>
  <c r="E51" i="5"/>
  <c r="J63" i="34"/>
  <c r="J29" i="100" s="1"/>
  <c r="D15" i="100"/>
  <c r="F63" i="34"/>
  <c r="F29" i="100" s="1"/>
  <c r="I11" i="100"/>
  <c r="L23" i="100"/>
  <c r="J57" i="100"/>
  <c r="E181" i="5"/>
  <c r="D137" i="5"/>
  <c r="H11" i="100"/>
  <c r="G49" i="100"/>
  <c r="D132" i="5"/>
  <c r="O52" i="100"/>
  <c r="F78" i="100"/>
  <c r="I41" i="100"/>
  <c r="P48" i="34"/>
  <c r="P40" i="100" s="1"/>
  <c r="F25" i="100"/>
  <c r="M17" i="100"/>
  <c r="P63" i="100"/>
  <c r="H48" i="34"/>
  <c r="N25" i="100"/>
  <c r="D139" i="5"/>
  <c r="S14" i="34"/>
  <c r="S37" i="34"/>
  <c r="K48" i="34"/>
  <c r="K40" i="100" s="1"/>
  <c r="K41" i="100"/>
  <c r="F23" i="100"/>
  <c r="M57" i="100"/>
  <c r="E93" i="5"/>
  <c r="O48" i="34"/>
  <c r="O40" i="100" s="1"/>
  <c r="O43" i="100"/>
  <c r="J41" i="100"/>
  <c r="P51" i="100"/>
  <c r="O23" i="100"/>
  <c r="H52" i="100"/>
  <c r="L17" i="100"/>
  <c r="O41" i="100"/>
  <c r="C55" i="34"/>
  <c r="D25" i="34"/>
  <c r="I49" i="100"/>
  <c r="M25" i="100"/>
  <c r="E145" i="5"/>
  <c r="F48" i="34"/>
  <c r="F40" i="100" s="1"/>
  <c r="N43" i="100"/>
  <c r="F41" i="100"/>
  <c r="J23" i="100"/>
  <c r="O26" i="100"/>
  <c r="M63" i="34"/>
  <c r="L63" i="34"/>
  <c r="E171" i="5"/>
  <c r="M48" i="34"/>
  <c r="M40" i="100" s="1"/>
  <c r="G26" i="100"/>
  <c r="G48" i="34"/>
  <c r="G40" i="100" s="1"/>
  <c r="M41" i="100"/>
  <c r="M23" i="100"/>
  <c r="S38" i="34"/>
  <c r="O25" i="100"/>
  <c r="P23" i="100"/>
  <c r="I26" i="100"/>
  <c r="L26" i="100"/>
  <c r="K75" i="100"/>
  <c r="R60" i="34"/>
  <c r="I52" i="100"/>
  <c r="F26" i="100"/>
  <c r="S22" i="34"/>
  <c r="N52" i="100"/>
  <c r="M69" i="100"/>
  <c r="N48" i="34"/>
  <c r="N40" i="100" s="1"/>
  <c r="L52" i="100"/>
  <c r="M26" i="100"/>
  <c r="N26" i="100"/>
  <c r="S30" i="34"/>
  <c r="S32" i="34"/>
  <c r="N17" i="100"/>
  <c r="D57" i="100"/>
  <c r="I75" i="100"/>
  <c r="P49" i="100"/>
  <c r="L48" i="34"/>
  <c r="L14" i="100" s="1"/>
  <c r="P26" i="100"/>
  <c r="L78" i="100"/>
  <c r="C163" i="5" a="1"/>
  <c r="C163" i="5" s="1"/>
  <c r="D163" i="5" s="1"/>
  <c r="E119" i="5"/>
  <c r="H75" i="100"/>
  <c r="I63" i="100"/>
  <c r="L49" i="100"/>
  <c r="I48" i="34"/>
  <c r="I40" i="100" s="1"/>
  <c r="D144" i="5"/>
  <c r="J26" i="100"/>
  <c r="D31" i="100"/>
  <c r="E41" i="5"/>
  <c r="L75" i="100"/>
  <c r="R51" i="34"/>
  <c r="H26" i="100"/>
  <c r="S35" i="34"/>
  <c r="G75" i="100"/>
  <c r="S17" i="34"/>
  <c r="I69" i="100"/>
  <c r="E197" i="5"/>
  <c r="H43" i="100"/>
  <c r="P69" i="100"/>
  <c r="J52" i="100"/>
  <c r="S18" i="34"/>
  <c r="I67" i="100"/>
  <c r="P43" i="100"/>
  <c r="K43" i="100"/>
  <c r="E67" i="5"/>
  <c r="K17" i="100"/>
  <c r="D65" i="34"/>
  <c r="N63" i="100"/>
  <c r="K49" i="100"/>
  <c r="S26" i="34"/>
  <c r="D38" i="34"/>
  <c r="D34" i="100" s="1"/>
  <c r="M75" i="100"/>
  <c r="D149" i="5"/>
  <c r="H49" i="100"/>
  <c r="F69" i="100"/>
  <c r="N49" i="100"/>
  <c r="F17" i="100"/>
  <c r="D129" i="5"/>
  <c r="S20" i="34"/>
  <c r="I78" i="100"/>
  <c r="F49" i="100"/>
  <c r="I17" i="100"/>
  <c r="J78" i="100"/>
  <c r="F37" i="100"/>
  <c r="D148" i="5"/>
  <c r="S34" i="34"/>
  <c r="D83" i="100"/>
  <c r="K63" i="100"/>
  <c r="D141" i="5"/>
  <c r="S16" i="34"/>
  <c r="H78" i="100"/>
  <c r="F63" i="100"/>
  <c r="M49" i="100"/>
  <c r="H81" i="100"/>
  <c r="C62" i="34"/>
  <c r="D32" i="34"/>
  <c r="N67" i="100"/>
  <c r="K69" i="34"/>
  <c r="K61" i="100" s="1"/>
  <c r="J69" i="34"/>
  <c r="J61" i="100" s="1"/>
  <c r="H69" i="34"/>
  <c r="H61" i="100" s="1"/>
  <c r="I69" i="34"/>
  <c r="I61" i="100" s="1"/>
  <c r="M69" i="34"/>
  <c r="M61" i="100" s="1"/>
  <c r="F69" i="34"/>
  <c r="F61" i="100" s="1"/>
  <c r="L69" i="34"/>
  <c r="L61" i="100" s="1"/>
  <c r="O69" i="34"/>
  <c r="O61" i="100" s="1"/>
  <c r="P75" i="100"/>
  <c r="O67" i="100"/>
  <c r="L51" i="100"/>
  <c r="N68" i="34"/>
  <c r="M68" i="34"/>
  <c r="I68" i="34"/>
  <c r="J68" i="34"/>
  <c r="P68" i="34"/>
  <c r="F68" i="34"/>
  <c r="O68" i="34"/>
  <c r="H68" i="34"/>
  <c r="L68" i="34"/>
  <c r="K68" i="34"/>
  <c r="G68" i="34"/>
  <c r="P65" i="107"/>
  <c r="O29" i="107"/>
  <c r="AB65" i="107"/>
  <c r="AC29" i="107"/>
  <c r="AE80" i="107"/>
  <c r="AD44" i="107"/>
  <c r="O64" i="107"/>
  <c r="N28" i="107"/>
  <c r="N77" i="100"/>
  <c r="AG70" i="107"/>
  <c r="AH34" i="107"/>
  <c r="P52" i="107"/>
  <c r="Q16" i="107"/>
  <c r="AA76" i="107"/>
  <c r="Z40" i="107"/>
  <c r="D134" i="5"/>
  <c r="J59" i="107"/>
  <c r="I23" i="107"/>
  <c r="AD67" i="107"/>
  <c r="AE31" i="107"/>
  <c r="T57" i="107"/>
  <c r="U21" i="107"/>
  <c r="AJ72" i="107"/>
  <c r="AK36" i="107"/>
  <c r="AK72" i="107" s="1"/>
  <c r="X60" i="107"/>
  <c r="Y24" i="107"/>
  <c r="L62" i="107"/>
  <c r="K26" i="107"/>
  <c r="T69" i="107"/>
  <c r="S33" i="107"/>
  <c r="Z62" i="107"/>
  <c r="AA26" i="107"/>
  <c r="Q53" i="107"/>
  <c r="R17" i="107"/>
  <c r="M63" i="100"/>
  <c r="W74" i="107"/>
  <c r="V38" i="107"/>
  <c r="AA77" i="107"/>
  <c r="Z41" i="107"/>
  <c r="AC78" i="107"/>
  <c r="AB42" i="107"/>
  <c r="V71" i="107"/>
  <c r="U35" i="107"/>
  <c r="AE68" i="107"/>
  <c r="AF32" i="107"/>
  <c r="AF69" i="107"/>
  <c r="AG33" i="107"/>
  <c r="M67" i="100"/>
  <c r="I51" i="100"/>
  <c r="Z63" i="107"/>
  <c r="AA27" i="107"/>
  <c r="N63" i="107"/>
  <c r="M27" i="107"/>
  <c r="C171" i="5" a="1"/>
  <c r="C171" i="5" s="1"/>
  <c r="P67" i="100"/>
  <c r="K37" i="100"/>
  <c r="AD66" i="107"/>
  <c r="AE30" i="107"/>
  <c r="I58" i="107"/>
  <c r="H22" i="107"/>
  <c r="H58" i="107" s="1"/>
  <c r="R67" i="107"/>
  <c r="Q31" i="107"/>
  <c r="AB64" i="107"/>
  <c r="AC28" i="107"/>
  <c r="J60" i="107"/>
  <c r="I24" i="107"/>
  <c r="X61" i="107"/>
  <c r="Y25" i="107"/>
  <c r="C150" i="5" a="1"/>
  <c r="C150" i="5" s="1"/>
  <c r="R55" i="107"/>
  <c r="S19" i="107"/>
  <c r="P66" i="107"/>
  <c r="O30" i="107"/>
  <c r="Y75" i="107"/>
  <c r="X39" i="107"/>
  <c r="AC79" i="107"/>
  <c r="AB43" i="107"/>
  <c r="W72" i="107"/>
  <c r="V36" i="107"/>
  <c r="O31" i="100"/>
  <c r="K61" i="107"/>
  <c r="J25" i="107"/>
  <c r="W59" i="107"/>
  <c r="X23" i="107"/>
  <c r="T56" i="107"/>
  <c r="U20" i="107"/>
  <c r="AH71" i="107"/>
  <c r="AI35" i="107"/>
  <c r="AJ73" i="107"/>
  <c r="AK37" i="107"/>
  <c r="AK73" i="107" s="1"/>
  <c r="Q54" i="107"/>
  <c r="R18" i="107"/>
  <c r="N51" i="107"/>
  <c r="O15" i="107"/>
  <c r="X73" i="107"/>
  <c r="W37" i="107"/>
  <c r="U70" i="107"/>
  <c r="T34" i="107"/>
  <c r="S68" i="107"/>
  <c r="R32" i="107"/>
  <c r="V58" i="107"/>
  <c r="W22" i="107"/>
  <c r="C168" i="5" a="1"/>
  <c r="C168" i="5" s="1"/>
  <c r="N51" i="100"/>
  <c r="M77" i="100"/>
  <c r="K25" i="100"/>
  <c r="G31" i="100"/>
  <c r="R65" i="34"/>
  <c r="K67" i="100"/>
  <c r="R49" i="34"/>
  <c r="O37" i="100"/>
  <c r="R57" i="34"/>
  <c r="O63" i="100"/>
  <c r="G83" i="100"/>
  <c r="J75" i="100"/>
  <c r="N81" i="100"/>
  <c r="F67" i="100"/>
  <c r="P11" i="100"/>
  <c r="G25" i="100"/>
  <c r="R59" i="34"/>
  <c r="J49" i="100"/>
  <c r="I81" i="100"/>
  <c r="G51" i="100"/>
  <c r="H67" i="100"/>
  <c r="O51" i="100"/>
  <c r="G15" i="100"/>
  <c r="M51" i="100"/>
  <c r="D166" i="5"/>
  <c r="D138" i="5"/>
  <c r="F58" i="34"/>
  <c r="K58" i="34"/>
  <c r="L58" i="34"/>
  <c r="G58" i="34"/>
  <c r="M58" i="34"/>
  <c r="N58" i="34"/>
  <c r="O58" i="34"/>
  <c r="J58" i="34"/>
  <c r="I58" i="34"/>
  <c r="H58" i="34"/>
  <c r="P58" i="34"/>
  <c r="L67" i="100"/>
  <c r="D135" i="5"/>
  <c r="S24" i="34"/>
  <c r="S15" i="34"/>
  <c r="P77" i="100"/>
  <c r="N87" i="100"/>
  <c r="L11" i="100"/>
  <c r="P31" i="100"/>
  <c r="H25" i="100"/>
  <c r="D44" i="100"/>
  <c r="E54" i="5"/>
  <c r="E132" i="5"/>
  <c r="E158" i="5"/>
  <c r="D52" i="34"/>
  <c r="E210" i="5"/>
  <c r="E80" i="5"/>
  <c r="E106" i="5"/>
  <c r="E28" i="5"/>
  <c r="E184" i="5"/>
  <c r="D18" i="100"/>
  <c r="D70" i="100"/>
  <c r="D124" i="5"/>
  <c r="D50" i="100"/>
  <c r="E86" i="5"/>
  <c r="D76" i="100"/>
  <c r="E190" i="5"/>
  <c r="E60" i="5"/>
  <c r="D58" i="34"/>
  <c r="E216" i="5"/>
  <c r="E138" i="5"/>
  <c r="E164" i="5"/>
  <c r="E34" i="5"/>
  <c r="E112" i="5"/>
  <c r="D24" i="100"/>
  <c r="I83" i="100"/>
  <c r="D56" i="34"/>
  <c r="E162" i="5"/>
  <c r="E32" i="5"/>
  <c r="E188" i="5"/>
  <c r="E58" i="5"/>
  <c r="D48" i="100"/>
  <c r="E84" i="5"/>
  <c r="D22" i="100"/>
  <c r="E110" i="5"/>
  <c r="D74" i="100"/>
  <c r="E136" i="5"/>
  <c r="E214" i="5"/>
  <c r="K51" i="100"/>
  <c r="N15" i="100"/>
  <c r="O77" i="100"/>
  <c r="L31" i="100"/>
  <c r="P25" i="100"/>
  <c r="H55" i="100"/>
  <c r="D143" i="5"/>
  <c r="O55" i="100"/>
  <c r="O29" i="100"/>
  <c r="G23" i="100"/>
  <c r="N52" i="34"/>
  <c r="N44" i="100" s="1"/>
  <c r="G52" i="34"/>
  <c r="G70" i="100" s="1"/>
  <c r="K52" i="34"/>
  <c r="K44" i="100" s="1"/>
  <c r="H52" i="34"/>
  <c r="H44" i="100" s="1"/>
  <c r="O52" i="34"/>
  <c r="O44" i="100" s="1"/>
  <c r="J52" i="34"/>
  <c r="J44" i="100" s="1"/>
  <c r="L52" i="34"/>
  <c r="L44" i="100" s="1"/>
  <c r="M52" i="34"/>
  <c r="M44" i="100" s="1"/>
  <c r="P52" i="34"/>
  <c r="P44" i="100" s="1"/>
  <c r="I52" i="34"/>
  <c r="I44" i="100" s="1"/>
  <c r="F52" i="34"/>
  <c r="F44" i="100" s="1"/>
  <c r="C154" i="5" a="1"/>
  <c r="C154" i="5" s="1"/>
  <c r="D142" i="5"/>
  <c r="K83" i="100"/>
  <c r="L37" i="100"/>
  <c r="O15" i="100"/>
  <c r="J31" i="100"/>
  <c r="I25" i="100"/>
  <c r="S31" i="34"/>
  <c r="D145" i="5"/>
  <c r="K81" i="100"/>
  <c r="J67" i="100"/>
  <c r="J83" i="100"/>
  <c r="C151" i="5" a="1"/>
  <c r="C151" i="5" s="1"/>
  <c r="J51" i="100"/>
  <c r="I15" i="100"/>
  <c r="M11" i="100"/>
  <c r="N31" i="100"/>
  <c r="L25" i="100"/>
  <c r="N55" i="100"/>
  <c r="C44" i="34"/>
  <c r="D14" i="34"/>
  <c r="E150" i="5" s="1"/>
  <c r="P35" i="100"/>
  <c r="H35" i="100"/>
  <c r="G35" i="100"/>
  <c r="N35" i="100"/>
  <c r="S25" i="34"/>
  <c r="E144" i="5"/>
  <c r="D82" i="100"/>
  <c r="E92" i="5"/>
  <c r="E118" i="5"/>
  <c r="E40" i="5"/>
  <c r="E66" i="5"/>
  <c r="E222" i="5"/>
  <c r="E170" i="5"/>
  <c r="E196" i="5"/>
  <c r="D30" i="100"/>
  <c r="D56" i="100"/>
  <c r="D64" i="34"/>
  <c r="D33" i="100"/>
  <c r="E147" i="5"/>
  <c r="D59" i="100"/>
  <c r="D67" i="34"/>
  <c r="E43" i="5"/>
  <c r="E121" i="5"/>
  <c r="E199" i="5"/>
  <c r="E69" i="5"/>
  <c r="E225" i="5"/>
  <c r="E95" i="5"/>
  <c r="D85" i="100"/>
  <c r="E173" i="5"/>
  <c r="O83" i="100"/>
  <c r="L15" i="100"/>
  <c r="G77" i="100"/>
  <c r="F31" i="100"/>
  <c r="I55" i="100"/>
  <c r="D140" i="5"/>
  <c r="J66" i="100"/>
  <c r="J14" i="100"/>
  <c r="B176" i="5"/>
  <c r="C193" i="5" s="1" a="1"/>
  <c r="C193" i="5" s="1"/>
  <c r="C155" i="5" a="1"/>
  <c r="C155" i="5" s="1"/>
  <c r="C158" i="5" a="1"/>
  <c r="C158" i="5" s="1"/>
  <c r="C152" i="5" a="1"/>
  <c r="C152" i="5" s="1"/>
  <c r="C157" i="5" a="1"/>
  <c r="C157" i="5" s="1"/>
  <c r="C169" i="5" a="1"/>
  <c r="C169" i="5" s="1"/>
  <c r="C175" i="5" a="1"/>
  <c r="C175" i="5" s="1"/>
  <c r="C167" i="5" a="1"/>
  <c r="C167" i="5" s="1"/>
  <c r="C172" i="5" a="1"/>
  <c r="C172" i="5" s="1"/>
  <c r="C173" i="5" a="1"/>
  <c r="C173" i="5" s="1"/>
  <c r="C159" i="5" a="1"/>
  <c r="C159" i="5" s="1"/>
  <c r="C160" i="5" a="1"/>
  <c r="C160" i="5" s="1"/>
  <c r="C162" i="5" a="1"/>
  <c r="C162" i="5" s="1"/>
  <c r="C156" i="5" a="1"/>
  <c r="C156" i="5" s="1"/>
  <c r="C161" i="5" a="1"/>
  <c r="C161" i="5" s="1"/>
  <c r="C174" i="5" a="1"/>
  <c r="C174" i="5" s="1"/>
  <c r="C164" i="5" a="1"/>
  <c r="C164" i="5" s="1"/>
  <c r="C165" i="5" a="1"/>
  <c r="C165" i="5" s="1"/>
  <c r="C153" i="5" a="1"/>
  <c r="C153" i="5" s="1"/>
  <c r="C170" i="5" a="1"/>
  <c r="C170" i="5" s="1"/>
  <c r="J81" i="100"/>
  <c r="H66" i="100"/>
  <c r="H14" i="100"/>
  <c r="L64" i="34"/>
  <c r="I64" i="34"/>
  <c r="H64" i="34"/>
  <c r="K64" i="34"/>
  <c r="J64" i="34"/>
  <c r="P64" i="34"/>
  <c r="N64" i="34"/>
  <c r="G64" i="34"/>
  <c r="M64" i="34"/>
  <c r="F64" i="34"/>
  <c r="O64" i="34"/>
  <c r="O67" i="34"/>
  <c r="J67" i="34"/>
  <c r="I67" i="34"/>
  <c r="H67" i="34"/>
  <c r="K67" i="34"/>
  <c r="G67" i="34"/>
  <c r="P67" i="34"/>
  <c r="F67" i="34"/>
  <c r="L67" i="34"/>
  <c r="N67" i="34"/>
  <c r="M67" i="34"/>
  <c r="P83" i="100"/>
  <c r="F51" i="100"/>
  <c r="N37" i="100"/>
  <c r="K15" i="100"/>
  <c r="F77" i="100"/>
  <c r="P87" i="100"/>
  <c r="J25" i="100"/>
  <c r="H47" i="34"/>
  <c r="H65" i="100" s="1"/>
  <c r="I47" i="34"/>
  <c r="I65" i="100" s="1"/>
  <c r="J47" i="34"/>
  <c r="J65" i="100" s="1"/>
  <c r="F47" i="34"/>
  <c r="F65" i="100" s="1"/>
  <c r="P47" i="34"/>
  <c r="L47" i="34"/>
  <c r="O47" i="34"/>
  <c r="N47" i="34"/>
  <c r="G47" i="34"/>
  <c r="M47" i="34"/>
  <c r="K47" i="34"/>
  <c r="D133" i="5"/>
  <c r="F83" i="100"/>
  <c r="H51" i="100"/>
  <c r="M15" i="100"/>
  <c r="K31" i="100"/>
  <c r="E182" i="5"/>
  <c r="D42" i="100"/>
  <c r="E156" i="5"/>
  <c r="E208" i="5"/>
  <c r="D16" i="100"/>
  <c r="E26" i="5"/>
  <c r="E78" i="5"/>
  <c r="E130" i="5"/>
  <c r="E52" i="5"/>
  <c r="E104" i="5"/>
  <c r="D68" i="100"/>
  <c r="D50" i="34"/>
  <c r="S27" i="34"/>
  <c r="D31" i="34"/>
  <c r="C61" i="34"/>
  <c r="E101" i="5"/>
  <c r="D13" i="100"/>
  <c r="E49" i="5"/>
  <c r="D47" i="34"/>
  <c r="E75" i="5"/>
  <c r="D39" i="100"/>
  <c r="D65" i="100"/>
  <c r="E127" i="5"/>
  <c r="E153" i="5"/>
  <c r="E23" i="5"/>
  <c r="E179" i="5"/>
  <c r="E205" i="5"/>
  <c r="I56" i="34"/>
  <c r="H56" i="34"/>
  <c r="K56" i="34"/>
  <c r="M56" i="34"/>
  <c r="P56" i="34"/>
  <c r="O56" i="34"/>
  <c r="J56" i="34"/>
  <c r="L56" i="34"/>
  <c r="F56" i="34"/>
  <c r="N56" i="34"/>
  <c r="G56" i="34"/>
  <c r="D126" i="5"/>
  <c r="D131" i="5"/>
  <c r="F14" i="100"/>
  <c r="L83" i="100"/>
  <c r="F15" i="100"/>
  <c r="S21" i="34"/>
  <c r="M31" i="100"/>
  <c r="P46" i="34"/>
  <c r="O46" i="34"/>
  <c r="M46" i="34"/>
  <c r="K46" i="34"/>
  <c r="I46" i="34"/>
  <c r="H46" i="34"/>
  <c r="G46" i="34"/>
  <c r="F46" i="34"/>
  <c r="J46" i="34"/>
  <c r="L46" i="34"/>
  <c r="N46" i="34"/>
  <c r="P50" i="34"/>
  <c r="J50" i="34"/>
  <c r="M50" i="34"/>
  <c r="K50" i="34"/>
  <c r="N50" i="34"/>
  <c r="F50" i="34"/>
  <c r="I50" i="34"/>
  <c r="H50" i="34"/>
  <c r="G50" i="34"/>
  <c r="O50" i="34"/>
  <c r="L50" i="34"/>
  <c r="D128" i="5"/>
  <c r="P55" i="100"/>
  <c r="P29" i="100"/>
  <c r="S23" i="34"/>
  <c r="D146" i="5"/>
  <c r="N75" i="100"/>
  <c r="N53" i="34"/>
  <c r="H53" i="34"/>
  <c r="G53" i="34"/>
  <c r="O53" i="34"/>
  <c r="L53" i="34"/>
  <c r="F53" i="34"/>
  <c r="P53" i="34"/>
  <c r="I53" i="34"/>
  <c r="K53" i="34"/>
  <c r="J53" i="34"/>
  <c r="M53" i="34"/>
  <c r="N83" i="100"/>
  <c r="H15" i="100"/>
  <c r="G81" i="100"/>
  <c r="E22" i="5"/>
  <c r="E100" i="5"/>
  <c r="D46" i="34"/>
  <c r="E126" i="5"/>
  <c r="D38" i="100"/>
  <c r="E204" i="5"/>
  <c r="E74" i="5"/>
  <c r="D12" i="100"/>
  <c r="E48" i="5"/>
  <c r="E152" i="5"/>
  <c r="E178" i="5"/>
  <c r="D64" i="100"/>
  <c r="H40" i="100"/>
  <c r="G61" i="100"/>
  <c r="E94" i="5"/>
  <c r="D84" i="100"/>
  <c r="E198" i="5"/>
  <c r="E224" i="5"/>
  <c r="E68" i="5"/>
  <c r="E42" i="5"/>
  <c r="E172" i="5"/>
  <c r="D32" i="100"/>
  <c r="E146" i="5"/>
  <c r="D58" i="100"/>
  <c r="E120" i="5"/>
  <c r="D66" i="34"/>
  <c r="G57" i="100"/>
  <c r="D71" i="100"/>
  <c r="E159" i="5"/>
  <c r="E107" i="5"/>
  <c r="E185" i="5"/>
  <c r="E29" i="5"/>
  <c r="D19" i="100"/>
  <c r="E81" i="5"/>
  <c r="E211" i="5"/>
  <c r="E133" i="5"/>
  <c r="D45" i="100"/>
  <c r="D53" i="34"/>
  <c r="E55" i="5"/>
  <c r="G66" i="100"/>
  <c r="G14" i="100"/>
  <c r="M83" i="100"/>
  <c r="J15" i="100"/>
  <c r="S33" i="34"/>
  <c r="M54" i="34"/>
  <c r="O54" i="34"/>
  <c r="I54" i="34"/>
  <c r="G54" i="34"/>
  <c r="F54" i="34"/>
  <c r="L54" i="34"/>
  <c r="N54" i="34"/>
  <c r="K54" i="34"/>
  <c r="J54" i="34"/>
  <c r="H54" i="34"/>
  <c r="P54" i="34"/>
  <c r="S28" i="34"/>
  <c r="I31" i="100"/>
  <c r="K55" i="100"/>
  <c r="S29" i="34"/>
  <c r="J40" i="100"/>
  <c r="S36" i="34"/>
  <c r="I66" i="34"/>
  <c r="F66" i="34"/>
  <c r="L66" i="34"/>
  <c r="P66" i="34"/>
  <c r="P32" i="100" s="1"/>
  <c r="K66" i="34"/>
  <c r="K32" i="100" s="1"/>
  <c r="M66" i="34"/>
  <c r="M32" i="100" s="1"/>
  <c r="H66" i="34"/>
  <c r="H32" i="100" s="1"/>
  <c r="O66" i="34"/>
  <c r="O32" i="100" s="1"/>
  <c r="N66" i="34"/>
  <c r="N32" i="100" s="1"/>
  <c r="G66" i="34"/>
  <c r="J66" i="34"/>
  <c r="D125" i="5"/>
  <c r="H83" i="100"/>
  <c r="G41" i="100"/>
  <c r="S19" i="34"/>
  <c r="P15" i="100"/>
  <c r="G87" i="100"/>
  <c r="E212" i="5"/>
  <c r="E82" i="5"/>
  <c r="E160" i="5"/>
  <c r="D54" i="34"/>
  <c r="E186" i="5"/>
  <c r="E30" i="5"/>
  <c r="E56" i="5"/>
  <c r="D20" i="100"/>
  <c r="E108" i="5"/>
  <c r="E134" i="5"/>
  <c r="D46" i="100"/>
  <c r="D72" i="100"/>
  <c r="H31" i="100"/>
  <c r="S39" i="34"/>
  <c r="R45" i="34" l="1"/>
  <c r="J35" i="100"/>
  <c r="G11" i="100"/>
  <c r="F55" i="100"/>
  <c r="J55" i="100"/>
  <c r="I35" i="100"/>
  <c r="R63" i="34"/>
  <c r="N14" i="100"/>
  <c r="G37" i="100"/>
  <c r="G55" i="100"/>
  <c r="F81" i="100"/>
  <c r="P14" i="100"/>
  <c r="N66" i="100"/>
  <c r="M66" i="100"/>
  <c r="O14" i="100"/>
  <c r="I87" i="100"/>
  <c r="P66" i="100"/>
  <c r="H70" i="100"/>
  <c r="O66" i="100"/>
  <c r="M14" i="100"/>
  <c r="C179" i="5" a="1"/>
  <c r="C179" i="5" s="1"/>
  <c r="E109" i="5"/>
  <c r="E135" i="5"/>
  <c r="D47" i="100"/>
  <c r="D21" i="100"/>
  <c r="E213" i="5"/>
  <c r="D73" i="100"/>
  <c r="E57" i="5"/>
  <c r="E187" i="5"/>
  <c r="E31" i="5"/>
  <c r="E83" i="5"/>
  <c r="E161" i="5"/>
  <c r="D55" i="34"/>
  <c r="R78" i="100"/>
  <c r="H87" i="100"/>
  <c r="R52" i="100"/>
  <c r="D171" i="5"/>
  <c r="R26" i="100"/>
  <c r="D68" i="34"/>
  <c r="R43" i="100"/>
  <c r="R41" i="100"/>
  <c r="L66" i="100"/>
  <c r="F66" i="100"/>
  <c r="K35" i="100"/>
  <c r="R11" i="100"/>
  <c r="M55" i="34"/>
  <c r="K55" i="34"/>
  <c r="F55" i="34"/>
  <c r="G55" i="34"/>
  <c r="N55" i="34"/>
  <c r="H55" i="34"/>
  <c r="I55" i="34"/>
  <c r="J55" i="34"/>
  <c r="O55" i="34"/>
  <c r="L55" i="34"/>
  <c r="P55" i="34"/>
  <c r="E96" i="5"/>
  <c r="E70" i="5"/>
  <c r="E226" i="5"/>
  <c r="K66" i="100"/>
  <c r="E122" i="5"/>
  <c r="H18" i="100"/>
  <c r="L40" i="100"/>
  <c r="L29" i="100"/>
  <c r="L55" i="100"/>
  <c r="L81" i="100"/>
  <c r="R57" i="100"/>
  <c r="D60" i="100"/>
  <c r="K14" i="100"/>
  <c r="J87" i="100"/>
  <c r="R17" i="100"/>
  <c r="P18" i="100"/>
  <c r="R23" i="100"/>
  <c r="M55" i="100"/>
  <c r="M81" i="100"/>
  <c r="M29" i="100"/>
  <c r="O18" i="100"/>
  <c r="K18" i="100"/>
  <c r="R37" i="100"/>
  <c r="R48" i="34"/>
  <c r="R69" i="100"/>
  <c r="I14" i="100"/>
  <c r="D86" i="100"/>
  <c r="D168" i="5"/>
  <c r="J18" i="100"/>
  <c r="I66" i="100"/>
  <c r="L18" i="100"/>
  <c r="F87" i="100"/>
  <c r="R69" i="34"/>
  <c r="E44" i="5"/>
  <c r="K62" i="34"/>
  <c r="F62" i="34"/>
  <c r="I62" i="34"/>
  <c r="N62" i="34"/>
  <c r="H62" i="34"/>
  <c r="M62" i="34"/>
  <c r="P62" i="34"/>
  <c r="J62" i="34"/>
  <c r="G62" i="34"/>
  <c r="O62" i="34"/>
  <c r="L62" i="34"/>
  <c r="G18" i="100"/>
  <c r="O70" i="100"/>
  <c r="M18" i="100"/>
  <c r="P70" i="100"/>
  <c r="M35" i="100"/>
  <c r="E174" i="5"/>
  <c r="R61" i="100"/>
  <c r="R75" i="100"/>
  <c r="O87" i="100"/>
  <c r="R77" i="100"/>
  <c r="R29" i="100"/>
  <c r="L35" i="100"/>
  <c r="E148" i="5"/>
  <c r="R49" i="100"/>
  <c r="F35" i="100"/>
  <c r="L87" i="100"/>
  <c r="D150" i="5"/>
  <c r="R63" i="100"/>
  <c r="E200" i="5"/>
  <c r="M87" i="100"/>
  <c r="O35" i="100"/>
  <c r="E38" i="5"/>
  <c r="E116" i="5"/>
  <c r="E90" i="5"/>
  <c r="D62" i="34"/>
  <c r="D54" i="100"/>
  <c r="E168" i="5"/>
  <c r="E194" i="5"/>
  <c r="D80" i="100"/>
  <c r="D28" i="100"/>
  <c r="E220" i="5"/>
  <c r="E64" i="5"/>
  <c r="E142" i="5"/>
  <c r="G34" i="100"/>
  <c r="G60" i="100"/>
  <c r="R68" i="34"/>
  <c r="G86" i="100"/>
  <c r="K70" i="100"/>
  <c r="K87" i="100"/>
  <c r="K86" i="100"/>
  <c r="K34" i="100"/>
  <c r="K60" i="100"/>
  <c r="L86" i="100"/>
  <c r="L34" i="100"/>
  <c r="L60" i="100"/>
  <c r="H86" i="100"/>
  <c r="H60" i="100"/>
  <c r="H34" i="100"/>
  <c r="O86" i="100"/>
  <c r="O34" i="100"/>
  <c r="O60" i="100"/>
  <c r="F86" i="100"/>
  <c r="F60" i="100"/>
  <c r="F34" i="100"/>
  <c r="P86" i="100"/>
  <c r="P60" i="100"/>
  <c r="P34" i="100"/>
  <c r="J86" i="100"/>
  <c r="J34" i="100"/>
  <c r="J60" i="100"/>
  <c r="I86" i="100"/>
  <c r="I60" i="100"/>
  <c r="I34" i="100"/>
  <c r="M86" i="100"/>
  <c r="M60" i="100"/>
  <c r="M34" i="100"/>
  <c r="N86" i="100"/>
  <c r="N34" i="100"/>
  <c r="N60" i="100"/>
  <c r="N64" i="107"/>
  <c r="M28" i="107"/>
  <c r="AD80" i="107"/>
  <c r="AC44" i="107"/>
  <c r="AC65" i="107"/>
  <c r="AD29" i="107"/>
  <c r="O65" i="107"/>
  <c r="N29" i="107"/>
  <c r="C176" i="5" a="1"/>
  <c r="C176" i="5" s="1"/>
  <c r="V72" i="107"/>
  <c r="U36" i="107"/>
  <c r="AB78" i="107"/>
  <c r="AA42" i="107"/>
  <c r="S69" i="107"/>
  <c r="R33" i="107"/>
  <c r="R66" i="34"/>
  <c r="R53" i="34"/>
  <c r="N70" i="100"/>
  <c r="T70" i="107"/>
  <c r="S34" i="107"/>
  <c r="AA63" i="107"/>
  <c r="AB27" i="107"/>
  <c r="I59" i="107"/>
  <c r="H23" i="107"/>
  <c r="H59" i="107" s="1"/>
  <c r="C196" i="5" a="1"/>
  <c r="C196" i="5" s="1"/>
  <c r="AI71" i="107"/>
  <c r="AJ35" i="107"/>
  <c r="AB79" i="107"/>
  <c r="AA43" i="107"/>
  <c r="Z77" i="107"/>
  <c r="Y41" i="107"/>
  <c r="K62" i="107"/>
  <c r="J26" i="107"/>
  <c r="W73" i="107"/>
  <c r="V37" i="107"/>
  <c r="AE66" i="107"/>
  <c r="AF30" i="107"/>
  <c r="N18" i="100"/>
  <c r="C201" i="5" a="1"/>
  <c r="C201" i="5" s="1"/>
  <c r="C188" i="5" a="1"/>
  <c r="C188" i="5" s="1"/>
  <c r="U56" i="107"/>
  <c r="V20" i="107"/>
  <c r="X75" i="107"/>
  <c r="W39" i="107"/>
  <c r="V74" i="107"/>
  <c r="U38" i="107"/>
  <c r="Z76" i="107"/>
  <c r="Y40" i="107"/>
  <c r="O51" i="107"/>
  <c r="P15" i="107"/>
  <c r="Y61" i="107"/>
  <c r="Z25" i="107"/>
  <c r="Y60" i="107"/>
  <c r="Z24" i="107"/>
  <c r="X59" i="107"/>
  <c r="Y23" i="107"/>
  <c r="O66" i="107"/>
  <c r="N30" i="107"/>
  <c r="AG69" i="107"/>
  <c r="AH33" i="107"/>
  <c r="Q52" i="107"/>
  <c r="R16" i="107"/>
  <c r="I60" i="107"/>
  <c r="H24" i="107"/>
  <c r="H60" i="107" s="1"/>
  <c r="R67" i="100"/>
  <c r="J61" i="107"/>
  <c r="I25" i="107"/>
  <c r="AF68" i="107"/>
  <c r="AG32" i="107"/>
  <c r="R53" i="107"/>
  <c r="S17" i="107"/>
  <c r="AH70" i="107"/>
  <c r="AI34" i="107"/>
  <c r="C197" i="5" a="1"/>
  <c r="C197" i="5" s="1"/>
  <c r="W58" i="107"/>
  <c r="X22" i="107"/>
  <c r="R54" i="107"/>
  <c r="S18" i="107"/>
  <c r="S55" i="107"/>
  <c r="T19" i="107"/>
  <c r="AC64" i="107"/>
  <c r="AD28" i="107"/>
  <c r="U57" i="107"/>
  <c r="V21" i="107"/>
  <c r="U71" i="107"/>
  <c r="T35" i="107"/>
  <c r="AA62" i="107"/>
  <c r="AB26" i="107"/>
  <c r="R56" i="34"/>
  <c r="R64" i="34"/>
  <c r="I18" i="100"/>
  <c r="J70" i="100"/>
  <c r="R68" i="107"/>
  <c r="Q32" i="107"/>
  <c r="Q67" i="107"/>
  <c r="P31" i="107"/>
  <c r="M63" i="107"/>
  <c r="L27" i="107"/>
  <c r="AE67" i="107"/>
  <c r="AF31" i="107"/>
  <c r="D11" i="88" s="1"/>
  <c r="M168" i="5" s="1"/>
  <c r="R40" i="100"/>
  <c r="M70" i="100"/>
  <c r="G65" i="100"/>
  <c r="R47" i="34"/>
  <c r="R67" i="34"/>
  <c r="F70" i="100"/>
  <c r="C183" i="5" a="1"/>
  <c r="C183" i="5" s="1"/>
  <c r="R25" i="100"/>
  <c r="C186" i="5" a="1"/>
  <c r="C186" i="5" s="1"/>
  <c r="F18" i="100"/>
  <c r="C180" i="5" a="1"/>
  <c r="C180" i="5" s="1"/>
  <c r="R50" i="34"/>
  <c r="C177" i="5" a="1"/>
  <c r="C177" i="5" s="1"/>
  <c r="C187" i="5" a="1"/>
  <c r="C187" i="5" s="1"/>
  <c r="N187" i="5" s="1"/>
  <c r="R54" i="34"/>
  <c r="R46" i="34"/>
  <c r="R51" i="100"/>
  <c r="C178" i="5" a="1"/>
  <c r="C178" i="5" s="1"/>
  <c r="C185" i="5" a="1"/>
  <c r="C185" i="5" s="1"/>
  <c r="D185" i="5" s="1"/>
  <c r="L70" i="100"/>
  <c r="R58" i="34"/>
  <c r="R52" i="34"/>
  <c r="L58" i="100"/>
  <c r="L84" i="100"/>
  <c r="J20" i="100"/>
  <c r="J46" i="100"/>
  <c r="J72" i="100"/>
  <c r="H19" i="100"/>
  <c r="H45" i="100"/>
  <c r="H71" i="100"/>
  <c r="I42" i="100"/>
  <c r="I16" i="100"/>
  <c r="I68" i="100"/>
  <c r="G38" i="100"/>
  <c r="G64" i="100"/>
  <c r="G12" i="100"/>
  <c r="M48" i="100"/>
  <c r="M22" i="100"/>
  <c r="M74" i="100"/>
  <c r="K13" i="100"/>
  <c r="K39" i="100"/>
  <c r="D176" i="5"/>
  <c r="L59" i="100"/>
  <c r="L33" i="100"/>
  <c r="L85" i="100"/>
  <c r="G56" i="100"/>
  <c r="G30" i="100"/>
  <c r="G82" i="100"/>
  <c r="D193" i="5"/>
  <c r="J193" i="5"/>
  <c r="M193" i="5"/>
  <c r="L50" i="100"/>
  <c r="L24" i="100"/>
  <c r="L76" i="100"/>
  <c r="F58" i="100"/>
  <c r="F84" i="100"/>
  <c r="K46" i="100"/>
  <c r="K20" i="100"/>
  <c r="K72" i="100"/>
  <c r="N71" i="100"/>
  <c r="N45" i="100"/>
  <c r="N19" i="100"/>
  <c r="F16" i="100"/>
  <c r="F68" i="100"/>
  <c r="F42" i="100"/>
  <c r="H38" i="100"/>
  <c r="H64" i="100"/>
  <c r="H12" i="100"/>
  <c r="K48" i="100"/>
  <c r="K74" i="100"/>
  <c r="K22" i="100"/>
  <c r="M13" i="100"/>
  <c r="M39" i="100"/>
  <c r="F59" i="100"/>
  <c r="F33" i="100"/>
  <c r="F85" i="100"/>
  <c r="N56" i="100"/>
  <c r="N30" i="100"/>
  <c r="N82" i="100"/>
  <c r="D156" i="5"/>
  <c r="B202" i="5"/>
  <c r="E176" i="5"/>
  <c r="C181" i="5" a="1"/>
  <c r="C181" i="5" s="1"/>
  <c r="C195" i="5" a="1"/>
  <c r="C195" i="5" s="1"/>
  <c r="C184" i="5" a="1"/>
  <c r="C184" i="5" s="1"/>
  <c r="C190" i="5" a="1"/>
  <c r="C190" i="5" s="1"/>
  <c r="C200" i="5" a="1"/>
  <c r="C200" i="5" s="1"/>
  <c r="C191" i="5" a="1"/>
  <c r="C191" i="5" s="1"/>
  <c r="C199" i="5" a="1"/>
  <c r="C199" i="5" s="1"/>
  <c r="K50" i="100"/>
  <c r="K24" i="100"/>
  <c r="K76" i="100"/>
  <c r="I58" i="100"/>
  <c r="I84" i="100"/>
  <c r="N20" i="100"/>
  <c r="N46" i="100"/>
  <c r="N72" i="100"/>
  <c r="N16" i="100"/>
  <c r="N68" i="100"/>
  <c r="N42" i="100"/>
  <c r="I38" i="100"/>
  <c r="I12" i="100"/>
  <c r="I64" i="100"/>
  <c r="H74" i="100"/>
  <c r="H48" i="100"/>
  <c r="H22" i="100"/>
  <c r="F32" i="100"/>
  <c r="G13" i="100"/>
  <c r="G39" i="100"/>
  <c r="P33" i="100"/>
  <c r="P59" i="100"/>
  <c r="P85" i="100"/>
  <c r="P82" i="100"/>
  <c r="P30" i="100"/>
  <c r="P56" i="100"/>
  <c r="D170" i="5"/>
  <c r="N170" i="5"/>
  <c r="D162" i="5"/>
  <c r="H162" i="5"/>
  <c r="K162" i="5"/>
  <c r="D169" i="5"/>
  <c r="F50" i="100"/>
  <c r="F24" i="100"/>
  <c r="F76" i="100"/>
  <c r="M45" i="100"/>
  <c r="M71" i="100"/>
  <c r="M19" i="100"/>
  <c r="K68" i="100"/>
  <c r="K42" i="100"/>
  <c r="K16" i="100"/>
  <c r="K38" i="100"/>
  <c r="K64" i="100"/>
  <c r="K12" i="100"/>
  <c r="I74" i="100"/>
  <c r="I48" i="100"/>
  <c r="I22" i="100"/>
  <c r="R83" i="100"/>
  <c r="N39" i="100"/>
  <c r="N13" i="100"/>
  <c r="G59" i="100"/>
  <c r="G33" i="100"/>
  <c r="G85" i="100"/>
  <c r="J30" i="100"/>
  <c r="J56" i="100"/>
  <c r="J82" i="100"/>
  <c r="D153" i="5"/>
  <c r="M153" i="5"/>
  <c r="K153" i="5"/>
  <c r="D160" i="5"/>
  <c r="D157" i="5"/>
  <c r="L20" i="100"/>
  <c r="L46" i="100"/>
  <c r="L72" i="100"/>
  <c r="J58" i="100"/>
  <c r="J84" i="100"/>
  <c r="F20" i="100"/>
  <c r="F46" i="100"/>
  <c r="F72" i="100"/>
  <c r="J19" i="100"/>
  <c r="J71" i="100"/>
  <c r="J45" i="100"/>
  <c r="M16" i="100"/>
  <c r="M68" i="100"/>
  <c r="M42" i="100"/>
  <c r="M38" i="100"/>
  <c r="M12" i="100"/>
  <c r="M64" i="100"/>
  <c r="L61" i="34"/>
  <c r="N61" i="34"/>
  <c r="P61" i="34"/>
  <c r="M61" i="34"/>
  <c r="K61" i="34"/>
  <c r="H61" i="34"/>
  <c r="G61" i="34"/>
  <c r="J61" i="34"/>
  <c r="I61" i="34"/>
  <c r="O61" i="34"/>
  <c r="F61" i="34"/>
  <c r="O39" i="100"/>
  <c r="O13" i="100"/>
  <c r="K33" i="100"/>
  <c r="K59" i="100"/>
  <c r="K85" i="100"/>
  <c r="K56" i="100"/>
  <c r="K30" i="100"/>
  <c r="K82" i="100"/>
  <c r="D165" i="5"/>
  <c r="O159" i="5"/>
  <c r="D159" i="5"/>
  <c r="C182" i="5" a="1"/>
  <c r="C182" i="5" s="1"/>
  <c r="C194" i="5" a="1"/>
  <c r="C194" i="5" s="1"/>
  <c r="P50" i="100"/>
  <c r="P24" i="100"/>
  <c r="P76" i="100"/>
  <c r="G84" i="100"/>
  <c r="G58" i="100"/>
  <c r="G20" i="100"/>
  <c r="G46" i="100"/>
  <c r="G72" i="100"/>
  <c r="K19" i="100"/>
  <c r="K45" i="100"/>
  <c r="K71" i="100"/>
  <c r="J68" i="100"/>
  <c r="J16" i="100"/>
  <c r="J42" i="100"/>
  <c r="O38" i="100"/>
  <c r="O12" i="100"/>
  <c r="O64" i="100"/>
  <c r="G74" i="100"/>
  <c r="G22" i="100"/>
  <c r="G48" i="100"/>
  <c r="E115" i="5"/>
  <c r="E141" i="5"/>
  <c r="D79" i="100"/>
  <c r="D27" i="100"/>
  <c r="E37" i="5"/>
  <c r="D61" i="34"/>
  <c r="E167" i="5"/>
  <c r="E219" i="5"/>
  <c r="E89" i="5"/>
  <c r="E193" i="5"/>
  <c r="D53" i="100"/>
  <c r="E63" i="5"/>
  <c r="L32" i="100"/>
  <c r="L13" i="100"/>
  <c r="L39" i="100"/>
  <c r="H59" i="100"/>
  <c r="H33" i="100"/>
  <c r="H85" i="100"/>
  <c r="H30" i="100"/>
  <c r="H56" i="100"/>
  <c r="H82" i="100"/>
  <c r="C189" i="5" a="1"/>
  <c r="C189" i="5" s="1"/>
  <c r="D152" i="5"/>
  <c r="I70" i="100"/>
  <c r="H50" i="100"/>
  <c r="H24" i="100"/>
  <c r="H76" i="100"/>
  <c r="N58" i="100"/>
  <c r="N84" i="100"/>
  <c r="I46" i="100"/>
  <c r="I20" i="100"/>
  <c r="I72" i="100"/>
  <c r="I45" i="100"/>
  <c r="I71" i="100"/>
  <c r="I19" i="100"/>
  <c r="P42" i="100"/>
  <c r="P68" i="100"/>
  <c r="P16" i="100"/>
  <c r="P38" i="100"/>
  <c r="P12" i="100"/>
  <c r="P64" i="100"/>
  <c r="N74" i="100"/>
  <c r="N48" i="100"/>
  <c r="N22" i="100"/>
  <c r="P39" i="100"/>
  <c r="P13" i="100"/>
  <c r="I59" i="100"/>
  <c r="I33" i="100"/>
  <c r="I85" i="100"/>
  <c r="I56" i="100"/>
  <c r="I30" i="100"/>
  <c r="I82" i="100"/>
  <c r="D164" i="5"/>
  <c r="I164" i="5"/>
  <c r="D173" i="5"/>
  <c r="P173" i="5"/>
  <c r="H173" i="5"/>
  <c r="C192" i="5" a="1"/>
  <c r="C192" i="5" s="1"/>
  <c r="O65" i="100"/>
  <c r="I50" i="100"/>
  <c r="I24" i="100"/>
  <c r="I76" i="100"/>
  <c r="O20" i="100"/>
  <c r="O46" i="100"/>
  <c r="O72" i="100"/>
  <c r="F22" i="100"/>
  <c r="F74" i="100"/>
  <c r="F48" i="100"/>
  <c r="F39" i="100"/>
  <c r="F13" i="100"/>
  <c r="J59" i="100"/>
  <c r="J33" i="100"/>
  <c r="J85" i="100"/>
  <c r="L30" i="100"/>
  <c r="L56" i="100"/>
  <c r="L82" i="100"/>
  <c r="R31" i="100"/>
  <c r="P65" i="100"/>
  <c r="D154" i="5"/>
  <c r="G154" i="5"/>
  <c r="J154" i="5"/>
  <c r="J50" i="100"/>
  <c r="J24" i="100"/>
  <c r="J76" i="100"/>
  <c r="P19" i="100"/>
  <c r="P71" i="100"/>
  <c r="P45" i="100"/>
  <c r="H58" i="100"/>
  <c r="H84" i="100"/>
  <c r="M20" i="100"/>
  <c r="M46" i="100"/>
  <c r="M72" i="100"/>
  <c r="F19" i="100"/>
  <c r="F45" i="100"/>
  <c r="F71" i="100"/>
  <c r="L68" i="100"/>
  <c r="L42" i="100"/>
  <c r="L16" i="100"/>
  <c r="N38" i="100"/>
  <c r="N12" i="100"/>
  <c r="N64" i="100"/>
  <c r="L74" i="100"/>
  <c r="L22" i="100"/>
  <c r="L48" i="100"/>
  <c r="G32" i="100"/>
  <c r="J39" i="100"/>
  <c r="J13" i="100"/>
  <c r="O59" i="100"/>
  <c r="O33" i="100"/>
  <c r="O85" i="100"/>
  <c r="P172" i="5"/>
  <c r="N172" i="5"/>
  <c r="D172" i="5"/>
  <c r="D158" i="5"/>
  <c r="N65" i="100"/>
  <c r="G44" i="100"/>
  <c r="R44" i="100" s="1"/>
  <c r="O50" i="100"/>
  <c r="O24" i="100"/>
  <c r="O76" i="100"/>
  <c r="M58" i="100"/>
  <c r="M84" i="100"/>
  <c r="L71" i="100"/>
  <c r="L19" i="100"/>
  <c r="L45" i="100"/>
  <c r="O16" i="100"/>
  <c r="O42" i="100"/>
  <c r="O68" i="100"/>
  <c r="L38" i="100"/>
  <c r="L12" i="100"/>
  <c r="L64" i="100"/>
  <c r="R15" i="100"/>
  <c r="J22" i="100"/>
  <c r="J74" i="100"/>
  <c r="J48" i="100"/>
  <c r="J32" i="100"/>
  <c r="I13" i="100"/>
  <c r="I39" i="100"/>
  <c r="O30" i="100"/>
  <c r="O56" i="100"/>
  <c r="O82" i="100"/>
  <c r="C198" i="5" a="1"/>
  <c r="C198" i="5" s="1"/>
  <c r="D62" i="100"/>
  <c r="D36" i="100"/>
  <c r="D44" i="34"/>
  <c r="D10" i="100"/>
  <c r="E20" i="5"/>
  <c r="X14" i="34"/>
  <c r="E46" i="5"/>
  <c r="W15" i="34"/>
  <c r="X15" i="34"/>
  <c r="W14" i="34"/>
  <c r="E72" i="5"/>
  <c r="E98" i="5"/>
  <c r="E124" i="5"/>
  <c r="D151" i="5"/>
  <c r="I151" i="5"/>
  <c r="K65" i="100"/>
  <c r="N50" i="100"/>
  <c r="N24" i="100"/>
  <c r="N76" i="100"/>
  <c r="O84" i="100"/>
  <c r="O58" i="100"/>
  <c r="K58" i="100"/>
  <c r="K84" i="100"/>
  <c r="P46" i="100"/>
  <c r="P20" i="100"/>
  <c r="P72" i="100"/>
  <c r="O19" i="100"/>
  <c r="O45" i="100"/>
  <c r="O71" i="100"/>
  <c r="G42" i="100"/>
  <c r="G68" i="100"/>
  <c r="G16" i="100"/>
  <c r="J38" i="100"/>
  <c r="J64" i="100"/>
  <c r="J12" i="100"/>
  <c r="O22" i="100"/>
  <c r="O48" i="100"/>
  <c r="O74" i="100"/>
  <c r="H39" i="100"/>
  <c r="H13" i="100"/>
  <c r="M59" i="100"/>
  <c r="M33" i="100"/>
  <c r="M85" i="100"/>
  <c r="F56" i="100"/>
  <c r="F30" i="100"/>
  <c r="F82" i="100"/>
  <c r="D174" i="5"/>
  <c r="J174" i="5"/>
  <c r="D167" i="5"/>
  <c r="M167" i="5"/>
  <c r="H167" i="5"/>
  <c r="D155" i="5"/>
  <c r="K155" i="5"/>
  <c r="I155" i="5"/>
  <c r="G44" i="34"/>
  <c r="F44" i="34"/>
  <c r="K44" i="34"/>
  <c r="J44" i="34"/>
  <c r="I44" i="34"/>
  <c r="N44" i="34"/>
  <c r="O44" i="34"/>
  <c r="P44" i="34"/>
  <c r="L44" i="34"/>
  <c r="M44" i="34"/>
  <c r="H44" i="34"/>
  <c r="L65" i="100"/>
  <c r="M50" i="100"/>
  <c r="M24" i="100"/>
  <c r="M76" i="100"/>
  <c r="P84" i="100"/>
  <c r="P58" i="100"/>
  <c r="H46" i="100"/>
  <c r="H20" i="100"/>
  <c r="H72" i="100"/>
  <c r="G45" i="100"/>
  <c r="G71" i="100"/>
  <c r="G19" i="100"/>
  <c r="H16" i="100"/>
  <c r="H42" i="100"/>
  <c r="H68" i="100"/>
  <c r="F38" i="100"/>
  <c r="F64" i="100"/>
  <c r="F12" i="100"/>
  <c r="P74" i="100"/>
  <c r="P22" i="100"/>
  <c r="P48" i="100"/>
  <c r="I32" i="100"/>
  <c r="N59" i="100"/>
  <c r="N33" i="100"/>
  <c r="N85" i="100"/>
  <c r="M30" i="100"/>
  <c r="M56" i="100"/>
  <c r="M82" i="100"/>
  <c r="D161" i="5"/>
  <c r="I161" i="5"/>
  <c r="H161" i="5"/>
  <c r="D175" i="5"/>
  <c r="L175" i="5"/>
  <c r="K175" i="5"/>
  <c r="M65" i="100"/>
  <c r="G50" i="100"/>
  <c r="G24" i="100"/>
  <c r="G76" i="100"/>
  <c r="J170" i="5" l="1"/>
  <c r="K152" i="5"/>
  <c r="G174" i="5"/>
  <c r="M152" i="5"/>
  <c r="J179" i="5"/>
  <c r="O165" i="5"/>
  <c r="N158" i="5"/>
  <c r="G164" i="5"/>
  <c r="N157" i="5"/>
  <c r="K160" i="5"/>
  <c r="J156" i="5"/>
  <c r="L156" i="5"/>
  <c r="N163" i="5"/>
  <c r="H197" i="5"/>
  <c r="P159" i="5"/>
  <c r="J169" i="5"/>
  <c r="P179" i="5"/>
  <c r="O150" i="5"/>
  <c r="K150" i="5"/>
  <c r="O168" i="5"/>
  <c r="O179" i="5"/>
  <c r="G175" i="5"/>
  <c r="O161" i="5"/>
  <c r="J155" i="5"/>
  <c r="K167" i="5"/>
  <c r="H174" i="5"/>
  <c r="P151" i="5"/>
  <c r="O158" i="5"/>
  <c r="I154" i="5"/>
  <c r="N173" i="5"/>
  <c r="H152" i="5"/>
  <c r="P165" i="5"/>
  <c r="M157" i="5"/>
  <c r="J160" i="5"/>
  <c r="H153" i="5"/>
  <c r="N169" i="5"/>
  <c r="N162" i="5"/>
  <c r="G170" i="5"/>
  <c r="H156" i="5"/>
  <c r="P193" i="5"/>
  <c r="M179" i="5"/>
  <c r="J177" i="5"/>
  <c r="N171" i="5"/>
  <c r="K168" i="5"/>
  <c r="G168" i="5"/>
  <c r="G156" i="5"/>
  <c r="L163" i="5"/>
  <c r="H175" i="5"/>
  <c r="P161" i="5"/>
  <c r="O155" i="5"/>
  <c r="N174" i="5"/>
  <c r="M151" i="5"/>
  <c r="P158" i="5"/>
  <c r="I172" i="5"/>
  <c r="M154" i="5"/>
  <c r="K164" i="5"/>
  <c r="L152" i="5"/>
  <c r="I159" i="5"/>
  <c r="L165" i="5"/>
  <c r="H157" i="5"/>
  <c r="G160" i="5"/>
  <c r="P153" i="5"/>
  <c r="L169" i="5"/>
  <c r="M162" i="5"/>
  <c r="P170" i="5"/>
  <c r="K156" i="5"/>
  <c r="N193" i="5"/>
  <c r="N180" i="5"/>
  <c r="P201" i="5"/>
  <c r="M171" i="5"/>
  <c r="I168" i="5"/>
  <c r="H168" i="5"/>
  <c r="K163" i="5"/>
  <c r="P163" i="5"/>
  <c r="L170" i="5"/>
  <c r="G171" i="5"/>
  <c r="O175" i="5"/>
  <c r="P155" i="5"/>
  <c r="O167" i="5"/>
  <c r="O151" i="5"/>
  <c r="M158" i="5"/>
  <c r="M172" i="5"/>
  <c r="I173" i="5"/>
  <c r="P164" i="5"/>
  <c r="P152" i="5"/>
  <c r="K159" i="5"/>
  <c r="G165" i="5"/>
  <c r="I196" i="5"/>
  <c r="G157" i="5"/>
  <c r="H160" i="5"/>
  <c r="N153" i="5"/>
  <c r="I169" i="5"/>
  <c r="I162" i="5"/>
  <c r="I170" i="5"/>
  <c r="I156" i="5"/>
  <c r="O193" i="5"/>
  <c r="I197" i="5"/>
  <c r="H150" i="5"/>
  <c r="G150" i="5"/>
  <c r="J168" i="5"/>
  <c r="N168" i="5"/>
  <c r="M161" i="5"/>
  <c r="L155" i="5"/>
  <c r="O174" i="5"/>
  <c r="K151" i="5"/>
  <c r="H172" i="5"/>
  <c r="O152" i="5"/>
  <c r="M159" i="5"/>
  <c r="H165" i="5"/>
  <c r="O153" i="5"/>
  <c r="P162" i="5"/>
  <c r="L193" i="5"/>
  <c r="J188" i="5"/>
  <c r="I158" i="5"/>
  <c r="M173" i="5"/>
  <c r="H164" i="5"/>
  <c r="N159" i="5"/>
  <c r="J165" i="5"/>
  <c r="I157" i="5"/>
  <c r="I160" i="5"/>
  <c r="J153" i="5"/>
  <c r="G169" i="5"/>
  <c r="J162" i="5"/>
  <c r="O170" i="5"/>
  <c r="O156" i="5"/>
  <c r="I193" i="5"/>
  <c r="L186" i="5"/>
  <c r="K196" i="5"/>
  <c r="H163" i="5"/>
  <c r="J175" i="5"/>
  <c r="L167" i="5"/>
  <c r="K154" i="5"/>
  <c r="O157" i="5"/>
  <c r="O169" i="5"/>
  <c r="K158" i="5"/>
  <c r="L154" i="5"/>
  <c r="K173" i="5"/>
  <c r="M164" i="5"/>
  <c r="J159" i="5"/>
  <c r="I165" i="5"/>
  <c r="K157" i="5"/>
  <c r="O160" i="5"/>
  <c r="I153" i="5"/>
  <c r="M169" i="5"/>
  <c r="L162" i="5"/>
  <c r="H170" i="5"/>
  <c r="H193" i="5"/>
  <c r="H171" i="5"/>
  <c r="L150" i="5"/>
  <c r="O171" i="5"/>
  <c r="J163" i="5"/>
  <c r="L160" i="5"/>
  <c r="K172" i="5"/>
  <c r="L161" i="5"/>
  <c r="K161" i="5"/>
  <c r="J158" i="5"/>
  <c r="H154" i="5"/>
  <c r="K180" i="5"/>
  <c r="O173" i="5"/>
  <c r="J164" i="5"/>
  <c r="I152" i="5"/>
  <c r="L159" i="5"/>
  <c r="M165" i="5"/>
  <c r="J157" i="5"/>
  <c r="G153" i="5"/>
  <c r="P169" i="5"/>
  <c r="G162" i="5"/>
  <c r="M170" i="5"/>
  <c r="K193" i="5"/>
  <c r="J183" i="5"/>
  <c r="L168" i="5"/>
  <c r="G163" i="5"/>
  <c r="I163" i="5"/>
  <c r="P167" i="5"/>
  <c r="I174" i="5"/>
  <c r="N175" i="5"/>
  <c r="L151" i="5"/>
  <c r="P175" i="5"/>
  <c r="J161" i="5"/>
  <c r="H155" i="5"/>
  <c r="I167" i="5"/>
  <c r="M174" i="5"/>
  <c r="H151" i="5"/>
  <c r="L158" i="5"/>
  <c r="G172" i="5"/>
  <c r="O154" i="5"/>
  <c r="L180" i="5"/>
  <c r="L173" i="5"/>
  <c r="O164" i="5"/>
  <c r="J152" i="5"/>
  <c r="G159" i="5"/>
  <c r="K165" i="5"/>
  <c r="L157" i="5"/>
  <c r="M160" i="5"/>
  <c r="L153" i="5"/>
  <c r="K169" i="5"/>
  <c r="M156" i="5"/>
  <c r="G193" i="5"/>
  <c r="L178" i="5"/>
  <c r="N150" i="5"/>
  <c r="J171" i="5"/>
  <c r="L171" i="5"/>
  <c r="M163" i="5"/>
  <c r="I171" i="5"/>
  <c r="J151" i="5"/>
  <c r="N151" i="5"/>
  <c r="G167" i="5"/>
  <c r="I175" i="5"/>
  <c r="N161" i="5"/>
  <c r="G155" i="5"/>
  <c r="J167" i="5"/>
  <c r="P174" i="5"/>
  <c r="G151" i="5"/>
  <c r="G158" i="5"/>
  <c r="J172" i="5"/>
  <c r="P154" i="5"/>
  <c r="G173" i="5"/>
  <c r="N164" i="5"/>
  <c r="N152" i="5"/>
  <c r="H159" i="5"/>
  <c r="N165" i="5"/>
  <c r="P157" i="5"/>
  <c r="N160" i="5"/>
  <c r="O162" i="5"/>
  <c r="P156" i="5"/>
  <c r="O176" i="5"/>
  <c r="P171" i="5"/>
  <c r="I150" i="5"/>
  <c r="P168" i="5"/>
  <c r="J37" i="5"/>
  <c r="L34" i="5"/>
  <c r="N64" i="5"/>
  <c r="J56" i="5"/>
  <c r="J65" i="5"/>
  <c r="M35" i="5"/>
  <c r="H50" i="5"/>
  <c r="N71" i="5"/>
  <c r="O64" i="5"/>
  <c r="J66" i="5"/>
  <c r="M31" i="5"/>
  <c r="N65" i="5"/>
  <c r="J28" i="5"/>
  <c r="H53" i="5"/>
  <c r="K25" i="5"/>
  <c r="N27" i="5"/>
  <c r="G23" i="5"/>
  <c r="L33" i="5"/>
  <c r="I51" i="5"/>
  <c r="N20" i="5"/>
  <c r="K57" i="5"/>
  <c r="L66" i="5"/>
  <c r="P67" i="5"/>
  <c r="I37" i="5"/>
  <c r="K45" i="5"/>
  <c r="O42" i="5"/>
  <c r="N37" i="5"/>
  <c r="M45" i="5"/>
  <c r="H38" i="5"/>
  <c r="K27" i="5"/>
  <c r="L36" i="5"/>
  <c r="M21" i="5"/>
  <c r="M46" i="5"/>
  <c r="N42" i="5"/>
  <c r="L24" i="5"/>
  <c r="P36" i="5"/>
  <c r="P70" i="5"/>
  <c r="N47" i="5"/>
  <c r="L68" i="5"/>
  <c r="L61" i="5"/>
  <c r="O63" i="5"/>
  <c r="J48" i="5"/>
  <c r="P69" i="5"/>
  <c r="M91" i="5"/>
  <c r="K55" i="5"/>
  <c r="I66" i="5"/>
  <c r="N22" i="5"/>
  <c r="M60" i="5"/>
  <c r="H70" i="5"/>
  <c r="L69" i="5"/>
  <c r="H27" i="5"/>
  <c r="P42" i="5"/>
  <c r="K34" i="5"/>
  <c r="M32" i="5"/>
  <c r="O32" i="5"/>
  <c r="O41" i="5"/>
  <c r="K38" i="5"/>
  <c r="G59" i="5"/>
  <c r="K26" i="5"/>
  <c r="H35" i="5"/>
  <c r="K37" i="5"/>
  <c r="H40" i="5"/>
  <c r="I44" i="5"/>
  <c r="H51" i="5"/>
  <c r="N60" i="5"/>
  <c r="I62" i="5"/>
  <c r="L64" i="5"/>
  <c r="J21" i="5"/>
  <c r="P49" i="5"/>
  <c r="K50" i="5"/>
  <c r="G27" i="5"/>
  <c r="M36" i="5"/>
  <c r="N50" i="5"/>
  <c r="H57" i="5"/>
  <c r="K43" i="5"/>
  <c r="L67" i="5"/>
  <c r="P24" i="5"/>
  <c r="G43" i="5"/>
  <c r="J25" i="5"/>
  <c r="J62" i="5"/>
  <c r="P23" i="5"/>
  <c r="P31" i="5"/>
  <c r="N45" i="5"/>
  <c r="O67" i="5"/>
  <c r="P57" i="5"/>
  <c r="M23" i="5"/>
  <c r="N58" i="5"/>
  <c r="O70" i="5"/>
  <c r="J47" i="5"/>
  <c r="I50" i="5"/>
  <c r="G68" i="5"/>
  <c r="K61" i="5"/>
  <c r="H63" i="5"/>
  <c r="P48" i="5"/>
  <c r="H55" i="5"/>
  <c r="P62" i="5"/>
  <c r="H25" i="5"/>
  <c r="P44" i="5"/>
  <c r="H43" i="5"/>
  <c r="J23" i="5"/>
  <c r="K51" i="5"/>
  <c r="I54" i="5"/>
  <c r="I58" i="5"/>
  <c r="P32" i="5"/>
  <c r="O29" i="5"/>
  <c r="O34" i="5"/>
  <c r="M67" i="5"/>
  <c r="I30" i="5"/>
  <c r="O60" i="5"/>
  <c r="O53" i="5"/>
  <c r="L20" i="5"/>
  <c r="H23" i="5"/>
  <c r="J24" i="5"/>
  <c r="J29" i="5"/>
  <c r="P41" i="5"/>
  <c r="O49" i="5"/>
  <c r="M22" i="5"/>
  <c r="L71" i="5"/>
  <c r="P26" i="5"/>
  <c r="L31" i="5"/>
  <c r="N30" i="5"/>
  <c r="P38" i="5"/>
  <c r="L62" i="5"/>
  <c r="J35" i="5"/>
  <c r="I38" i="5"/>
  <c r="I27" i="5"/>
  <c r="H66" i="5"/>
  <c r="G50" i="5"/>
  <c r="J57" i="5"/>
  <c r="K66" i="5"/>
  <c r="H60" i="5"/>
  <c r="N59" i="5"/>
  <c r="O50" i="5"/>
  <c r="H37" i="5"/>
  <c r="P43" i="5"/>
  <c r="M50" i="5"/>
  <c r="N62" i="5"/>
  <c r="K64" i="5"/>
  <c r="L70" i="5"/>
  <c r="I47" i="5"/>
  <c r="I68" i="5"/>
  <c r="G61" i="5"/>
  <c r="K63" i="5"/>
  <c r="I48" i="5"/>
  <c r="O69" i="5"/>
  <c r="L55" i="5"/>
  <c r="K42" i="5"/>
  <c r="K59" i="5"/>
  <c r="L38" i="5"/>
  <c r="H54" i="5"/>
  <c r="P71" i="5"/>
  <c r="O23" i="5"/>
  <c r="H68" i="5"/>
  <c r="L48" i="5"/>
  <c r="J32" i="5"/>
  <c r="I32" i="5"/>
  <c r="G56" i="5"/>
  <c r="M52" i="5"/>
  <c r="I59" i="5"/>
  <c r="J22" i="5"/>
  <c r="J51" i="5"/>
  <c r="M65" i="5"/>
  <c r="M64" i="5"/>
  <c r="O62" i="5"/>
  <c r="L56" i="5"/>
  <c r="K33" i="5"/>
  <c r="I46" i="5"/>
  <c r="M39" i="5"/>
  <c r="O59" i="5"/>
  <c r="P20" i="5"/>
  <c r="M37" i="5"/>
  <c r="K46" i="5"/>
  <c r="P25" i="5"/>
  <c r="G71" i="5"/>
  <c r="L23" i="5"/>
  <c r="N25" i="5"/>
  <c r="K62" i="5"/>
  <c r="N36" i="5"/>
  <c r="N38" i="5"/>
  <c r="L27" i="5"/>
  <c r="G36" i="5"/>
  <c r="H22" i="5"/>
  <c r="P54" i="5"/>
  <c r="O38" i="5"/>
  <c r="G24" i="5"/>
  <c r="N66" i="5"/>
  <c r="M38" i="5"/>
  <c r="M71" i="5"/>
  <c r="J26" i="5"/>
  <c r="O58" i="5"/>
  <c r="G70" i="5"/>
  <c r="H47" i="5"/>
  <c r="N68" i="5"/>
  <c r="P21" i="5"/>
  <c r="J61" i="5"/>
  <c r="L63" i="5"/>
  <c r="H48" i="5"/>
  <c r="M69" i="5"/>
  <c r="H91" i="5"/>
  <c r="G55" i="5"/>
  <c r="K76" i="5"/>
  <c r="J42" i="5"/>
  <c r="L30" i="5"/>
  <c r="M42" i="5"/>
  <c r="L53" i="5"/>
  <c r="P28" i="5"/>
  <c r="H59" i="5"/>
  <c r="H64" i="5"/>
  <c r="O27" i="5"/>
  <c r="P40" i="5"/>
  <c r="O91" i="5"/>
  <c r="P34" i="5"/>
  <c r="O56" i="5"/>
  <c r="N34" i="5"/>
  <c r="O65" i="5"/>
  <c r="L40" i="5"/>
  <c r="I49" i="5"/>
  <c r="P39" i="5"/>
  <c r="H49" i="5"/>
  <c r="I40" i="5"/>
  <c r="G20" i="5"/>
  <c r="K71" i="5"/>
  <c r="O52" i="5"/>
  <c r="H21" i="5"/>
  <c r="J45" i="5"/>
  <c r="I28" i="5"/>
  <c r="O54" i="5"/>
  <c r="L50" i="5"/>
  <c r="M24" i="5"/>
  <c r="O45" i="5"/>
  <c r="P22" i="5"/>
  <c r="P59" i="5"/>
  <c r="G64" i="5"/>
  <c r="I60" i="5"/>
  <c r="H71" i="5"/>
  <c r="I35" i="5"/>
  <c r="G25" i="5"/>
  <c r="G62" i="5"/>
  <c r="N35" i="5"/>
  <c r="J39" i="5"/>
  <c r="N53" i="5"/>
  <c r="M25" i="5"/>
  <c r="L57" i="5"/>
  <c r="P35" i="5"/>
  <c r="O25" i="5"/>
  <c r="M59" i="5"/>
  <c r="H20" i="5"/>
  <c r="M58" i="5"/>
  <c r="J70" i="5"/>
  <c r="G47" i="5"/>
  <c r="J68" i="5"/>
  <c r="O28" i="5"/>
  <c r="I61" i="5"/>
  <c r="G63" i="5"/>
  <c r="G48" i="5"/>
  <c r="K91" i="5"/>
  <c r="J55" i="5"/>
  <c r="I76" i="5"/>
  <c r="K32" i="5"/>
  <c r="M34" i="5"/>
  <c r="K28" i="5"/>
  <c r="L29" i="5"/>
  <c r="K31" i="5"/>
  <c r="I57" i="5"/>
  <c r="M26" i="5"/>
  <c r="K60" i="5"/>
  <c r="O44" i="5"/>
  <c r="L60" i="5"/>
  <c r="L47" i="5"/>
  <c r="I55" i="5"/>
  <c r="K29" i="5"/>
  <c r="G32" i="5"/>
  <c r="K56" i="5"/>
  <c r="L32" i="5"/>
  <c r="H26" i="5"/>
  <c r="J33" i="5"/>
  <c r="N46" i="5"/>
  <c r="H56" i="5"/>
  <c r="J60" i="5"/>
  <c r="G54" i="5"/>
  <c r="J67" i="5"/>
  <c r="I24" i="5"/>
  <c r="O36" i="5"/>
  <c r="N41" i="5"/>
  <c r="O51" i="5"/>
  <c r="I25" i="5"/>
  <c r="M27" i="5"/>
  <c r="O66" i="5"/>
  <c r="L44" i="5"/>
  <c r="J53" i="5"/>
  <c r="O20" i="5"/>
  <c r="H39" i="5"/>
  <c r="K54" i="5"/>
  <c r="J64" i="5"/>
  <c r="I22" i="5"/>
  <c r="N54" i="5"/>
  <c r="G65" i="5"/>
  <c r="M41" i="5"/>
  <c r="N49" i="5"/>
  <c r="K22" i="5"/>
  <c r="O71" i="5"/>
  <c r="L26" i="5"/>
  <c r="G22" i="5"/>
  <c r="M53" i="5"/>
  <c r="M29" i="5"/>
  <c r="G38" i="5"/>
  <c r="K58" i="5"/>
  <c r="N70" i="5"/>
  <c r="K47" i="5"/>
  <c r="K68" i="5"/>
  <c r="O61" i="5"/>
  <c r="M63" i="5"/>
  <c r="K48" i="5"/>
  <c r="G69" i="5"/>
  <c r="I91" i="5"/>
  <c r="P65" i="5"/>
  <c r="O46" i="5"/>
  <c r="K39" i="5"/>
  <c r="O31" i="5"/>
  <c r="G42" i="5"/>
  <c r="P30" i="5"/>
  <c r="P27" i="5"/>
  <c r="I43" i="5"/>
  <c r="J40" i="5"/>
  <c r="G51" i="5"/>
  <c r="H34" i="5"/>
  <c r="N52" i="5"/>
  <c r="H65" i="5"/>
  <c r="N67" i="5"/>
  <c r="M54" i="5"/>
  <c r="N21" i="5"/>
  <c r="M43" i="5"/>
  <c r="H52" i="5"/>
  <c r="I39" i="5"/>
  <c r="M49" i="5"/>
  <c r="P50" i="5"/>
  <c r="O57" i="5"/>
  <c r="K35" i="5"/>
  <c r="M33" i="5"/>
  <c r="H45" i="5"/>
  <c r="P60" i="5"/>
  <c r="H62" i="5"/>
  <c r="J36" i="5"/>
  <c r="H41" i="5"/>
  <c r="M51" i="5"/>
  <c r="K65" i="5"/>
  <c r="J44" i="5"/>
  <c r="P53" i="5"/>
  <c r="G26" i="5"/>
  <c r="N28" i="5"/>
  <c r="I53" i="5"/>
  <c r="K40" i="5"/>
  <c r="O21" i="5"/>
  <c r="H30" i="5"/>
  <c r="L39" i="5"/>
  <c r="J54" i="5"/>
  <c r="K20" i="5"/>
  <c r="O39" i="5"/>
  <c r="J49" i="5"/>
  <c r="I56" i="5"/>
  <c r="H58" i="5"/>
  <c r="P68" i="5"/>
  <c r="L97" i="5"/>
  <c r="J63" i="5"/>
  <c r="I69" i="5"/>
  <c r="G91" i="5"/>
  <c r="N55" i="5"/>
  <c r="I65" i="5"/>
  <c r="M40" i="5"/>
  <c r="G66" i="5"/>
  <c r="H28" i="5"/>
  <c r="J38" i="5"/>
  <c r="K23" i="5"/>
  <c r="J30" i="5"/>
  <c r="K41" i="5"/>
  <c r="M20" i="5"/>
  <c r="L51" i="5"/>
  <c r="K52" i="5"/>
  <c r="L45" i="5"/>
  <c r="P52" i="5"/>
  <c r="N32" i="5"/>
  <c r="N24" i="5"/>
  <c r="H24" i="5"/>
  <c r="I36" i="5"/>
  <c r="I67" i="5"/>
  <c r="G44" i="5"/>
  <c r="O43" i="5"/>
  <c r="L25" i="5"/>
  <c r="M62" i="5"/>
  <c r="I64" i="5"/>
  <c r="G31" i="5"/>
  <c r="P66" i="5"/>
  <c r="M28" i="5"/>
  <c r="J59" i="5"/>
  <c r="N23" i="5"/>
  <c r="J31" i="5"/>
  <c r="P46" i="5"/>
  <c r="H29" i="5"/>
  <c r="P33" i="5"/>
  <c r="L49" i="5"/>
  <c r="L65" i="5"/>
  <c r="G41" i="5"/>
  <c r="K49" i="5"/>
  <c r="I52" i="5"/>
  <c r="G37" i="5"/>
  <c r="I45" i="5"/>
  <c r="K44" i="5"/>
  <c r="N51" i="5"/>
  <c r="N29" i="5"/>
  <c r="J41" i="5"/>
  <c r="H46" i="5"/>
  <c r="I42" i="5"/>
  <c r="G58" i="5"/>
  <c r="K70" i="5"/>
  <c r="M47" i="5"/>
  <c r="O68" i="5"/>
  <c r="M44" i="5"/>
  <c r="N97" i="5"/>
  <c r="M61" i="5"/>
  <c r="N63" i="5"/>
  <c r="M48" i="5"/>
  <c r="H69" i="5"/>
  <c r="N91" i="5"/>
  <c r="O55" i="5"/>
  <c r="H67" i="5"/>
  <c r="N40" i="5"/>
  <c r="I34" i="5"/>
  <c r="N57" i="5"/>
  <c r="O35" i="5"/>
  <c r="H33" i="5"/>
  <c r="H36" i="5"/>
  <c r="I71" i="5"/>
  <c r="O26" i="5"/>
  <c r="K36" i="5"/>
  <c r="L54" i="5"/>
  <c r="P37" i="5"/>
  <c r="P45" i="5"/>
  <c r="G21" i="5"/>
  <c r="H42" i="5"/>
  <c r="I33" i="5"/>
  <c r="J34" i="5"/>
  <c r="O22" i="5"/>
  <c r="O37" i="5"/>
  <c r="N44" i="5"/>
  <c r="P64" i="5"/>
  <c r="M56" i="5"/>
  <c r="M30" i="5"/>
  <c r="L35" i="5"/>
  <c r="G46" i="5"/>
  <c r="N31" i="5"/>
  <c r="O40" i="5"/>
  <c r="G40" i="5"/>
  <c r="P56" i="5"/>
  <c r="L58" i="5"/>
  <c r="J69" i="5"/>
  <c r="N69" i="5"/>
  <c r="O24" i="5"/>
  <c r="O33" i="5"/>
  <c r="P63" i="5"/>
  <c r="G39" i="5"/>
  <c r="K24" i="5"/>
  <c r="M70" i="5"/>
  <c r="K69" i="5"/>
  <c r="J27" i="5"/>
  <c r="I41" i="5"/>
  <c r="G29" i="5"/>
  <c r="G57" i="5"/>
  <c r="G52" i="5"/>
  <c r="J58" i="5"/>
  <c r="I70" i="5"/>
  <c r="O48" i="5"/>
  <c r="P55" i="5"/>
  <c r="I63" i="5"/>
  <c r="I23" i="5"/>
  <c r="J71" i="5"/>
  <c r="H44" i="5"/>
  <c r="J46" i="5"/>
  <c r="L28" i="5"/>
  <c r="P58" i="5"/>
  <c r="H32" i="5"/>
  <c r="G53" i="5"/>
  <c r="N33" i="5"/>
  <c r="J43" i="5"/>
  <c r="G33" i="5"/>
  <c r="O47" i="5"/>
  <c r="P61" i="5"/>
  <c r="N48" i="5"/>
  <c r="M55" i="5"/>
  <c r="L59" i="5"/>
  <c r="G67" i="5"/>
  <c r="I31" i="5"/>
  <c r="J50" i="5"/>
  <c r="I21" i="5"/>
  <c r="G35" i="5"/>
  <c r="H31" i="5"/>
  <c r="M66" i="5"/>
  <c r="L37" i="5"/>
  <c r="N61" i="5"/>
  <c r="L52" i="5"/>
  <c r="I20" i="5"/>
  <c r="N43" i="5"/>
  <c r="M68" i="5"/>
  <c r="L42" i="5"/>
  <c r="M57" i="5"/>
  <c r="G60" i="5"/>
  <c r="G34" i="5"/>
  <c r="I26" i="5"/>
  <c r="N26" i="5"/>
  <c r="P51" i="5"/>
  <c r="G28" i="5"/>
  <c r="O30" i="5"/>
  <c r="P47" i="5"/>
  <c r="G97" i="5"/>
  <c r="H61" i="5"/>
  <c r="L91" i="5"/>
  <c r="L46" i="5"/>
  <c r="J91" i="5"/>
  <c r="L21" i="5"/>
  <c r="K67" i="5"/>
  <c r="K30" i="5"/>
  <c r="P29" i="5"/>
  <c r="N39" i="5"/>
  <c r="K21" i="5"/>
  <c r="G30" i="5"/>
  <c r="L41" i="5"/>
  <c r="G45" i="5"/>
  <c r="P91" i="5"/>
  <c r="I29" i="5"/>
  <c r="J20" i="5"/>
  <c r="L43" i="5"/>
  <c r="N56" i="5"/>
  <c r="K53" i="5"/>
  <c r="J52" i="5"/>
  <c r="L22" i="5"/>
  <c r="G49" i="5"/>
  <c r="M87" i="5"/>
  <c r="O76" i="5"/>
  <c r="N90" i="5"/>
  <c r="J81" i="5"/>
  <c r="I90" i="5"/>
  <c r="G89" i="5"/>
  <c r="N81" i="5"/>
  <c r="M97" i="5"/>
  <c r="P96" i="5"/>
  <c r="J78" i="5"/>
  <c r="I87" i="5"/>
  <c r="N85" i="5"/>
  <c r="P84" i="5"/>
  <c r="I86" i="5"/>
  <c r="M93" i="5"/>
  <c r="M94" i="5"/>
  <c r="I80" i="5"/>
  <c r="J95" i="5"/>
  <c r="O88" i="5"/>
  <c r="O98" i="5"/>
  <c r="L73" i="5"/>
  <c r="J83" i="5"/>
  <c r="G118" i="5"/>
  <c r="O75" i="5"/>
  <c r="O79" i="5"/>
  <c r="L84" i="5"/>
  <c r="P86" i="5"/>
  <c r="H93" i="5"/>
  <c r="H94" i="5"/>
  <c r="J80" i="5"/>
  <c r="I95" i="5"/>
  <c r="G83" i="5"/>
  <c r="M75" i="5"/>
  <c r="N79" i="5"/>
  <c r="N83" i="5"/>
  <c r="L94" i="5"/>
  <c r="N98" i="5"/>
  <c r="N76" i="5"/>
  <c r="P93" i="5"/>
  <c r="M98" i="5"/>
  <c r="N78" i="5"/>
  <c r="H96" i="5"/>
  <c r="I77" i="5"/>
  <c r="H97" i="5"/>
  <c r="G72" i="5"/>
  <c r="K97" i="5"/>
  <c r="K81" i="5"/>
  <c r="J82" i="5"/>
  <c r="P72" i="5"/>
  <c r="G78" i="5"/>
  <c r="H85" i="5"/>
  <c r="H74" i="5"/>
  <c r="M88" i="5"/>
  <c r="G73" i="5"/>
  <c r="P118" i="5"/>
  <c r="I88" i="5"/>
  <c r="K80" i="5"/>
  <c r="J88" i="5"/>
  <c r="L89" i="5"/>
  <c r="K95" i="5"/>
  <c r="G79" i="5"/>
  <c r="H77" i="5"/>
  <c r="H86" i="5"/>
  <c r="L83" i="5"/>
  <c r="H76" i="5"/>
  <c r="N96" i="5"/>
  <c r="L87" i="5"/>
  <c r="O87" i="5"/>
  <c r="H78" i="5"/>
  <c r="N87" i="5"/>
  <c r="K85" i="5"/>
  <c r="L86" i="5"/>
  <c r="K93" i="5"/>
  <c r="O94" i="5"/>
  <c r="M74" i="5"/>
  <c r="O80" i="5"/>
  <c r="I92" i="5"/>
  <c r="G95" i="5"/>
  <c r="H98" i="5"/>
  <c r="J73" i="5"/>
  <c r="M83" i="5"/>
  <c r="H75" i="5"/>
  <c r="J79" i="5"/>
  <c r="H95" i="5"/>
  <c r="J96" i="5"/>
  <c r="P90" i="5"/>
  <c r="G85" i="5"/>
  <c r="K86" i="5"/>
  <c r="N94" i="5"/>
  <c r="H80" i="5"/>
  <c r="H92" i="5"/>
  <c r="I73" i="5"/>
  <c r="P77" i="5"/>
  <c r="P74" i="5"/>
  <c r="N73" i="5"/>
  <c r="G81" i="5"/>
  <c r="P78" i="5"/>
  <c r="L72" i="5"/>
  <c r="H90" i="5"/>
  <c r="K90" i="5"/>
  <c r="P76" i="5"/>
  <c r="P81" i="5"/>
  <c r="I81" i="5"/>
  <c r="O90" i="5"/>
  <c r="G87" i="5"/>
  <c r="P87" i="5"/>
  <c r="N77" i="5"/>
  <c r="G86" i="5"/>
  <c r="L93" i="5"/>
  <c r="P94" i="5"/>
  <c r="K74" i="5"/>
  <c r="N80" i="5"/>
  <c r="L92" i="5"/>
  <c r="K88" i="5"/>
  <c r="K98" i="5"/>
  <c r="O73" i="5"/>
  <c r="K83" i="5"/>
  <c r="K75" i="5"/>
  <c r="H79" i="5"/>
  <c r="N86" i="5"/>
  <c r="K96" i="5"/>
  <c r="M84" i="5"/>
  <c r="P88" i="5"/>
  <c r="K89" i="5"/>
  <c r="O77" i="5"/>
  <c r="J76" i="5"/>
  <c r="O82" i="5"/>
  <c r="L90" i="5"/>
  <c r="L77" i="5"/>
  <c r="I72" i="5"/>
  <c r="O84" i="5"/>
  <c r="O86" i="5"/>
  <c r="I74" i="5"/>
  <c r="G92" i="5"/>
  <c r="O95" i="5"/>
  <c r="H88" i="5"/>
  <c r="J98" i="5"/>
  <c r="M73" i="5"/>
  <c r="I83" i="5"/>
  <c r="I75" i="5"/>
  <c r="P79" i="5"/>
  <c r="M96" i="5"/>
  <c r="O93" i="5"/>
  <c r="I94" i="5"/>
  <c r="N74" i="5"/>
  <c r="N88" i="5"/>
  <c r="P83" i="5"/>
  <c r="G90" i="5"/>
  <c r="J90" i="5"/>
  <c r="H72" i="5"/>
  <c r="J77" i="5"/>
  <c r="G84" i="5"/>
  <c r="P80" i="5"/>
  <c r="H73" i="5"/>
  <c r="M92" i="5"/>
  <c r="P75" i="5"/>
  <c r="I78" i="5"/>
  <c r="I96" i="5"/>
  <c r="M89" i="5"/>
  <c r="H81" i="5"/>
  <c r="M76" i="5"/>
  <c r="G77" i="5"/>
  <c r="K77" i="5"/>
  <c r="O85" i="5"/>
  <c r="I84" i="5"/>
  <c r="J74" i="5"/>
  <c r="O92" i="5"/>
  <c r="M95" i="5"/>
  <c r="L88" i="5"/>
  <c r="P98" i="5"/>
  <c r="H83" i="5"/>
  <c r="L75" i="5"/>
  <c r="M79" i="5"/>
  <c r="I93" i="5"/>
  <c r="M80" i="5"/>
  <c r="I98" i="5"/>
  <c r="J75" i="5"/>
  <c r="H84" i="5"/>
  <c r="G80" i="5"/>
  <c r="J92" i="5"/>
  <c r="L98" i="5"/>
  <c r="I79" i="5"/>
  <c r="M82" i="5"/>
  <c r="G76" i="5"/>
  <c r="P85" i="5"/>
  <c r="J86" i="5"/>
  <c r="G94" i="5"/>
  <c r="L74" i="5"/>
  <c r="P95" i="5"/>
  <c r="G98" i="5"/>
  <c r="L85" i="5"/>
  <c r="K73" i="5"/>
  <c r="O72" i="5"/>
  <c r="K82" i="5"/>
  <c r="L81" i="5"/>
  <c r="O89" i="5"/>
  <c r="O97" i="5"/>
  <c r="O81" i="5"/>
  <c r="J72" i="5"/>
  <c r="H89" i="5"/>
  <c r="O78" i="5"/>
  <c r="J87" i="5"/>
  <c r="K72" i="5"/>
  <c r="M85" i="5"/>
  <c r="K84" i="5"/>
  <c r="M86" i="5"/>
  <c r="K94" i="5"/>
  <c r="G74" i="5"/>
  <c r="N92" i="5"/>
  <c r="G88" i="5"/>
  <c r="P73" i="5"/>
  <c r="K79" i="5"/>
  <c r="I85" i="5"/>
  <c r="N95" i="5"/>
  <c r="G75" i="5"/>
  <c r="J93" i="5"/>
  <c r="H82" i="5"/>
  <c r="G96" i="5"/>
  <c r="L96" i="5"/>
  <c r="N89" i="5"/>
  <c r="J89" i="5"/>
  <c r="J94" i="5"/>
  <c r="L80" i="5"/>
  <c r="L95" i="5"/>
  <c r="L79" i="5"/>
  <c r="J97" i="5"/>
  <c r="I82" i="5"/>
  <c r="M90" i="5"/>
  <c r="G82" i="5"/>
  <c r="O96" i="5"/>
  <c r="M72" i="5"/>
  <c r="L76" i="5"/>
  <c r="M78" i="5"/>
  <c r="N93" i="5"/>
  <c r="P92" i="5"/>
  <c r="G93" i="5"/>
  <c r="L82" i="5"/>
  <c r="N75" i="5"/>
  <c r="J85" i="5"/>
  <c r="I89" i="5"/>
  <c r="P89" i="5"/>
  <c r="I97" i="5"/>
  <c r="M81" i="5"/>
  <c r="P97" i="5"/>
  <c r="K87" i="5"/>
  <c r="L78" i="5"/>
  <c r="N72" i="5"/>
  <c r="M77" i="5"/>
  <c r="K78" i="5"/>
  <c r="J84" i="5"/>
  <c r="O74" i="5"/>
  <c r="H87" i="5"/>
  <c r="N82" i="5"/>
  <c r="N84" i="5"/>
  <c r="O83" i="5"/>
  <c r="P82" i="5"/>
  <c r="K92" i="5"/>
  <c r="N106" i="5"/>
  <c r="G102" i="5"/>
  <c r="I106" i="5"/>
  <c r="P106" i="5"/>
  <c r="J102" i="5"/>
  <c r="K121" i="5"/>
  <c r="O121" i="5"/>
  <c r="J110" i="5"/>
  <c r="J117" i="5"/>
  <c r="K119" i="5"/>
  <c r="G109" i="5"/>
  <c r="O120" i="5"/>
  <c r="I113" i="5"/>
  <c r="N104" i="5"/>
  <c r="M114" i="5"/>
  <c r="G122" i="5"/>
  <c r="M103" i="5"/>
  <c r="P115" i="5"/>
  <c r="M101" i="5"/>
  <c r="I108" i="5"/>
  <c r="G116" i="5"/>
  <c r="O111" i="5"/>
  <c r="M127" i="5"/>
  <c r="M136" i="5"/>
  <c r="M122" i="5"/>
  <c r="G113" i="5"/>
  <c r="N103" i="5"/>
  <c r="N136" i="5"/>
  <c r="G99" i="5"/>
  <c r="N102" i="5"/>
  <c r="K99" i="5"/>
  <c r="L121" i="5"/>
  <c r="O99" i="5"/>
  <c r="P105" i="5"/>
  <c r="M112" i="5"/>
  <c r="N107" i="5"/>
  <c r="P100" i="5"/>
  <c r="H117" i="5"/>
  <c r="H119" i="5"/>
  <c r="O109" i="5"/>
  <c r="G120" i="5"/>
  <c r="L113" i="5"/>
  <c r="J104" i="5"/>
  <c r="O123" i="5"/>
  <c r="N114" i="5"/>
  <c r="I103" i="5"/>
  <c r="J101" i="5"/>
  <c r="H108" i="5"/>
  <c r="K116" i="5"/>
  <c r="K111" i="5"/>
  <c r="G127" i="5"/>
  <c r="I136" i="5"/>
  <c r="L136" i="5"/>
  <c r="L116" i="5"/>
  <c r="N116" i="5"/>
  <c r="K103" i="5"/>
  <c r="K100" i="5"/>
  <c r="I121" i="5"/>
  <c r="G106" i="5"/>
  <c r="J99" i="5"/>
  <c r="N99" i="5"/>
  <c r="K105" i="5"/>
  <c r="O100" i="5"/>
  <c r="P110" i="5"/>
  <c r="G148" i="5"/>
  <c r="K117" i="5"/>
  <c r="I119" i="5"/>
  <c r="M109" i="5"/>
  <c r="H120" i="5"/>
  <c r="J113" i="5"/>
  <c r="O104" i="5"/>
  <c r="M123" i="5"/>
  <c r="G114" i="5"/>
  <c r="O122" i="5"/>
  <c r="N115" i="5"/>
  <c r="G101" i="5"/>
  <c r="O108" i="5"/>
  <c r="I116" i="5"/>
  <c r="I111" i="5"/>
  <c r="L127" i="5"/>
  <c r="L111" i="5"/>
  <c r="J136" i="5"/>
  <c r="H111" i="5"/>
  <c r="I112" i="5"/>
  <c r="O103" i="5"/>
  <c r="O116" i="5"/>
  <c r="M99" i="5"/>
  <c r="P112" i="5"/>
  <c r="G107" i="5"/>
  <c r="O117" i="5"/>
  <c r="J120" i="5"/>
  <c r="M104" i="5"/>
  <c r="J122" i="5"/>
  <c r="K108" i="5"/>
  <c r="O118" i="5"/>
  <c r="L105" i="5"/>
  <c r="H112" i="5"/>
  <c r="O107" i="5"/>
  <c r="M100" i="5"/>
  <c r="I110" i="5"/>
  <c r="G119" i="5"/>
  <c r="K120" i="5"/>
  <c r="H113" i="5"/>
  <c r="K104" i="5"/>
  <c r="N123" i="5"/>
  <c r="H114" i="5"/>
  <c r="L101" i="5"/>
  <c r="L108" i="5"/>
  <c r="H116" i="5"/>
  <c r="N111" i="5"/>
  <c r="N127" i="5"/>
  <c r="J105" i="5"/>
  <c r="N110" i="5"/>
  <c r="P109" i="5"/>
  <c r="I120" i="5"/>
  <c r="L123" i="5"/>
  <c r="P122" i="5"/>
  <c r="L103" i="5"/>
  <c r="M147" i="5"/>
  <c r="I102" i="5"/>
  <c r="H109" i="5"/>
  <c r="N101" i="5"/>
  <c r="K136" i="5"/>
  <c r="J121" i="5"/>
  <c r="L119" i="5"/>
  <c r="L109" i="5"/>
  <c r="J123" i="5"/>
  <c r="J115" i="5"/>
  <c r="O106" i="5"/>
  <c r="J118" i="5"/>
  <c r="P99" i="5"/>
  <c r="J112" i="5"/>
  <c r="M107" i="5"/>
  <c r="G100" i="5"/>
  <c r="N117" i="5"/>
  <c r="P104" i="5"/>
  <c r="P114" i="5"/>
  <c r="O115" i="5"/>
  <c r="I101" i="5"/>
  <c r="J108" i="5"/>
  <c r="P136" i="5"/>
  <c r="L115" i="5"/>
  <c r="O136" i="5"/>
  <c r="M116" i="5"/>
  <c r="M106" i="5"/>
  <c r="J106" i="5"/>
  <c r="N118" i="5"/>
  <c r="M102" i="5"/>
  <c r="G105" i="5"/>
  <c r="G112" i="5"/>
  <c r="K107" i="5"/>
  <c r="L110" i="5"/>
  <c r="P117" i="5"/>
  <c r="O119" i="5"/>
  <c r="N109" i="5"/>
  <c r="P139" i="5"/>
  <c r="H104" i="5"/>
  <c r="G123" i="5"/>
  <c r="L114" i="5"/>
  <c r="K122" i="5"/>
  <c r="J103" i="5"/>
  <c r="M115" i="5"/>
  <c r="K101" i="5"/>
  <c r="G108" i="5"/>
  <c r="J116" i="5"/>
  <c r="M111" i="5"/>
  <c r="H136" i="5"/>
  <c r="G136" i="5"/>
  <c r="M108" i="5"/>
  <c r="K118" i="5"/>
  <c r="O105" i="5"/>
  <c r="P121" i="5"/>
  <c r="O110" i="5"/>
  <c r="M117" i="5"/>
  <c r="J109" i="5"/>
  <c r="L120" i="5"/>
  <c r="I104" i="5"/>
  <c r="H123" i="5"/>
  <c r="L122" i="5"/>
  <c r="P101" i="5"/>
  <c r="M118" i="5"/>
  <c r="I99" i="5"/>
  <c r="K113" i="5"/>
  <c r="O101" i="5"/>
  <c r="H106" i="5"/>
  <c r="L106" i="5"/>
  <c r="L102" i="5"/>
  <c r="H121" i="5"/>
  <c r="H102" i="5"/>
  <c r="N121" i="5"/>
  <c r="M105" i="5"/>
  <c r="O112" i="5"/>
  <c r="I107" i="5"/>
  <c r="I100" i="5"/>
  <c r="M110" i="5"/>
  <c r="P119" i="5"/>
  <c r="M120" i="5"/>
  <c r="O113" i="5"/>
  <c r="I139" i="5"/>
  <c r="I123" i="5"/>
  <c r="J114" i="5"/>
  <c r="I122" i="5"/>
  <c r="G103" i="5"/>
  <c r="G115" i="5"/>
  <c r="H101" i="5"/>
  <c r="N108" i="5"/>
  <c r="P116" i="5"/>
  <c r="G111" i="5"/>
  <c r="P111" i="5"/>
  <c r="K112" i="5"/>
  <c r="K110" i="5"/>
  <c r="L117" i="5"/>
  <c r="N119" i="5"/>
  <c r="N120" i="5"/>
  <c r="N113" i="5"/>
  <c r="H115" i="5"/>
  <c r="O137" i="5"/>
  <c r="P107" i="5"/>
  <c r="J119" i="5"/>
  <c r="O127" i="5"/>
  <c r="O102" i="5"/>
  <c r="K106" i="5"/>
  <c r="K102" i="5"/>
  <c r="G121" i="5"/>
  <c r="H99" i="5"/>
  <c r="I105" i="5"/>
  <c r="N112" i="5"/>
  <c r="H107" i="5"/>
  <c r="H100" i="5"/>
  <c r="G110" i="5"/>
  <c r="G117" i="5"/>
  <c r="M119" i="5"/>
  <c r="K109" i="5"/>
  <c r="M113" i="5"/>
  <c r="P123" i="5"/>
  <c r="I114" i="5"/>
  <c r="H122" i="5"/>
  <c r="H103" i="5"/>
  <c r="K115" i="5"/>
  <c r="J107" i="5"/>
  <c r="G104" i="5"/>
  <c r="P108" i="5"/>
  <c r="L118" i="5"/>
  <c r="O114" i="5"/>
  <c r="P102" i="5"/>
  <c r="L99" i="5"/>
  <c r="H105" i="5"/>
  <c r="L112" i="5"/>
  <c r="L107" i="5"/>
  <c r="L100" i="5"/>
  <c r="H110" i="5"/>
  <c r="I117" i="5"/>
  <c r="I109" i="5"/>
  <c r="P120" i="5"/>
  <c r="P113" i="5"/>
  <c r="L104" i="5"/>
  <c r="K123" i="5"/>
  <c r="K114" i="5"/>
  <c r="N122" i="5"/>
  <c r="P103" i="5"/>
  <c r="I115" i="5"/>
  <c r="I118" i="5"/>
  <c r="J100" i="5"/>
  <c r="M121" i="5"/>
  <c r="N100" i="5"/>
  <c r="H118" i="5"/>
  <c r="N105" i="5"/>
  <c r="J111" i="5"/>
  <c r="M134" i="5"/>
  <c r="H148" i="5"/>
  <c r="L130" i="5"/>
  <c r="L139" i="5"/>
  <c r="P144" i="5"/>
  <c r="M149" i="5"/>
  <c r="K129" i="5"/>
  <c r="K148" i="5"/>
  <c r="P134" i="5"/>
  <c r="L134" i="5"/>
  <c r="P166" i="5"/>
  <c r="P138" i="5"/>
  <c r="H135" i="5"/>
  <c r="L124" i="5"/>
  <c r="N143" i="5"/>
  <c r="P142" i="5"/>
  <c r="M145" i="5"/>
  <c r="H140" i="5"/>
  <c r="G133" i="5"/>
  <c r="O128" i="5"/>
  <c r="I146" i="5"/>
  <c r="H125" i="5"/>
  <c r="N166" i="5"/>
  <c r="J145" i="5"/>
  <c r="O133" i="5"/>
  <c r="G125" i="5"/>
  <c r="N133" i="5"/>
  <c r="L143" i="5"/>
  <c r="N126" i="5"/>
  <c r="H147" i="5"/>
  <c r="H149" i="5"/>
  <c r="L149" i="5"/>
  <c r="J127" i="5"/>
  <c r="P141" i="5"/>
  <c r="P130" i="5"/>
  <c r="G141" i="5"/>
  <c r="I147" i="5"/>
  <c r="L129" i="5"/>
  <c r="I137" i="5"/>
  <c r="O148" i="5"/>
  <c r="J134" i="5"/>
  <c r="N141" i="5"/>
  <c r="I134" i="5"/>
  <c r="O166" i="5"/>
  <c r="L138" i="5"/>
  <c r="K135" i="5"/>
  <c r="N124" i="5"/>
  <c r="I143" i="5"/>
  <c r="O142" i="5"/>
  <c r="I145" i="5"/>
  <c r="L133" i="5"/>
  <c r="O126" i="5"/>
  <c r="P131" i="5"/>
  <c r="J125" i="5"/>
  <c r="H143" i="5"/>
  <c r="P140" i="5"/>
  <c r="J126" i="5"/>
  <c r="M128" i="5"/>
  <c r="H130" i="5"/>
  <c r="O147" i="5"/>
  <c r="G132" i="5"/>
  <c r="O134" i="5"/>
  <c r="O138" i="5"/>
  <c r="L135" i="5"/>
  <c r="L142" i="5"/>
  <c r="J140" i="5"/>
  <c r="H128" i="5"/>
  <c r="J147" i="5"/>
  <c r="K149" i="5"/>
  <c r="I140" i="5"/>
  <c r="L146" i="5"/>
  <c r="K130" i="5"/>
  <c r="K132" i="5"/>
  <c r="K127" i="5"/>
  <c r="M139" i="5"/>
  <c r="N149" i="5"/>
  <c r="I129" i="5"/>
  <c r="P148" i="5"/>
  <c r="J138" i="5"/>
  <c r="O135" i="5"/>
  <c r="O124" i="5"/>
  <c r="G143" i="5"/>
  <c r="M142" i="5"/>
  <c r="L145" i="5"/>
  <c r="N140" i="5"/>
  <c r="J133" i="5"/>
  <c r="L126" i="5"/>
  <c r="K131" i="5"/>
  <c r="G128" i="5"/>
  <c r="M146" i="5"/>
  <c r="O125" i="5"/>
  <c r="M131" i="5"/>
  <c r="I130" i="5"/>
  <c r="K124" i="5"/>
  <c r="P143" i="5"/>
  <c r="K145" i="5"/>
  <c r="O131" i="5"/>
  <c r="N128" i="5"/>
  <c r="I125" i="5"/>
  <c r="H139" i="5"/>
  <c r="J139" i="5"/>
  <c r="N147" i="5"/>
  <c r="K137" i="5"/>
  <c r="I127" i="5"/>
  <c r="N137" i="5"/>
  <c r="J141" i="5"/>
  <c r="I141" i="5"/>
  <c r="G144" i="5"/>
  <c r="J132" i="5"/>
  <c r="L132" i="5"/>
  <c r="N144" i="5"/>
  <c r="G138" i="5"/>
  <c r="G135" i="5"/>
  <c r="K138" i="5"/>
  <c r="I126" i="5"/>
  <c r="H137" i="5"/>
  <c r="G149" i="5"/>
  <c r="I144" i="5"/>
  <c r="J129" i="5"/>
  <c r="G147" i="5"/>
  <c r="L141" i="5"/>
  <c r="O144" i="5"/>
  <c r="K144" i="5"/>
  <c r="I132" i="5"/>
  <c r="K166" i="5"/>
  <c r="I138" i="5"/>
  <c r="N135" i="5"/>
  <c r="H124" i="5"/>
  <c r="J143" i="5"/>
  <c r="I142" i="5"/>
  <c r="O140" i="5"/>
  <c r="M133" i="5"/>
  <c r="G126" i="5"/>
  <c r="G131" i="5"/>
  <c r="I128" i="5"/>
  <c r="N146" i="5"/>
  <c r="M166" i="5"/>
  <c r="P145" i="5"/>
  <c r="M140" i="5"/>
  <c r="H126" i="5"/>
  <c r="L128" i="5"/>
  <c r="K146" i="5"/>
  <c r="M143" i="5"/>
  <c r="J146" i="5"/>
  <c r="P125" i="5"/>
  <c r="K147" i="5"/>
  <c r="P149" i="5"/>
  <c r="J166" i="5"/>
  <c r="O141" i="5"/>
  <c r="O149" i="5"/>
  <c r="L166" i="5"/>
  <c r="J130" i="5"/>
  <c r="O129" i="5"/>
  <c r="I124" i="5"/>
  <c r="N131" i="5"/>
  <c r="L137" i="5"/>
  <c r="J137" i="5"/>
  <c r="P132" i="5"/>
  <c r="N132" i="5"/>
  <c r="H141" i="5"/>
  <c r="G129" i="5"/>
  <c r="L148" i="5"/>
  <c r="N148" i="5"/>
  <c r="M138" i="5"/>
  <c r="P135" i="5"/>
  <c r="K143" i="5"/>
  <c r="G142" i="5"/>
  <c r="I131" i="5"/>
  <c r="P128" i="5"/>
  <c r="M124" i="5"/>
  <c r="J131" i="5"/>
  <c r="O146" i="5"/>
  <c r="H134" i="5"/>
  <c r="K142" i="5"/>
  <c r="G146" i="5"/>
  <c r="M130" i="5"/>
  <c r="H129" i="5"/>
  <c r="M144" i="5"/>
  <c r="H127" i="5"/>
  <c r="P127" i="5"/>
  <c r="H144" i="5"/>
  <c r="H132" i="5"/>
  <c r="J149" i="5"/>
  <c r="N134" i="5"/>
  <c r="I166" i="5"/>
  <c r="H138" i="5"/>
  <c r="M135" i="5"/>
  <c r="J124" i="5"/>
  <c r="O143" i="5"/>
  <c r="H142" i="5"/>
  <c r="P133" i="5"/>
  <c r="K126" i="5"/>
  <c r="H131" i="5"/>
  <c r="J128" i="5"/>
  <c r="H146" i="5"/>
  <c r="N125" i="5"/>
  <c r="O139" i="5"/>
  <c r="J144" i="5"/>
  <c r="J148" i="5"/>
  <c r="N130" i="5"/>
  <c r="H166" i="5"/>
  <c r="I135" i="5"/>
  <c r="G124" i="5"/>
  <c r="N142" i="5"/>
  <c r="N145" i="5"/>
  <c r="L140" i="5"/>
  <c r="L131" i="5"/>
  <c r="O163" i="5"/>
  <c r="P147" i="5"/>
  <c r="I149" i="5"/>
  <c r="K134" i="5"/>
  <c r="G145" i="5"/>
  <c r="M125" i="5"/>
  <c r="K141" i="5"/>
  <c r="M148" i="5"/>
  <c r="J135" i="5"/>
  <c r="M137" i="5"/>
  <c r="G134" i="5"/>
  <c r="O145" i="5"/>
  <c r="G140" i="5"/>
  <c r="P126" i="5"/>
  <c r="L125" i="5"/>
  <c r="M129" i="5"/>
  <c r="G137" i="5"/>
  <c r="G139" i="5"/>
  <c r="H133" i="5"/>
  <c r="P129" i="5"/>
  <c r="G130" i="5"/>
  <c r="L144" i="5"/>
  <c r="M141" i="5"/>
  <c r="M132" i="5"/>
  <c r="P137" i="5"/>
  <c r="N129" i="5"/>
  <c r="I148" i="5"/>
  <c r="K139" i="5"/>
  <c r="G166" i="5"/>
  <c r="N138" i="5"/>
  <c r="P124" i="5"/>
  <c r="J142" i="5"/>
  <c r="H145" i="5"/>
  <c r="K140" i="5"/>
  <c r="K133" i="5"/>
  <c r="M126" i="5"/>
  <c r="K128" i="5"/>
  <c r="P146" i="5"/>
  <c r="K125" i="5"/>
  <c r="L147" i="5"/>
  <c r="O130" i="5"/>
  <c r="N139" i="5"/>
  <c r="I133" i="5"/>
  <c r="O132" i="5"/>
  <c r="N155" i="5"/>
  <c r="K174" i="5"/>
  <c r="L172" i="5"/>
  <c r="M175" i="5"/>
  <c r="G161" i="5"/>
  <c r="M155" i="5"/>
  <c r="N167" i="5"/>
  <c r="L174" i="5"/>
  <c r="H158" i="5"/>
  <c r="O172" i="5"/>
  <c r="N154" i="5"/>
  <c r="J173" i="5"/>
  <c r="L164" i="5"/>
  <c r="G152" i="5"/>
  <c r="P160" i="5"/>
  <c r="N197" i="5"/>
  <c r="H169" i="5"/>
  <c r="K170" i="5"/>
  <c r="N156" i="5"/>
  <c r="H179" i="5"/>
  <c r="J150" i="5"/>
  <c r="K171" i="5"/>
  <c r="M150" i="5"/>
  <c r="P150" i="5"/>
  <c r="G187" i="5"/>
  <c r="R55" i="100"/>
  <c r="L179" i="5"/>
  <c r="R81" i="100"/>
  <c r="H187" i="5"/>
  <c r="D187" i="5"/>
  <c r="K176" i="5"/>
  <c r="G177" i="5"/>
  <c r="K179" i="5"/>
  <c r="K201" i="5"/>
  <c r="I179" i="5"/>
  <c r="L176" i="5"/>
  <c r="G179" i="5"/>
  <c r="M176" i="5"/>
  <c r="J201" i="5"/>
  <c r="G197" i="5"/>
  <c r="D179" i="5"/>
  <c r="N176" i="5"/>
  <c r="R14" i="100"/>
  <c r="N179" i="5"/>
  <c r="G176" i="5"/>
  <c r="R66" i="100"/>
  <c r="P176" i="5"/>
  <c r="M201" i="5"/>
  <c r="M197" i="5"/>
  <c r="I176" i="5"/>
  <c r="R87" i="100"/>
  <c r="L21" i="100"/>
  <c r="L73" i="100"/>
  <c r="L47" i="100"/>
  <c r="O73" i="100"/>
  <c r="O47" i="100"/>
  <c r="O21" i="100"/>
  <c r="O180" i="5"/>
  <c r="O177" i="5"/>
  <c r="I21" i="100"/>
  <c r="I47" i="100"/>
  <c r="I73" i="100"/>
  <c r="L177" i="5"/>
  <c r="G47" i="100"/>
  <c r="R55" i="34"/>
  <c r="G73" i="100"/>
  <c r="G21" i="100"/>
  <c r="P177" i="5"/>
  <c r="F21" i="100"/>
  <c r="F47" i="100"/>
  <c r="F73" i="100"/>
  <c r="L188" i="5"/>
  <c r="M188" i="5"/>
  <c r="N201" i="5"/>
  <c r="M177" i="5"/>
  <c r="K21" i="100"/>
  <c r="K73" i="100"/>
  <c r="K47" i="100"/>
  <c r="I177" i="5"/>
  <c r="K177" i="5"/>
  <c r="H177" i="5"/>
  <c r="K188" i="5"/>
  <c r="J21" i="100"/>
  <c r="J47" i="100"/>
  <c r="J73" i="100"/>
  <c r="D180" i="5"/>
  <c r="D177" i="5"/>
  <c r="H21" i="100"/>
  <c r="H73" i="100"/>
  <c r="H47" i="100"/>
  <c r="M180" i="5"/>
  <c r="J185" i="5"/>
  <c r="N177" i="5"/>
  <c r="O197" i="5"/>
  <c r="M47" i="100"/>
  <c r="M21" i="100"/>
  <c r="M73" i="100"/>
  <c r="P21" i="100"/>
  <c r="P73" i="100"/>
  <c r="P47" i="100"/>
  <c r="G201" i="5"/>
  <c r="L201" i="5"/>
  <c r="G180" i="5"/>
  <c r="L197" i="5"/>
  <c r="H201" i="5"/>
  <c r="P180" i="5"/>
  <c r="D186" i="5"/>
  <c r="N21" i="100"/>
  <c r="N47" i="100"/>
  <c r="N73" i="100"/>
  <c r="H185" i="5"/>
  <c r="K197" i="5"/>
  <c r="M185" i="5"/>
  <c r="G185" i="5"/>
  <c r="N186" i="5"/>
  <c r="N196" i="5"/>
  <c r="D196" i="5"/>
  <c r="K185" i="5"/>
  <c r="I186" i="5"/>
  <c r="O185" i="5"/>
  <c r="R35" i="100"/>
  <c r="I185" i="5"/>
  <c r="O183" i="5"/>
  <c r="K186" i="5"/>
  <c r="L196" i="5"/>
  <c r="J196" i="5"/>
  <c r="R18" i="100"/>
  <c r="P185" i="5"/>
  <c r="N178" i="5"/>
  <c r="H183" i="5"/>
  <c r="J186" i="5"/>
  <c r="O196" i="5"/>
  <c r="H176" i="5"/>
  <c r="H186" i="5"/>
  <c r="H196" i="5"/>
  <c r="K183" i="5"/>
  <c r="P186" i="5"/>
  <c r="L185" i="5"/>
  <c r="H178" i="5"/>
  <c r="D183" i="5"/>
  <c r="O186" i="5"/>
  <c r="P196" i="5"/>
  <c r="J176" i="5"/>
  <c r="G186" i="5"/>
  <c r="N185" i="5"/>
  <c r="M178" i="5"/>
  <c r="M186" i="5"/>
  <c r="G196" i="5"/>
  <c r="M196" i="5"/>
  <c r="K178" i="5"/>
  <c r="M28" i="100"/>
  <c r="M80" i="100"/>
  <c r="M54" i="100"/>
  <c r="P187" i="5"/>
  <c r="J178" i="5"/>
  <c r="D188" i="5"/>
  <c r="H54" i="100"/>
  <c r="H80" i="100"/>
  <c r="H28" i="100"/>
  <c r="M183" i="5"/>
  <c r="I28" i="100"/>
  <c r="I54" i="100"/>
  <c r="I80" i="100"/>
  <c r="M187" i="5"/>
  <c r="I183" i="5"/>
  <c r="F80" i="100"/>
  <c r="F28" i="100"/>
  <c r="F54" i="100"/>
  <c r="K187" i="5"/>
  <c r="J180" i="5"/>
  <c r="N188" i="5"/>
  <c r="K80" i="100"/>
  <c r="K54" i="100"/>
  <c r="K28" i="100"/>
  <c r="G178" i="5"/>
  <c r="I178" i="5"/>
  <c r="I201" i="5"/>
  <c r="O201" i="5"/>
  <c r="P178" i="5"/>
  <c r="N183" i="5"/>
  <c r="H180" i="5"/>
  <c r="D197" i="5"/>
  <c r="P188" i="5"/>
  <c r="P54" i="100"/>
  <c r="P80" i="100"/>
  <c r="P28" i="100"/>
  <c r="N28" i="100"/>
  <c r="N54" i="100"/>
  <c r="N80" i="100"/>
  <c r="I187" i="5"/>
  <c r="D178" i="5"/>
  <c r="L183" i="5"/>
  <c r="O187" i="5"/>
  <c r="L187" i="5"/>
  <c r="D201" i="5"/>
  <c r="P183" i="5"/>
  <c r="I180" i="5"/>
  <c r="I188" i="5"/>
  <c r="L80" i="100"/>
  <c r="L54" i="100"/>
  <c r="L28" i="100"/>
  <c r="O28" i="100"/>
  <c r="O80" i="100"/>
  <c r="O54" i="100"/>
  <c r="J187" i="5"/>
  <c r="O178" i="5"/>
  <c r="G183" i="5"/>
  <c r="G188" i="5"/>
  <c r="G28" i="100"/>
  <c r="R62" i="34"/>
  <c r="G80" i="100"/>
  <c r="G54" i="100"/>
  <c r="R70" i="100"/>
  <c r="H188" i="5"/>
  <c r="J28" i="100"/>
  <c r="J54" i="100"/>
  <c r="J80" i="100"/>
  <c r="R60" i="100"/>
  <c r="R86" i="100"/>
  <c r="R34" i="100"/>
  <c r="M29" i="107"/>
  <c r="N65" i="107"/>
  <c r="AD65" i="107"/>
  <c r="AE29" i="107"/>
  <c r="AC80" i="107"/>
  <c r="AB44" i="107"/>
  <c r="M64" i="107"/>
  <c r="L28" i="107"/>
  <c r="P67" i="107"/>
  <c r="O31" i="107"/>
  <c r="T71" i="107"/>
  <c r="S35" i="107"/>
  <c r="X58" i="107"/>
  <c r="Y22" i="107"/>
  <c r="Z60" i="107"/>
  <c r="AA24" i="107"/>
  <c r="V56" i="107"/>
  <c r="W20" i="107"/>
  <c r="S70" i="107"/>
  <c r="R34" i="107"/>
  <c r="AA79" i="107"/>
  <c r="Z43" i="107"/>
  <c r="V57" i="107"/>
  <c r="W21" i="107"/>
  <c r="Z61" i="107"/>
  <c r="AA25" i="107"/>
  <c r="AI70" i="107"/>
  <c r="AJ34" i="107"/>
  <c r="AJ71" i="107"/>
  <c r="AK35" i="107"/>
  <c r="AK71" i="107" s="1"/>
  <c r="Q68" i="107"/>
  <c r="P32" i="107"/>
  <c r="R52" i="107"/>
  <c r="S16" i="107"/>
  <c r="P51" i="107"/>
  <c r="Q15" i="107"/>
  <c r="S53" i="107"/>
  <c r="T17" i="107"/>
  <c r="AF66" i="107"/>
  <c r="AG30" i="107"/>
  <c r="R69" i="107"/>
  <c r="Q33" i="107"/>
  <c r="J197" i="5"/>
  <c r="O188" i="5"/>
  <c r="AD64" i="107"/>
  <c r="AE28" i="107"/>
  <c r="AH69" i="107"/>
  <c r="AI33" i="107"/>
  <c r="Y76" i="107"/>
  <c r="X40" i="107"/>
  <c r="AG68" i="107"/>
  <c r="AH32" i="107"/>
  <c r="V73" i="107"/>
  <c r="U37" i="107"/>
  <c r="AA78" i="107"/>
  <c r="Z42" i="107"/>
  <c r="P197" i="5"/>
  <c r="AF67" i="107"/>
  <c r="AG31" i="107"/>
  <c r="T55" i="107"/>
  <c r="U19" i="107"/>
  <c r="N66" i="107"/>
  <c r="M30" i="107"/>
  <c r="U74" i="107"/>
  <c r="T38" i="107"/>
  <c r="AB63" i="107"/>
  <c r="AC27" i="107"/>
  <c r="I61" i="107"/>
  <c r="H25" i="107"/>
  <c r="H61" i="107" s="1"/>
  <c r="J62" i="107"/>
  <c r="I26" i="107"/>
  <c r="U72" i="107"/>
  <c r="T36" i="107"/>
  <c r="L63" i="107"/>
  <c r="K27" i="107"/>
  <c r="AB62" i="107"/>
  <c r="AC26" i="107"/>
  <c r="S54" i="107"/>
  <c r="T18" i="107"/>
  <c r="Y59" i="107"/>
  <c r="Z23" i="107"/>
  <c r="W75" i="107"/>
  <c r="V39" i="107"/>
  <c r="Y77" i="107"/>
  <c r="X41" i="107"/>
  <c r="R30" i="100"/>
  <c r="R44" i="34"/>
  <c r="R61" i="34"/>
  <c r="R65" i="100"/>
  <c r="R56" i="100"/>
  <c r="R13" i="100"/>
  <c r="O189" i="5"/>
  <c r="D189" i="5"/>
  <c r="N189" i="5"/>
  <c r="I189" i="5"/>
  <c r="G189" i="5"/>
  <c r="L189" i="5"/>
  <c r="P189" i="5"/>
  <c r="H189" i="5"/>
  <c r="K189" i="5"/>
  <c r="M189" i="5"/>
  <c r="J189" i="5"/>
  <c r="O194" i="5"/>
  <c r="D194" i="5"/>
  <c r="P194" i="5"/>
  <c r="K194" i="5"/>
  <c r="I194" i="5"/>
  <c r="H194" i="5"/>
  <c r="J194" i="5"/>
  <c r="M194" i="5"/>
  <c r="L194" i="5"/>
  <c r="G194" i="5"/>
  <c r="N194" i="5"/>
  <c r="J53" i="100"/>
  <c r="J79" i="100"/>
  <c r="J27" i="100"/>
  <c r="R50" i="100"/>
  <c r="H195" i="5"/>
  <c r="D195" i="5"/>
  <c r="N195" i="5"/>
  <c r="M195" i="5"/>
  <c r="L195" i="5"/>
  <c r="G195" i="5"/>
  <c r="J195" i="5"/>
  <c r="K195" i="5"/>
  <c r="P195" i="5"/>
  <c r="I195" i="5"/>
  <c r="O195" i="5"/>
  <c r="R39" i="100"/>
  <c r="G27" i="100"/>
  <c r="G53" i="100"/>
  <c r="G79" i="100"/>
  <c r="M181" i="5"/>
  <c r="O181" i="5"/>
  <c r="P181" i="5"/>
  <c r="D181" i="5"/>
  <c r="N181" i="5"/>
  <c r="I181" i="5"/>
  <c r="H181" i="5"/>
  <c r="L181" i="5"/>
  <c r="G181" i="5"/>
  <c r="K181" i="5"/>
  <c r="J181" i="5"/>
  <c r="R24" i="100"/>
  <c r="G36" i="100"/>
  <c r="G62" i="100"/>
  <c r="G12" i="91" s="1"/>
  <c r="G10" i="100"/>
  <c r="H36" i="100"/>
  <c r="H62" i="100"/>
  <c r="H10" i="100"/>
  <c r="D182" i="5"/>
  <c r="K182" i="5"/>
  <c r="J182" i="5"/>
  <c r="H182" i="5"/>
  <c r="L182" i="5"/>
  <c r="M182" i="5"/>
  <c r="G182" i="5"/>
  <c r="O182" i="5"/>
  <c r="P182" i="5"/>
  <c r="I182" i="5"/>
  <c r="N182" i="5"/>
  <c r="H53" i="100"/>
  <c r="H79" i="100"/>
  <c r="H27" i="100"/>
  <c r="M36" i="100"/>
  <c r="M62" i="100"/>
  <c r="M12" i="91" s="1"/>
  <c r="M10" i="100"/>
  <c r="K53" i="100"/>
  <c r="K27" i="100"/>
  <c r="K79" i="100"/>
  <c r="P202" i="5"/>
  <c r="N202" i="5"/>
  <c r="O202" i="5"/>
  <c r="M202" i="5"/>
  <c r="I202" i="5"/>
  <c r="L202" i="5"/>
  <c r="G202" i="5"/>
  <c r="J202" i="5"/>
  <c r="E202" i="5"/>
  <c r="K202" i="5"/>
  <c r="H202" i="5"/>
  <c r="R84" i="100"/>
  <c r="L36" i="100"/>
  <c r="L10" i="100"/>
  <c r="L62" i="100"/>
  <c r="L12" i="91" s="1"/>
  <c r="O44" i="25"/>
  <c r="I44" i="25"/>
  <c r="H27" i="25"/>
  <c r="L44" i="25"/>
  <c r="J27" i="25"/>
  <c r="N44" i="25"/>
  <c r="L27" i="25"/>
  <c r="M27" i="25"/>
  <c r="M44" i="25"/>
  <c r="K44" i="25"/>
  <c r="G44" i="25"/>
  <c r="G27" i="25"/>
  <c r="F44" i="25"/>
  <c r="F27" i="25"/>
  <c r="O27" i="25"/>
  <c r="I27" i="25"/>
  <c r="N27" i="25"/>
  <c r="J44" i="25"/>
  <c r="H44" i="25"/>
  <c r="K27" i="25"/>
  <c r="R71" i="100"/>
  <c r="R48" i="100"/>
  <c r="M53" i="100"/>
  <c r="M27" i="100"/>
  <c r="M79" i="100"/>
  <c r="R58" i="100"/>
  <c r="P36" i="100"/>
  <c r="P10" i="100"/>
  <c r="P62" i="100"/>
  <c r="R45" i="100"/>
  <c r="R74" i="100"/>
  <c r="D192" i="5"/>
  <c r="J192" i="5"/>
  <c r="H192" i="5"/>
  <c r="I192" i="5"/>
  <c r="G192" i="5"/>
  <c r="K192" i="5"/>
  <c r="M192" i="5"/>
  <c r="O192" i="5"/>
  <c r="N192" i="5"/>
  <c r="L192" i="5"/>
  <c r="P192" i="5"/>
  <c r="P53" i="100"/>
  <c r="P79" i="100"/>
  <c r="P27" i="100"/>
  <c r="R72" i="100"/>
  <c r="G10" i="91"/>
  <c r="R12" i="100"/>
  <c r="O62" i="100"/>
  <c r="O12" i="91" s="1"/>
  <c r="O36" i="100"/>
  <c r="O11" i="91" s="1"/>
  <c r="O10" i="100"/>
  <c r="O10" i="91" s="1"/>
  <c r="J45" i="25"/>
  <c r="H45" i="25"/>
  <c r="G45" i="25"/>
  <c r="N45" i="25"/>
  <c r="H28" i="25"/>
  <c r="J28" i="25"/>
  <c r="N28" i="25"/>
  <c r="K45" i="25"/>
  <c r="M45" i="25"/>
  <c r="L28" i="25"/>
  <c r="M28" i="25"/>
  <c r="G28" i="25"/>
  <c r="F45" i="25"/>
  <c r="O45" i="25"/>
  <c r="L45" i="25"/>
  <c r="I45" i="25"/>
  <c r="F28" i="25"/>
  <c r="K28" i="25"/>
  <c r="O28" i="25"/>
  <c r="I28" i="25"/>
  <c r="R19" i="100"/>
  <c r="R22" i="100"/>
  <c r="N53" i="100"/>
  <c r="N27" i="100"/>
  <c r="N79" i="100"/>
  <c r="R46" i="100"/>
  <c r="R85" i="100"/>
  <c r="R42" i="100"/>
  <c r="D184" i="5"/>
  <c r="H184" i="5"/>
  <c r="J184" i="5"/>
  <c r="G184" i="5"/>
  <c r="M184" i="5"/>
  <c r="P184" i="5"/>
  <c r="K184" i="5"/>
  <c r="I184" i="5"/>
  <c r="O184" i="5"/>
  <c r="N184" i="5"/>
  <c r="L184" i="5"/>
  <c r="O29" i="25"/>
  <c r="J29" i="25"/>
  <c r="H29" i="25"/>
  <c r="K29" i="25"/>
  <c r="M29" i="25"/>
  <c r="G29" i="25"/>
  <c r="I46" i="25"/>
  <c r="K46" i="25"/>
  <c r="J46" i="25"/>
  <c r="N46" i="25"/>
  <c r="L29" i="25"/>
  <c r="N29" i="25"/>
  <c r="H46" i="25"/>
  <c r="O46" i="25"/>
  <c r="M46" i="25"/>
  <c r="F46" i="25"/>
  <c r="G46" i="25"/>
  <c r="L46" i="25"/>
  <c r="I29" i="25"/>
  <c r="F29" i="25"/>
  <c r="L27" i="100"/>
  <c r="L53" i="100"/>
  <c r="L79" i="100"/>
  <c r="R20" i="100"/>
  <c r="D199" i="5"/>
  <c r="L199" i="5"/>
  <c r="H199" i="5"/>
  <c r="M199" i="5"/>
  <c r="G199" i="5"/>
  <c r="J199" i="5"/>
  <c r="N199" i="5"/>
  <c r="P199" i="5"/>
  <c r="K199" i="5"/>
  <c r="O199" i="5"/>
  <c r="I199" i="5"/>
  <c r="R33" i="100"/>
  <c r="R68" i="100"/>
  <c r="F36" i="100"/>
  <c r="F10" i="100"/>
  <c r="F62" i="100"/>
  <c r="R64" i="100"/>
  <c r="N36" i="100"/>
  <c r="N62" i="100"/>
  <c r="N10" i="100"/>
  <c r="R38" i="100"/>
  <c r="I36" i="100"/>
  <c r="I10" i="100"/>
  <c r="I62" i="100"/>
  <c r="R32" i="100"/>
  <c r="D191" i="5"/>
  <c r="N191" i="5"/>
  <c r="P191" i="5"/>
  <c r="L191" i="5"/>
  <c r="M191" i="5"/>
  <c r="G191" i="5"/>
  <c r="K191" i="5"/>
  <c r="O191" i="5"/>
  <c r="I191" i="5"/>
  <c r="H191" i="5"/>
  <c r="J191" i="5"/>
  <c r="R59" i="100"/>
  <c r="R16" i="100"/>
  <c r="J36" i="100"/>
  <c r="J62" i="100"/>
  <c r="J10" i="100"/>
  <c r="D198" i="5"/>
  <c r="G198" i="5"/>
  <c r="K198" i="5"/>
  <c r="O198" i="5"/>
  <c r="I198" i="5"/>
  <c r="N198" i="5"/>
  <c r="L198" i="5"/>
  <c r="J198" i="5"/>
  <c r="H198" i="5"/>
  <c r="M198" i="5"/>
  <c r="P198" i="5"/>
  <c r="F53" i="100"/>
  <c r="F79" i="100"/>
  <c r="F27" i="100"/>
  <c r="D200" i="5"/>
  <c r="I200" i="5"/>
  <c r="L200" i="5"/>
  <c r="M200" i="5"/>
  <c r="G200" i="5"/>
  <c r="N200" i="5"/>
  <c r="J200" i="5"/>
  <c r="P200" i="5"/>
  <c r="K200" i="5"/>
  <c r="O200" i="5"/>
  <c r="H200" i="5"/>
  <c r="I27" i="100"/>
  <c r="I53" i="100"/>
  <c r="I79" i="100"/>
  <c r="K36" i="100"/>
  <c r="K62" i="100"/>
  <c r="K10" i="100"/>
  <c r="R82" i="100"/>
  <c r="O53" i="100"/>
  <c r="O27" i="100"/>
  <c r="O79" i="100"/>
  <c r="R76" i="100"/>
  <c r="O190" i="5"/>
  <c r="D190" i="5"/>
  <c r="N190" i="5"/>
  <c r="K190" i="5"/>
  <c r="I190" i="5"/>
  <c r="G190" i="5"/>
  <c r="P190" i="5"/>
  <c r="L190" i="5"/>
  <c r="M190" i="5"/>
  <c r="J190" i="5"/>
  <c r="H190" i="5"/>
  <c r="N26" i="92" l="1"/>
  <c r="G35" i="25"/>
  <c r="G36" i="25"/>
  <c r="P11" i="91"/>
  <c r="L10" i="91"/>
  <c r="L14" i="91"/>
  <c r="L35" i="25"/>
  <c r="G14" i="91"/>
  <c r="H15" i="91"/>
  <c r="M11" i="91"/>
  <c r="K56" i="93" s="1"/>
  <c r="I53" i="25"/>
  <c r="F35" i="25"/>
  <c r="J52" i="25"/>
  <c r="I11" i="91"/>
  <c r="G56" i="93" s="1"/>
  <c r="K36" i="25"/>
  <c r="H11" i="91"/>
  <c r="H10" i="91"/>
  <c r="H12" i="91"/>
  <c r="J15" i="91"/>
  <c r="H14" i="91"/>
  <c r="R73" i="100"/>
  <c r="M14" i="91"/>
  <c r="O14" i="91"/>
  <c r="F11" i="91"/>
  <c r="M56" i="93" s="1"/>
  <c r="N15" i="91"/>
  <c r="R21" i="100"/>
  <c r="R47" i="100"/>
  <c r="N12" i="91"/>
  <c r="J13" i="91"/>
  <c r="F10" i="91"/>
  <c r="J55" i="93" s="1"/>
  <c r="N14" i="91"/>
  <c r="J10" i="91"/>
  <c r="H55" i="93" s="1"/>
  <c r="K53" i="25"/>
  <c r="P14" i="91"/>
  <c r="K15" i="91"/>
  <c r="I51" i="25"/>
  <c r="J14" i="91"/>
  <c r="G34" i="25"/>
  <c r="S58" i="34"/>
  <c r="O34" i="25"/>
  <c r="J53" i="25"/>
  <c r="S52" i="34"/>
  <c r="G13" i="91"/>
  <c r="K13" i="91"/>
  <c r="R28" i="100"/>
  <c r="P15" i="91"/>
  <c r="I52" i="25"/>
  <c r="I13" i="91"/>
  <c r="R80" i="100"/>
  <c r="O51" i="25"/>
  <c r="I14" i="91"/>
  <c r="G11" i="91"/>
  <c r="F34" i="25"/>
  <c r="J51" i="25"/>
  <c r="F36" i="25"/>
  <c r="S61" i="34"/>
  <c r="G53" i="25"/>
  <c r="R54" i="100"/>
  <c r="S50" i="34"/>
  <c r="I35" i="25"/>
  <c r="K14" i="91"/>
  <c r="M8" i="5"/>
  <c r="K34" i="25"/>
  <c r="J10" i="92"/>
  <c r="L53" i="25"/>
  <c r="L64" i="107"/>
  <c r="K28" i="107"/>
  <c r="AB80" i="107"/>
  <c r="AA44" i="107"/>
  <c r="AE65" i="107"/>
  <c r="AF29" i="107"/>
  <c r="M65" i="107"/>
  <c r="L29" i="107"/>
  <c r="R70" i="107"/>
  <c r="Q34" i="107"/>
  <c r="T72" i="107"/>
  <c r="S36" i="107"/>
  <c r="U55" i="107"/>
  <c r="V19" i="107"/>
  <c r="X76" i="107"/>
  <c r="W40" i="107"/>
  <c r="H34" i="25"/>
  <c r="O36" i="25"/>
  <c r="AI69" i="107"/>
  <c r="AJ33" i="107"/>
  <c r="Q51" i="107"/>
  <c r="R15" i="107"/>
  <c r="AA61" i="107"/>
  <c r="AB25" i="107"/>
  <c r="W56" i="107"/>
  <c r="X20" i="107"/>
  <c r="AJ70" i="107"/>
  <c r="AK34" i="107"/>
  <c r="AK70" i="107" s="1"/>
  <c r="V75" i="107"/>
  <c r="U39" i="107"/>
  <c r="I62" i="107"/>
  <c r="H26" i="107"/>
  <c r="H62" i="107" s="1"/>
  <c r="AG67" i="107"/>
  <c r="AH31" i="107"/>
  <c r="T53" i="107"/>
  <c r="U17" i="107"/>
  <c r="AE64" i="107"/>
  <c r="AF28" i="107"/>
  <c r="S52" i="107"/>
  <c r="T16" i="107"/>
  <c r="AA60" i="107"/>
  <c r="AB24" i="107"/>
  <c r="Z59" i="107"/>
  <c r="AA23" i="107"/>
  <c r="L34" i="25"/>
  <c r="Z78" i="107"/>
  <c r="Y42" i="107"/>
  <c r="W57" i="107"/>
  <c r="X21" i="107"/>
  <c r="Y58" i="107"/>
  <c r="Z22" i="107"/>
  <c r="T54" i="107"/>
  <c r="U18" i="107"/>
  <c r="AC63" i="107"/>
  <c r="AD27" i="107"/>
  <c r="N52" i="25"/>
  <c r="L36" i="25"/>
  <c r="O35" i="25"/>
  <c r="M10" i="91"/>
  <c r="U73" i="107"/>
  <c r="T37" i="107"/>
  <c r="Q69" i="107"/>
  <c r="P33" i="107"/>
  <c r="P68" i="107"/>
  <c r="O32" i="107"/>
  <c r="S71" i="107"/>
  <c r="R35" i="107"/>
  <c r="N51" i="25"/>
  <c r="P12" i="91"/>
  <c r="AC62" i="107"/>
  <c r="AD26" i="107"/>
  <c r="T74" i="107"/>
  <c r="S38" i="107"/>
  <c r="M51" i="25"/>
  <c r="AH68" i="107"/>
  <c r="AI32" i="107"/>
  <c r="AG66" i="107"/>
  <c r="AH30" i="107"/>
  <c r="Z79" i="107"/>
  <c r="Y43" i="107"/>
  <c r="O67" i="107"/>
  <c r="N31" i="107"/>
  <c r="F51" i="25"/>
  <c r="X77" i="107"/>
  <c r="W41" i="107"/>
  <c r="K63" i="107"/>
  <c r="J27" i="107"/>
  <c r="M66" i="107"/>
  <c r="L30" i="107"/>
  <c r="L15" i="91"/>
  <c r="L51" i="25"/>
  <c r="K8" i="5"/>
  <c r="H53" i="25"/>
  <c r="F53" i="25"/>
  <c r="I34" i="25"/>
  <c r="K51" i="25"/>
  <c r="F52" i="25"/>
  <c r="M13" i="91"/>
  <c r="I10" i="91"/>
  <c r="I19" i="25"/>
  <c r="P13" i="91"/>
  <c r="J35" i="25"/>
  <c r="R62" i="100"/>
  <c r="G15" i="91"/>
  <c r="K52" i="25"/>
  <c r="P10" i="5"/>
  <c r="R53" i="100"/>
  <c r="H35" i="25"/>
  <c r="F18" i="92"/>
  <c r="F17" i="25"/>
  <c r="I18" i="25"/>
  <c r="J17" i="25"/>
  <c r="H36" i="25"/>
  <c r="I11" i="92"/>
  <c r="I19" i="92"/>
  <c r="H9" i="5"/>
  <c r="I9" i="5"/>
  <c r="P9" i="5"/>
  <c r="N9" i="5"/>
  <c r="O9" i="5"/>
  <c r="F11" i="92"/>
  <c r="J11" i="92"/>
  <c r="J9" i="5"/>
  <c r="G11" i="92"/>
  <c r="F20" i="92"/>
  <c r="H19" i="92"/>
  <c r="S46" i="34"/>
  <c r="I15" i="91"/>
  <c r="O15" i="91"/>
  <c r="O13" i="91"/>
  <c r="M9" i="5"/>
  <c r="H10" i="92"/>
  <c r="G28" i="92"/>
  <c r="K19" i="92"/>
  <c r="F28" i="92"/>
  <c r="J20" i="92"/>
  <c r="N27" i="92"/>
  <c r="K11" i="92"/>
  <c r="G12" i="92"/>
  <c r="N20" i="92"/>
  <c r="J26" i="92"/>
  <c r="M17" i="25"/>
  <c r="G8" i="5"/>
  <c r="N53" i="25"/>
  <c r="R27" i="100"/>
  <c r="M19" i="25"/>
  <c r="H8" i="5"/>
  <c r="F14" i="91"/>
  <c r="M52" i="25"/>
  <c r="Q45" i="25"/>
  <c r="H10" i="5"/>
  <c r="M34" i="25"/>
  <c r="F13" i="91"/>
  <c r="L13" i="91"/>
  <c r="Q27" i="25"/>
  <c r="I12" i="92"/>
  <c r="N28" i="92"/>
  <c r="K10" i="92"/>
  <c r="N19" i="92"/>
  <c r="L27" i="92"/>
  <c r="J19" i="92"/>
  <c r="H11" i="92"/>
  <c r="H28" i="92"/>
  <c r="R79" i="100"/>
  <c r="M18" i="25"/>
  <c r="K10" i="5"/>
  <c r="J12" i="91"/>
  <c r="M15" i="91"/>
  <c r="Q46" i="25"/>
  <c r="M35" i="25"/>
  <c r="K11" i="91"/>
  <c r="N17" i="25"/>
  <c r="S54" i="34"/>
  <c r="Q44" i="25"/>
  <c r="M12" i="92"/>
  <c r="G18" i="92"/>
  <c r="N10" i="92"/>
  <c r="G26" i="92"/>
  <c r="H27" i="92"/>
  <c r="N12" i="92"/>
  <c r="M27" i="92"/>
  <c r="H18" i="92"/>
  <c r="G17" i="25"/>
  <c r="K9" i="5"/>
  <c r="I17" i="25"/>
  <c r="S66" i="34"/>
  <c r="L8" i="5"/>
  <c r="H52" i="25"/>
  <c r="N18" i="25"/>
  <c r="O19" i="25"/>
  <c r="N34" i="25"/>
  <c r="G51" i="25"/>
  <c r="O27" i="92"/>
  <c r="K28" i="92"/>
  <c r="K26" i="92"/>
  <c r="H12" i="92"/>
  <c r="J27" i="92"/>
  <c r="G19" i="92"/>
  <c r="I20" i="92"/>
  <c r="N18" i="92"/>
  <c r="G19" i="25"/>
  <c r="G10" i="5"/>
  <c r="P8" i="5"/>
  <c r="F15" i="91"/>
  <c r="N11" i="91"/>
  <c r="N19" i="25"/>
  <c r="O17" i="25"/>
  <c r="J34" i="25"/>
  <c r="M20" i="92"/>
  <c r="O18" i="92"/>
  <c r="L10" i="92"/>
  <c r="F10" i="92"/>
  <c r="O19" i="92"/>
  <c r="O11" i="92"/>
  <c r="K20" i="92"/>
  <c r="G10" i="92"/>
  <c r="G18" i="25"/>
  <c r="O8" i="5"/>
  <c r="J11" i="91"/>
  <c r="H56" i="93" s="1"/>
  <c r="O18" i="25"/>
  <c r="P10" i="91"/>
  <c r="K19" i="25"/>
  <c r="L12" i="92"/>
  <c r="I27" i="92"/>
  <c r="L18" i="92"/>
  <c r="O20" i="92"/>
  <c r="G20" i="92"/>
  <c r="N11" i="92"/>
  <c r="H20" i="92"/>
  <c r="L20" i="92"/>
  <c r="I10" i="5"/>
  <c r="G9" i="5"/>
  <c r="L10" i="5"/>
  <c r="L9" i="5"/>
  <c r="J19" i="25"/>
  <c r="R10" i="100"/>
  <c r="O10" i="5"/>
  <c r="N8" i="5"/>
  <c r="M53" i="25"/>
  <c r="J36" i="25"/>
  <c r="G52" i="25"/>
  <c r="L52" i="25"/>
  <c r="S44" i="34"/>
  <c r="S60" i="34"/>
  <c r="S55" i="34"/>
  <c r="S51" i="34"/>
  <c r="S68" i="34"/>
  <c r="S48" i="34"/>
  <c r="S57" i="34"/>
  <c r="S62" i="34"/>
  <c r="S63" i="34"/>
  <c r="S65" i="34"/>
  <c r="S59" i="34"/>
  <c r="S69" i="34"/>
  <c r="S45" i="34"/>
  <c r="S49" i="34"/>
  <c r="N10" i="91"/>
  <c r="H51" i="25"/>
  <c r="K17" i="25"/>
  <c r="M26" i="92"/>
  <c r="M19" i="92"/>
  <c r="J12" i="92"/>
  <c r="O10" i="92"/>
  <c r="I26" i="92"/>
  <c r="H26" i="92"/>
  <c r="F27" i="92"/>
  <c r="K12" i="92"/>
  <c r="F19" i="25"/>
  <c r="S56" i="34"/>
  <c r="O52" i="25"/>
  <c r="K18" i="25"/>
  <c r="M10" i="92"/>
  <c r="O12" i="92"/>
  <c r="L26" i="92"/>
  <c r="M18" i="92"/>
  <c r="L19" i="92"/>
  <c r="K18" i="92"/>
  <c r="F26" i="92"/>
  <c r="L17" i="25"/>
  <c r="F18" i="25"/>
  <c r="J8" i="5"/>
  <c r="H13" i="91"/>
  <c r="H19" i="25"/>
  <c r="I8" i="5"/>
  <c r="O53" i="25"/>
  <c r="K35" i="25"/>
  <c r="S67" i="34"/>
  <c r="I12" i="91"/>
  <c r="F112" i="104"/>
  <c r="J28" i="92"/>
  <c r="F19" i="92"/>
  <c r="O28" i="92"/>
  <c r="L11" i="92"/>
  <c r="I10" i="92"/>
  <c r="O26" i="92"/>
  <c r="L19" i="25"/>
  <c r="N10" i="5"/>
  <c r="K12" i="91"/>
  <c r="J18" i="25"/>
  <c r="I36" i="25"/>
  <c r="H17" i="25"/>
  <c r="M36" i="25"/>
  <c r="N36" i="25"/>
  <c r="F12" i="91"/>
  <c r="Q28" i="25"/>
  <c r="N13" i="91"/>
  <c r="M28" i="92"/>
  <c r="F12" i="92"/>
  <c r="K27" i="92"/>
  <c r="I18" i="92"/>
  <c r="M11" i="92"/>
  <c r="G27" i="92"/>
  <c r="L28" i="92"/>
  <c r="L18" i="25"/>
  <c r="J10" i="5"/>
  <c r="M112" i="104"/>
  <c r="R36" i="100"/>
  <c r="K10" i="91"/>
  <c r="S64" i="34"/>
  <c r="H18" i="25"/>
  <c r="S47" i="34"/>
  <c r="M10" i="5"/>
  <c r="Q29" i="25"/>
  <c r="N35" i="25"/>
  <c r="J18" i="92"/>
  <c r="I28" i="92"/>
  <c r="S53" i="34"/>
  <c r="L11" i="91"/>
  <c r="I56" i="93" l="1"/>
  <c r="L56" i="93"/>
  <c r="F56" i="93"/>
  <c r="N56" i="93"/>
  <c r="E56" i="93"/>
  <c r="D56" i="93" s="1"/>
  <c r="J56" i="93"/>
  <c r="M55" i="93"/>
  <c r="F55" i="93"/>
  <c r="E55" i="93"/>
  <c r="K55" i="93"/>
  <c r="G55" i="93"/>
  <c r="K112" i="104"/>
  <c r="G112" i="104"/>
  <c r="E112" i="104"/>
  <c r="R14" i="91"/>
  <c r="N57" i="93"/>
  <c r="J21" i="92"/>
  <c r="Q34" i="25"/>
  <c r="F52" i="92" s="1"/>
  <c r="K29" i="107"/>
  <c r="L65" i="107"/>
  <c r="AG29" i="107"/>
  <c r="AF65" i="107"/>
  <c r="AA80" i="107"/>
  <c r="Z44" i="107"/>
  <c r="K64" i="107"/>
  <c r="J28" i="107"/>
  <c r="N67" i="107"/>
  <c r="M31" i="107"/>
  <c r="T52" i="107"/>
  <c r="U16" i="107"/>
  <c r="W76" i="107"/>
  <c r="V40" i="107"/>
  <c r="AD62" i="107"/>
  <c r="AE26" i="107"/>
  <c r="U75" i="107"/>
  <c r="T39" i="107"/>
  <c r="Y79" i="107"/>
  <c r="X43" i="107"/>
  <c r="AF64" i="107"/>
  <c r="AG28" i="107"/>
  <c r="X57" i="107"/>
  <c r="Y21" i="107"/>
  <c r="R71" i="107"/>
  <c r="Q35" i="107"/>
  <c r="Y78" i="107"/>
  <c r="X42" i="107"/>
  <c r="X56" i="107"/>
  <c r="Y20" i="107"/>
  <c r="V55" i="107"/>
  <c r="W19" i="107"/>
  <c r="AH66" i="107"/>
  <c r="AI30" i="107"/>
  <c r="Q52" i="25"/>
  <c r="L66" i="107"/>
  <c r="K30" i="107"/>
  <c r="AD63" i="107"/>
  <c r="AE27" i="107"/>
  <c r="U53" i="107"/>
  <c r="V17" i="107"/>
  <c r="AB61" i="107"/>
  <c r="AC25" i="107"/>
  <c r="S72" i="107"/>
  <c r="R36" i="107"/>
  <c r="Q51" i="25"/>
  <c r="R15" i="91"/>
  <c r="AI68" i="107"/>
  <c r="AJ32" i="107"/>
  <c r="AA59" i="107"/>
  <c r="AB23" i="107"/>
  <c r="J63" i="107"/>
  <c r="I27" i="107"/>
  <c r="O68" i="107"/>
  <c r="N32" i="107"/>
  <c r="U54" i="107"/>
  <c r="V18" i="107"/>
  <c r="AH67" i="107"/>
  <c r="AI31" i="107"/>
  <c r="R51" i="107"/>
  <c r="S15" i="107"/>
  <c r="T73" i="107"/>
  <c r="S37" i="107"/>
  <c r="AB60" i="107"/>
  <c r="AC24" i="107"/>
  <c r="W77" i="107"/>
  <c r="V41" i="107"/>
  <c r="S74" i="107"/>
  <c r="R38" i="107"/>
  <c r="P69" i="107"/>
  <c r="O33" i="107"/>
  <c r="Z58" i="107"/>
  <c r="AA22" i="107"/>
  <c r="AJ69" i="107"/>
  <c r="AK33" i="107"/>
  <c r="AK69" i="107" s="1"/>
  <c r="Q70" i="107"/>
  <c r="P34" i="107"/>
  <c r="F57" i="93"/>
  <c r="Q53" i="25"/>
  <c r="Q17" i="25"/>
  <c r="H57" i="93"/>
  <c r="H58" i="93" s="1"/>
  <c r="Q35" i="25"/>
  <c r="P13" i="5"/>
  <c r="I12" i="5"/>
  <c r="M13" i="5"/>
  <c r="P11" i="5"/>
  <c r="K12" i="5"/>
  <c r="J13" i="5"/>
  <c r="H11" i="5"/>
  <c r="N29" i="92"/>
  <c r="L13" i="5"/>
  <c r="G12" i="5"/>
  <c r="I13" i="5"/>
  <c r="O11" i="5"/>
  <c r="N13" i="5"/>
  <c r="M29" i="92"/>
  <c r="N21" i="92"/>
  <c r="N13" i="92"/>
  <c r="K13" i="5"/>
  <c r="G11" i="5"/>
  <c r="M12" i="5"/>
  <c r="H112" i="104"/>
  <c r="M13" i="92"/>
  <c r="I21" i="92"/>
  <c r="Q19" i="92"/>
  <c r="L57" i="93"/>
  <c r="G21" i="92"/>
  <c r="R13" i="91"/>
  <c r="P12" i="5"/>
  <c r="G29" i="92"/>
  <c r="J11" i="5"/>
  <c r="N11" i="5"/>
  <c r="G13" i="92"/>
  <c r="L11" i="5"/>
  <c r="J29" i="92"/>
  <c r="I112" i="104"/>
  <c r="I55" i="93"/>
  <c r="Q12" i="92"/>
  <c r="Q36" i="25"/>
  <c r="H54" i="92" s="1"/>
  <c r="L112" i="104"/>
  <c r="L55" i="93"/>
  <c r="O13" i="5"/>
  <c r="H13" i="5"/>
  <c r="N12" i="5"/>
  <c r="R11" i="91"/>
  <c r="H13" i="92"/>
  <c r="Q18" i="25"/>
  <c r="Q19" i="25"/>
  <c r="L21" i="92"/>
  <c r="J12" i="5"/>
  <c r="K57" i="93"/>
  <c r="K58" i="93" s="1"/>
  <c r="G57" i="93"/>
  <c r="K29" i="92"/>
  <c r="M11" i="5"/>
  <c r="I57" i="93"/>
  <c r="Q26" i="92"/>
  <c r="F29" i="92"/>
  <c r="Q27" i="92"/>
  <c r="L12" i="5"/>
  <c r="Q10" i="92"/>
  <c r="F13" i="92"/>
  <c r="H12" i="5"/>
  <c r="D112" i="104"/>
  <c r="K21" i="92"/>
  <c r="H29" i="92"/>
  <c r="L13" i="92"/>
  <c r="M57" i="93"/>
  <c r="H21" i="92"/>
  <c r="J57" i="93"/>
  <c r="J58" i="93" s="1"/>
  <c r="R10" i="91"/>
  <c r="I29" i="92"/>
  <c r="N112" i="104"/>
  <c r="N55" i="93"/>
  <c r="O21" i="92"/>
  <c r="K13" i="92"/>
  <c r="Q28" i="92"/>
  <c r="Q20" i="92"/>
  <c r="Q11" i="92"/>
  <c r="E57" i="93"/>
  <c r="E58" i="93" s="1"/>
  <c r="M21" i="92"/>
  <c r="O13" i="92"/>
  <c r="J112" i="104"/>
  <c r="O12" i="5"/>
  <c r="Q18" i="92"/>
  <c r="R12" i="91"/>
  <c r="O29" i="92"/>
  <c r="I13" i="92"/>
  <c r="I11" i="5"/>
  <c r="L29" i="92"/>
  <c r="G13" i="5"/>
  <c r="J13" i="92"/>
  <c r="K11" i="5"/>
  <c r="F21" i="92"/>
  <c r="F58" i="93" l="1"/>
  <c r="M58" i="93"/>
  <c r="J53" i="92"/>
  <c r="G58" i="93"/>
  <c r="H52" i="92"/>
  <c r="G52" i="92"/>
  <c r="H53" i="92"/>
  <c r="N45" i="92"/>
  <c r="K52" i="92"/>
  <c r="G44" i="92"/>
  <c r="H44" i="92"/>
  <c r="M53" i="92"/>
  <c r="O53" i="92"/>
  <c r="N52" i="92"/>
  <c r="O37" i="92"/>
  <c r="H45" i="92"/>
  <c r="K36" i="92"/>
  <c r="K45" i="92"/>
  <c r="H36" i="92"/>
  <c r="I53" i="92"/>
  <c r="F53" i="92"/>
  <c r="G45" i="92"/>
  <c r="I44" i="92"/>
  <c r="I45" i="92"/>
  <c r="K37" i="92"/>
  <c r="N36" i="92"/>
  <c r="J36" i="92"/>
  <c r="N53" i="92"/>
  <c r="L52" i="92"/>
  <c r="O36" i="92"/>
  <c r="O44" i="92"/>
  <c r="I36" i="92"/>
  <c r="M44" i="92"/>
  <c r="N58" i="93"/>
  <c r="J44" i="92"/>
  <c r="O52" i="92"/>
  <c r="H37" i="92"/>
  <c r="G53" i="92"/>
  <c r="L45" i="92"/>
  <c r="K44" i="92"/>
  <c r="K53" i="92"/>
  <c r="M54" i="92"/>
  <c r="F54" i="92"/>
  <c r="J46" i="92"/>
  <c r="N37" i="92"/>
  <c r="G54" i="92"/>
  <c r="I38" i="92"/>
  <c r="M38" i="92"/>
  <c r="F36" i="92"/>
  <c r="E15" i="93" s="1"/>
  <c r="J45" i="92"/>
  <c r="L44" i="92"/>
  <c r="O46" i="92"/>
  <c r="G36" i="92"/>
  <c r="F45" i="92"/>
  <c r="F44" i="92"/>
  <c r="I52" i="92"/>
  <c r="H15" i="93" s="1"/>
  <c r="L36" i="92"/>
  <c r="O45" i="92"/>
  <c r="F37" i="92"/>
  <c r="J64" i="107"/>
  <c r="I28" i="107"/>
  <c r="Y44" i="107"/>
  <c r="Z80" i="107"/>
  <c r="AH29" i="107"/>
  <c r="AG65" i="107"/>
  <c r="K65" i="107"/>
  <c r="J29" i="107"/>
  <c r="T75" i="107"/>
  <c r="S39" i="107"/>
  <c r="AA58" i="107"/>
  <c r="AB22" i="107"/>
  <c r="AB59" i="107"/>
  <c r="AC23" i="107"/>
  <c r="AE63" i="107"/>
  <c r="AF27" i="107"/>
  <c r="Y56" i="107"/>
  <c r="Z20" i="107"/>
  <c r="L38" i="92"/>
  <c r="K46" i="92"/>
  <c r="X78" i="107"/>
  <c r="W42" i="107"/>
  <c r="AE62" i="107"/>
  <c r="AF26" i="107"/>
  <c r="O69" i="107"/>
  <c r="N33" i="107"/>
  <c r="S51" i="107"/>
  <c r="T15" i="107"/>
  <c r="AJ68" i="107"/>
  <c r="AK32" i="107"/>
  <c r="AK68" i="107" s="1"/>
  <c r="Q71" i="107"/>
  <c r="P35" i="107"/>
  <c r="V76" i="107"/>
  <c r="U40" i="107"/>
  <c r="M46" i="92"/>
  <c r="L58" i="93"/>
  <c r="R74" i="107"/>
  <c r="Q38" i="107"/>
  <c r="AI67" i="107"/>
  <c r="AJ31" i="107"/>
  <c r="K66" i="107"/>
  <c r="J30" i="107"/>
  <c r="Y57" i="107"/>
  <c r="Z21" i="107"/>
  <c r="V77" i="107"/>
  <c r="U41" i="107"/>
  <c r="V54" i="107"/>
  <c r="W18" i="107"/>
  <c r="R72" i="107"/>
  <c r="Q36" i="107"/>
  <c r="U52" i="107"/>
  <c r="V16" i="107"/>
  <c r="AG64" i="107"/>
  <c r="AH28" i="107"/>
  <c r="L54" i="92"/>
  <c r="M45" i="92"/>
  <c r="M36" i="92"/>
  <c r="G37" i="92"/>
  <c r="P70" i="107"/>
  <c r="O34" i="107"/>
  <c r="AC60" i="107"/>
  <c r="AD24" i="107"/>
  <c r="N68" i="107"/>
  <c r="M32" i="107"/>
  <c r="AC61" i="107"/>
  <c r="AD25" i="107"/>
  <c r="AI66" i="107"/>
  <c r="AJ30" i="107"/>
  <c r="L53" i="92"/>
  <c r="L37" i="92"/>
  <c r="I37" i="92"/>
  <c r="W55" i="107"/>
  <c r="X19" i="107"/>
  <c r="X79" i="107"/>
  <c r="W43" i="107"/>
  <c r="M67" i="107"/>
  <c r="L31" i="107"/>
  <c r="J52" i="92"/>
  <c r="J37" i="92"/>
  <c r="I16" i="93" s="1"/>
  <c r="S73" i="107"/>
  <c r="R37" i="107"/>
  <c r="I63" i="107"/>
  <c r="H27" i="107"/>
  <c r="H63" i="107" s="1"/>
  <c r="V53" i="107"/>
  <c r="W17" i="107"/>
  <c r="D55" i="93"/>
  <c r="I54" i="92"/>
  <c r="N44" i="92"/>
  <c r="I58" i="93"/>
  <c r="G38" i="92"/>
  <c r="M52" i="92"/>
  <c r="N54" i="92"/>
  <c r="F46" i="92"/>
  <c r="N38" i="92"/>
  <c r="M37" i="92"/>
  <c r="Q13" i="92"/>
  <c r="O38" i="92"/>
  <c r="H46" i="92"/>
  <c r="L46" i="92"/>
  <c r="O54" i="92"/>
  <c r="H38" i="92"/>
  <c r="G17" i="93" s="1"/>
  <c r="F38" i="92"/>
  <c r="G46" i="92"/>
  <c r="H55" i="92"/>
  <c r="I46" i="92"/>
  <c r="N46" i="92"/>
  <c r="Q21" i="92"/>
  <c r="K54" i="92"/>
  <c r="J54" i="92"/>
  <c r="J38" i="92"/>
  <c r="Q29" i="92"/>
  <c r="K38" i="92"/>
  <c r="D57" i="93"/>
  <c r="M15" i="93" l="1"/>
  <c r="G15" i="93"/>
  <c r="K16" i="93"/>
  <c r="H16" i="93"/>
  <c r="H17" i="93"/>
  <c r="H18" i="93" s="1"/>
  <c r="H15" i="104" s="1"/>
  <c r="G55" i="92"/>
  <c r="G16" i="93"/>
  <c r="G40" i="93" s="1"/>
  <c r="N15" i="93"/>
  <c r="N31" i="93" s="1"/>
  <c r="F15" i="93"/>
  <c r="F31" i="93" s="1"/>
  <c r="N16" i="93"/>
  <c r="N40" i="93" s="1"/>
  <c r="G47" i="92"/>
  <c r="F17" i="93"/>
  <c r="F33" i="93" s="1"/>
  <c r="I15" i="93"/>
  <c r="I31" i="93" s="1"/>
  <c r="J15" i="93"/>
  <c r="J31" i="93" s="1"/>
  <c r="H47" i="92"/>
  <c r="L16" i="93"/>
  <c r="K15" i="93"/>
  <c r="K39" i="93" s="1"/>
  <c r="M16" i="93"/>
  <c r="M40" i="93" s="1"/>
  <c r="J16" i="93"/>
  <c r="J40" i="93" s="1"/>
  <c r="I47" i="92"/>
  <c r="F16" i="93"/>
  <c r="K55" i="92"/>
  <c r="O55" i="92"/>
  <c r="J47" i="92"/>
  <c r="Q53" i="92"/>
  <c r="N55" i="92"/>
  <c r="K47" i="92"/>
  <c r="F55" i="92"/>
  <c r="I39" i="92"/>
  <c r="Q37" i="92"/>
  <c r="J55" i="92"/>
  <c r="L15" i="93"/>
  <c r="L31" i="93" s="1"/>
  <c r="F39" i="92"/>
  <c r="Q36" i="92"/>
  <c r="O47" i="92"/>
  <c r="Q44" i="92"/>
  <c r="L55" i="92"/>
  <c r="Q45" i="92"/>
  <c r="L17" i="93"/>
  <c r="L41" i="93" s="1"/>
  <c r="L47" i="92"/>
  <c r="N47" i="92"/>
  <c r="M55" i="92"/>
  <c r="G39" i="92"/>
  <c r="E16" i="93"/>
  <c r="F47" i="92"/>
  <c r="K40" i="93"/>
  <c r="K32" i="93"/>
  <c r="M47" i="92"/>
  <c r="K17" i="93"/>
  <c r="Q52" i="92"/>
  <c r="I29" i="107"/>
  <c r="J65" i="107"/>
  <c r="AH65" i="107"/>
  <c r="AI29" i="107"/>
  <c r="Y80" i="107"/>
  <c r="X44" i="107"/>
  <c r="I64" i="107"/>
  <c r="H28" i="107"/>
  <c r="H64" i="107" s="1"/>
  <c r="W79" i="107"/>
  <c r="V43" i="107"/>
  <c r="AD60" i="107"/>
  <c r="AE24" i="107"/>
  <c r="Q72" i="107"/>
  <c r="P36" i="107"/>
  <c r="AJ67" i="107"/>
  <c r="AK31" i="107"/>
  <c r="AK67" i="107" s="1"/>
  <c r="Z56" i="107"/>
  <c r="AA20" i="107"/>
  <c r="M39" i="92"/>
  <c r="W53" i="107"/>
  <c r="X17" i="107"/>
  <c r="X55" i="107"/>
  <c r="Y19" i="107"/>
  <c r="D58" i="93"/>
  <c r="O70" i="107"/>
  <c r="N34" i="107"/>
  <c r="W54" i="107"/>
  <c r="X18" i="107"/>
  <c r="Q74" i="107"/>
  <c r="P38" i="107"/>
  <c r="T51" i="107"/>
  <c r="U15" i="107"/>
  <c r="AF63" i="107"/>
  <c r="AG27" i="107"/>
  <c r="M17" i="93"/>
  <c r="M41" i="93" s="1"/>
  <c r="U77" i="107"/>
  <c r="T41" i="107"/>
  <c r="N69" i="107"/>
  <c r="M33" i="107"/>
  <c r="AC59" i="107"/>
  <c r="AD23" i="107"/>
  <c r="R73" i="107"/>
  <c r="Q37" i="107"/>
  <c r="AJ66" i="107"/>
  <c r="AK30" i="107"/>
  <c r="AK66" i="107" s="1"/>
  <c r="U76" i="107"/>
  <c r="T40" i="107"/>
  <c r="AF62" i="107"/>
  <c r="AG26" i="107"/>
  <c r="I55" i="92"/>
  <c r="L39" i="92"/>
  <c r="AD61" i="107"/>
  <c r="AE25" i="107"/>
  <c r="AH64" i="107"/>
  <c r="AI28" i="107"/>
  <c r="Z57" i="107"/>
  <c r="AA21" i="107"/>
  <c r="P71" i="107"/>
  <c r="O35" i="107"/>
  <c r="AB58" i="107"/>
  <c r="AC22" i="107"/>
  <c r="L67" i="107"/>
  <c r="K31" i="107"/>
  <c r="W78" i="107"/>
  <c r="V42" i="107"/>
  <c r="M68" i="107"/>
  <c r="L32" i="107"/>
  <c r="V52" i="107"/>
  <c r="W16" i="107"/>
  <c r="J66" i="107"/>
  <c r="I30" i="107"/>
  <c r="S75" i="107"/>
  <c r="R39" i="107"/>
  <c r="N39" i="92"/>
  <c r="H39" i="92"/>
  <c r="J32" i="93"/>
  <c r="N17" i="93"/>
  <c r="N33" i="93" s="1"/>
  <c r="I17" i="93"/>
  <c r="I41" i="93" s="1"/>
  <c r="J17" i="93"/>
  <c r="J33" i="93" s="1"/>
  <c r="K39" i="92"/>
  <c r="Q54" i="92"/>
  <c r="O39" i="92"/>
  <c r="Q46" i="92"/>
  <c r="E31" i="93"/>
  <c r="E39" i="93"/>
  <c r="G33" i="93"/>
  <c r="G41" i="93"/>
  <c r="J39" i="92"/>
  <c r="M39" i="93"/>
  <c r="M31" i="93"/>
  <c r="L32" i="93"/>
  <c r="L40" i="93"/>
  <c r="H40" i="93"/>
  <c r="H32" i="93"/>
  <c r="H31" i="93"/>
  <c r="H39" i="93"/>
  <c r="G39" i="93"/>
  <c r="G31" i="93"/>
  <c r="G18" i="93"/>
  <c r="G15" i="104" s="1"/>
  <c r="E17" i="93"/>
  <c r="Q38" i="92"/>
  <c r="K31" i="93"/>
  <c r="I40" i="93"/>
  <c r="I32" i="93"/>
  <c r="H41" i="93"/>
  <c r="H33" i="93" l="1"/>
  <c r="G32" i="93"/>
  <c r="I39" i="93"/>
  <c r="N32" i="93"/>
  <c r="N39" i="93"/>
  <c r="F39" i="93"/>
  <c r="F47" i="93" s="1"/>
  <c r="J39" i="93"/>
  <c r="F41" i="93"/>
  <c r="M32" i="93"/>
  <c r="F18" i="93"/>
  <c r="F15" i="104" s="1"/>
  <c r="K18" i="93"/>
  <c r="K15" i="104" s="1"/>
  <c r="F40" i="93"/>
  <c r="F32" i="93"/>
  <c r="F34" i="93" s="1"/>
  <c r="P16" i="93"/>
  <c r="L39" i="93"/>
  <c r="E40" i="93"/>
  <c r="E32" i="93"/>
  <c r="P15" i="93"/>
  <c r="Q55" i="92"/>
  <c r="L18" i="93"/>
  <c r="L15" i="104" s="1"/>
  <c r="E18" i="93"/>
  <c r="E15" i="104" s="1"/>
  <c r="Q47" i="92"/>
  <c r="Q39" i="92"/>
  <c r="M18" i="93"/>
  <c r="M15" i="104" s="1"/>
  <c r="K33" i="93"/>
  <c r="K34" i="93" s="1"/>
  <c r="L33" i="93"/>
  <c r="L34" i="93" s="1"/>
  <c r="M33" i="93"/>
  <c r="K41" i="93"/>
  <c r="K42" i="93" s="1"/>
  <c r="K49" i="104" s="1"/>
  <c r="W44" i="107"/>
  <c r="X80" i="107"/>
  <c r="AI65" i="107"/>
  <c r="AJ29" i="107"/>
  <c r="I65" i="107"/>
  <c r="H29" i="107"/>
  <c r="H65" i="107" s="1"/>
  <c r="V78" i="107"/>
  <c r="U42" i="107"/>
  <c r="AE61" i="107"/>
  <c r="AF25" i="107"/>
  <c r="Q73" i="107"/>
  <c r="P37" i="107"/>
  <c r="P74" i="107"/>
  <c r="O38" i="107"/>
  <c r="AA56" i="107"/>
  <c r="AB20" i="107"/>
  <c r="U51" i="107"/>
  <c r="V15" i="107"/>
  <c r="R75" i="107"/>
  <c r="Q39" i="107"/>
  <c r="K67" i="107"/>
  <c r="J31" i="107"/>
  <c r="AD59" i="107"/>
  <c r="AE23" i="107"/>
  <c r="X54" i="107"/>
  <c r="Y18" i="107"/>
  <c r="AC58" i="107"/>
  <c r="AD22" i="107"/>
  <c r="M69" i="107"/>
  <c r="L33" i="107"/>
  <c r="P72" i="107"/>
  <c r="O36" i="107"/>
  <c r="N70" i="107"/>
  <c r="M34" i="107"/>
  <c r="I66" i="107"/>
  <c r="H30" i="107"/>
  <c r="H66" i="107" s="1"/>
  <c r="O71" i="107"/>
  <c r="N35" i="107"/>
  <c r="AG62" i="107"/>
  <c r="AH26" i="107"/>
  <c r="T77" i="107"/>
  <c r="S41" i="107"/>
  <c r="AE60" i="107"/>
  <c r="AF24" i="107"/>
  <c r="W52" i="107"/>
  <c r="X16" i="107"/>
  <c r="AA57" i="107"/>
  <c r="AB21" i="107"/>
  <c r="T76" i="107"/>
  <c r="S40" i="107"/>
  <c r="Y55" i="107"/>
  <c r="Z19" i="107"/>
  <c r="AG63" i="107"/>
  <c r="AH27" i="107"/>
  <c r="V79" i="107"/>
  <c r="U43" i="107"/>
  <c r="L68" i="107"/>
  <c r="K32" i="107"/>
  <c r="AI64" i="107"/>
  <c r="AJ28" i="107"/>
  <c r="X53" i="107"/>
  <c r="Y17" i="107"/>
  <c r="I18" i="93"/>
  <c r="I15" i="104" s="1"/>
  <c r="N41" i="93"/>
  <c r="N18" i="93"/>
  <c r="N15" i="104" s="1"/>
  <c r="I33" i="93"/>
  <c r="I34" i="93" s="1"/>
  <c r="J41" i="93"/>
  <c r="J18" i="93"/>
  <c r="J15" i="104" s="1"/>
  <c r="N34" i="93"/>
  <c r="G34" i="93"/>
  <c r="L42" i="93"/>
  <c r="L49" i="104" s="1"/>
  <c r="M42" i="93"/>
  <c r="M49" i="104" s="1"/>
  <c r="G42" i="93"/>
  <c r="G49" i="104" s="1"/>
  <c r="E47" i="93"/>
  <c r="P31" i="93"/>
  <c r="J34" i="93"/>
  <c r="H42" i="93"/>
  <c r="H49" i="104" s="1"/>
  <c r="I42" i="93"/>
  <c r="I49" i="104" s="1"/>
  <c r="H34" i="93"/>
  <c r="E41" i="93"/>
  <c r="E33" i="93"/>
  <c r="P17" i="93"/>
  <c r="P40" i="93" l="1"/>
  <c r="M34" i="93"/>
  <c r="J42" i="93"/>
  <c r="J49" i="104" s="1"/>
  <c r="M48" i="93"/>
  <c r="M47" i="93"/>
  <c r="G47" i="93"/>
  <c r="J47" i="93"/>
  <c r="P39" i="93"/>
  <c r="I47" i="93"/>
  <c r="F42" i="93"/>
  <c r="F49" i="104" s="1"/>
  <c r="H47" i="93"/>
  <c r="K47" i="93"/>
  <c r="N42" i="93"/>
  <c r="N49" i="104" s="1"/>
  <c r="I48" i="93"/>
  <c r="N47" i="93"/>
  <c r="P32" i="93"/>
  <c r="G48" i="93"/>
  <c r="L48" i="93"/>
  <c r="N48" i="93"/>
  <c r="L47" i="93"/>
  <c r="K48" i="93"/>
  <c r="E48" i="93"/>
  <c r="J48" i="93"/>
  <c r="P18" i="93"/>
  <c r="F48" i="93"/>
  <c r="H48" i="93"/>
  <c r="AJ65" i="107"/>
  <c r="AK29" i="107"/>
  <c r="AK65" i="107" s="1"/>
  <c r="W80" i="107"/>
  <c r="V44" i="107"/>
  <c r="AB56" i="107"/>
  <c r="AC20" i="107"/>
  <c r="O74" i="107"/>
  <c r="N38" i="107"/>
  <c r="V51" i="107"/>
  <c r="W15" i="107"/>
  <c r="S76" i="107"/>
  <c r="R40" i="107"/>
  <c r="AJ64" i="107"/>
  <c r="AK28" i="107"/>
  <c r="AK64" i="107" s="1"/>
  <c r="AB57" i="107"/>
  <c r="AC21" i="107"/>
  <c r="Y54" i="107"/>
  <c r="Z18" i="107"/>
  <c r="K68" i="107"/>
  <c r="J32" i="107"/>
  <c r="X52" i="107"/>
  <c r="Y16" i="107"/>
  <c r="M70" i="107"/>
  <c r="L34" i="107"/>
  <c r="AE59" i="107"/>
  <c r="AF23" i="107"/>
  <c r="P73" i="107"/>
  <c r="O37" i="107"/>
  <c r="Z55" i="107"/>
  <c r="AA19" i="107"/>
  <c r="Y53" i="107"/>
  <c r="Z17" i="107"/>
  <c r="U79" i="107"/>
  <c r="T43" i="107"/>
  <c r="AF60" i="107"/>
  <c r="AG24" i="107"/>
  <c r="O72" i="107"/>
  <c r="N36" i="107"/>
  <c r="J67" i="107"/>
  <c r="I31" i="107"/>
  <c r="AF61" i="107"/>
  <c r="AG25" i="107"/>
  <c r="AD58" i="107"/>
  <c r="AE22" i="107"/>
  <c r="N71" i="107"/>
  <c r="M35" i="107"/>
  <c r="AH63" i="107"/>
  <c r="AI27" i="107"/>
  <c r="S77" i="107"/>
  <c r="R41" i="107"/>
  <c r="L69" i="107"/>
  <c r="K33" i="107"/>
  <c r="Q75" i="107"/>
  <c r="P39" i="107"/>
  <c r="U78" i="107"/>
  <c r="T42" i="107"/>
  <c r="AH62" i="107"/>
  <c r="AI26" i="107"/>
  <c r="P41" i="93"/>
  <c r="E49" i="93"/>
  <c r="J49" i="93"/>
  <c r="N49" i="93"/>
  <c r="H49" i="93"/>
  <c r="G49" i="93"/>
  <c r="L49" i="93"/>
  <c r="P33" i="93"/>
  <c r="M49" i="93"/>
  <c r="I49" i="93"/>
  <c r="K49" i="93"/>
  <c r="F49" i="93"/>
  <c r="E42" i="93"/>
  <c r="E49" i="104" s="1"/>
  <c r="E34" i="93"/>
  <c r="P42" i="93" l="1"/>
  <c r="G50" i="93"/>
  <c r="K50" i="93"/>
  <c r="L50" i="93"/>
  <c r="I50" i="93"/>
  <c r="D48" i="93"/>
  <c r="E9" i="93" s="1"/>
  <c r="E20" i="2" s="1"/>
  <c r="M50" i="93"/>
  <c r="P34" i="93"/>
  <c r="D47" i="93"/>
  <c r="E8" i="93" s="1"/>
  <c r="E19" i="2" s="1"/>
  <c r="E50" i="93"/>
  <c r="J50" i="93"/>
  <c r="F50" i="93"/>
  <c r="H50" i="93"/>
  <c r="N50" i="93"/>
  <c r="V80" i="107"/>
  <c r="U44" i="107"/>
  <c r="K69" i="107"/>
  <c r="J33" i="107"/>
  <c r="I67" i="107"/>
  <c r="H31" i="107"/>
  <c r="H67" i="107" s="1"/>
  <c r="O73" i="107"/>
  <c r="N37" i="107"/>
  <c r="AC57" i="107"/>
  <c r="AD21" i="107"/>
  <c r="R77" i="107"/>
  <c r="Q41" i="107"/>
  <c r="AF59" i="107"/>
  <c r="AG23" i="107"/>
  <c r="AI63" i="107"/>
  <c r="AJ27" i="107"/>
  <c r="AG60" i="107"/>
  <c r="AH24" i="107"/>
  <c r="L70" i="107"/>
  <c r="K34" i="107"/>
  <c r="R76" i="107"/>
  <c r="Q40" i="107"/>
  <c r="T79" i="107"/>
  <c r="S43" i="107"/>
  <c r="Y52" i="107"/>
  <c r="Z16" i="107"/>
  <c r="W51" i="107"/>
  <c r="X15" i="107"/>
  <c r="N72" i="107"/>
  <c r="M36" i="107"/>
  <c r="M71" i="107"/>
  <c r="L35" i="107"/>
  <c r="AE58" i="107"/>
  <c r="AF22" i="107"/>
  <c r="J68" i="107"/>
  <c r="I32" i="107"/>
  <c r="N74" i="107"/>
  <c r="M38" i="107"/>
  <c r="AI62" i="107"/>
  <c r="AJ26" i="107"/>
  <c r="P75" i="107"/>
  <c r="O39" i="107"/>
  <c r="AG61" i="107"/>
  <c r="AH25" i="107"/>
  <c r="AA55" i="107"/>
  <c r="AB19" i="107"/>
  <c r="Z54" i="107"/>
  <c r="AA18" i="107"/>
  <c r="AC56" i="107"/>
  <c r="AD20" i="107"/>
  <c r="T78" i="107"/>
  <c r="S42" i="107"/>
  <c r="Z53" i="107"/>
  <c r="AA17" i="107"/>
  <c r="D49" i="93"/>
  <c r="E10" i="93" s="1"/>
  <c r="E21" i="2" s="1"/>
  <c r="T44" i="107" l="1"/>
  <c r="U80" i="107"/>
  <c r="I68" i="107"/>
  <c r="H32" i="107"/>
  <c r="H68" i="107" s="1"/>
  <c r="AA54" i="107"/>
  <c r="AB18" i="107"/>
  <c r="L71" i="107"/>
  <c r="K35" i="107"/>
  <c r="AG59" i="107"/>
  <c r="AH23" i="107"/>
  <c r="AB55" i="107"/>
  <c r="AC19" i="107"/>
  <c r="Q76" i="107"/>
  <c r="P40" i="107"/>
  <c r="AD57" i="107"/>
  <c r="AE21" i="107"/>
  <c r="AH61" i="107"/>
  <c r="AI25" i="107"/>
  <c r="K70" i="107"/>
  <c r="J34" i="107"/>
  <c r="N73" i="107"/>
  <c r="M37" i="107"/>
  <c r="S79" i="107"/>
  <c r="R43" i="107"/>
  <c r="AF58" i="107"/>
  <c r="AG22" i="107"/>
  <c r="Q77" i="107"/>
  <c r="P41" i="107"/>
  <c r="AA53" i="107"/>
  <c r="AB17" i="107"/>
  <c r="O75" i="107"/>
  <c r="N39" i="107"/>
  <c r="M72" i="107"/>
  <c r="L36" i="107"/>
  <c r="AH60" i="107"/>
  <c r="AI24" i="107"/>
  <c r="S78" i="107"/>
  <c r="R42" i="107"/>
  <c r="AJ62" i="107"/>
  <c r="AK26" i="107"/>
  <c r="AK62" i="107" s="1"/>
  <c r="X51" i="107"/>
  <c r="Y15" i="107"/>
  <c r="AJ63" i="107"/>
  <c r="AK27" i="107"/>
  <c r="AK63" i="107" s="1"/>
  <c r="AD56" i="107"/>
  <c r="AE20" i="107"/>
  <c r="M74" i="107"/>
  <c r="L38" i="107"/>
  <c r="Z52" i="107"/>
  <c r="AA16" i="107"/>
  <c r="J69" i="107"/>
  <c r="I33" i="107"/>
  <c r="D50" i="93"/>
  <c r="T80" i="107" l="1"/>
  <c r="S44" i="107"/>
  <c r="AC55" i="107"/>
  <c r="AD19" i="107"/>
  <c r="AH59" i="107"/>
  <c r="AI23" i="107"/>
  <c r="N75" i="107"/>
  <c r="M39" i="107"/>
  <c r="AA52" i="107"/>
  <c r="AB16" i="107"/>
  <c r="P76" i="107"/>
  <c r="O40" i="107"/>
  <c r="L74" i="107"/>
  <c r="K38" i="107"/>
  <c r="AE56" i="107"/>
  <c r="AF20" i="107"/>
  <c r="AI61" i="107"/>
  <c r="AJ25" i="107"/>
  <c r="AB54" i="107"/>
  <c r="AC18" i="107"/>
  <c r="AG58" i="107"/>
  <c r="AH22" i="107"/>
  <c r="AI60" i="107"/>
  <c r="AJ24" i="107"/>
  <c r="L72" i="107"/>
  <c r="K36" i="107"/>
  <c r="J70" i="107"/>
  <c r="I34" i="107"/>
  <c r="I69" i="107"/>
  <c r="H33" i="107"/>
  <c r="H69" i="107" s="1"/>
  <c r="R78" i="107"/>
  <c r="Q42" i="107"/>
  <c r="M73" i="107"/>
  <c r="L37" i="107"/>
  <c r="K71" i="107"/>
  <c r="J35" i="107"/>
  <c r="Y51" i="107"/>
  <c r="Z15" i="107"/>
  <c r="P77" i="107"/>
  <c r="O41" i="107"/>
  <c r="R79" i="107"/>
  <c r="Q43" i="107"/>
  <c r="AB53" i="107"/>
  <c r="AC17" i="107"/>
  <c r="AE57" i="107"/>
  <c r="AF21" i="107"/>
  <c r="R44" i="107" l="1"/>
  <c r="S80" i="107"/>
  <c r="K72" i="107"/>
  <c r="J36" i="107"/>
  <c r="AF57" i="107"/>
  <c r="AG21" i="107"/>
  <c r="J71" i="107"/>
  <c r="I35" i="107"/>
  <c r="AJ60" i="107"/>
  <c r="AK24" i="107"/>
  <c r="AK60" i="107" s="1"/>
  <c r="O76" i="107"/>
  <c r="N40" i="107"/>
  <c r="Z51" i="107"/>
  <c r="AA15" i="107"/>
  <c r="L73" i="107"/>
  <c r="K37" i="107"/>
  <c r="AH58" i="107"/>
  <c r="AI22" i="107"/>
  <c r="AB52" i="107"/>
  <c r="AC16" i="107"/>
  <c r="K74" i="107"/>
  <c r="J38" i="107"/>
  <c r="M75" i="107"/>
  <c r="L39" i="107"/>
  <c r="Q79" i="107"/>
  <c r="P43" i="107"/>
  <c r="AC53" i="107"/>
  <c r="AD17" i="107"/>
  <c r="Q78" i="107"/>
  <c r="P42" i="107"/>
  <c r="AJ61" i="107"/>
  <c r="AK25" i="107"/>
  <c r="AK61" i="107" s="1"/>
  <c r="AC54" i="107"/>
  <c r="AD18" i="107"/>
  <c r="O77" i="107"/>
  <c r="N41" i="107"/>
  <c r="I70" i="107"/>
  <c r="H34" i="107"/>
  <c r="H70" i="107" s="1"/>
  <c r="AF56" i="107"/>
  <c r="AG20" i="107"/>
  <c r="AD55" i="107"/>
  <c r="AE19" i="107"/>
  <c r="AI59" i="107"/>
  <c r="AJ23" i="107"/>
  <c r="Q44" i="107" l="1"/>
  <c r="R80" i="107"/>
  <c r="N77" i="107"/>
  <c r="M41" i="107"/>
  <c r="L75" i="107"/>
  <c r="K39" i="107"/>
  <c r="AD54" i="107"/>
  <c r="AE18" i="107"/>
  <c r="J74" i="107"/>
  <c r="I38" i="107"/>
  <c r="N76" i="107"/>
  <c r="M40" i="107"/>
  <c r="AA51" i="107"/>
  <c r="AB15" i="107"/>
  <c r="AJ59" i="107"/>
  <c r="AK23" i="107"/>
  <c r="AK59" i="107" s="1"/>
  <c r="AC52" i="107"/>
  <c r="AD16" i="107"/>
  <c r="AE55" i="107"/>
  <c r="AF19" i="107"/>
  <c r="P78" i="107"/>
  <c r="O42" i="107"/>
  <c r="AI58" i="107"/>
  <c r="AJ22" i="107"/>
  <c r="I71" i="107"/>
  <c r="H35" i="107"/>
  <c r="H71" i="107" s="1"/>
  <c r="AG56" i="107"/>
  <c r="AH20" i="107"/>
  <c r="AD53" i="107"/>
  <c r="AE17" i="107"/>
  <c r="K73" i="107"/>
  <c r="J37" i="107"/>
  <c r="AG57" i="107"/>
  <c r="AH21" i="107"/>
  <c r="P79" i="107"/>
  <c r="O43" i="107"/>
  <c r="J72" i="107"/>
  <c r="I36" i="107"/>
  <c r="Q80" i="107" l="1"/>
  <c r="P44" i="107"/>
  <c r="O79" i="107"/>
  <c r="N43" i="107"/>
  <c r="AJ58" i="107"/>
  <c r="AK22" i="107"/>
  <c r="AK58" i="107" s="1"/>
  <c r="M76" i="107"/>
  <c r="L40" i="107"/>
  <c r="AH57" i="107"/>
  <c r="AI21" i="107"/>
  <c r="O78" i="107"/>
  <c r="N42" i="107"/>
  <c r="I74" i="107"/>
  <c r="H38" i="107"/>
  <c r="H74" i="107" s="1"/>
  <c r="J73" i="107"/>
  <c r="I37" i="107"/>
  <c r="AF55" i="107"/>
  <c r="AG19" i="107"/>
  <c r="AE54" i="107"/>
  <c r="AF18" i="107"/>
  <c r="AB51" i="107"/>
  <c r="AC15" i="107"/>
  <c r="AE53" i="107"/>
  <c r="AF17" i="107"/>
  <c r="AD52" i="107"/>
  <c r="AE16" i="107"/>
  <c r="K75" i="107"/>
  <c r="J39" i="107"/>
  <c r="I72" i="107"/>
  <c r="H36" i="107"/>
  <c r="H72" i="107" s="1"/>
  <c r="AH56" i="107"/>
  <c r="AI20" i="107"/>
  <c r="M77" i="107"/>
  <c r="L41" i="107"/>
  <c r="O44" i="107" l="1"/>
  <c r="P80" i="107"/>
  <c r="L77" i="107"/>
  <c r="K41" i="107"/>
  <c r="AF53" i="107"/>
  <c r="AG17" i="107"/>
  <c r="N78" i="107"/>
  <c r="M42" i="107"/>
  <c r="AI56" i="107"/>
  <c r="AJ20" i="107"/>
  <c r="AC51" i="107"/>
  <c r="AD15" i="107"/>
  <c r="AI57" i="107"/>
  <c r="AJ21" i="107"/>
  <c r="AF54" i="107"/>
  <c r="AG18" i="107"/>
  <c r="L76" i="107"/>
  <c r="K40" i="107"/>
  <c r="AE52" i="107"/>
  <c r="AF16" i="107"/>
  <c r="AG55" i="107"/>
  <c r="AH19" i="107"/>
  <c r="J75" i="107"/>
  <c r="I39" i="107"/>
  <c r="I73" i="107"/>
  <c r="H37" i="107"/>
  <c r="H73" i="107" s="1"/>
  <c r="N79" i="107"/>
  <c r="M43" i="107"/>
  <c r="O80" i="107" l="1"/>
  <c r="N44" i="107"/>
  <c r="AJ57" i="107"/>
  <c r="AK21" i="107"/>
  <c r="AK57" i="107" s="1"/>
  <c r="AD51" i="107"/>
  <c r="AE15" i="107"/>
  <c r="AJ56" i="107"/>
  <c r="AK20" i="107"/>
  <c r="AK56" i="107" s="1"/>
  <c r="K76" i="107"/>
  <c r="J40" i="107"/>
  <c r="M78" i="107"/>
  <c r="L42" i="107"/>
  <c r="K77" i="107"/>
  <c r="J41" i="107"/>
  <c r="I75" i="107"/>
  <c r="H39" i="107"/>
  <c r="H75" i="107" s="1"/>
  <c r="AH55" i="107"/>
  <c r="AI19" i="107"/>
  <c r="AF52" i="107"/>
  <c r="AG16" i="107"/>
  <c r="M79" i="107"/>
  <c r="L43" i="107"/>
  <c r="AG53" i="107"/>
  <c r="AH17" i="107"/>
  <c r="AG54" i="107"/>
  <c r="AH18" i="107"/>
  <c r="N80" i="107" l="1"/>
  <c r="M44" i="107"/>
  <c r="AG52" i="107"/>
  <c r="AH16" i="107"/>
  <c r="J76" i="107"/>
  <c r="I40" i="107"/>
  <c r="L78" i="107"/>
  <c r="K42" i="107"/>
  <c r="AI55" i="107"/>
  <c r="AJ19" i="107"/>
  <c r="AH54" i="107"/>
  <c r="AI18" i="107"/>
  <c r="J77" i="107"/>
  <c r="I41" i="107"/>
  <c r="AH53" i="107"/>
  <c r="AI17" i="107"/>
  <c r="L79" i="107"/>
  <c r="K43" i="107"/>
  <c r="AE51" i="107"/>
  <c r="AF15" i="107"/>
  <c r="M80" i="107" l="1"/>
  <c r="L44" i="107"/>
  <c r="AI54" i="107"/>
  <c r="AJ18" i="107"/>
  <c r="K79" i="107"/>
  <c r="J43" i="107"/>
  <c r="AJ55" i="107"/>
  <c r="AK19" i="107"/>
  <c r="AK55" i="107" s="1"/>
  <c r="AF51" i="107"/>
  <c r="AG15" i="107"/>
  <c r="K78" i="107"/>
  <c r="J42" i="107"/>
  <c r="I76" i="107"/>
  <c r="H40" i="107"/>
  <c r="H76" i="107" s="1"/>
  <c r="AI53" i="107"/>
  <c r="AJ17" i="107"/>
  <c r="AH52" i="107"/>
  <c r="AI16" i="107"/>
  <c r="I77" i="107"/>
  <c r="H41" i="107"/>
  <c r="H77" i="107" s="1"/>
  <c r="L80" i="107" l="1"/>
  <c r="K44" i="107"/>
  <c r="J78" i="107"/>
  <c r="I42" i="107"/>
  <c r="AG51" i="107"/>
  <c r="AH15" i="107"/>
  <c r="AI52" i="107"/>
  <c r="AJ16" i="107"/>
  <c r="J79" i="107"/>
  <c r="I43" i="107"/>
  <c r="AJ53" i="107"/>
  <c r="AK17" i="107"/>
  <c r="AK53" i="107" s="1"/>
  <c r="AJ54" i="107"/>
  <c r="AK18" i="107"/>
  <c r="AK54" i="107" s="1"/>
  <c r="J44" i="107" l="1"/>
  <c r="K80" i="107"/>
  <c r="I79" i="107"/>
  <c r="H43" i="107"/>
  <c r="H79" i="107" s="1"/>
  <c r="AJ52" i="107"/>
  <c r="AK16" i="107"/>
  <c r="AK52" i="107" s="1"/>
  <c r="AH51" i="107"/>
  <c r="AI15" i="107"/>
  <c r="I78" i="107"/>
  <c r="H42" i="107"/>
  <c r="H78" i="107" s="1"/>
  <c r="I44" i="107" l="1"/>
  <c r="J80" i="107"/>
  <c r="AI51" i="107"/>
  <c r="AJ15" i="107"/>
  <c r="I80" i="107" l="1"/>
  <c r="H44" i="107"/>
  <c r="H80" i="107" s="1"/>
  <c r="AJ51" i="107"/>
  <c r="AK15" i="107"/>
  <c r="AK51" i="10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<sst xmlns="http://schemas.openxmlformats.org/spreadsheetml/2006/main" count="1143" uniqueCount="347">
  <si>
    <t>Description</t>
  </si>
  <si>
    <t>Parameter control</t>
  </si>
  <si>
    <t>General parameters</t>
  </si>
  <si>
    <t>Parameter</t>
  </si>
  <si>
    <t>Value</t>
  </si>
  <si>
    <t>Discount rate</t>
  </si>
  <si>
    <t>Ten year average real vanilla WACC, Ausgrid PTRM</t>
  </si>
  <si>
    <t>Opex proportion of capex</t>
  </si>
  <si>
    <t>Asset life</t>
  </si>
  <si>
    <t>Results</t>
  </si>
  <si>
    <t>LRMC estimates</t>
  </si>
  <si>
    <t>Units: $/kW per annum</t>
  </si>
  <si>
    <t>Ausgrid TSS 2019-24 (network wide)</t>
  </si>
  <si>
    <t>Areas with growing demand</t>
  </si>
  <si>
    <t>$2019 real</t>
  </si>
  <si>
    <t xml:space="preserve">Indicative estimate in areas where demand is falling </t>
  </si>
  <si>
    <t>REGULATORY REPORTING STATEMENT</t>
  </si>
  <si>
    <t xml:space="preserve">Australian Distribution Co. </t>
  </si>
  <si>
    <t>2024-25 to 2028-29</t>
  </si>
  <si>
    <t>7.7 - TARIFF STRUCTURE STATEMENT - INPUTS TO LRMC CALCULATION</t>
  </si>
  <si>
    <t>Is Australian Distribution Co. using the 'Average Incremental Cost' approach?</t>
  </si>
  <si>
    <t>YES</t>
  </si>
  <si>
    <t>7.7.1 - INPUTS TO LRMC CALCULATION - STANDARD CONTROL SERVICES - CAPEX</t>
  </si>
  <si>
    <t>7.7.1.1 - SERIES A</t>
  </si>
  <si>
    <t>Forecast 
($0's, real June 2024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</si>
  <si>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</si>
  <si>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</si>
  <si>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</si>
  <si>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</si>
  <si>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</si>
  <si>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</si>
  <si>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</si>
  <si>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</si>
  <si>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</si>
  <si>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</si>
  <si>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</si>
  <si>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</si>
  <si>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</si>
  <si>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</si>
  <si>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</si>
  <si>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</si>
  <si>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</si>
  <si>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</si>
  <si>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</si>
  <si>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</si>
  <si>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Replacement expenditure</t>
  </si>
  <si>
    <t>Connections</t>
  </si>
  <si>
    <t>Augmentation Expenditure</t>
  </si>
  <si>
    <t>Non-network</t>
  </si>
  <si>
    <t>Capitalised network overheads</t>
  </si>
  <si>
    <t>Capitalised corporate overheads</t>
  </si>
  <si>
    <t>Total capex</t>
  </si>
  <si>
    <t>7.7.1.2 - SERIES B</t>
  </si>
  <si>
    <t>7.7.1.3 - SERIES C</t>
  </si>
  <si>
    <t>7.7.2 - INPUTS TO LRMC CALCULATION - STANDARD CONTROL SERVICES - OPEX</t>
  </si>
  <si>
    <t>7.7.2.1 - SERIES A</t>
  </si>
  <si>
    <t>Incremental opex associated with growth related capex</t>
  </si>
  <si>
    <t>Total opex</t>
  </si>
  <si>
    <t>7.7.2.2- SERIES B</t>
  </si>
  <si>
    <t>7.7.2.3 - SERIES C</t>
  </si>
  <si>
    <t>7.7.3 - INPUTS TO LRMC CALCULATION - DEMAND</t>
  </si>
  <si>
    <t>7.7.3.1 - SERIES A</t>
  </si>
  <si>
    <t>Aggregated demand - all voltage levels</t>
  </si>
  <si>
    <t>Total demand</t>
  </si>
  <si>
    <t>7.7.3.2 - SERIES B</t>
  </si>
  <si>
    <t>7.7.3.3 - SERIES C</t>
  </si>
  <si>
    <t>Estimating LRMC in areas with rising demand</t>
  </si>
  <si>
    <t>LRMC estimate</t>
  </si>
  <si>
    <t>Network level</t>
  </si>
  <si>
    <t>Units</t>
  </si>
  <si>
    <t>Growing areas only</t>
  </si>
  <si>
    <t>$/kW</t>
  </si>
  <si>
    <t>Capex</t>
  </si>
  <si>
    <t>Total</t>
  </si>
  <si>
    <t>Capitalised overheads</t>
  </si>
  <si>
    <t>Annualised capex and OH</t>
  </si>
  <si>
    <t>Incremental opex</t>
  </si>
  <si>
    <t>Cumulative annualised capex and OH plus opex</t>
  </si>
  <si>
    <t>PV</t>
  </si>
  <si>
    <t>Growth in demand</t>
  </si>
  <si>
    <t>MW</t>
  </si>
  <si>
    <t>Forecast network augmentation expenditure</t>
  </si>
  <si>
    <t>Summary</t>
  </si>
  <si>
    <t>% of augex</t>
  </si>
  <si>
    <t>Detailed summary</t>
  </si>
  <si>
    <t>With unknown voltage ST expenditure</t>
  </si>
  <si>
    <t>Area plan</t>
  </si>
  <si>
    <t>Expenditure type</t>
  </si>
  <si>
    <t>Classification</t>
  </si>
  <si>
    <t>Augex by classification</t>
  </si>
  <si>
    <t>Capex by network level</t>
  </si>
  <si>
    <t>Growth</t>
  </si>
  <si>
    <t>Decline</t>
  </si>
  <si>
    <t>Capex allocated by coincident maximum demand</t>
  </si>
  <si>
    <t>Raw maximum demand by voltage level</t>
  </si>
  <si>
    <t>Contribution to area plan maximum demand</t>
  </si>
  <si>
    <t>No adjustments</t>
  </si>
  <si>
    <t>Units: MW</t>
  </si>
  <si>
    <t>CAGR</t>
  </si>
  <si>
    <t>Average</t>
  </si>
  <si>
    <t>Determining the movement in aggregate demand in each area plan</t>
  </si>
  <si>
    <t>Include in aggregate demand forecast</t>
  </si>
  <si>
    <t>Yes</t>
  </si>
  <si>
    <t>Start year</t>
  </si>
  <si>
    <t>End year</t>
  </si>
  <si>
    <t>Forecast dates</t>
  </si>
  <si>
    <t>Unadjusted raw demand - by area plan</t>
  </si>
  <si>
    <t>Summary statistics</t>
  </si>
  <si>
    <t>Annualised growth rate</t>
  </si>
  <si>
    <t>Unit</t>
  </si>
  <si>
    <t>10 year average</t>
  </si>
  <si>
    <t>Share of
total demand</t>
  </si>
  <si>
    <t>Total change in demand</t>
  </si>
  <si>
    <t>Smoothed demand - by area plan</t>
  </si>
  <si>
    <t>Smoothed maximum demand by voltage level</t>
  </si>
  <si>
    <t>Adjusted for aggregate CAGR and average coincident demand</t>
  </si>
  <si>
    <t>Contribution to total demand by voltage level</t>
  </si>
  <si>
    <t>Average across all areas (raw and unadjusted)</t>
  </si>
  <si>
    <t>Raw demand</t>
  </si>
  <si>
    <t>Area</t>
  </si>
  <si>
    <t>Network wide</t>
  </si>
  <si>
    <t>Smoothed</t>
  </si>
  <si>
    <t>Average across growth areas</t>
  </si>
  <si>
    <t>Average across decline areas</t>
  </si>
  <si>
    <t>Forecast maximum demand</t>
  </si>
  <si>
    <t>By classification and voltage level</t>
  </si>
  <si>
    <t>Inflation</t>
  </si>
  <si>
    <t>Inflation conversion</t>
  </si>
  <si>
    <t>Base year</t>
  </si>
  <si>
    <t>Expenditure</t>
  </si>
  <si>
    <t>Input base year</t>
  </si>
  <si>
    <t>Inflation factor</t>
  </si>
  <si>
    <t>LV and HV augex</t>
  </si>
  <si>
    <t>ST augex</t>
  </si>
  <si>
    <t>Discounting</t>
  </si>
  <si>
    <t>Discount factor</t>
  </si>
  <si>
    <t>Input of capitalised overheads proportion of capex</t>
  </si>
  <si>
    <t>Source: TBC</t>
  </si>
  <si>
    <t>Capitalised overheads proportion of capex</t>
  </si>
  <si>
    <t>Input of RAB and operating expenditure data from determination</t>
  </si>
  <si>
    <t>Source: AER, AER Distribution 2019-24 Final Decision PTRM, Tab: Analysis, April 2019.</t>
  </si>
  <si>
    <t>2019-20</t>
  </si>
  <si>
    <t>2020-21</t>
  </si>
  <si>
    <t>2021-22</t>
  </si>
  <si>
    <t>RAB ($m)</t>
  </si>
  <si>
    <t>Operating expenditure ($m)</t>
  </si>
  <si>
    <t>Opex as a proportion of RAB</t>
  </si>
  <si>
    <t>Average opex proportion of RAB</t>
  </si>
  <si>
    <t>RIN opex breakdown</t>
  </si>
  <si>
    <t>Line item</t>
  </si>
  <si>
    <t>Proportion of opex</t>
  </si>
  <si>
    <t>Cost class</t>
  </si>
  <si>
    <t>Contact Centre</t>
  </si>
  <si>
    <t>Unavoidable</t>
  </si>
  <si>
    <t>Customer Operations</t>
  </si>
  <si>
    <t>Data Operations</t>
  </si>
  <si>
    <t>Engineering, Planning &amp; Project Management</t>
  </si>
  <si>
    <t>Avoidable</t>
  </si>
  <si>
    <t>Finance Function</t>
  </si>
  <si>
    <t>Information Communication &amp; Technology</t>
  </si>
  <si>
    <t>Insurance</t>
  </si>
  <si>
    <t>Management</t>
  </si>
  <si>
    <t>Metering</t>
  </si>
  <si>
    <t>System Control</t>
  </si>
  <si>
    <t>Inspection</t>
  </si>
  <si>
    <t>Corrective</t>
  </si>
  <si>
    <t>Breakdown</t>
  </si>
  <si>
    <t>Nature induced &amp; other</t>
  </si>
  <si>
    <t>Other indirect system maintenance</t>
  </si>
  <si>
    <t>Demand Management</t>
  </si>
  <si>
    <t>Operational Technology</t>
  </si>
  <si>
    <t>Other</t>
  </si>
  <si>
    <t>Property Management</t>
  </si>
  <si>
    <t>Training &amp; Development</t>
  </si>
  <si>
    <t>Emergency Recoverable Works</t>
  </si>
  <si>
    <t>Avoidable opex proportion</t>
  </si>
  <si>
    <t>Average avoidable opex proportion of RAB</t>
  </si>
  <si>
    <t>Plotting demand</t>
  </si>
  <si>
    <t>All areas</t>
  </si>
  <si>
    <t>Source: Provided on 10 May 2022 in response to HoustonKemp information request, item 2</t>
  </si>
  <si>
    <t>Area Plan (controlling for alternates)</t>
  </si>
  <si>
    <t>Year</t>
  </si>
  <si>
    <t>Auburn / Homebush</t>
  </si>
  <si>
    <t>Camperdown &amp; Blackwattle Bay</t>
  </si>
  <si>
    <t>Canterbury Bankstown</t>
  </si>
  <si>
    <t>Carlingford</t>
  </si>
  <si>
    <t>Eastern Suburbs</t>
  </si>
  <si>
    <t>Greater Cessnock</t>
  </si>
  <si>
    <t>Lower Central Coast</t>
  </si>
  <si>
    <t>Lower North Shore</t>
  </si>
  <si>
    <t>Maitland</t>
  </si>
  <si>
    <t>Manly Warringah</t>
  </si>
  <si>
    <t>Newcastle Inner City</t>
  </si>
  <si>
    <t>Newcastle Port</t>
  </si>
  <si>
    <t>Newcastle Western Corridor</t>
  </si>
  <si>
    <t>North East Lake Macquarie</t>
  </si>
  <si>
    <t>North West</t>
  </si>
  <si>
    <t>Pittwater &amp; Terrey Hills</t>
  </si>
  <si>
    <t>Port Stephens</t>
  </si>
  <si>
    <t>Singleton</t>
  </si>
  <si>
    <t>St George</t>
  </si>
  <si>
    <t>Sutherland</t>
  </si>
  <si>
    <t>Sydney CBD</t>
  </si>
  <si>
    <t>Upper Central Coast</t>
  </si>
  <si>
    <t>Upper Hunter</t>
  </si>
  <si>
    <t>Upper North Shore</t>
  </si>
  <si>
    <t>West Lake Macquarie</t>
  </si>
  <si>
    <t>Level</t>
  </si>
  <si>
    <t>Voltage level</t>
  </si>
  <si>
    <t>HV</t>
  </si>
  <si>
    <t>LV</t>
  </si>
  <si>
    <t>ST</t>
  </si>
  <si>
    <t>Forecast network augmentation expenditure (LV and HV only)</t>
  </si>
  <si>
    <t>Units: $2016 real</t>
  </si>
  <si>
    <t>Source: Provided on 10 May 2022 in response to HoustonKemp information request, item 3</t>
  </si>
  <si>
    <t>Program</t>
  </si>
  <si>
    <t>Fix Object</t>
  </si>
  <si>
    <t>DC</t>
  </si>
  <si>
    <t>LV Distribution Centre Capacity</t>
  </si>
  <si>
    <t>Voltage Management Tap Change</t>
  </si>
  <si>
    <t>DIST MAINS</t>
  </si>
  <si>
    <t>LV Distributor Capacity</t>
  </si>
  <si>
    <t>LV Load Survey</t>
  </si>
  <si>
    <t>LV total</t>
  </si>
  <si>
    <t>HV REINF</t>
  </si>
  <si>
    <t>HV Reinforcement OH (New)</t>
  </si>
  <si>
    <t>HV Reinforcement OH (Upgrade)</t>
  </si>
  <si>
    <t>HV Reinforcement UG (New)</t>
  </si>
  <si>
    <t>HV total</t>
  </si>
  <si>
    <t>Apportionment of capex forecast across area plans (yearly)</t>
  </si>
  <si>
    <t>Area Plan</t>
  </si>
  <si>
    <t>Inner West Sydney</t>
  </si>
  <si>
    <t>Newcastle Ports</t>
  </si>
  <si>
    <t>North West Sydney</t>
  </si>
  <si>
    <t>Pittwater &amp; Northern Beaches</t>
  </si>
  <si>
    <t>Forecast network augmentation expenditure (ST only)</t>
  </si>
  <si>
    <t>Units: $2019 real, '000s</t>
  </si>
  <si>
    <t>Source: Provided on 2 June 2022 in response to HoustonKemp information request, item 3</t>
  </si>
  <si>
    <t>Reg. Project ID</t>
  </si>
  <si>
    <t>BPC Project</t>
  </si>
  <si>
    <t>BPC Driver</t>
  </si>
  <si>
    <t>BPC Asset Cat</t>
  </si>
  <si>
    <t>Fiscal year</t>
  </si>
  <si>
    <t>ARA_01.0007A</t>
  </si>
  <si>
    <t>10% NEW ZN WILLIAMTOWN AREA</t>
  </si>
  <si>
    <t>Conditonal Projects</t>
  </si>
  <si>
    <t>AS_TOT</t>
  </si>
  <si>
    <t>Total Asset Category</t>
  </si>
  <si>
    <t>AS02_0000</t>
  </si>
  <si>
    <t>Total Zone Substation</t>
  </si>
  <si>
    <t>AS03_0000</t>
  </si>
  <si>
    <t>Total Sub-transmission Mains OH</t>
  </si>
  <si>
    <t>AS08_0000</t>
  </si>
  <si>
    <t>Total Distribution Mains</t>
  </si>
  <si>
    <t>ARA_03.1B.0034A</t>
  </si>
  <si>
    <t>REA 33KV BUSBAR SYDNEY DOMESTIC ZN</t>
  </si>
  <si>
    <t>AS04_0000</t>
  </si>
  <si>
    <t>Total Sub-transmission Mains UG</t>
  </si>
  <si>
    <t>ARA_04.4.A.0005</t>
  </si>
  <si>
    <t>NEW 33KV SWG ROZELLE STS</t>
  </si>
  <si>
    <t>Inner West</t>
  </si>
  <si>
    <t>AS01_0000</t>
  </si>
  <si>
    <t>Total Sub-transmission Substation</t>
  </si>
  <si>
    <t>ARA_05.3.0035U</t>
  </si>
  <si>
    <t>NEW 132/33KV MACQUARIE STS</t>
  </si>
  <si>
    <t>ARA_05.3.0045U</t>
  </si>
  <si>
    <t>NEW 132/33KV TX3 MACQUARIE STS</t>
  </si>
  <si>
    <t>ARA_05.4.0022A</t>
  </si>
  <si>
    <t>UPR 33KV FDR S20 &amp; S21 OH SECTION SYD E-WRWOOD</t>
  </si>
  <si>
    <t>Terrey Hills &amp; Pittwater</t>
  </si>
  <si>
    <t>Named ranges</t>
  </si>
  <si>
    <t>Years</t>
  </si>
  <si>
    <t>Area plans</t>
  </si>
  <si>
    <t>Alternate</t>
  </si>
  <si>
    <t>Alternate 2</t>
  </si>
  <si>
    <t>Network levels</t>
  </si>
  <si>
    <t>Augex categories</t>
  </si>
  <si>
    <t>Repex catagories</t>
  </si>
  <si>
    <t>Demand growth</t>
  </si>
  <si>
    <t>Cost type</t>
  </si>
  <si>
    <t>Demand smoothing</t>
  </si>
  <si>
    <t>Planned</t>
  </si>
  <si>
    <t>Area level</t>
  </si>
  <si>
    <t>Reactive</t>
  </si>
  <si>
    <t>Conditional</t>
  </si>
  <si>
    <t>Steady/falling</t>
  </si>
  <si>
    <t>None</t>
  </si>
  <si>
    <t>VARIOUS LOWER HUNTER</t>
  </si>
  <si>
    <t>System wide</t>
  </si>
  <si>
    <t>VARIOUS</t>
  </si>
  <si>
    <t>Ausgrid’s 2024-29 Revised Regulatory Proposal</t>
  </si>
  <si>
    <t>Source</t>
  </si>
  <si>
    <t>Ausgrid assumption</t>
  </si>
  <si>
    <t>Financial year ending</t>
  </si>
  <si>
    <t>CPI</t>
  </si>
  <si>
    <t>CPI indexes (real to real)</t>
  </si>
  <si>
    <t>CPI indexes (real to nominal)</t>
  </si>
  <si>
    <t>CPI indexes (nominal to real)</t>
  </si>
  <si>
    <t>Actual</t>
  </si>
  <si>
    <t>Forecast</t>
  </si>
  <si>
    <t>LRMC (2019-24 TSS)</t>
  </si>
  <si>
    <t>$/kW per annum</t>
  </si>
  <si>
    <t>Ausgrid TSS 2019-24
(network wide)</t>
  </si>
  <si>
    <t>Actual opex (nominal)</t>
  </si>
  <si>
    <t>Ausgrid 2022-23 opex for standard control services</t>
  </si>
  <si>
    <t>Case study expenditure</t>
  </si>
  <si>
    <t>Areas where demand is rising</t>
  </si>
  <si>
    <t>Areas where demand is falling</t>
  </si>
  <si>
    <t>Location</t>
  </si>
  <si>
    <t>Scenario</t>
  </si>
  <si>
    <t>Botany</t>
  </si>
  <si>
    <t>Low</t>
  </si>
  <si>
    <t>Base</t>
  </si>
  <si>
    <t>High</t>
  </si>
  <si>
    <t>Campsie</t>
  </si>
  <si>
    <t>Leightonfield</t>
  </si>
  <si>
    <t>Lidcombe</t>
  </si>
  <si>
    <t>Miranda</t>
  </si>
  <si>
    <t>Riverwood</t>
  </si>
  <si>
    <t>Demand forecast for repex case studies</t>
  </si>
  <si>
    <t>By location and scenario</t>
  </si>
  <si>
    <t>Note: low scenario aligns with P90, base scenario aligns with P50 and high scenario aligns with P10</t>
  </si>
  <si>
    <t>Timing and magnitude of expenditure</t>
  </si>
  <si>
    <t>Need year</t>
  </si>
  <si>
    <t>Demand</t>
  </si>
  <si>
    <t>Units:</t>
  </si>
  <si>
    <t>Present value</t>
  </si>
  <si>
    <t>From case</t>
  </si>
  <si>
    <t>To case</t>
  </si>
  <si>
    <t>From year</t>
  </si>
  <si>
    <t>To year</t>
  </si>
  <si>
    <t>Case study illustrating the sensitivity of replacement expenditure to changes in demand</t>
  </si>
  <si>
    <t>Decrement in
demand (MW)</t>
  </si>
  <si>
    <t>Reduction in
expenditure</t>
  </si>
  <si>
    <t>LRMC estimate
($/kW)</t>
  </si>
  <si>
    <t>Application of perturbation approach to zone substation replacement for a range of case studies</t>
  </si>
  <si>
    <t>Upper bound</t>
  </si>
  <si>
    <t>Lower bound</t>
  </si>
  <si>
    <t>Year helper</t>
  </si>
  <si>
    <t>Table 1 - To escalate Real Regulatory Expenditure Allowances, select year and multiply with the index</t>
  </si>
  <si>
    <t>Table 2 - To escalate Actual or Forecast Nominal Expenditure to Real, select year(s) and multiply with the index</t>
  </si>
  <si>
    <t xml:space="preserve">From Nominal (each year) </t>
  </si>
  <si>
    <t>To Real (select year)</t>
  </si>
  <si>
    <t xml:space="preserve">To Real (select year) </t>
  </si>
  <si>
    <t xml:space="preserve">To Nominal (each year) </t>
  </si>
  <si>
    <t>From Real (select year)</t>
  </si>
  <si>
    <t>Attachment 8.4: LRMC model for import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</si>
</sst>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0.0000"/>
    <numFmt numFmtId="170" formatCode="_([$€-2]* #,##0.00_);_([$€-2]* \(#,##0.00\);_([$€-2]* &quot;-&quot;??_)"/>
    <numFmt numFmtId="171" formatCode="#,##0.000_ ;[Red]\-#,##0.000\ "/>
    <numFmt numFmtId="172" formatCode="_-* #,##0.00_-;[Red]\(#,##0.00\)_-;_-* &quot;-&quot;??_-;_-@_-"/>
    <numFmt numFmtId="173" formatCode="mm/dd/yy"/>
    <numFmt numFmtId="174" formatCode="0_);[Red]\(0\)"/>
    <numFmt numFmtId="175" formatCode="0.0%"/>
    <numFmt numFmtId="176" formatCode="_(* #,##0.0_);_(* \(#,##0.0\);_(* &quot;-&quot;?_);_(@_)"/>
    <numFmt numFmtId="177" formatCode="_(* #,##0_);_(* \(#,##0\);_(* &quot;-&quot;?_);_(@_)"/>
    <numFmt numFmtId="178" formatCode="#,##0.0_);\(#,##0.0\)"/>
    <numFmt numFmtId="179" formatCode="#,##0_ ;\-#,##0\ "/>
    <numFmt numFmtId="180" formatCode="#,##0;[Red]\(#,##0.0\)"/>
    <numFmt numFmtId="181" formatCode="#,##0_ ;[Red]\(#,##0\)\ "/>
    <numFmt numFmtId="182" formatCode="#,##0.00;\(#,##0.00\)"/>
    <numFmt numFmtId="183" formatCode="_)d\-mmm\-yy_)"/>
    <numFmt numFmtId="184" formatCode="_(#,##0.0_);\(#,##0.0\);_(&quot;-&quot;_)"/>
    <numFmt numFmtId="185" formatCode="_(###0_);\(###0\);_(###0_)"/>
    <numFmt numFmtId="186" formatCode="#,##0.0000_);[Red]\(#,##0.0000\)"/>
    <numFmt numFmtId="187" formatCode="&quot;$&quot;#,##0"/>
    <numFmt numFmtId="188" formatCode="#,##0.000000"/>
    <numFmt numFmtId="189" formatCode="0.000%"/>
    <numFmt numFmtId="190" formatCode="&quot;$&quot;#,##0.0"/>
    <numFmt numFmtId="191" formatCode="_-* #,##0_-;[Red]\(#,##0\)_-;_-* &quot;-&quot;??_-;_-@_-"/>
    <numFmt numFmtId="192" formatCode="_-* #,##0_-;\-* #,##0_-;_-* &quot;-&quot;??_-;_-@_-"/>
    <numFmt numFmtId="193" formatCode="[$-C09]d\ mmmm\ yyyy;@"/>
    <numFmt numFmtId="194" formatCode="&quot;$&quot;#,##0.00"/>
    <numFmt numFmtId="195" formatCode="mmm\ yyyy"/>
  </numFmts>
  <fonts count="108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9"/>
      <name val="Arial"/>
      <family val="2"/>
    </font>
    <font>
      <b/>
      <sz val="12"/>
      <name val="Arial"/>
      <family val="2"/>
    </font>
    <font>
      <sz val="10"/>
      <name val="Helv"/>
      <charset val="204"/>
    </font>
    <font>
      <sz val="14"/>
      <name val="System"/>
      <family val="2"/>
    </font>
    <font>
      <b/>
      <sz val="12"/>
      <color theme="0"/>
      <name val="Calibri"/>
      <family val="2"/>
      <scheme val="minor"/>
    </font>
    <font>
      <sz val="8"/>
      <name val="Arial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sz val="9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9"/>
      <color indexed="9"/>
      <name val="Arial"/>
      <family val="2"/>
    </font>
    <font>
      <b/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b/>
      <sz val="20"/>
      <color theme="0"/>
      <name val="Arial"/>
      <family val="2"/>
    </font>
    <font>
      <b/>
      <sz val="16"/>
      <color indexed="9"/>
      <name val="Calibri"/>
      <family val="2"/>
      <scheme val="minor"/>
    </font>
    <font>
      <sz val="14"/>
      <color indexed="9"/>
      <name val="Calibri"/>
      <family val="2"/>
      <scheme val="minor"/>
    </font>
    <font>
      <sz val="16"/>
      <name val="Arial Black"/>
      <family val="2"/>
    </font>
    <font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b/>
      <sz val="20"/>
      <color rgb="FF002060"/>
      <name val="Arial"/>
      <family val="2"/>
    </font>
    <font>
      <sz val="14"/>
      <color rgb="FF0070C0"/>
      <name val="Arial"/>
      <family val="2"/>
    </font>
    <font>
      <sz val="10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2"/>
      <color theme="1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theme="0" tint="-0.1499679555650502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ashed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A6A6A6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indexed="64"/>
      </left>
      <right style="medium">
        <color auto="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</borders>
  <cellStyleXfs count="649">
    <xf numFmtId="0" fontId="0" fillId="0" borderId="0"/>
    <xf numFmtId="0" fontId="27" fillId="34" borderId="0"/>
    <xf numFmtId="167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9" applyNumberFormat="0" applyAlignment="0" applyProtection="0"/>
    <xf numFmtId="0" fontId="18" fillId="6" borderId="10" applyNumberFormat="0" applyAlignment="0" applyProtection="0"/>
    <xf numFmtId="0" fontId="19" fillId="6" borderId="9" applyNumberFormat="0" applyAlignment="0" applyProtection="0"/>
    <xf numFmtId="0" fontId="20" fillId="0" borderId="11" applyNumberFormat="0" applyFill="0" applyAlignment="0" applyProtection="0"/>
    <xf numFmtId="0" fontId="21" fillId="7" borderId="12" applyNumberFormat="0" applyAlignment="0" applyProtection="0"/>
    <xf numFmtId="0" fontId="22" fillId="0" borderId="0" applyNumberFormat="0" applyFill="0" applyBorder="0" applyAlignment="0" applyProtection="0"/>
    <xf numFmtId="0" fontId="9" fillId="8" borderId="13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5" fillId="32" borderId="0" applyNumberFormat="0" applyBorder="0" applyAlignment="0" applyProtection="0"/>
    <xf numFmtId="0" fontId="28" fillId="36" borderId="0"/>
    <xf numFmtId="0" fontId="28" fillId="35" borderId="0"/>
    <xf numFmtId="0" fontId="26" fillId="33" borderId="0"/>
    <xf numFmtId="2" fontId="26" fillId="37" borderId="0"/>
    <xf numFmtId="2" fontId="26" fillId="38" borderId="0"/>
    <xf numFmtId="2" fontId="26" fillId="39" borderId="0"/>
    <xf numFmtId="2" fontId="26" fillId="40" borderId="0"/>
    <xf numFmtId="0" fontId="29" fillId="0" borderId="0"/>
    <xf numFmtId="9" fontId="29" fillId="0" borderId="0" applyFont="0" applyFill="0" applyBorder="0" applyAlignment="0" applyProtection="0"/>
    <xf numFmtId="0" fontId="5" fillId="0" borderId="0"/>
    <xf numFmtId="0" fontId="26" fillId="0" borderId="0"/>
    <xf numFmtId="43" fontId="5" fillId="0" borderId="0" applyFont="0" applyFill="0" applyBorder="0" applyAlignment="0" applyProtection="0"/>
    <xf numFmtId="0" fontId="4" fillId="0" borderId="0"/>
    <xf numFmtId="0" fontId="29" fillId="0" borderId="0"/>
    <xf numFmtId="170" fontId="29" fillId="0" borderId="0"/>
    <xf numFmtId="170" fontId="29" fillId="0" borderId="0"/>
    <xf numFmtId="0" fontId="37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29" fillId="0" borderId="0"/>
    <xf numFmtId="0" fontId="29" fillId="0" borderId="0"/>
    <xf numFmtId="0" fontId="29" fillId="0" borderId="0" applyFill="0"/>
    <xf numFmtId="0" fontId="29" fillId="0" borderId="0"/>
    <xf numFmtId="0" fontId="29" fillId="0" borderId="0"/>
    <xf numFmtId="0" fontId="29" fillId="0" borderId="0"/>
    <xf numFmtId="0" fontId="29" fillId="0" borderId="0"/>
    <xf numFmtId="172" fontId="40" fillId="0" borderId="0"/>
    <xf numFmtId="172" fontId="40" fillId="0" borderId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41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3" borderId="0" applyNumberFormat="0" applyBorder="0" applyAlignment="0" applyProtection="0"/>
    <xf numFmtId="0" fontId="41" fillId="54" borderId="0" applyNumberFormat="0" applyBorder="0" applyAlignment="0" applyProtection="0"/>
    <xf numFmtId="0" fontId="41" fillId="49" borderId="0" applyNumberFormat="0" applyBorder="0" applyAlignment="0" applyProtection="0"/>
    <xf numFmtId="0" fontId="41" fillId="50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41" fillId="60" borderId="0" applyNumberFormat="0" applyBorder="0" applyAlignment="0" applyProtection="0"/>
    <xf numFmtId="0" fontId="41" fillId="61" borderId="0" applyNumberFormat="0" applyBorder="0" applyAlignment="0" applyProtection="0"/>
    <xf numFmtId="0" fontId="34" fillId="58" borderId="0" applyNumberFormat="0" applyBorder="0" applyAlignment="0" applyProtection="0"/>
    <xf numFmtId="0" fontId="34" fillId="62" borderId="0" applyNumberFormat="0" applyBorder="0" applyAlignment="0" applyProtection="0"/>
    <xf numFmtId="0" fontId="41" fillId="59" borderId="0" applyNumberFormat="0" applyBorder="0" applyAlignment="0" applyProtection="0"/>
    <xf numFmtId="0" fontId="41" fillId="63" borderId="0" applyNumberFormat="0" applyBorder="0" applyAlignment="0" applyProtection="0"/>
    <xf numFmtId="0" fontId="34" fillId="55" borderId="0" applyNumberFormat="0" applyBorder="0" applyAlignment="0" applyProtection="0"/>
    <xf numFmtId="0" fontId="34" fillId="59" borderId="0" applyNumberFormat="0" applyBorder="0" applyAlignment="0" applyProtection="0"/>
    <xf numFmtId="0" fontId="41" fillId="59" borderId="0" applyNumberFormat="0" applyBorder="0" applyAlignment="0" applyProtection="0"/>
    <xf numFmtId="0" fontId="41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55" borderId="0" applyNumberFormat="0" applyBorder="0" applyAlignment="0" applyProtection="0"/>
    <xf numFmtId="0" fontId="41" fillId="56" borderId="0" applyNumberFormat="0" applyBorder="0" applyAlignment="0" applyProtection="0"/>
    <xf numFmtId="0" fontId="41" fillId="57" borderId="0" applyNumberFormat="0" applyBorder="0" applyAlignment="0" applyProtection="0"/>
    <xf numFmtId="0" fontId="34" fillId="58" borderId="0" applyNumberFormat="0" applyBorder="0" applyAlignment="0" applyProtection="0"/>
    <xf numFmtId="0" fontId="34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2" fillId="0" borderId="0"/>
    <xf numFmtId="42" fontId="43" fillId="0" borderId="0" applyFont="0" applyFill="0" applyBorder="0" applyAlignment="0" applyProtection="0"/>
    <xf numFmtId="0" fontId="44" fillId="68" borderId="0" applyNumberFormat="0" applyBorder="0" applyAlignment="0" applyProtection="0"/>
    <xf numFmtId="0" fontId="45" fillId="0" borderId="0" applyNumberFormat="0" applyFill="0" applyBorder="0" applyAlignment="0"/>
    <xf numFmtId="165" fontId="29" fillId="41" borderId="0" applyNumberFormat="0" applyFont="0" applyBorder="0" applyAlignment="0">
      <alignment horizontal="right"/>
    </xf>
    <xf numFmtId="165" fontId="29" fillId="41" borderId="0" applyNumberFormat="0" applyFont="0" applyBorder="0" applyAlignment="0">
      <alignment horizontal="right"/>
    </xf>
    <xf numFmtId="0" fontId="46" fillId="0" borderId="0" applyNumberFormat="0" applyFill="0" applyBorder="0" applyAlignment="0">
      <protection locked="0"/>
    </xf>
    <xf numFmtId="0" fontId="47" fillId="52" borderId="19" applyNumberFormat="0" applyAlignment="0" applyProtection="0"/>
    <xf numFmtId="0" fontId="48" fillId="69" borderId="20" applyNumberFormat="0" applyAlignment="0" applyProtection="0"/>
    <xf numFmtId="41" fontId="2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3" fontId="5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170" fontId="34" fillId="0" borderId="0" applyFont="0" applyFill="0" applyBorder="0" applyAlignment="0" applyProtection="0"/>
    <xf numFmtId="0" fontId="52" fillId="0" borderId="0" applyNumberForma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53" fillId="0" borderId="0"/>
    <xf numFmtId="0" fontId="54" fillId="0" borderId="0"/>
    <xf numFmtId="0" fontId="55" fillId="73" borderId="0" applyNumberFormat="0" applyBorder="0" applyAlignment="0" applyProtection="0"/>
    <xf numFmtId="0" fontId="31" fillId="0" borderId="0" applyFill="0" applyBorder="0">
      <alignment vertical="center"/>
    </xf>
    <xf numFmtId="0" fontId="56" fillId="0" borderId="21" applyNumberFormat="0" applyFill="0" applyAlignment="0" applyProtection="0"/>
    <xf numFmtId="0" fontId="31" fillId="0" borderId="0" applyFill="0" applyBorder="0">
      <alignment vertical="center"/>
    </xf>
    <xf numFmtId="0" fontId="57" fillId="0" borderId="0" applyFill="0" applyBorder="0">
      <alignment vertical="center"/>
    </xf>
    <xf numFmtId="0" fontId="58" fillId="0" borderId="22" applyNumberFormat="0" applyFill="0" applyAlignment="0" applyProtection="0"/>
    <xf numFmtId="0" fontId="57" fillId="0" borderId="0" applyFill="0" applyBorder="0">
      <alignment vertical="center"/>
    </xf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0" borderId="0" applyFill="0" applyBorder="0">
      <alignment vertical="center"/>
    </xf>
    <xf numFmtId="0" fontId="60" fillId="0" borderId="0" applyFill="0" applyBorder="0">
      <alignment vertical="center"/>
    </xf>
    <xf numFmtId="0" fontId="40" fillId="0" borderId="0" applyFill="0" applyBorder="0">
      <alignment vertical="center"/>
    </xf>
    <xf numFmtId="0" fontId="59" fillId="0" borderId="0" applyNumberFormat="0" applyFill="0" applyBorder="0" applyAlignment="0" applyProtection="0"/>
    <xf numFmtId="0" fontId="40" fillId="0" borderId="0" applyFill="0" applyBorder="0">
      <alignment vertical="center"/>
    </xf>
    <xf numFmtId="175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Fill="0" applyBorder="0">
      <alignment horizontal="center" vertical="center"/>
      <protection locked="0"/>
    </xf>
    <xf numFmtId="0" fontId="64" fillId="0" borderId="0" applyFill="0" applyBorder="0">
      <alignment horizontal="left" vertical="center"/>
      <protection locked="0"/>
    </xf>
    <xf numFmtId="176" fontId="29" fillId="74" borderId="0" applyFont="0" applyBorder="0">
      <alignment horizontal="right"/>
    </xf>
    <xf numFmtId="0" fontId="65" fillId="50" borderId="19" applyNumberFormat="0" applyAlignment="0" applyProtection="0"/>
    <xf numFmtId="165" fontId="29" fillId="75" borderId="0" applyFont="0" applyBorder="0" applyAlignment="0">
      <alignment horizontal="right"/>
      <protection locked="0"/>
    </xf>
    <xf numFmtId="165" fontId="29" fillId="75" borderId="0" applyFont="0" applyBorder="0" applyAlignment="0">
      <alignment horizontal="right"/>
      <protection locked="0"/>
    </xf>
    <xf numFmtId="165" fontId="29" fillId="76" borderId="0" applyFont="0" applyBorder="0" applyAlignment="0">
      <alignment horizontal="right"/>
      <protection locked="0"/>
    </xf>
    <xf numFmtId="177" fontId="29" fillId="77" borderId="0" applyFont="0" applyBorder="0">
      <alignment horizontal="right"/>
      <protection locked="0"/>
    </xf>
    <xf numFmtId="177" fontId="29" fillId="77" borderId="0" applyFont="0" applyBorder="0">
      <alignment horizontal="right"/>
      <protection locked="0"/>
    </xf>
    <xf numFmtId="165" fontId="29" fillId="74" borderId="0" applyFont="0" applyBorder="0">
      <alignment horizontal="right"/>
      <protection locked="0"/>
    </xf>
    <xf numFmtId="165" fontId="29" fillId="74" borderId="0" applyFont="0" applyBorder="0">
      <alignment horizontal="right"/>
      <protection locked="0"/>
    </xf>
    <xf numFmtId="0" fontId="40" fillId="41" borderId="0"/>
    <xf numFmtId="0" fontId="66" fillId="0" borderId="24" applyNumberFormat="0" applyFill="0" applyAlignment="0" applyProtection="0"/>
    <xf numFmtId="178" fontId="67" fillId="0" borderId="0"/>
    <xf numFmtId="0" fontId="36" fillId="0" borderId="0" applyFill="0" applyBorder="0">
      <alignment horizontal="left" vertical="center"/>
    </xf>
    <xf numFmtId="0" fontId="68" fillId="53" borderId="0" applyNumberFormat="0" applyBorder="0" applyAlignment="0" applyProtection="0"/>
    <xf numFmtId="179" fontId="6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2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43" fillId="0" borderId="0"/>
    <xf numFmtId="0" fontId="29" fillId="42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51" borderId="25" applyNumberFormat="0" applyFont="0" applyAlignment="0" applyProtection="0"/>
    <xf numFmtId="0" fontId="70" fillId="52" borderId="26" applyNumberFormat="0" applyAlignment="0" applyProtection="0"/>
    <xf numFmtId="180" fontId="29" fillId="0" borderId="0" applyFill="0" applyBorder="0"/>
    <xf numFmtId="180" fontId="29" fillId="0" borderId="0" applyFill="0" applyBorder="0"/>
    <xf numFmtId="180" fontId="29" fillId="0" borderId="0" applyFill="0" applyBorder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5" fontId="71" fillId="0" borderId="0"/>
    <xf numFmtId="0" fontId="60" fillId="0" borderId="0" applyFill="0" applyBorder="0">
      <alignment vertical="center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181" fontId="72" fillId="0" borderId="2"/>
    <xf numFmtId="0" fontId="73" fillId="0" borderId="16">
      <alignment horizontal="center"/>
    </xf>
    <xf numFmtId="3" fontId="49" fillId="0" borderId="0" applyFont="0" applyFill="0" applyBorder="0" applyAlignment="0" applyProtection="0"/>
    <xf numFmtId="0" fontId="49" fillId="78" borderId="0" applyNumberFormat="0" applyFont="0" applyBorder="0" applyAlignment="0" applyProtection="0"/>
    <xf numFmtId="182" fontId="29" fillId="0" borderId="0"/>
    <xf numFmtId="182" fontId="29" fillId="0" borderId="0"/>
    <xf numFmtId="182" fontId="29" fillId="0" borderId="0"/>
    <xf numFmtId="183" fontId="40" fillId="0" borderId="0" applyFill="0" applyBorder="0">
      <alignment horizontal="right" vertical="center"/>
    </xf>
    <xf numFmtId="184" fontId="40" fillId="0" borderId="0" applyFill="0" applyBorder="0">
      <alignment horizontal="right" vertical="center"/>
    </xf>
    <xf numFmtId="185" fontId="40" fillId="0" borderId="0" applyFill="0" applyBorder="0">
      <alignment horizontal="right" vertical="center"/>
    </xf>
    <xf numFmtId="0" fontId="29" fillId="51" borderId="0" applyNumberFormat="0" applyFont="0" applyBorder="0" applyAlignment="0" applyProtection="0"/>
    <xf numFmtId="0" fontId="29" fillId="51" borderId="0" applyNumberFormat="0" applyFont="0" applyBorder="0" applyAlignment="0" applyProtection="0"/>
    <xf numFmtId="0" fontId="29" fillId="52" borderId="0" applyNumberFormat="0" applyFont="0" applyBorder="0" applyAlignment="0" applyProtection="0"/>
    <xf numFmtId="0" fontId="29" fillId="52" borderId="0" applyNumberFormat="0" applyFont="0" applyBorder="0" applyAlignment="0" applyProtection="0"/>
    <xf numFmtId="0" fontId="29" fillId="54" borderId="0" applyNumberFormat="0" applyFont="0" applyBorder="0" applyAlignment="0" applyProtection="0"/>
    <xf numFmtId="0" fontId="29" fillId="54" borderId="0" applyNumberFormat="0" applyFon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54" borderId="0" applyNumberFormat="0" applyFont="0" applyBorder="0" applyAlignment="0" applyProtection="0"/>
    <xf numFmtId="0" fontId="29" fillId="54" borderId="0" applyNumberFormat="0" applyFon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Border="0" applyAlignment="0" applyProtection="0"/>
    <xf numFmtId="0" fontId="29" fillId="0" borderId="0" applyNumberFormat="0" applyFont="0" applyBorder="0" applyAlignment="0" applyProtection="0"/>
    <xf numFmtId="0" fontId="7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6" fillId="0" borderId="0"/>
    <xf numFmtId="0" fontId="75" fillId="0" borderId="0"/>
    <xf numFmtId="15" fontId="29" fillId="0" borderId="0"/>
    <xf numFmtId="15" fontId="29" fillId="0" borderId="0"/>
    <xf numFmtId="15" fontId="29" fillId="0" borderId="0"/>
    <xf numFmtId="10" fontId="29" fillId="0" borderId="0"/>
    <xf numFmtId="10" fontId="29" fillId="0" borderId="0"/>
    <xf numFmtId="10" fontId="29" fillId="0" borderId="0"/>
    <xf numFmtId="0" fontId="76" fillId="46" borderId="5" applyBorder="0" applyProtection="0">
      <alignment horizontal="centerContinuous" vertical="center"/>
    </xf>
    <xf numFmtId="0" fontId="77" fillId="0" borderId="0" applyBorder="0" applyProtection="0">
      <alignment vertical="center"/>
    </xf>
    <xf numFmtId="0" fontId="78" fillId="0" borderId="0">
      <alignment horizontal="left"/>
    </xf>
    <xf numFmtId="0" fontId="78" fillId="0" borderId="4" applyFill="0" applyBorder="0" applyProtection="0">
      <alignment horizontal="left" vertical="top"/>
    </xf>
    <xf numFmtId="49" fontId="29" fillId="0" borderId="0" applyFont="0" applyFill="0" applyBorder="0" applyAlignment="0" applyProtection="0"/>
    <xf numFmtId="0" fontId="79" fillId="0" borderId="0"/>
    <xf numFmtId="49" fontId="29" fillId="0" borderId="0" applyFont="0" applyFill="0" applyBorder="0" applyAlignment="0" applyProtection="0"/>
    <xf numFmtId="0" fontId="80" fillId="0" borderId="0"/>
    <xf numFmtId="0" fontId="80" fillId="0" borderId="0"/>
    <xf numFmtId="0" fontId="79" fillId="0" borderId="0"/>
    <xf numFmtId="178" fontId="81" fillId="0" borderId="0"/>
    <xf numFmtId="0" fontId="74" fillId="0" borderId="0" applyNumberFormat="0" applyFill="0" applyBorder="0" applyAlignment="0" applyProtection="0"/>
    <xf numFmtId="0" fontId="82" fillId="0" borderId="0" applyFill="0" applyBorder="0">
      <alignment horizontal="left" vertical="center"/>
      <protection locked="0"/>
    </xf>
    <xf numFmtId="0" fontId="79" fillId="0" borderId="0"/>
    <xf numFmtId="0" fontId="83" fillId="0" borderId="0" applyFill="0" applyBorder="0">
      <alignment horizontal="left" vertical="center"/>
      <protection locked="0"/>
    </xf>
    <xf numFmtId="0" fontId="30" fillId="0" borderId="27" applyNumberFormat="0" applyFill="0" applyAlignment="0" applyProtection="0"/>
    <xf numFmtId="0" fontId="84" fillId="0" borderId="0" applyNumberFormat="0" applyFill="0" applyBorder="0" applyAlignment="0" applyProtection="0"/>
    <xf numFmtId="186" fontId="29" fillId="0" borderId="5" applyBorder="0" applyProtection="0">
      <alignment horizontal="right"/>
    </xf>
    <xf numFmtId="186" fontId="29" fillId="0" borderId="5" applyBorder="0" applyProtection="0">
      <alignment horizontal="right"/>
    </xf>
    <xf numFmtId="186" fontId="29" fillId="0" borderId="5" applyBorder="0" applyProtection="0">
      <alignment horizontal="right"/>
    </xf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73" fillId="0" borderId="16">
      <alignment horizontal="center"/>
    </xf>
    <xf numFmtId="0" fontId="32" fillId="0" borderId="0"/>
    <xf numFmtId="0" fontId="32" fillId="0" borderId="0"/>
    <xf numFmtId="43" fontId="29" fillId="0" borderId="28"/>
    <xf numFmtId="43" fontId="29" fillId="0" borderId="28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29" fillId="0" borderId="0"/>
    <xf numFmtId="0" fontId="4" fillId="0" borderId="0"/>
    <xf numFmtId="170" fontId="29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165" fontId="29" fillId="41" borderId="0" applyNumberFormat="0" applyFont="0" applyBorder="0" applyAlignment="0">
      <alignment horizontal="right"/>
    </xf>
    <xf numFmtId="0" fontId="47" fillId="52" borderId="19" applyNumberFormat="0" applyAlignment="0" applyProtection="0"/>
    <xf numFmtId="0" fontId="47" fillId="52" borderId="19" applyNumberFormat="0" applyAlignment="0" applyProtection="0"/>
    <xf numFmtId="0" fontId="48" fillId="69" borderId="20" applyNumberFormat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176" fontId="29" fillId="74" borderId="0" applyFont="0" applyBorder="0">
      <alignment horizontal="right"/>
    </xf>
    <xf numFmtId="175" fontId="29" fillId="74" borderId="0" applyFont="0" applyBorder="0" applyAlignment="0"/>
    <xf numFmtId="0" fontId="65" fillId="50" borderId="19" applyNumberFormat="0" applyAlignment="0" applyProtection="0"/>
    <xf numFmtId="0" fontId="65" fillId="50" borderId="19" applyNumberFormat="0" applyAlignment="0" applyProtection="0"/>
    <xf numFmtId="165" fontId="29" fillId="75" borderId="0" applyFont="0" applyBorder="0" applyAlignment="0">
      <alignment horizontal="right"/>
      <protection locked="0"/>
    </xf>
    <xf numFmtId="165" fontId="29" fillId="75" borderId="0" applyFont="0" applyBorder="0" applyAlignment="0">
      <alignment horizontal="right"/>
      <protection locked="0"/>
    </xf>
    <xf numFmtId="165" fontId="29" fillId="75" borderId="0" applyFont="0" applyBorder="0" applyAlignment="0">
      <alignment horizontal="right"/>
      <protection locked="0"/>
    </xf>
    <xf numFmtId="165" fontId="29" fillId="75" borderId="0" applyFont="0" applyBorder="0" applyAlignment="0">
      <alignment horizontal="right"/>
      <protection locked="0"/>
    </xf>
    <xf numFmtId="165" fontId="29" fillId="76" borderId="0" applyFont="0" applyBorder="0" applyAlignment="0">
      <alignment horizontal="right"/>
      <protection locked="0"/>
    </xf>
    <xf numFmtId="10" fontId="29" fillId="76" borderId="0" applyFont="0" applyBorder="0">
      <alignment horizontal="right"/>
      <protection locked="0"/>
    </xf>
    <xf numFmtId="3" fontId="29" fillId="79" borderId="0" applyFont="0" applyBorder="0">
      <protection locked="0"/>
    </xf>
    <xf numFmtId="175" fontId="57" fillId="79" borderId="0" applyBorder="0" applyAlignment="0">
      <protection locked="0"/>
    </xf>
    <xf numFmtId="177" fontId="29" fillId="77" borderId="0" applyFont="0" applyBorder="0">
      <alignment horizontal="right"/>
      <protection locked="0"/>
    </xf>
    <xf numFmtId="165" fontId="29" fillId="74" borderId="0" applyFont="0" applyBorder="0">
      <alignment horizontal="right"/>
      <protection locked="0"/>
    </xf>
    <xf numFmtId="171" fontId="4" fillId="43" borderId="18">
      <protection locked="0"/>
    </xf>
    <xf numFmtId="171" fontId="4" fillId="43" borderId="18">
      <protection locked="0"/>
    </xf>
    <xf numFmtId="171" fontId="4" fillId="43" borderId="18">
      <protection locked="0"/>
    </xf>
    <xf numFmtId="49" fontId="4" fillId="43" borderId="18" applyFont="0" applyAlignment="0">
      <alignment horizontal="left" vertical="center" wrapText="1"/>
      <protection locked="0"/>
    </xf>
    <xf numFmtId="49" fontId="4" fillId="43" borderId="18" applyFont="0" applyAlignment="0">
      <alignment horizontal="left" vertical="center" wrapText="1"/>
      <protection locked="0"/>
    </xf>
    <xf numFmtId="49" fontId="4" fillId="43" borderId="18" applyFont="0" applyAlignment="0">
      <alignment horizontal="left" vertical="center" wrapText="1"/>
      <protection locked="0"/>
    </xf>
    <xf numFmtId="175" fontId="88" fillId="80" borderId="0" applyBorder="0" applyAlignment="0"/>
    <xf numFmtId="176" fontId="85" fillId="41" borderId="15" applyFont="0" applyBorder="0" applyAlignment="0"/>
    <xf numFmtId="175" fontId="57" fillId="41" borderId="0" applyFont="0" applyBorder="0" applyAlignment="0"/>
    <xf numFmtId="171" fontId="4" fillId="48" borderId="18"/>
    <xf numFmtId="171" fontId="4" fillId="48" borderId="18"/>
    <xf numFmtId="171" fontId="4" fillId="48" borderId="18"/>
    <xf numFmtId="0" fontId="29" fillId="0" borderId="0"/>
    <xf numFmtId="0" fontId="29" fillId="42" borderId="0"/>
    <xf numFmtId="0" fontId="29" fillId="0" borderId="0"/>
    <xf numFmtId="0" fontId="29" fillId="42" borderId="0"/>
    <xf numFmtId="0" fontId="4" fillId="0" borderId="0"/>
    <xf numFmtId="0" fontId="29" fillId="0" borderId="0" applyFill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42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2" borderId="0"/>
    <xf numFmtId="0" fontId="29" fillId="42" borderId="0"/>
    <xf numFmtId="0" fontId="29" fillId="0" borderId="0"/>
    <xf numFmtId="0" fontId="29" fillId="42" borderId="0"/>
    <xf numFmtId="0" fontId="50" fillId="0" borderId="0"/>
    <xf numFmtId="0" fontId="34" fillId="0" borderId="0"/>
    <xf numFmtId="0" fontId="34" fillId="0" borderId="0"/>
    <xf numFmtId="0" fontId="29" fillId="0" borderId="0"/>
    <xf numFmtId="0" fontId="29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42" borderId="0"/>
    <xf numFmtId="0" fontId="29" fillId="42" borderId="0"/>
    <xf numFmtId="0" fontId="29" fillId="0" borderId="0"/>
    <xf numFmtId="0" fontId="29" fillId="42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" fillId="0" borderId="0">
      <protection locked="0"/>
    </xf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 applyFill="0"/>
    <xf numFmtId="0" fontId="29" fillId="0" borderId="0"/>
    <xf numFmtId="0" fontId="4" fillId="0" borderId="0"/>
    <xf numFmtId="0" fontId="34" fillId="0" borderId="0"/>
    <xf numFmtId="0" fontId="29" fillId="0" borderId="0"/>
    <xf numFmtId="0" fontId="29" fillId="42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51" borderId="25" applyNumberFormat="0" applyFont="0" applyAlignment="0" applyProtection="0"/>
    <xf numFmtId="0" fontId="29" fillId="51" borderId="25" applyNumberFormat="0" applyFont="0" applyAlignment="0" applyProtection="0"/>
    <xf numFmtId="0" fontId="29" fillId="51" borderId="25" applyNumberFormat="0" applyFont="0" applyAlignment="0" applyProtection="0"/>
    <xf numFmtId="0" fontId="29" fillId="51" borderId="25" applyNumberFormat="0" applyFont="0" applyAlignment="0" applyProtection="0"/>
    <xf numFmtId="0" fontId="29" fillId="51" borderId="25" applyNumberFormat="0" applyFont="0" applyAlignment="0" applyProtection="0"/>
    <xf numFmtId="0" fontId="29" fillId="51" borderId="25" applyNumberFormat="0" applyFont="0" applyAlignment="0" applyProtection="0"/>
    <xf numFmtId="0" fontId="29" fillId="51" borderId="25" applyNumberFormat="0" applyFont="0" applyAlignment="0" applyProtection="0"/>
    <xf numFmtId="0" fontId="29" fillId="51" borderId="25" applyNumberFormat="0" applyFont="0" applyAlignment="0" applyProtection="0"/>
    <xf numFmtId="0" fontId="70" fillId="52" borderId="26" applyNumberFormat="0" applyAlignment="0" applyProtection="0"/>
    <xf numFmtId="0" fontId="70" fillId="52" borderId="2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3" fillId="0" borderId="16">
      <alignment horizontal="center"/>
    </xf>
    <xf numFmtId="0" fontId="73" fillId="0" borderId="16">
      <alignment horizontal="center"/>
    </xf>
    <xf numFmtId="0" fontId="73" fillId="0" borderId="16">
      <alignment horizontal="center"/>
    </xf>
    <xf numFmtId="0" fontId="73" fillId="0" borderId="16">
      <alignment horizontal="center"/>
    </xf>
    <xf numFmtId="0" fontId="73" fillId="0" borderId="16">
      <alignment horizontal="center"/>
    </xf>
    <xf numFmtId="171" fontId="6" fillId="43" borderId="17">
      <alignment horizontal="right" indent="2"/>
      <protection locked="0"/>
    </xf>
    <xf numFmtId="0" fontId="35" fillId="81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45" borderId="0">
      <alignment horizontal="left" vertical="center"/>
      <protection locked="0"/>
    </xf>
    <xf numFmtId="0" fontId="39" fillId="44" borderId="0">
      <alignment vertical="center"/>
      <protection locked="0"/>
    </xf>
    <xf numFmtId="0" fontId="30" fillId="0" borderId="27" applyNumberFormat="0" applyFill="0" applyAlignment="0" applyProtection="0"/>
    <xf numFmtId="0" fontId="30" fillId="0" borderId="27" applyNumberFormat="0" applyFill="0" applyAlignment="0" applyProtection="0"/>
    <xf numFmtId="0" fontId="4" fillId="0" borderId="0"/>
    <xf numFmtId="0" fontId="73" fillId="0" borderId="29">
      <alignment horizontal="center"/>
    </xf>
    <xf numFmtId="0" fontId="73" fillId="0" borderId="29">
      <alignment horizontal="center"/>
    </xf>
    <xf numFmtId="0" fontId="73" fillId="0" borderId="29">
      <alignment horizontal="center"/>
    </xf>
    <xf numFmtId="0" fontId="73" fillId="0" borderId="29">
      <alignment horizontal="center"/>
    </xf>
    <xf numFmtId="0" fontId="73" fillId="0" borderId="29">
      <alignment horizontal="center"/>
    </xf>
    <xf numFmtId="0" fontId="73" fillId="0" borderId="29">
      <alignment horizontal="center"/>
    </xf>
    <xf numFmtId="0" fontId="73" fillId="0" borderId="29">
      <alignment horizontal="center"/>
    </xf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9" fontId="93" fillId="44" borderId="0">
      <alignment vertical="center"/>
    </xf>
    <xf numFmtId="0" fontId="28" fillId="44" borderId="33">
      <alignment vertical="center"/>
    </xf>
    <xf numFmtId="0" fontId="31" fillId="85" borderId="33" applyBorder="0" applyProtection="0">
      <alignment vertical="center"/>
    </xf>
    <xf numFmtId="0" fontId="99" fillId="86" borderId="44">
      <alignment horizontal="right" vertical="center" wrapText="1" indent="1"/>
    </xf>
    <xf numFmtId="0" fontId="99" fillId="47" borderId="44">
      <alignment horizontal="right" vertical="center" wrapText="1" indent="1"/>
    </xf>
    <xf numFmtId="191" fontId="92" fillId="87" borderId="46" applyBorder="0">
      <alignment horizontal="right"/>
      <protection locked="0"/>
    </xf>
    <xf numFmtId="192" fontId="100" fillId="88" borderId="34" applyBorder="0">
      <alignment horizontal="right" vertical="center"/>
      <protection locked="0"/>
    </xf>
    <xf numFmtId="49" fontId="29" fillId="43" borderId="18" applyAlignment="0">
      <alignment horizontal="left" vertical="center" wrapText="1"/>
      <protection locked="0"/>
    </xf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201">
    <xf numFmtId="0" fontId="0" fillId="0" borderId="0" xfId="0"/>
    <xf numFmtId="0" fontId="6" fillId="0" borderId="0" xfId="0" applyFont="1"/>
    <xf numFmtId="0" fontId="26" fillId="33" borderId="0" xfId="50"/>
    <xf numFmtId="2" fontId="26" fillId="38" borderId="0" xfId="52"/>
    <xf numFmtId="2" fontId="26" fillId="39" borderId="0" xfId="53"/>
    <xf numFmtId="0" fontId="28" fillId="36" borderId="0" xfId="48"/>
    <xf numFmtId="0" fontId="27" fillId="34" borderId="0" xfId="1"/>
    <xf numFmtId="2" fontId="6" fillId="0" borderId="0" xfId="0" applyNumberFormat="1" applyFont="1"/>
    <xf numFmtId="10" fontId="26" fillId="38" borderId="0" xfId="52" applyNumberFormat="1"/>
    <xf numFmtId="10" fontId="26" fillId="39" borderId="0" xfId="53" applyNumberFormat="1"/>
    <xf numFmtId="0" fontId="0" fillId="33" borderId="0" xfId="50" applyFont="1"/>
    <xf numFmtId="4" fontId="26" fillId="37" borderId="0" xfId="51" applyNumberFormat="1"/>
    <xf numFmtId="4" fontId="6" fillId="0" borderId="0" xfId="0" applyNumberFormat="1" applyFont="1"/>
    <xf numFmtId="4" fontId="0" fillId="0" borderId="0" xfId="0" applyNumberFormat="1"/>
    <xf numFmtId="0" fontId="28" fillId="35" borderId="0" xfId="49"/>
    <xf numFmtId="10" fontId="26" fillId="40" borderId="0" xfId="54" applyNumberFormat="1"/>
    <xf numFmtId="3" fontId="26" fillId="37" borderId="0" xfId="51" applyNumberFormat="1"/>
    <xf numFmtId="0" fontId="28" fillId="35" borderId="0" xfId="49" applyAlignment="1">
      <alignment horizontal="center" wrapText="1"/>
    </xf>
    <xf numFmtId="0" fontId="28" fillId="35" borderId="0" xfId="49" applyAlignment="1">
      <alignment horizontal="center"/>
    </xf>
    <xf numFmtId="0" fontId="6" fillId="0" borderId="0" xfId="0" applyFont="1" applyAlignment="1">
      <alignment horizontal="center"/>
    </xf>
    <xf numFmtId="0" fontId="0" fillId="33" borderId="0" xfId="50" applyFont="1" applyAlignment="1">
      <alignment wrapText="1"/>
    </xf>
    <xf numFmtId="4" fontId="26" fillId="38" borderId="0" xfId="52" applyNumberFormat="1"/>
    <xf numFmtId="0" fontId="28" fillId="35" borderId="30" xfId="49" applyBorder="1"/>
    <xf numFmtId="0" fontId="26" fillId="33" borderId="31" xfId="50" applyBorder="1"/>
    <xf numFmtId="0" fontId="26" fillId="33" borderId="32" xfId="50" applyBorder="1"/>
    <xf numFmtId="0" fontId="28" fillId="35" borderId="33" xfId="49" applyBorder="1"/>
    <xf numFmtId="0" fontId="26" fillId="33" borderId="34" xfId="50" applyBorder="1"/>
    <xf numFmtId="0" fontId="26" fillId="33" borderId="35" xfId="50" applyBorder="1"/>
    <xf numFmtId="0" fontId="28" fillId="35" borderId="34" xfId="49" applyBorder="1" applyAlignment="1">
      <alignment horizontal="right"/>
    </xf>
    <xf numFmtId="0" fontId="8" fillId="0" borderId="0" xfId="0" applyFont="1"/>
    <xf numFmtId="0" fontId="29" fillId="0" borderId="0" xfId="440"/>
    <xf numFmtId="0" fontId="3" fillId="0" borderId="0" xfId="636"/>
    <xf numFmtId="49" fontId="89" fillId="82" borderId="0" xfId="636" applyNumberFormat="1" applyFont="1" applyFill="1" applyAlignment="1">
      <alignment wrapText="1"/>
    </xf>
    <xf numFmtId="0" fontId="90" fillId="0" borderId="0" xfId="636" applyFont="1" applyAlignment="1">
      <alignment wrapText="1"/>
    </xf>
    <xf numFmtId="3" fontId="6" fillId="0" borderId="0" xfId="0" applyNumberFormat="1" applyFont="1"/>
    <xf numFmtId="0" fontId="26" fillId="33" borderId="0" xfId="50" applyAlignment="1">
      <alignment horizontal="center"/>
    </xf>
    <xf numFmtId="4" fontId="26" fillId="33" borderId="0" xfId="50" applyNumberFormat="1"/>
    <xf numFmtId="0" fontId="6" fillId="0" borderId="0" xfId="0" applyFont="1" applyAlignment="1">
      <alignment horizontal="left"/>
    </xf>
    <xf numFmtId="0" fontId="27" fillId="34" borderId="0" xfId="1" applyAlignment="1">
      <alignment horizontal="center"/>
    </xf>
    <xf numFmtId="0" fontId="28" fillId="36" borderId="0" xfId="48" applyAlignment="1">
      <alignment horizontal="center"/>
    </xf>
    <xf numFmtId="3" fontId="26" fillId="38" borderId="0" xfId="52" applyNumberFormat="1"/>
    <xf numFmtId="3" fontId="26" fillId="38" borderId="3" xfId="52" applyNumberFormat="1" applyBorder="1"/>
    <xf numFmtId="0" fontId="28" fillId="35" borderId="0" xfId="49" applyAlignment="1">
      <alignment horizontal="right"/>
    </xf>
    <xf numFmtId="0" fontId="6" fillId="0" borderId="0" xfId="0" applyFont="1" applyAlignment="1">
      <alignment horizontal="right"/>
    </xf>
    <xf numFmtId="10" fontId="26" fillId="38" borderId="0" xfId="52" applyNumberFormat="1" applyAlignment="1">
      <alignment horizontal="center"/>
    </xf>
    <xf numFmtId="3" fontId="0" fillId="0" borderId="0" xfId="0" applyNumberFormat="1"/>
    <xf numFmtId="2" fontId="26" fillId="39" borderId="0" xfId="53" applyAlignment="1">
      <alignment horizontal="center"/>
    </xf>
    <xf numFmtId="1" fontId="26" fillId="39" borderId="0" xfId="53" applyNumberFormat="1" applyAlignment="1">
      <alignment horizontal="center"/>
    </xf>
    <xf numFmtId="169" fontId="6" fillId="0" borderId="0" xfId="0" applyNumberFormat="1" applyFont="1"/>
    <xf numFmtId="0" fontId="8" fillId="0" borderId="1" xfId="0" applyFont="1" applyBorder="1"/>
    <xf numFmtId="0" fontId="26" fillId="33" borderId="3" xfId="50" applyBorder="1"/>
    <xf numFmtId="0" fontId="26" fillId="33" borderId="3" xfId="50" applyBorder="1" applyAlignment="1">
      <alignment horizontal="center"/>
    </xf>
    <xf numFmtId="0" fontId="91" fillId="33" borderId="3" xfId="50" applyFont="1" applyBorder="1"/>
    <xf numFmtId="0" fontId="91" fillId="33" borderId="3" xfId="50" applyFont="1" applyBorder="1" applyAlignment="1">
      <alignment horizontal="center"/>
    </xf>
    <xf numFmtId="4" fontId="91" fillId="38" borderId="3" xfId="52" applyNumberFormat="1" applyFont="1" applyBorder="1"/>
    <xf numFmtId="187" fontId="26" fillId="40" borderId="0" xfId="54" applyNumberFormat="1"/>
    <xf numFmtId="187" fontId="91" fillId="40" borderId="3" xfId="54" applyNumberFormat="1" applyFont="1" applyBorder="1"/>
    <xf numFmtId="3" fontId="26" fillId="40" borderId="0" xfId="54" applyNumberFormat="1"/>
    <xf numFmtId="3" fontId="91" fillId="40" borderId="3" xfId="54" applyNumberFormat="1" applyFont="1" applyBorder="1"/>
    <xf numFmtId="3" fontId="91" fillId="38" borderId="3" xfId="52" applyNumberFormat="1" applyFont="1" applyBorder="1"/>
    <xf numFmtId="10" fontId="26" fillId="38" borderId="0" xfId="634" applyNumberFormat="1" applyFont="1" applyFill="1"/>
    <xf numFmtId="2" fontId="26" fillId="37" borderId="0" xfId="51"/>
    <xf numFmtId="0" fontId="28" fillId="35" borderId="36" xfId="49" applyBorder="1"/>
    <xf numFmtId="0" fontId="28" fillId="35" borderId="37" xfId="49" applyBorder="1"/>
    <xf numFmtId="10" fontId="26" fillId="37" borderId="0" xfId="634" applyNumberFormat="1" applyFont="1" applyFill="1"/>
    <xf numFmtId="0" fontId="28" fillId="35" borderId="0" xfId="49" applyAlignment="1">
      <alignment wrapText="1"/>
    </xf>
    <xf numFmtId="0" fontId="28" fillId="35" borderId="0" xfId="49" quotePrefix="1" applyAlignment="1">
      <alignment wrapText="1"/>
    </xf>
    <xf numFmtId="0" fontId="26" fillId="33" borderId="38" xfId="50" applyBorder="1"/>
    <xf numFmtId="0" fontId="26" fillId="33" borderId="39" xfId="50" applyBorder="1"/>
    <xf numFmtId="0" fontId="26" fillId="33" borderId="40" xfId="50" applyBorder="1"/>
    <xf numFmtId="0" fontId="26" fillId="33" borderId="41" xfId="50" applyBorder="1"/>
    <xf numFmtId="3" fontId="26" fillId="38" borderId="0" xfId="52" applyNumberFormat="1" applyAlignment="1">
      <alignment horizontal="center"/>
    </xf>
    <xf numFmtId="9" fontId="26" fillId="38" borderId="0" xfId="634" applyFont="1" applyFill="1" applyAlignment="1">
      <alignment horizontal="center"/>
    </xf>
    <xf numFmtId="10" fontId="26" fillId="38" borderId="0" xfId="52" applyNumberFormat="1" applyAlignment="1">
      <alignment horizontal="right"/>
    </xf>
    <xf numFmtId="188" fontId="0" fillId="0" borderId="0" xfId="0" applyNumberFormat="1"/>
    <xf numFmtId="0" fontId="28" fillId="36" borderId="0" xfId="48" applyAlignment="1">
      <alignment horizontal="left"/>
    </xf>
    <xf numFmtId="1" fontId="26" fillId="39" borderId="0" xfId="53" applyNumberFormat="1"/>
    <xf numFmtId="0" fontId="26" fillId="33" borderId="0" xfId="50" applyAlignment="1">
      <alignment horizontal="left"/>
    </xf>
    <xf numFmtId="0" fontId="28" fillId="35" borderId="0" xfId="49" applyAlignment="1">
      <alignment horizontal="center" vertical="center" wrapText="1"/>
    </xf>
    <xf numFmtId="10" fontId="26" fillId="38" borderId="0" xfId="634" applyNumberFormat="1" applyFont="1" applyFill="1" applyBorder="1"/>
    <xf numFmtId="10" fontId="6" fillId="0" borderId="0" xfId="634" applyNumberFormat="1" applyFont="1"/>
    <xf numFmtId="187" fontId="0" fillId="0" borderId="0" xfId="0" applyNumberFormat="1"/>
    <xf numFmtId="10" fontId="0" fillId="0" borderId="0" xfId="0" applyNumberFormat="1"/>
    <xf numFmtId="168" fontId="6" fillId="0" borderId="0" xfId="0" applyNumberFormat="1" applyFont="1"/>
    <xf numFmtId="9" fontId="0" fillId="0" borderId="0" xfId="634" applyFont="1"/>
    <xf numFmtId="0" fontId="26" fillId="33" borderId="36" xfId="50" applyBorder="1"/>
    <xf numFmtId="0" fontId="26" fillId="33" borderId="42" xfId="50" applyBorder="1"/>
    <xf numFmtId="0" fontId="26" fillId="33" borderId="37" xfId="50" applyBorder="1"/>
    <xf numFmtId="0" fontId="6" fillId="0" borderId="38" xfId="0" applyFont="1" applyBorder="1"/>
    <xf numFmtId="0" fontId="6" fillId="0" borderId="39" xfId="0" applyFont="1" applyBorder="1"/>
    <xf numFmtId="0" fontId="28" fillId="35" borderId="38" xfId="49" applyBorder="1"/>
    <xf numFmtId="0" fontId="28" fillId="35" borderId="39" xfId="49" applyBorder="1"/>
    <xf numFmtId="10" fontId="6" fillId="0" borderId="0" xfId="634" applyNumberFormat="1" applyFont="1" applyBorder="1"/>
    <xf numFmtId="10" fontId="26" fillId="38" borderId="39" xfId="634" applyNumberFormat="1" applyFont="1" applyFill="1" applyBorder="1"/>
    <xf numFmtId="10" fontId="26" fillId="38" borderId="41" xfId="634" applyNumberFormat="1" applyFont="1" applyFill="1" applyBorder="1"/>
    <xf numFmtId="2" fontId="26" fillId="39" borderId="31" xfId="53" applyBorder="1"/>
    <xf numFmtId="10" fontId="26" fillId="38" borderId="3" xfId="52" applyNumberFormat="1" applyBorder="1"/>
    <xf numFmtId="190" fontId="0" fillId="0" borderId="0" xfId="0" applyNumberFormat="1"/>
    <xf numFmtId="0" fontId="91" fillId="33" borderId="0" xfId="50" applyFont="1"/>
    <xf numFmtId="4" fontId="91" fillId="38" borderId="0" xfId="52" applyNumberFormat="1" applyFont="1"/>
    <xf numFmtId="189" fontId="26" fillId="38" borderId="0" xfId="52" applyNumberFormat="1" applyAlignment="1">
      <alignment horizontal="center"/>
    </xf>
    <xf numFmtId="190" fontId="26" fillId="40" borderId="0" xfId="54" applyNumberFormat="1"/>
    <xf numFmtId="190" fontId="26" fillId="37" borderId="0" xfId="635" applyNumberFormat="1" applyFont="1" applyFill="1" applyAlignment="1">
      <alignment horizontal="center"/>
    </xf>
    <xf numFmtId="0" fontId="92" fillId="83" borderId="0" xfId="0" applyFont="1" applyFill="1"/>
    <xf numFmtId="0" fontId="94" fillId="44" borderId="0" xfId="638" quotePrefix="1" applyNumberFormat="1" applyFont="1">
      <alignment vertical="center"/>
    </xf>
    <xf numFmtId="0" fontId="95" fillId="46" borderId="0" xfId="0" applyFont="1" applyFill="1"/>
    <xf numFmtId="49" fontId="94" fillId="44" borderId="0" xfId="638" applyFont="1">
      <alignment vertical="center"/>
    </xf>
    <xf numFmtId="0" fontId="94" fillId="44" borderId="0" xfId="638" applyNumberFormat="1" applyFont="1" applyAlignment="1">
      <alignment horizontal="left" vertical="center"/>
    </xf>
    <xf numFmtId="0" fontId="27" fillId="46" borderId="0" xfId="0" applyFont="1" applyFill="1"/>
    <xf numFmtId="0" fontId="35" fillId="45" borderId="0" xfId="0" applyFont="1" applyFill="1" applyAlignment="1">
      <alignment horizontal="left" vertical="center"/>
    </xf>
    <xf numFmtId="0" fontId="96" fillId="45" borderId="0" xfId="0" applyFont="1" applyFill="1" applyAlignment="1">
      <alignment vertical="center"/>
    </xf>
    <xf numFmtId="0" fontId="0" fillId="43" borderId="35" xfId="0" applyFill="1" applyBorder="1" applyAlignment="1" applyProtection="1">
      <alignment horizontal="center" vertical="center"/>
      <protection locked="0"/>
    </xf>
    <xf numFmtId="0" fontId="6" fillId="83" borderId="0" xfId="0" applyFont="1" applyFill="1"/>
    <xf numFmtId="0" fontId="28" fillId="44" borderId="33" xfId="639">
      <alignment vertical="center"/>
    </xf>
    <xf numFmtId="0" fontId="31" fillId="85" borderId="33" xfId="640" applyBorder="1">
      <alignment vertical="center"/>
    </xf>
    <xf numFmtId="0" fontId="31" fillId="85" borderId="34" xfId="640" applyBorder="1">
      <alignment vertical="center"/>
    </xf>
    <xf numFmtId="0" fontId="98" fillId="0" borderId="0" xfId="0" applyFont="1"/>
    <xf numFmtId="0" fontId="99" fillId="86" borderId="44" xfId="641">
      <alignment horizontal="right" vertical="center" wrapText="1" indent="1"/>
    </xf>
    <xf numFmtId="0" fontId="99" fillId="47" borderId="44" xfId="642">
      <alignment horizontal="right" vertical="center" wrapText="1" indent="1"/>
    </xf>
    <xf numFmtId="0" fontId="29" fillId="0" borderId="45" xfId="0" applyFont="1" applyBorder="1" applyAlignment="1">
      <alignment horizontal="right" vertical="top"/>
    </xf>
    <xf numFmtId="191" fontId="92" fillId="87" borderId="47" xfId="643" applyBorder="1">
      <alignment horizontal="right"/>
      <protection locked="0"/>
    </xf>
    <xf numFmtId="191" fontId="92" fillId="87" borderId="48" xfId="643" applyBorder="1">
      <alignment horizontal="right"/>
      <protection locked="0"/>
    </xf>
    <xf numFmtId="191" fontId="92" fillId="87" borderId="49" xfId="643" applyBorder="1">
      <alignment horizontal="right"/>
      <protection locked="0"/>
    </xf>
    <xf numFmtId="191" fontId="92" fillId="87" borderId="50" xfId="643" applyBorder="1">
      <alignment horizontal="right"/>
      <protection locked="0"/>
    </xf>
    <xf numFmtId="191" fontId="92" fillId="87" borderId="51" xfId="643" applyBorder="1">
      <alignment horizontal="right"/>
      <protection locked="0"/>
    </xf>
    <xf numFmtId="0" fontId="29" fillId="0" borderId="52" xfId="0" applyFont="1" applyBorder="1" applyAlignment="1">
      <alignment horizontal="right" vertical="top"/>
    </xf>
    <xf numFmtId="191" fontId="92" fillId="87" borderId="53" xfId="643" applyBorder="1">
      <alignment horizontal="right"/>
      <protection locked="0"/>
    </xf>
    <xf numFmtId="191" fontId="92" fillId="87" borderId="54" xfId="643" applyBorder="1">
      <alignment horizontal="right"/>
      <protection locked="0"/>
    </xf>
    <xf numFmtId="191" fontId="92" fillId="87" borderId="55" xfId="643" applyBorder="1">
      <alignment horizontal="right"/>
      <protection locked="0"/>
    </xf>
    <xf numFmtId="191" fontId="92" fillId="87" borderId="18" xfId="643" applyBorder="1">
      <alignment horizontal="right"/>
      <protection locked="0"/>
    </xf>
    <xf numFmtId="0" fontId="29" fillId="0" borderId="56" xfId="0" applyFont="1" applyBorder="1" applyAlignment="1">
      <alignment horizontal="right" vertical="top"/>
    </xf>
    <xf numFmtId="191" fontId="92" fillId="87" borderId="57" xfId="643" applyBorder="1">
      <alignment horizontal="right"/>
      <protection locked="0"/>
    </xf>
    <xf numFmtId="191" fontId="92" fillId="87" borderId="58" xfId="643" applyBorder="1">
      <alignment horizontal="right"/>
      <protection locked="0"/>
    </xf>
    <xf numFmtId="191" fontId="92" fillId="87" borderId="59" xfId="643" applyBorder="1">
      <alignment horizontal="right"/>
      <protection locked="0"/>
    </xf>
    <xf numFmtId="191" fontId="92" fillId="87" borderId="60" xfId="643" applyBorder="1">
      <alignment horizontal="right"/>
      <protection locked="0"/>
    </xf>
    <xf numFmtId="192" fontId="100" fillId="88" borderId="33" xfId="644" applyBorder="1">
      <alignment horizontal="right" vertical="center"/>
      <protection locked="0"/>
    </xf>
    <xf numFmtId="192" fontId="100" fillId="88" borderId="34" xfId="644" applyBorder="1">
      <alignment horizontal="right" vertical="center"/>
      <protection locked="0"/>
    </xf>
    <xf numFmtId="192" fontId="100" fillId="88" borderId="35" xfId="644" applyBorder="1">
      <alignment horizontal="right" vertical="center"/>
      <protection locked="0"/>
    </xf>
    <xf numFmtId="0" fontId="29" fillId="0" borderId="61" xfId="0" applyFont="1" applyBorder="1" applyAlignment="1">
      <alignment horizontal="right" vertical="top"/>
    </xf>
    <xf numFmtId="191" fontId="92" fillId="87" borderId="62" xfId="643" applyBorder="1">
      <alignment horizontal="right"/>
      <protection locked="0"/>
    </xf>
    <xf numFmtId="191" fontId="92" fillId="87" borderId="63" xfId="643" applyBorder="1">
      <alignment horizontal="right"/>
      <protection locked="0"/>
    </xf>
    <xf numFmtId="191" fontId="92" fillId="87" borderId="64" xfId="643" applyBorder="1">
      <alignment horizontal="right"/>
      <protection locked="0"/>
    </xf>
    <xf numFmtId="191" fontId="92" fillId="87" borderId="65" xfId="643" applyBorder="1">
      <alignment horizontal="right"/>
      <protection locked="0"/>
    </xf>
    <xf numFmtId="0" fontId="0" fillId="83" borderId="0" xfId="0" applyFill="1"/>
    <xf numFmtId="0" fontId="101" fillId="83" borderId="0" xfId="0" applyFont="1" applyFill="1"/>
    <xf numFmtId="49" fontId="29" fillId="43" borderId="45" xfId="645" applyBorder="1" applyAlignment="1">
      <alignment horizontal="right" vertical="top"/>
      <protection locked="0"/>
    </xf>
    <xf numFmtId="49" fontId="29" fillId="43" borderId="52" xfId="645" applyBorder="1" applyAlignment="1">
      <alignment horizontal="right" vertical="top"/>
      <protection locked="0"/>
    </xf>
    <xf numFmtId="49" fontId="29" fillId="43" borderId="66" xfId="645" applyBorder="1" applyAlignment="1">
      <alignment horizontal="right" vertical="top"/>
      <protection locked="0"/>
    </xf>
    <xf numFmtId="0" fontId="97" fillId="0" borderId="41" xfId="0" applyFont="1" applyBorder="1" applyAlignment="1">
      <alignment horizontal="right" vertical="center" wrapText="1" indent="1"/>
    </xf>
    <xf numFmtId="0" fontId="92" fillId="0" borderId="0" xfId="0" applyFont="1"/>
    <xf numFmtId="0" fontId="26" fillId="33" borderId="29" xfId="50" applyBorder="1" applyAlignment="1">
      <alignment horizontal="center"/>
    </xf>
    <xf numFmtId="10" fontId="26" fillId="38" borderId="29" xfId="634" applyNumberFormat="1" applyFont="1" applyFill="1" applyBorder="1"/>
    <xf numFmtId="0" fontId="6" fillId="0" borderId="29" xfId="0" applyFont="1" applyBorder="1"/>
    <xf numFmtId="194" fontId="26" fillId="40" borderId="0" xfId="54" applyNumberFormat="1"/>
    <xf numFmtId="0" fontId="1" fillId="0" borderId="0" xfId="647"/>
    <xf numFmtId="0" fontId="104" fillId="0" borderId="0" xfId="647" applyFont="1"/>
    <xf numFmtId="0" fontId="105" fillId="0" borderId="0" xfId="647" applyFont="1"/>
    <xf numFmtId="0" fontId="106" fillId="0" borderId="0" xfId="647" applyFont="1"/>
    <xf numFmtId="195" fontId="24" fillId="0" borderId="0" xfId="647" applyNumberFormat="1" applyFont="1"/>
    <xf numFmtId="195" fontId="1" fillId="0" borderId="0" xfId="647" applyNumberFormat="1" applyAlignment="1">
      <alignment horizontal="left"/>
    </xf>
    <xf numFmtId="0" fontId="1" fillId="0" borderId="0" xfId="647" applyAlignment="1">
      <alignment vertical="center"/>
    </xf>
    <xf numFmtId="169" fontId="1" fillId="0" borderId="0" xfId="647" applyNumberFormat="1"/>
    <xf numFmtId="169" fontId="1" fillId="0" borderId="0" xfId="647" quotePrefix="1" applyNumberFormat="1"/>
    <xf numFmtId="10" fontId="1" fillId="0" borderId="0" xfId="647" applyNumberFormat="1"/>
    <xf numFmtId="0" fontId="98" fillId="0" borderId="0" xfId="647" applyFont="1"/>
    <xf numFmtId="1" fontId="28" fillId="35" borderId="0" xfId="49" applyNumberFormat="1"/>
    <xf numFmtId="4" fontId="26" fillId="37" borderId="0" xfId="52" applyNumberFormat="1" applyFill="1"/>
    <xf numFmtId="1" fontId="28" fillId="35" borderId="0" xfId="49" applyNumberFormat="1" applyAlignment="1">
      <alignment horizontal="center" vertical="center"/>
    </xf>
    <xf numFmtId="1" fontId="26" fillId="37" borderId="0" xfId="52" applyNumberFormat="1" applyFill="1" applyAlignment="1">
      <alignment horizontal="center" vertical="center"/>
    </xf>
    <xf numFmtId="187" fontId="26" fillId="37" borderId="0" xfId="52" applyNumberFormat="1" applyFill="1" applyAlignment="1">
      <alignment horizontal="center" vertical="center"/>
    </xf>
    <xf numFmtId="4" fontId="26" fillId="40" borderId="0" xfId="52" applyNumberFormat="1" applyFill="1" applyAlignment="1">
      <alignment horizontal="center" vertical="center"/>
    </xf>
    <xf numFmtId="4" fontId="26" fillId="38" borderId="0" xfId="52" applyNumberFormat="1" applyAlignment="1">
      <alignment horizontal="center" vertical="center"/>
    </xf>
    <xf numFmtId="187" fontId="26" fillId="38" borderId="0" xfId="52" applyNumberFormat="1" applyAlignment="1">
      <alignment horizontal="center" vertical="center"/>
    </xf>
    <xf numFmtId="1" fontId="6" fillId="0" borderId="0" xfId="0" applyNumberFormat="1" applyFont="1"/>
    <xf numFmtId="187" fontId="26" fillId="40" borderId="0" xfId="52" applyNumberFormat="1" applyFill="1" applyAlignment="1">
      <alignment horizontal="center" vertical="center"/>
    </xf>
    <xf numFmtId="1" fontId="26" fillId="40" borderId="0" xfId="54" applyNumberFormat="1" applyAlignment="1">
      <alignment horizontal="center" vertical="center"/>
    </xf>
    <xf numFmtId="2" fontId="26" fillId="40" borderId="0" xfId="54" applyAlignment="1">
      <alignment horizontal="center" vertical="center"/>
    </xf>
    <xf numFmtId="187" fontId="26" fillId="40" borderId="0" xfId="54" applyNumberFormat="1" applyAlignment="1">
      <alignment horizontal="center" vertical="center"/>
    </xf>
    <xf numFmtId="194" fontId="26" fillId="40" borderId="0" xfId="54" applyNumberFormat="1" applyAlignment="1">
      <alignment horizontal="center" vertical="center"/>
    </xf>
    <xf numFmtId="0" fontId="26" fillId="33" borderId="0" xfId="50" applyAlignment="1">
      <alignment horizontal="center" vertical="center"/>
    </xf>
    <xf numFmtId="0" fontId="28" fillId="35" borderId="0" xfId="49" applyAlignment="1">
      <alignment horizontal="left" vertical="center" wrapText="1"/>
    </xf>
    <xf numFmtId="195" fontId="28" fillId="36" borderId="0" xfId="48" applyNumberFormat="1"/>
    <xf numFmtId="169" fontId="26" fillId="38" borderId="0" xfId="52" applyNumberFormat="1" applyAlignment="1">
      <alignment horizontal="center" vertical="center"/>
    </xf>
    <xf numFmtId="169" fontId="26" fillId="38" borderId="0" xfId="52" quotePrefix="1" applyNumberFormat="1" applyAlignment="1">
      <alignment horizontal="center" vertical="center"/>
    </xf>
    <xf numFmtId="1" fontId="26" fillId="38" borderId="0" xfId="52" applyNumberFormat="1" applyAlignment="1">
      <alignment horizontal="center" vertical="center"/>
    </xf>
    <xf numFmtId="195" fontId="28" fillId="35" borderId="0" xfId="49" applyNumberFormat="1" applyAlignment="1">
      <alignment horizontal="center" vertical="center"/>
    </xf>
    <xf numFmtId="0" fontId="107" fillId="33" borderId="0" xfId="50" applyFont="1"/>
    <xf numFmtId="190" fontId="26" fillId="40" borderId="0" xfId="635" applyNumberFormat="1" applyFont="1" applyFill="1" applyAlignment="1">
      <alignment horizontal="center"/>
    </xf>
    <xf numFmtId="190" fontId="26" fillId="40" borderId="0" xfId="635" applyNumberFormat="1" applyFont="1" applyFill="1" applyAlignment="1">
      <alignment horizontal="center" vertical="center"/>
    </xf>
    <xf numFmtId="193" fontId="102" fillId="0" borderId="0" xfId="647" applyNumberFormat="1" applyFont="1" applyAlignment="1">
      <alignment horizontal="left" vertical="center"/>
    </xf>
    <xf numFmtId="0" fontId="103" fillId="0" borderId="0" xfId="647" applyFont="1" applyAlignment="1">
      <alignment horizontal="left" vertical="top" wrapText="1"/>
    </xf>
    <xf numFmtId="0" fontId="97" fillId="0" borderId="37" xfId="0" applyFont="1" applyBorder="1" applyAlignment="1">
      <alignment horizontal="right" vertical="center" wrapText="1" indent="1"/>
    </xf>
    <xf numFmtId="0" fontId="97" fillId="0" borderId="41" xfId="0" applyFont="1" applyBorder="1" applyAlignment="1">
      <alignment horizontal="right" vertical="center" wrapText="1" indent="1"/>
    </xf>
    <xf numFmtId="0" fontId="7" fillId="86" borderId="40" xfId="0" applyFont="1" applyFill="1" applyBorder="1" applyAlignment="1">
      <alignment horizontal="center" vertical="center" wrapText="1"/>
    </xf>
    <xf numFmtId="0" fontId="7" fillId="86" borderId="29" xfId="0" applyFont="1" applyFill="1" applyBorder="1" applyAlignment="1">
      <alignment horizontal="center" vertical="center" wrapText="1"/>
    </xf>
    <xf numFmtId="0" fontId="7" fillId="86" borderId="43" xfId="0" applyFont="1" applyFill="1" applyBorder="1" applyAlignment="1">
      <alignment horizontal="center" vertical="center" wrapText="1"/>
    </xf>
    <xf numFmtId="0" fontId="24" fillId="84" borderId="36" xfId="0" applyFont="1" applyFill="1" applyBorder="1" applyAlignment="1">
      <alignment horizontal="center" vertical="center" wrapText="1"/>
    </xf>
    <xf numFmtId="0" fontId="24" fillId="84" borderId="37" xfId="0" applyFont="1" applyFill="1" applyBorder="1" applyAlignment="1">
      <alignment horizontal="center" vertical="center" wrapText="1"/>
    </xf>
    <xf numFmtId="0" fontId="24" fillId="84" borderId="40" xfId="0" applyFont="1" applyFill="1" applyBorder="1" applyAlignment="1">
      <alignment horizontal="center" vertical="center" wrapText="1"/>
    </xf>
    <xf numFmtId="0" fontId="24" fillId="84" borderId="41" xfId="0" applyFont="1" applyFill="1" applyBorder="1" applyAlignment="1">
      <alignment horizontal="center" vertical="center" wrapText="1"/>
    </xf>
    <xf numFmtId="0" fontId="1" fillId="0" borderId="0" xfId="647" applyAlignment="1">
      <alignment horizontal="center"/>
    </xf>
  </cellXfs>
  <cellStyles count="649">
    <cellStyle name=" 1" xfId="61" xr:uid="{00000000-0005-0000-0000-000000000000}"/>
    <cellStyle name=" 1 2" xfId="63" xr:uid="{00000000-0005-0000-0000-000001000000}"/>
    <cellStyle name=" 1 2 2" xfId="65" xr:uid="{00000000-0005-0000-0000-000002000000}"/>
    <cellStyle name=" 1 2 3" xfId="332" xr:uid="{00000000-0005-0000-0000-000003000000}"/>
    <cellStyle name=" 1 3" xfId="62" xr:uid="{00000000-0005-0000-0000-000004000000}"/>
    <cellStyle name=" 1 3 2" xfId="82" xr:uid="{00000000-0005-0000-0000-000005000000}"/>
    <cellStyle name=" 1 4" xfId="64" xr:uid="{00000000-0005-0000-0000-000006000000}"/>
    <cellStyle name=" 1_29(d) - Gas extensions -tariffs" xfId="86" xr:uid="{00000000-0005-0000-0000-000007000000}"/>
    <cellStyle name="_3GIS model v2.77_Distribution Business_Retail Fin Perform " xfId="66" xr:uid="{00000000-0005-0000-0000-000008000000}"/>
    <cellStyle name="_3GIS model v2.77_Fleet Overhead Costs 2_Retail Fin Perform " xfId="67" xr:uid="{00000000-0005-0000-0000-000009000000}"/>
    <cellStyle name="_3GIS model v2.77_Fleet Overhead Costs_Retail Fin Perform " xfId="68" xr:uid="{00000000-0005-0000-0000-00000A000000}"/>
    <cellStyle name="_3GIS model v2.77_Forecast 2_Retail Fin Perform " xfId="69" xr:uid="{00000000-0005-0000-0000-00000B000000}"/>
    <cellStyle name="_3GIS model v2.77_Forecast_Retail Fin Perform " xfId="70" xr:uid="{00000000-0005-0000-0000-00000C000000}"/>
    <cellStyle name="_3GIS model v2.77_Funding &amp; Cashflow_1_Retail Fin Perform " xfId="71" xr:uid="{00000000-0005-0000-0000-00000D000000}"/>
    <cellStyle name="_3GIS model v2.77_Funding &amp; Cashflow_Retail Fin Perform " xfId="72" xr:uid="{00000000-0005-0000-0000-00000E000000}"/>
    <cellStyle name="_3GIS model v2.77_Group P&amp;L_1_Retail Fin Perform " xfId="73" xr:uid="{00000000-0005-0000-0000-00000F000000}"/>
    <cellStyle name="_3GIS model v2.77_Group P&amp;L_Retail Fin Perform " xfId="74" xr:uid="{00000000-0005-0000-0000-000010000000}"/>
    <cellStyle name="_3GIS model v2.77_Opening  Detailed BS_Retail Fin Perform " xfId="75" xr:uid="{00000000-0005-0000-0000-000011000000}"/>
    <cellStyle name="_3GIS model v2.77_OUTPUT DB_Retail Fin Perform " xfId="76" xr:uid="{00000000-0005-0000-0000-000012000000}"/>
    <cellStyle name="_3GIS model v2.77_OUTPUT EB_Retail Fin Perform " xfId="77" xr:uid="{00000000-0005-0000-0000-000013000000}"/>
    <cellStyle name="_3GIS model v2.77_Report_Retail Fin Perform " xfId="78" xr:uid="{00000000-0005-0000-0000-000014000000}"/>
    <cellStyle name="_3GIS model v2.77_Retail Fin Perform " xfId="79" xr:uid="{00000000-0005-0000-0000-000015000000}"/>
    <cellStyle name="_3GIS model v2.77_Sheet2 2_Retail Fin Perform " xfId="80" xr:uid="{00000000-0005-0000-0000-000016000000}"/>
    <cellStyle name="_3GIS model v2.77_Sheet2_Retail Fin Perform " xfId="81" xr:uid="{00000000-0005-0000-0000-000017000000}"/>
    <cellStyle name="_Capex" xfId="87" xr:uid="{00000000-0005-0000-0000-000018000000}"/>
    <cellStyle name="_Capex 2" xfId="88" xr:uid="{00000000-0005-0000-0000-000019000000}"/>
    <cellStyle name="_Capex_29(d) - Gas extensions -tariffs" xfId="89" xr:uid="{00000000-0005-0000-0000-00001A000000}"/>
    <cellStyle name="_UED AMP 2009-14 Final 250309 Less PU" xfId="90" xr:uid="{00000000-0005-0000-0000-00001B000000}"/>
    <cellStyle name="_UED AMP 2009-14 Final 250309 Less PU_1011 monthly" xfId="91" xr:uid="{00000000-0005-0000-0000-00001C000000}"/>
    <cellStyle name="20% - Accent1" xfId="25" builtinId="30" hidden="1"/>
    <cellStyle name="20% - Accent1 2" xfId="92" xr:uid="{00000000-0005-0000-0000-00001E000000}"/>
    <cellStyle name="20% - Accent1 3" xfId="335" xr:uid="{00000000-0005-0000-0000-00001F000000}"/>
    <cellStyle name="20% - Accent2" xfId="29" builtinId="34" hidden="1"/>
    <cellStyle name="20% - Accent2 2" xfId="93" xr:uid="{00000000-0005-0000-0000-000021000000}"/>
    <cellStyle name="20% - Accent3" xfId="33" builtinId="38" hidden="1"/>
    <cellStyle name="20% - Accent3 2" xfId="94" xr:uid="{00000000-0005-0000-0000-000023000000}"/>
    <cellStyle name="20% - Accent4" xfId="37" builtinId="42" hidden="1"/>
    <cellStyle name="20% - Accent4 2" xfId="95" xr:uid="{00000000-0005-0000-0000-000025000000}"/>
    <cellStyle name="20% - Accent5" xfId="41" builtinId="46" hidden="1"/>
    <cellStyle name="20% - Accent5 2" xfId="96" xr:uid="{00000000-0005-0000-0000-000027000000}"/>
    <cellStyle name="20% - Accent6" xfId="45" builtinId="50" hidden="1"/>
    <cellStyle name="20% - Accent6 2" xfId="97" xr:uid="{00000000-0005-0000-0000-000029000000}"/>
    <cellStyle name="40% - Accent1" xfId="26" builtinId="31" hidden="1"/>
    <cellStyle name="40% - Accent1 2" xfId="98" xr:uid="{00000000-0005-0000-0000-00002B000000}"/>
    <cellStyle name="40% - Accent1 3" xfId="336" xr:uid="{00000000-0005-0000-0000-00002C000000}"/>
    <cellStyle name="40% - Accent2" xfId="30" builtinId="35" hidden="1"/>
    <cellStyle name="40% - Accent2 2" xfId="99" xr:uid="{00000000-0005-0000-0000-00002E000000}"/>
    <cellStyle name="40% - Accent3" xfId="34" builtinId="39" hidden="1"/>
    <cellStyle name="40% - Accent3 2" xfId="100" xr:uid="{00000000-0005-0000-0000-000030000000}"/>
    <cellStyle name="40% - Accent4" xfId="38" builtinId="43" hidden="1"/>
    <cellStyle name="40% - Accent4 2" xfId="101" xr:uid="{00000000-0005-0000-0000-000032000000}"/>
    <cellStyle name="40% - Accent5" xfId="42" builtinId="47" hidden="1"/>
    <cellStyle name="40% - Accent5 2" xfId="102" xr:uid="{00000000-0005-0000-0000-000034000000}"/>
    <cellStyle name="40% - Accent6" xfId="46" builtinId="51" hidden="1"/>
    <cellStyle name="40% - Accent6 2" xfId="103" xr:uid="{00000000-0005-0000-0000-000036000000}"/>
    <cellStyle name="60% - Accent1" xfId="27" builtinId="32" hidden="1"/>
    <cellStyle name="60% - Accent1 2" xfId="104" xr:uid="{00000000-0005-0000-0000-000038000000}"/>
    <cellStyle name="60% - Accent2" xfId="31" builtinId="36" hidden="1"/>
    <cellStyle name="60% - Accent2 2" xfId="105" xr:uid="{00000000-0005-0000-0000-00003A000000}"/>
    <cellStyle name="60% - Accent3" xfId="35" builtinId="40" hidden="1"/>
    <cellStyle name="60% - Accent3 2" xfId="106" xr:uid="{00000000-0005-0000-0000-00003C000000}"/>
    <cellStyle name="60% - Accent4" xfId="39" builtinId="44" hidden="1"/>
    <cellStyle name="60% - Accent4 2" xfId="107" xr:uid="{00000000-0005-0000-0000-00003E000000}"/>
    <cellStyle name="60% - Accent5" xfId="43" builtinId="48" hidden="1"/>
    <cellStyle name="60% - Accent5 2" xfId="108" xr:uid="{00000000-0005-0000-0000-000040000000}"/>
    <cellStyle name="60% - Accent6" xfId="47" builtinId="52" hidden="1"/>
    <cellStyle name="60% - Accent6 2" xfId="109" xr:uid="{00000000-0005-0000-0000-000042000000}"/>
    <cellStyle name="Accent1" xfId="24" builtinId="29" hidden="1"/>
    <cellStyle name="Accent1 - 20%" xfId="110" xr:uid="{00000000-0005-0000-0000-000044000000}"/>
    <cellStyle name="Accent1 - 40%" xfId="111" xr:uid="{00000000-0005-0000-0000-000045000000}"/>
    <cellStyle name="Accent1 - 60%" xfId="112" xr:uid="{00000000-0005-0000-0000-000046000000}"/>
    <cellStyle name="Accent1 2" xfId="113" xr:uid="{00000000-0005-0000-0000-000047000000}"/>
    <cellStyle name="Accent2" xfId="28" builtinId="33" hidden="1"/>
    <cellStyle name="Accent2 - 20%" xfId="114" xr:uid="{00000000-0005-0000-0000-000049000000}"/>
    <cellStyle name="Accent2 - 40%" xfId="115" xr:uid="{00000000-0005-0000-0000-00004A000000}"/>
    <cellStyle name="Accent2 - 60%" xfId="116" xr:uid="{00000000-0005-0000-0000-00004B000000}"/>
    <cellStyle name="Accent2 2" xfId="117" xr:uid="{00000000-0005-0000-0000-00004C000000}"/>
    <cellStyle name="Accent3" xfId="32" builtinId="37" hidden="1"/>
    <cellStyle name="Accent3 - 20%" xfId="118" xr:uid="{00000000-0005-0000-0000-00004E000000}"/>
    <cellStyle name="Accent3 - 40%" xfId="119" xr:uid="{00000000-0005-0000-0000-00004F000000}"/>
    <cellStyle name="Accent3 - 60%" xfId="120" xr:uid="{00000000-0005-0000-0000-000050000000}"/>
    <cellStyle name="Accent3 2" xfId="121" xr:uid="{00000000-0005-0000-0000-000051000000}"/>
    <cellStyle name="Accent4" xfId="36" builtinId="41" hidden="1"/>
    <cellStyle name="Accent4 - 20%" xfId="122" xr:uid="{00000000-0005-0000-0000-000053000000}"/>
    <cellStyle name="Accent4 - 40%" xfId="123" xr:uid="{00000000-0005-0000-0000-000054000000}"/>
    <cellStyle name="Accent4 - 60%" xfId="124" xr:uid="{00000000-0005-0000-0000-000055000000}"/>
    <cellStyle name="Accent4 2" xfId="125" xr:uid="{00000000-0005-0000-0000-000056000000}"/>
    <cellStyle name="Accent5" xfId="40" builtinId="45" hidden="1"/>
    <cellStyle name="Accent5 - 20%" xfId="126" xr:uid="{00000000-0005-0000-0000-000058000000}"/>
    <cellStyle name="Accent5 - 40%" xfId="127" xr:uid="{00000000-0005-0000-0000-000059000000}"/>
    <cellStyle name="Accent5 - 60%" xfId="128" xr:uid="{00000000-0005-0000-0000-00005A000000}"/>
    <cellStyle name="Accent5 2" xfId="129" xr:uid="{00000000-0005-0000-0000-00005B000000}"/>
    <cellStyle name="Accent6" xfId="44" builtinId="49" hidden="1"/>
    <cellStyle name="Accent6 - 20%" xfId="130" xr:uid="{00000000-0005-0000-0000-00005D000000}"/>
    <cellStyle name="Accent6 - 40%" xfId="131" xr:uid="{00000000-0005-0000-0000-00005E000000}"/>
    <cellStyle name="Accent6 - 60%" xfId="132" xr:uid="{00000000-0005-0000-0000-00005F000000}"/>
    <cellStyle name="Accent6 2" xfId="133" xr:uid="{00000000-0005-0000-0000-000060000000}"/>
    <cellStyle name="Agara" xfId="134" xr:uid="{00000000-0005-0000-0000-000061000000}"/>
    <cellStyle name="B79812_.wvu.PrintTitlest" xfId="135" xr:uid="{00000000-0005-0000-0000-000062000000}"/>
    <cellStyle name="Bad" xfId="13" builtinId="27" hidden="1"/>
    <cellStyle name="Bad 2" xfId="136" xr:uid="{00000000-0005-0000-0000-000064000000}"/>
    <cellStyle name="Black" xfId="137" xr:uid="{00000000-0005-0000-0000-000065000000}"/>
    <cellStyle name="Blockout" xfId="138" xr:uid="{00000000-0005-0000-0000-000066000000}"/>
    <cellStyle name="Blockout 2" xfId="139" xr:uid="{00000000-0005-0000-0000-000067000000}"/>
    <cellStyle name="Blockout 3" xfId="337" xr:uid="{00000000-0005-0000-0000-000068000000}"/>
    <cellStyle name="Blue" xfId="140" xr:uid="{00000000-0005-0000-0000-000069000000}"/>
    <cellStyle name="Calculation" xfId="17" builtinId="22" hidden="1"/>
    <cellStyle name="Calculation 2" xfId="141" xr:uid="{00000000-0005-0000-0000-00006B000000}"/>
    <cellStyle name="Calculation 2 2" xfId="338" xr:uid="{00000000-0005-0000-0000-00006C000000}"/>
    <cellStyle name="Calculation 2 3" xfId="339" xr:uid="{00000000-0005-0000-0000-00006D000000}"/>
    <cellStyle name="Calculation Cell" xfId="52" xr:uid="{00000000-0005-0000-0000-00006E000000}"/>
    <cellStyle name="Check Cell" xfId="19" builtinId="23" hidden="1"/>
    <cellStyle name="Check Cell 2" xfId="142" xr:uid="{00000000-0005-0000-0000-000070000000}"/>
    <cellStyle name="Check Cell 2 2 2 2" xfId="340" xr:uid="{00000000-0005-0000-0000-000071000000}"/>
    <cellStyle name="Comma" xfId="2" builtinId="3" hidden="1"/>
    <cellStyle name="Comma [0]" xfId="3" builtinId="6" hidden="1"/>
    <cellStyle name="Comma [0]7Z_87C" xfId="143" xr:uid="{00000000-0005-0000-0000-000074000000}"/>
    <cellStyle name="Comma 0" xfId="144" xr:uid="{00000000-0005-0000-0000-000075000000}"/>
    <cellStyle name="Comma 1" xfId="145" xr:uid="{00000000-0005-0000-0000-000076000000}"/>
    <cellStyle name="Comma 1 2" xfId="146" xr:uid="{00000000-0005-0000-0000-000077000000}"/>
    <cellStyle name="Comma 10" xfId="341" xr:uid="{00000000-0005-0000-0000-000078000000}"/>
    <cellStyle name="Comma 11" xfId="342" xr:uid="{00000000-0005-0000-0000-000079000000}"/>
    <cellStyle name="Comma 2" xfId="59" xr:uid="{00000000-0005-0000-0000-00007A000000}"/>
    <cellStyle name="Comma 2 2" xfId="148" xr:uid="{00000000-0005-0000-0000-00007B000000}"/>
    <cellStyle name="Comma 2 2 2" xfId="345" xr:uid="{00000000-0005-0000-0000-00007C000000}"/>
    <cellStyle name="Comma 2 2 3" xfId="346" xr:uid="{00000000-0005-0000-0000-00007D000000}"/>
    <cellStyle name="Comma 2 2 4" xfId="344" xr:uid="{00000000-0005-0000-0000-00007E000000}"/>
    <cellStyle name="Comma 2 3" xfId="149" xr:uid="{00000000-0005-0000-0000-00007F000000}"/>
    <cellStyle name="Comma 2 3 2" xfId="150" xr:uid="{00000000-0005-0000-0000-000080000000}"/>
    <cellStyle name="Comma 2 4" xfId="151" xr:uid="{00000000-0005-0000-0000-000081000000}"/>
    <cellStyle name="Comma 2 5" xfId="152" xr:uid="{00000000-0005-0000-0000-000082000000}"/>
    <cellStyle name="Comma 2 6" xfId="324" xr:uid="{00000000-0005-0000-0000-000083000000}"/>
    <cellStyle name="Comma 2 6 2" xfId="347" xr:uid="{00000000-0005-0000-0000-000084000000}"/>
    <cellStyle name="Comma 2 7" xfId="147" xr:uid="{00000000-0005-0000-0000-000085000000}"/>
    <cellStyle name="Comma 2 8" xfId="343" xr:uid="{00000000-0005-0000-0000-000086000000}"/>
    <cellStyle name="Comma 3" xfId="153" xr:uid="{00000000-0005-0000-0000-000087000000}"/>
    <cellStyle name="Comma 3 2" xfId="154" xr:uid="{00000000-0005-0000-0000-000088000000}"/>
    <cellStyle name="Comma 3 2 2" xfId="349" xr:uid="{00000000-0005-0000-0000-000089000000}"/>
    <cellStyle name="Comma 3 2 3" xfId="348" xr:uid="{00000000-0005-0000-0000-00008A000000}"/>
    <cellStyle name="Comma 3 3" xfId="155" xr:uid="{00000000-0005-0000-0000-00008B000000}"/>
    <cellStyle name="Comma 3 3 2" xfId="351" xr:uid="{00000000-0005-0000-0000-00008C000000}"/>
    <cellStyle name="Comma 3 3 3" xfId="350" xr:uid="{00000000-0005-0000-0000-00008D000000}"/>
    <cellStyle name="Comma 3 4" xfId="323" xr:uid="{00000000-0005-0000-0000-00008E000000}"/>
    <cellStyle name="Comma 3 4 2" xfId="352" xr:uid="{00000000-0005-0000-0000-00008F000000}"/>
    <cellStyle name="Comma 3 5" xfId="353" xr:uid="{00000000-0005-0000-0000-000090000000}"/>
    <cellStyle name="Comma 3 6" xfId="354" xr:uid="{00000000-0005-0000-0000-000091000000}"/>
    <cellStyle name="Comma 4" xfId="156" xr:uid="{00000000-0005-0000-0000-000092000000}"/>
    <cellStyle name="Comma 4 2" xfId="355" xr:uid="{00000000-0005-0000-0000-000093000000}"/>
    <cellStyle name="Comma 5" xfId="157" xr:uid="{00000000-0005-0000-0000-000094000000}"/>
    <cellStyle name="Comma 6" xfId="158" xr:uid="{00000000-0005-0000-0000-000095000000}"/>
    <cellStyle name="Comma 7" xfId="159" xr:uid="{00000000-0005-0000-0000-000096000000}"/>
    <cellStyle name="Comma 8" xfId="160" xr:uid="{00000000-0005-0000-0000-000097000000}"/>
    <cellStyle name="Comma 9" xfId="356" xr:uid="{00000000-0005-0000-0000-000098000000}"/>
    <cellStyle name="Comma 9 2" xfId="357" xr:uid="{00000000-0005-0000-0000-000099000000}"/>
    <cellStyle name="Comma 9 3" xfId="358" xr:uid="{00000000-0005-0000-0000-00009A000000}"/>
    <cellStyle name="Comma0" xfId="161" xr:uid="{00000000-0005-0000-0000-00009B000000}"/>
    <cellStyle name="Currency" xfId="4" builtinId="4" hidden="1"/>
    <cellStyle name="Currency" xfId="635" builtinId="4"/>
    <cellStyle name="Currency [0]" xfId="5" builtinId="7" hidden="1"/>
    <cellStyle name="Currency 11" xfId="162" xr:uid="{00000000-0005-0000-0000-00009E000000}"/>
    <cellStyle name="Currency 11 2" xfId="163" xr:uid="{00000000-0005-0000-0000-00009F000000}"/>
    <cellStyle name="Currency 2" xfId="164" xr:uid="{00000000-0005-0000-0000-0000A0000000}"/>
    <cellStyle name="Currency 2 2" xfId="165" xr:uid="{00000000-0005-0000-0000-0000A1000000}"/>
    <cellStyle name="Currency 2 3" xfId="359" xr:uid="{00000000-0005-0000-0000-0000A2000000}"/>
    <cellStyle name="Currency 3" xfId="166" xr:uid="{00000000-0005-0000-0000-0000A3000000}"/>
    <cellStyle name="Currency 3 2" xfId="167" xr:uid="{00000000-0005-0000-0000-0000A4000000}"/>
    <cellStyle name="Currency 4" xfId="168" xr:uid="{00000000-0005-0000-0000-0000A5000000}"/>
    <cellStyle name="Currency 4 2" xfId="169" xr:uid="{00000000-0005-0000-0000-0000A6000000}"/>
    <cellStyle name="Currency 5" xfId="360" xr:uid="{00000000-0005-0000-0000-0000A7000000}"/>
    <cellStyle name="Currency 6" xfId="361" xr:uid="{00000000-0005-0000-0000-0000A8000000}"/>
    <cellStyle name="Currency 6 2" xfId="362" xr:uid="{00000000-0005-0000-0000-0000A9000000}"/>
    <cellStyle name="Currency 6 3" xfId="363" xr:uid="{00000000-0005-0000-0000-0000AA000000}"/>
    <cellStyle name="Currency 7" xfId="364" xr:uid="{00000000-0005-0000-0000-0000AB000000}"/>
    <cellStyle name="D4_B8B1_005004B79812_.wvu.PrintTitlest" xfId="170" xr:uid="{00000000-0005-0000-0000-0000AC000000}"/>
    <cellStyle name="Date" xfId="171" xr:uid="{00000000-0005-0000-0000-0000AD000000}"/>
    <cellStyle name="Date 2" xfId="172" xr:uid="{00000000-0005-0000-0000-0000AE000000}"/>
    <cellStyle name="dms_1" xfId="639" xr:uid="{A50D554D-214B-4919-AF58-C89D20BE1CB0}"/>
    <cellStyle name="dms_3" xfId="640" xr:uid="{9F2F05B9-45F3-4FB1-9EB6-2421D0BAD10F}"/>
    <cellStyle name="dms_BY1" xfId="642" xr:uid="{B457AFE0-1F3E-4860-A6F9-DFFEBAF17AB9}"/>
    <cellStyle name="dms_BY2" xfId="641" xr:uid="{2F0B9DDE-7AEE-4625-B849-25B64D971B10}"/>
    <cellStyle name="dms_NUM" xfId="643" xr:uid="{16758DE3-18D6-4212-9D17-E710C78C96D5}"/>
    <cellStyle name="dms_Row1" xfId="645" xr:uid="{1981EA61-E4F3-4B11-8949-F59E233AA5C4}"/>
    <cellStyle name="dms_T1" xfId="644" xr:uid="{12FA338D-D337-4A2D-8D61-CCF936313670}"/>
    <cellStyle name="dms_TopHeader" xfId="638" xr:uid="{051A31C4-0A80-4C21-AFBB-0E1362BFCC14}"/>
    <cellStyle name="Emphasis 1" xfId="173" xr:uid="{00000000-0005-0000-0000-0000B0000000}"/>
    <cellStyle name="Emphasis 2" xfId="174" xr:uid="{00000000-0005-0000-0000-0000B1000000}"/>
    <cellStyle name="Emphasis 3" xfId="175" xr:uid="{00000000-0005-0000-0000-0000B2000000}"/>
    <cellStyle name="Euro" xfId="176" xr:uid="{00000000-0005-0000-0000-0000B3000000}"/>
    <cellStyle name="Explanatory Text" xfId="22" builtinId="53" hidden="1"/>
    <cellStyle name="Explanatory Text 2" xfId="177" xr:uid="{00000000-0005-0000-0000-0000B5000000}"/>
    <cellStyle name="Fixed" xfId="178" xr:uid="{00000000-0005-0000-0000-0000B6000000}"/>
    <cellStyle name="Fixed 2" xfId="179" xr:uid="{00000000-0005-0000-0000-0000B7000000}"/>
    <cellStyle name="Gilsans" xfId="180" xr:uid="{00000000-0005-0000-0000-0000B8000000}"/>
    <cellStyle name="Gilsansl" xfId="181" xr:uid="{00000000-0005-0000-0000-0000B9000000}"/>
    <cellStyle name="Good" xfId="12" builtinId="26" hidden="1"/>
    <cellStyle name="Good 2" xfId="182" xr:uid="{00000000-0005-0000-0000-0000BB000000}"/>
    <cellStyle name="Header 1" xfId="1" xr:uid="{00000000-0005-0000-0000-0000BC000000}"/>
    <cellStyle name="Header 2" xfId="48" xr:uid="{00000000-0005-0000-0000-0000BD000000}"/>
    <cellStyle name="Heading 1" xfId="8" builtinId="16" hidden="1"/>
    <cellStyle name="Heading 1 2" xfId="183" xr:uid="{00000000-0005-0000-0000-0000BF000000}"/>
    <cellStyle name="Heading 1 2 2" xfId="184" xr:uid="{00000000-0005-0000-0000-0000C0000000}"/>
    <cellStyle name="Heading 1 3" xfId="185" xr:uid="{00000000-0005-0000-0000-0000C1000000}"/>
    <cellStyle name="Heading 2" xfId="9" builtinId="17" hidden="1"/>
    <cellStyle name="Heading 2 2" xfId="186" xr:uid="{00000000-0005-0000-0000-0000C3000000}"/>
    <cellStyle name="Heading 2 2 2" xfId="187" xr:uid="{00000000-0005-0000-0000-0000C4000000}"/>
    <cellStyle name="Heading 2 3" xfId="188" xr:uid="{00000000-0005-0000-0000-0000C5000000}"/>
    <cellStyle name="Heading 3" xfId="10" builtinId="18" hidden="1"/>
    <cellStyle name="Heading 3 2" xfId="189" xr:uid="{00000000-0005-0000-0000-0000C7000000}"/>
    <cellStyle name="Heading 3 2 2" xfId="190" xr:uid="{00000000-0005-0000-0000-0000C8000000}"/>
    <cellStyle name="Heading 3 2 2 2" xfId="319" xr:uid="{00000000-0005-0000-0000-0000C9000000}"/>
    <cellStyle name="Heading 3 2 2 2 2" xfId="365" xr:uid="{00000000-0005-0000-0000-0000CA000000}"/>
    <cellStyle name="Heading 3 2 2 2 2 2" xfId="366" xr:uid="{00000000-0005-0000-0000-0000CB000000}"/>
    <cellStyle name="Heading 3 2 2 2 2 3" xfId="367" xr:uid="{00000000-0005-0000-0000-0000CC000000}"/>
    <cellStyle name="Heading 3 2 2 2 2 4" xfId="368" xr:uid="{00000000-0005-0000-0000-0000CD000000}"/>
    <cellStyle name="Heading 3 2 2 2 3" xfId="369" xr:uid="{00000000-0005-0000-0000-0000CE000000}"/>
    <cellStyle name="Heading 3 2 2 2 4" xfId="370" xr:uid="{00000000-0005-0000-0000-0000CF000000}"/>
    <cellStyle name="Heading 3 2 2 2 5" xfId="371" xr:uid="{00000000-0005-0000-0000-0000D0000000}"/>
    <cellStyle name="Heading 3 2 2 3" xfId="372" xr:uid="{00000000-0005-0000-0000-0000D1000000}"/>
    <cellStyle name="Heading 3 2 2 3 2" xfId="373" xr:uid="{00000000-0005-0000-0000-0000D2000000}"/>
    <cellStyle name="Heading 3 2 2 3 2 2" xfId="374" xr:uid="{00000000-0005-0000-0000-0000D3000000}"/>
    <cellStyle name="Heading 3 2 2 3 2 3" xfId="375" xr:uid="{00000000-0005-0000-0000-0000D4000000}"/>
    <cellStyle name="Heading 3 2 2 3 2 4" xfId="376" xr:uid="{00000000-0005-0000-0000-0000D5000000}"/>
    <cellStyle name="Heading 3 2 2 3 3" xfId="377" xr:uid="{00000000-0005-0000-0000-0000D6000000}"/>
    <cellStyle name="Heading 3 2 2 3 4" xfId="378" xr:uid="{00000000-0005-0000-0000-0000D7000000}"/>
    <cellStyle name="Heading 3 2 2 3 5" xfId="379" xr:uid="{00000000-0005-0000-0000-0000D8000000}"/>
    <cellStyle name="Heading 3 2 2 4" xfId="380" xr:uid="{00000000-0005-0000-0000-0000D9000000}"/>
    <cellStyle name="Heading 3 2 2 4 2" xfId="381" xr:uid="{00000000-0005-0000-0000-0000DA000000}"/>
    <cellStyle name="Heading 3 2 2 4 3" xfId="382" xr:uid="{00000000-0005-0000-0000-0000DB000000}"/>
    <cellStyle name="Heading 3 2 2 4 4" xfId="383" xr:uid="{00000000-0005-0000-0000-0000DC000000}"/>
    <cellStyle name="Heading 3 2 2 5" xfId="384" xr:uid="{00000000-0005-0000-0000-0000DD000000}"/>
    <cellStyle name="Heading 3 2 2 5 2" xfId="385" xr:uid="{00000000-0005-0000-0000-0000DE000000}"/>
    <cellStyle name="Heading 3 2 2 5 3" xfId="386" xr:uid="{00000000-0005-0000-0000-0000DF000000}"/>
    <cellStyle name="Heading 3 2 3" xfId="191" xr:uid="{00000000-0005-0000-0000-0000E0000000}"/>
    <cellStyle name="Heading 3 2 4" xfId="318" xr:uid="{00000000-0005-0000-0000-0000E1000000}"/>
    <cellStyle name="Heading 3 2 4 2" xfId="387" xr:uid="{00000000-0005-0000-0000-0000E2000000}"/>
    <cellStyle name="Heading 3 2 4 2 2" xfId="388" xr:uid="{00000000-0005-0000-0000-0000E3000000}"/>
    <cellStyle name="Heading 3 2 4 2 3" xfId="389" xr:uid="{00000000-0005-0000-0000-0000E4000000}"/>
    <cellStyle name="Heading 3 2 4 2 4" xfId="390" xr:uid="{00000000-0005-0000-0000-0000E5000000}"/>
    <cellStyle name="Heading 3 2 4 3" xfId="391" xr:uid="{00000000-0005-0000-0000-0000E6000000}"/>
    <cellStyle name="Heading 3 2 4 4" xfId="392" xr:uid="{00000000-0005-0000-0000-0000E7000000}"/>
    <cellStyle name="Heading 3 2 4 5" xfId="393" xr:uid="{00000000-0005-0000-0000-0000E8000000}"/>
    <cellStyle name="Heading 3 2 5" xfId="394" xr:uid="{00000000-0005-0000-0000-0000E9000000}"/>
    <cellStyle name="Heading 3 2 5 2" xfId="395" xr:uid="{00000000-0005-0000-0000-0000EA000000}"/>
    <cellStyle name="Heading 3 2 5 2 2" xfId="396" xr:uid="{00000000-0005-0000-0000-0000EB000000}"/>
    <cellStyle name="Heading 3 2 5 2 3" xfId="397" xr:uid="{00000000-0005-0000-0000-0000EC000000}"/>
    <cellStyle name="Heading 3 2 5 2 4" xfId="398" xr:uid="{00000000-0005-0000-0000-0000ED000000}"/>
    <cellStyle name="Heading 3 2 5 3" xfId="399" xr:uid="{00000000-0005-0000-0000-0000EE000000}"/>
    <cellStyle name="Heading 3 2 5 4" xfId="400" xr:uid="{00000000-0005-0000-0000-0000EF000000}"/>
    <cellStyle name="Heading 3 2 5 5" xfId="401" xr:uid="{00000000-0005-0000-0000-0000F0000000}"/>
    <cellStyle name="Heading 3 2 6" xfId="402" xr:uid="{00000000-0005-0000-0000-0000F1000000}"/>
    <cellStyle name="Heading 3 2 6 2" xfId="403" xr:uid="{00000000-0005-0000-0000-0000F2000000}"/>
    <cellStyle name="Heading 3 2 6 3" xfId="404" xr:uid="{00000000-0005-0000-0000-0000F3000000}"/>
    <cellStyle name="Heading 3 2 6 4" xfId="405" xr:uid="{00000000-0005-0000-0000-0000F4000000}"/>
    <cellStyle name="Heading 3 2 7" xfId="406" xr:uid="{00000000-0005-0000-0000-0000F5000000}"/>
    <cellStyle name="Heading 3 2 7 2" xfId="407" xr:uid="{00000000-0005-0000-0000-0000F6000000}"/>
    <cellStyle name="Heading 3 2 7 3" xfId="408" xr:uid="{00000000-0005-0000-0000-0000F7000000}"/>
    <cellStyle name="Heading 3 3" xfId="192" xr:uid="{00000000-0005-0000-0000-0000F8000000}"/>
    <cellStyle name="Heading 4" xfId="11" builtinId="19" hidden="1"/>
    <cellStyle name="Heading 4 2" xfId="193" xr:uid="{00000000-0005-0000-0000-0000FA000000}"/>
    <cellStyle name="Heading 4 2 2" xfId="194" xr:uid="{00000000-0005-0000-0000-0000FB000000}"/>
    <cellStyle name="Heading 4 3" xfId="195" xr:uid="{00000000-0005-0000-0000-0000FC000000}"/>
    <cellStyle name="Heading(4)" xfId="196" xr:uid="{00000000-0005-0000-0000-0000FD000000}"/>
    <cellStyle name="Hyperlink 2" xfId="197" xr:uid="{00000000-0005-0000-0000-0000FE000000}"/>
    <cellStyle name="Hyperlink 2 2" xfId="410" xr:uid="{00000000-0005-0000-0000-0000FF000000}"/>
    <cellStyle name="Hyperlink 2 3" xfId="411" xr:uid="{00000000-0005-0000-0000-000000010000}"/>
    <cellStyle name="Hyperlink 2 4" xfId="409" xr:uid="{00000000-0005-0000-0000-000001010000}"/>
    <cellStyle name="Hyperlink 3" xfId="412" xr:uid="{00000000-0005-0000-0000-000002010000}"/>
    <cellStyle name="Hyperlink 4" xfId="413" xr:uid="{00000000-0005-0000-0000-000003010000}"/>
    <cellStyle name="Hyperlink Arrow" xfId="198" xr:uid="{00000000-0005-0000-0000-000004010000}"/>
    <cellStyle name="Hyperlink Text" xfId="199" xr:uid="{00000000-0005-0000-0000-000005010000}"/>
    <cellStyle name="import" xfId="414" xr:uid="{00000000-0005-0000-0000-000006010000}"/>
    <cellStyle name="import%" xfId="415" xr:uid="{00000000-0005-0000-0000-000007010000}"/>
    <cellStyle name="import_ICRC Electricity model 1-1  (1 Feb 2003) " xfId="200" xr:uid="{00000000-0005-0000-0000-000008010000}"/>
    <cellStyle name="Input" xfId="15" builtinId="20" hidden="1"/>
    <cellStyle name="Input 2" xfId="201" xr:uid="{00000000-0005-0000-0000-00000A010000}"/>
    <cellStyle name="Input 2 2" xfId="416" xr:uid="{00000000-0005-0000-0000-00000B010000}"/>
    <cellStyle name="Input 2 3" xfId="417" xr:uid="{00000000-0005-0000-0000-00000C010000}"/>
    <cellStyle name="Input Cell" xfId="51" xr:uid="{00000000-0005-0000-0000-00000D010000}"/>
    <cellStyle name="Input1" xfId="202" xr:uid="{00000000-0005-0000-0000-00000E010000}"/>
    <cellStyle name="Input1 2" xfId="203" xr:uid="{00000000-0005-0000-0000-00000F010000}"/>
    <cellStyle name="Input1 2 2" xfId="418" xr:uid="{00000000-0005-0000-0000-000010010000}"/>
    <cellStyle name="Input1 3" xfId="419" xr:uid="{00000000-0005-0000-0000-000011010000}"/>
    <cellStyle name="Input1 3 2" xfId="420" xr:uid="{00000000-0005-0000-0000-000012010000}"/>
    <cellStyle name="Input1 4" xfId="421" xr:uid="{00000000-0005-0000-0000-000013010000}"/>
    <cellStyle name="Input1 5" xfId="422" xr:uid="{00000000-0005-0000-0000-000014010000}"/>
    <cellStyle name="Input1%" xfId="423" xr:uid="{00000000-0005-0000-0000-000015010000}"/>
    <cellStyle name="Input1_ICRC Electricity model 1-1  (1 Feb 2003) " xfId="204" xr:uid="{00000000-0005-0000-0000-000016010000}"/>
    <cellStyle name="Input1default" xfId="424" xr:uid="{00000000-0005-0000-0000-000017010000}"/>
    <cellStyle name="Input1default%" xfId="425" xr:uid="{00000000-0005-0000-0000-000018010000}"/>
    <cellStyle name="Input2" xfId="205" xr:uid="{00000000-0005-0000-0000-000019010000}"/>
    <cellStyle name="Input2 2" xfId="206" xr:uid="{00000000-0005-0000-0000-00001A010000}"/>
    <cellStyle name="Input2 3" xfId="426" xr:uid="{00000000-0005-0000-0000-00001B010000}"/>
    <cellStyle name="Input3" xfId="207" xr:uid="{00000000-0005-0000-0000-00001C010000}"/>
    <cellStyle name="Input3 2" xfId="208" xr:uid="{00000000-0005-0000-0000-00001D010000}"/>
    <cellStyle name="Input3 3" xfId="427" xr:uid="{00000000-0005-0000-0000-00001E010000}"/>
    <cellStyle name="InputCell" xfId="428" xr:uid="{00000000-0005-0000-0000-00001F010000}"/>
    <cellStyle name="InputCell 2" xfId="429" xr:uid="{00000000-0005-0000-0000-000020010000}"/>
    <cellStyle name="InputCell 3" xfId="430" xr:uid="{00000000-0005-0000-0000-000021010000}"/>
    <cellStyle name="InputCellText" xfId="431" xr:uid="{00000000-0005-0000-0000-000022010000}"/>
    <cellStyle name="InputCellText 2" xfId="432" xr:uid="{00000000-0005-0000-0000-000023010000}"/>
    <cellStyle name="InputCellText 3" xfId="433" xr:uid="{00000000-0005-0000-0000-000024010000}"/>
    <cellStyle name="key result" xfId="434" xr:uid="{00000000-0005-0000-0000-000025010000}"/>
    <cellStyle name="Lines" xfId="209" xr:uid="{00000000-0005-0000-0000-000026010000}"/>
    <cellStyle name="Linked Cell" xfId="18" builtinId="24" hidden="1"/>
    <cellStyle name="Linked Cell 2" xfId="210" xr:uid="{00000000-0005-0000-0000-000028010000}"/>
    <cellStyle name="Local import" xfId="435" xr:uid="{00000000-0005-0000-0000-000029010000}"/>
    <cellStyle name="Local import %" xfId="436" xr:uid="{00000000-0005-0000-0000-00002A010000}"/>
    <cellStyle name="Mine" xfId="211" xr:uid="{00000000-0005-0000-0000-00002B010000}"/>
    <cellStyle name="Model Name" xfId="212" xr:uid="{00000000-0005-0000-0000-00002C010000}"/>
    <cellStyle name="Neutral" xfId="14" builtinId="28" hidden="1"/>
    <cellStyle name="Neutral 2" xfId="213" xr:uid="{00000000-0005-0000-0000-00002E010000}"/>
    <cellStyle name="NonInputCell" xfId="437" xr:uid="{00000000-0005-0000-0000-00002F010000}"/>
    <cellStyle name="NonInputCell 2" xfId="438" xr:uid="{00000000-0005-0000-0000-000030010000}"/>
    <cellStyle name="NonInputCell 3" xfId="439" xr:uid="{00000000-0005-0000-0000-000031010000}"/>
    <cellStyle name="Normal" xfId="0" builtinId="0" customBuiltin="1"/>
    <cellStyle name="Normal - Style1" xfId="214" xr:uid="{00000000-0005-0000-0000-000033010000}"/>
    <cellStyle name="Normal 10" xfId="60" xr:uid="{00000000-0005-0000-0000-000034010000}"/>
    <cellStyle name="Normal 10 2" xfId="440" xr:uid="{00000000-0005-0000-0000-000035010000}"/>
    <cellStyle name="Normal 10 3" xfId="330" xr:uid="{00000000-0005-0000-0000-000036010000}"/>
    <cellStyle name="Normal 11" xfId="441" xr:uid="{00000000-0005-0000-0000-000037010000}"/>
    <cellStyle name="Normal 11 2" xfId="442" xr:uid="{00000000-0005-0000-0000-000038010000}"/>
    <cellStyle name="Normal 11 3" xfId="443" xr:uid="{00000000-0005-0000-0000-000039010000}"/>
    <cellStyle name="Normal 11 4" xfId="444" xr:uid="{00000000-0005-0000-0000-00003A010000}"/>
    <cellStyle name="Normal 114" xfId="85" xr:uid="{00000000-0005-0000-0000-00003B010000}"/>
    <cellStyle name="Normal 114 2" xfId="445" xr:uid="{00000000-0005-0000-0000-00003C010000}"/>
    <cellStyle name="Normal 12" xfId="446" xr:uid="{00000000-0005-0000-0000-00003D010000}"/>
    <cellStyle name="Normal 12 2" xfId="447" xr:uid="{00000000-0005-0000-0000-00003E010000}"/>
    <cellStyle name="Normal 13" xfId="215" xr:uid="{00000000-0005-0000-0000-00003F010000}"/>
    <cellStyle name="Normal 13 2" xfId="84" xr:uid="{00000000-0005-0000-0000-000040010000}"/>
    <cellStyle name="Normal 13 3" xfId="637" xr:uid="{C745F23A-5C77-4DE1-994F-5E234F8D6C77}"/>
    <cellStyle name="Normal 13_29(d) - Gas extensions -tariffs" xfId="216" xr:uid="{00000000-0005-0000-0000-000041010000}"/>
    <cellStyle name="Normal 14" xfId="333" xr:uid="{00000000-0005-0000-0000-000042010000}"/>
    <cellStyle name="Normal 14 2" xfId="448" xr:uid="{00000000-0005-0000-0000-000043010000}"/>
    <cellStyle name="Normal 14 3" xfId="449" xr:uid="{00000000-0005-0000-0000-000044010000}"/>
    <cellStyle name="Normal 14 3 2" xfId="450" xr:uid="{00000000-0005-0000-0000-000045010000}"/>
    <cellStyle name="Normal 14 3 3" xfId="451" xr:uid="{00000000-0005-0000-0000-000046010000}"/>
    <cellStyle name="Normal 14 4" xfId="452" xr:uid="{00000000-0005-0000-0000-000047010000}"/>
    <cellStyle name="Normal 14 5" xfId="453" xr:uid="{00000000-0005-0000-0000-000048010000}"/>
    <cellStyle name="Normal 15" xfId="217" xr:uid="{00000000-0005-0000-0000-000049010000}"/>
    <cellStyle name="Normal 15 2" xfId="454" xr:uid="{00000000-0005-0000-0000-00004A010000}"/>
    <cellStyle name="Normal 16" xfId="218" xr:uid="{00000000-0005-0000-0000-00004B010000}"/>
    <cellStyle name="Normal 16 2" xfId="456" xr:uid="{00000000-0005-0000-0000-00004C010000}"/>
    <cellStyle name="Normal 16 2 2" xfId="636" xr:uid="{A1B52380-EE3B-4645-9AB1-555D7D3ACD73}"/>
    <cellStyle name="Normal 16 3" xfId="455" xr:uid="{00000000-0005-0000-0000-00004D010000}"/>
    <cellStyle name="Normal 17" xfId="457" xr:uid="{00000000-0005-0000-0000-00004E010000}"/>
    <cellStyle name="Normal 17 2" xfId="458" xr:uid="{00000000-0005-0000-0000-00004F010000}"/>
    <cellStyle name="Normal 17 2 2" xfId="459" xr:uid="{00000000-0005-0000-0000-000050010000}"/>
    <cellStyle name="Normal 17 2 2 2" xfId="460" xr:uid="{00000000-0005-0000-0000-000051010000}"/>
    <cellStyle name="Normal 17 2 2 3" xfId="461" xr:uid="{00000000-0005-0000-0000-000052010000}"/>
    <cellStyle name="Normal 17 2 3" xfId="462" xr:uid="{00000000-0005-0000-0000-000053010000}"/>
    <cellStyle name="Normal 17 2 4" xfId="463" xr:uid="{00000000-0005-0000-0000-000054010000}"/>
    <cellStyle name="Normal 17 3" xfId="464" xr:uid="{00000000-0005-0000-0000-000055010000}"/>
    <cellStyle name="Normal 17 3 2" xfId="465" xr:uid="{00000000-0005-0000-0000-000056010000}"/>
    <cellStyle name="Normal 17 3 2 2" xfId="466" xr:uid="{00000000-0005-0000-0000-000057010000}"/>
    <cellStyle name="Normal 17 3 2 3" xfId="467" xr:uid="{00000000-0005-0000-0000-000058010000}"/>
    <cellStyle name="Normal 17 3 3" xfId="468" xr:uid="{00000000-0005-0000-0000-000059010000}"/>
    <cellStyle name="Normal 17 3 4" xfId="469" xr:uid="{00000000-0005-0000-0000-00005A010000}"/>
    <cellStyle name="Normal 17 4" xfId="470" xr:uid="{00000000-0005-0000-0000-00005B010000}"/>
    <cellStyle name="Normal 17 4 2" xfId="471" xr:uid="{00000000-0005-0000-0000-00005C010000}"/>
    <cellStyle name="Normal 17 4 3" xfId="472" xr:uid="{00000000-0005-0000-0000-00005D010000}"/>
    <cellStyle name="Normal 17 5" xfId="473" xr:uid="{00000000-0005-0000-0000-00005E010000}"/>
    <cellStyle name="Normal 17 6" xfId="474" xr:uid="{00000000-0005-0000-0000-00005F010000}"/>
    <cellStyle name="Normal 18" xfId="475" xr:uid="{00000000-0005-0000-0000-000060010000}"/>
    <cellStyle name="Normal 18 2" xfId="476" xr:uid="{00000000-0005-0000-0000-000061010000}"/>
    <cellStyle name="Normal 19" xfId="477" xr:uid="{00000000-0005-0000-0000-000062010000}"/>
    <cellStyle name="Normal 2" xfId="58" xr:uid="{00000000-0005-0000-0000-000063010000}"/>
    <cellStyle name="Normal 2 10" xfId="327" xr:uid="{00000000-0005-0000-0000-000064010000}"/>
    <cellStyle name="Normal 2 11" xfId="83" xr:uid="{00000000-0005-0000-0000-000065010000}"/>
    <cellStyle name="Normal 2 12" xfId="478" xr:uid="{00000000-0005-0000-0000-000066010000}"/>
    <cellStyle name="Normal 2 2" xfId="219" xr:uid="{00000000-0005-0000-0000-000067010000}"/>
    <cellStyle name="Normal 2 2 2" xfId="220" xr:uid="{00000000-0005-0000-0000-000068010000}"/>
    <cellStyle name="Normal 2 2 3" xfId="479" xr:uid="{00000000-0005-0000-0000-000069010000}"/>
    <cellStyle name="Normal 2 2 4" xfId="480" xr:uid="{00000000-0005-0000-0000-00006A010000}"/>
    <cellStyle name="Normal 2 2 5" xfId="481" xr:uid="{00000000-0005-0000-0000-00006B010000}"/>
    <cellStyle name="Normal 2 3" xfId="221" xr:uid="{00000000-0005-0000-0000-00006C010000}"/>
    <cellStyle name="Normal 2 3 2" xfId="222" xr:uid="{00000000-0005-0000-0000-00006D010000}"/>
    <cellStyle name="Normal 2 3_29(d) - Gas extensions -tariffs" xfId="223" xr:uid="{00000000-0005-0000-0000-00006E010000}"/>
    <cellStyle name="Normal 2 4" xfId="224" xr:uid="{00000000-0005-0000-0000-00006F010000}"/>
    <cellStyle name="Normal 2 4 2" xfId="482" xr:uid="{00000000-0005-0000-0000-000070010000}"/>
    <cellStyle name="Normal 2 4 3" xfId="483" xr:uid="{00000000-0005-0000-0000-000071010000}"/>
    <cellStyle name="Normal 2 5" xfId="225" xr:uid="{00000000-0005-0000-0000-000072010000}"/>
    <cellStyle name="Normal 2 6" xfId="322" xr:uid="{00000000-0005-0000-0000-000073010000}"/>
    <cellStyle name="Normal 2 7" xfId="321" xr:uid="{00000000-0005-0000-0000-000074010000}"/>
    <cellStyle name="Normal 2 8" xfId="325" xr:uid="{00000000-0005-0000-0000-000075010000}"/>
    <cellStyle name="Normal 2 9" xfId="326" xr:uid="{00000000-0005-0000-0000-000076010000}"/>
    <cellStyle name="Normal 2_29(d) - Gas extensions -tariffs" xfId="226" xr:uid="{00000000-0005-0000-0000-000077010000}"/>
    <cellStyle name="Normal 20" xfId="484" xr:uid="{00000000-0005-0000-0000-000078010000}"/>
    <cellStyle name="Normal 20 2" xfId="485" xr:uid="{00000000-0005-0000-0000-000079010000}"/>
    <cellStyle name="Normal 20 2 2" xfId="486" xr:uid="{00000000-0005-0000-0000-00007A010000}"/>
    <cellStyle name="Normal 20 3" xfId="487" xr:uid="{00000000-0005-0000-0000-00007B010000}"/>
    <cellStyle name="Normal 20 4" xfId="488" xr:uid="{00000000-0005-0000-0000-00007C010000}"/>
    <cellStyle name="Normal 21" xfId="489" xr:uid="{00000000-0005-0000-0000-00007D010000}"/>
    <cellStyle name="Normal 21 2" xfId="490" xr:uid="{00000000-0005-0000-0000-00007E010000}"/>
    <cellStyle name="Normal 21 3" xfId="491" xr:uid="{00000000-0005-0000-0000-00007F010000}"/>
    <cellStyle name="Normal 22" xfId="492" xr:uid="{00000000-0005-0000-0000-000080010000}"/>
    <cellStyle name="Normal 23" xfId="493" xr:uid="{00000000-0005-0000-0000-000081010000}"/>
    <cellStyle name="Normal 23 2" xfId="494" xr:uid="{00000000-0005-0000-0000-000082010000}"/>
    <cellStyle name="Normal 23 2 2" xfId="495" xr:uid="{00000000-0005-0000-0000-000083010000}"/>
    <cellStyle name="Normal 23 3" xfId="496" xr:uid="{00000000-0005-0000-0000-000084010000}"/>
    <cellStyle name="Normal 23 4" xfId="497" xr:uid="{00000000-0005-0000-0000-000085010000}"/>
    <cellStyle name="Normal 24" xfId="498" xr:uid="{00000000-0005-0000-0000-000086010000}"/>
    <cellStyle name="Normal 24 2" xfId="499" xr:uid="{00000000-0005-0000-0000-000087010000}"/>
    <cellStyle name="Normal 24 2 2" xfId="500" xr:uid="{00000000-0005-0000-0000-000088010000}"/>
    <cellStyle name="Normal 24 3" xfId="501" xr:uid="{00000000-0005-0000-0000-000089010000}"/>
    <cellStyle name="Normal 24 4" xfId="502" xr:uid="{00000000-0005-0000-0000-00008A010000}"/>
    <cellStyle name="Normal 25" xfId="503" xr:uid="{00000000-0005-0000-0000-00008B010000}"/>
    <cellStyle name="Normal 25 2" xfId="504" xr:uid="{00000000-0005-0000-0000-00008C010000}"/>
    <cellStyle name="Normal 25 2 2" xfId="505" xr:uid="{00000000-0005-0000-0000-00008D010000}"/>
    <cellStyle name="Normal 25 3" xfId="506" xr:uid="{00000000-0005-0000-0000-00008E010000}"/>
    <cellStyle name="Normal 25 4" xfId="507" xr:uid="{00000000-0005-0000-0000-00008F010000}"/>
    <cellStyle name="Normal 26" xfId="508" xr:uid="{00000000-0005-0000-0000-000090010000}"/>
    <cellStyle name="Normal 26 2" xfId="509" xr:uid="{00000000-0005-0000-0000-000091010000}"/>
    <cellStyle name="Normal 26 2 2" xfId="510" xr:uid="{00000000-0005-0000-0000-000092010000}"/>
    <cellStyle name="Normal 26 3" xfId="511" xr:uid="{00000000-0005-0000-0000-000093010000}"/>
    <cellStyle name="Normal 26 4" xfId="512" xr:uid="{00000000-0005-0000-0000-000094010000}"/>
    <cellStyle name="Normal 27" xfId="513" xr:uid="{00000000-0005-0000-0000-000095010000}"/>
    <cellStyle name="Normal 28" xfId="331" xr:uid="{00000000-0005-0000-0000-000096010000}"/>
    <cellStyle name="Normal 29" xfId="514" xr:uid="{00000000-0005-0000-0000-000097010000}"/>
    <cellStyle name="Normal 3" xfId="57" xr:uid="{00000000-0005-0000-0000-000098010000}"/>
    <cellStyle name="Normal 3 2" xfId="228" xr:uid="{00000000-0005-0000-0000-000099010000}"/>
    <cellStyle name="Normal 3 3" xfId="227" xr:uid="{00000000-0005-0000-0000-00009A010000}"/>
    <cellStyle name="Normal 3 3 2" xfId="516" xr:uid="{00000000-0005-0000-0000-00009B010000}"/>
    <cellStyle name="Normal 3 3 3" xfId="517" xr:uid="{00000000-0005-0000-0000-00009C010000}"/>
    <cellStyle name="Normal 3 3 4" xfId="515" xr:uid="{00000000-0005-0000-0000-00009D010000}"/>
    <cellStyle name="Normal 3 4" xfId="518" xr:uid="{00000000-0005-0000-0000-00009E010000}"/>
    <cellStyle name="Normal 3 5" xfId="519" xr:uid="{00000000-0005-0000-0000-00009F010000}"/>
    <cellStyle name="Normal 3 5 2" xfId="520" xr:uid="{00000000-0005-0000-0000-0000A0010000}"/>
    <cellStyle name="Normal 3 5 3" xfId="521" xr:uid="{00000000-0005-0000-0000-0000A1010000}"/>
    <cellStyle name="Normal 3_29(d) - Gas extensions -tariffs" xfId="229" xr:uid="{00000000-0005-0000-0000-0000A2010000}"/>
    <cellStyle name="Normal 30" xfId="522" xr:uid="{00000000-0005-0000-0000-0000A3010000}"/>
    <cellStyle name="Normal 31" xfId="523" xr:uid="{00000000-0005-0000-0000-0000A4010000}"/>
    <cellStyle name="Normal 32" xfId="334" xr:uid="{00000000-0005-0000-0000-0000A5010000}"/>
    <cellStyle name="Normal 33" xfId="524" xr:uid="{00000000-0005-0000-0000-0000A6010000}"/>
    <cellStyle name="Normal 34" xfId="525" xr:uid="{00000000-0005-0000-0000-0000A7010000}"/>
    <cellStyle name="Normal 35" xfId="328" xr:uid="{00000000-0005-0000-0000-0000A8010000}"/>
    <cellStyle name="Normal 36" xfId="329" xr:uid="{00000000-0005-0000-0000-0000A9010000}"/>
    <cellStyle name="Normal 37" xfId="625" xr:uid="{00000000-0005-0000-0000-0000AA010000}"/>
    <cellStyle name="Normal 38" xfId="230" xr:uid="{00000000-0005-0000-0000-0000AB010000}"/>
    <cellStyle name="Normal 38 2" xfId="231" xr:uid="{00000000-0005-0000-0000-0000AC010000}"/>
    <cellStyle name="Normal 38_29(d) - Gas extensions -tariffs" xfId="232" xr:uid="{00000000-0005-0000-0000-0000AD010000}"/>
    <cellStyle name="Normal 39" xfId="633" xr:uid="{1D2571D4-9D49-4EF9-A34D-9BFF0A57C017}"/>
    <cellStyle name="Normal 4" xfId="55" xr:uid="{00000000-0005-0000-0000-0000AE010000}"/>
    <cellStyle name="Normal 4 2" xfId="233" xr:uid="{00000000-0005-0000-0000-0000AF010000}"/>
    <cellStyle name="Normal 4 2 2" xfId="526" xr:uid="{00000000-0005-0000-0000-0000B0010000}"/>
    <cellStyle name="Normal 4 2 2 2" xfId="527" xr:uid="{00000000-0005-0000-0000-0000B1010000}"/>
    <cellStyle name="Normal 4 2 2 2 2" xfId="528" xr:uid="{00000000-0005-0000-0000-0000B2010000}"/>
    <cellStyle name="Normal 4 2 2 2 3" xfId="529" xr:uid="{00000000-0005-0000-0000-0000B3010000}"/>
    <cellStyle name="Normal 4 2 2 3" xfId="530" xr:uid="{00000000-0005-0000-0000-0000B4010000}"/>
    <cellStyle name="Normal 4 2 2 4" xfId="531" xr:uid="{00000000-0005-0000-0000-0000B5010000}"/>
    <cellStyle name="Normal 4 2 3" xfId="532" xr:uid="{00000000-0005-0000-0000-0000B6010000}"/>
    <cellStyle name="Normal 4 2 3 2" xfId="533" xr:uid="{00000000-0005-0000-0000-0000B7010000}"/>
    <cellStyle name="Normal 4 2 3 2 2" xfId="534" xr:uid="{00000000-0005-0000-0000-0000B8010000}"/>
    <cellStyle name="Normal 4 2 3 2 3" xfId="535" xr:uid="{00000000-0005-0000-0000-0000B9010000}"/>
    <cellStyle name="Normal 4 2 3 3" xfId="536" xr:uid="{00000000-0005-0000-0000-0000BA010000}"/>
    <cellStyle name="Normal 4 2 3 4" xfId="537" xr:uid="{00000000-0005-0000-0000-0000BB010000}"/>
    <cellStyle name="Normal 4 3" xfId="234" xr:uid="{00000000-0005-0000-0000-0000BC010000}"/>
    <cellStyle name="Normal 4 3 2" xfId="538" xr:uid="{00000000-0005-0000-0000-0000BD010000}"/>
    <cellStyle name="Normal 4 3 2 2" xfId="539" xr:uid="{00000000-0005-0000-0000-0000BE010000}"/>
    <cellStyle name="Normal 4 3 2 3" xfId="540" xr:uid="{00000000-0005-0000-0000-0000BF010000}"/>
    <cellStyle name="Normal 4 3 3" xfId="541" xr:uid="{00000000-0005-0000-0000-0000C0010000}"/>
    <cellStyle name="Normal 4 3 3 2" xfId="542" xr:uid="{00000000-0005-0000-0000-0000C1010000}"/>
    <cellStyle name="Normal 4 3 4" xfId="543" xr:uid="{00000000-0005-0000-0000-0000C2010000}"/>
    <cellStyle name="Normal 4 4" xfId="544" xr:uid="{00000000-0005-0000-0000-0000C3010000}"/>
    <cellStyle name="Normal 4 5" xfId="545" xr:uid="{00000000-0005-0000-0000-0000C4010000}"/>
    <cellStyle name="Normal 4 6" xfId="546" xr:uid="{00000000-0005-0000-0000-0000C5010000}"/>
    <cellStyle name="Normal 4_29(d) - Gas extensions -tariffs" xfId="235" xr:uid="{00000000-0005-0000-0000-0000C6010000}"/>
    <cellStyle name="Normal 40" xfId="236" xr:uid="{00000000-0005-0000-0000-0000C7010000}"/>
    <cellStyle name="Normal 40 2" xfId="237" xr:uid="{00000000-0005-0000-0000-0000C8010000}"/>
    <cellStyle name="Normal 40_29(d) - Gas extensions -tariffs" xfId="238" xr:uid="{00000000-0005-0000-0000-0000C9010000}"/>
    <cellStyle name="Normal 41" xfId="646" xr:uid="{047F8A87-CDEB-4238-AD90-5CBD670ADC46}"/>
    <cellStyle name="Normal 42" xfId="647" xr:uid="{4E4D16C7-3602-4801-8697-3E11A2A245EE}"/>
    <cellStyle name="Normal 5" xfId="239" xr:uid="{00000000-0005-0000-0000-0000CA010000}"/>
    <cellStyle name="Normal 5 2" xfId="240" xr:uid="{00000000-0005-0000-0000-0000CB010000}"/>
    <cellStyle name="Normal 5 3" xfId="547" xr:uid="{00000000-0005-0000-0000-0000CC010000}"/>
    <cellStyle name="Normal 6" xfId="241" xr:uid="{00000000-0005-0000-0000-0000CD010000}"/>
    <cellStyle name="Normal 6 2" xfId="242" xr:uid="{00000000-0005-0000-0000-0000CE010000}"/>
    <cellStyle name="Normal 6 2 2" xfId="549" xr:uid="{00000000-0005-0000-0000-0000CF010000}"/>
    <cellStyle name="Normal 6 2 3" xfId="548" xr:uid="{00000000-0005-0000-0000-0000D0010000}"/>
    <cellStyle name="Normal 7" xfId="243" xr:uid="{00000000-0005-0000-0000-0000D1010000}"/>
    <cellStyle name="Normal 7 2" xfId="244" xr:uid="{00000000-0005-0000-0000-0000D2010000}"/>
    <cellStyle name="Normal 7 2 2" xfId="550" xr:uid="{00000000-0005-0000-0000-0000D3010000}"/>
    <cellStyle name="Normal 7 2 2 2" xfId="551" xr:uid="{00000000-0005-0000-0000-0000D4010000}"/>
    <cellStyle name="Normal 7 2 2 3" xfId="552" xr:uid="{00000000-0005-0000-0000-0000D5010000}"/>
    <cellStyle name="Normal 7 2 3" xfId="553" xr:uid="{00000000-0005-0000-0000-0000D6010000}"/>
    <cellStyle name="Normal 7 2 4" xfId="554" xr:uid="{00000000-0005-0000-0000-0000D7010000}"/>
    <cellStyle name="Normal 8" xfId="245" xr:uid="{00000000-0005-0000-0000-0000D8010000}"/>
    <cellStyle name="Normal 8 2" xfId="555" xr:uid="{00000000-0005-0000-0000-0000D9010000}"/>
    <cellStyle name="Normal 8 2 2" xfId="556" xr:uid="{00000000-0005-0000-0000-0000DA010000}"/>
    <cellStyle name="Normal 8 2 3" xfId="557" xr:uid="{00000000-0005-0000-0000-0000DB010000}"/>
    <cellStyle name="Normal 8 2 3 2" xfId="558" xr:uid="{00000000-0005-0000-0000-0000DC010000}"/>
    <cellStyle name="Normal 8 2 3 3" xfId="559" xr:uid="{00000000-0005-0000-0000-0000DD010000}"/>
    <cellStyle name="Normal 8 2 4" xfId="560" xr:uid="{00000000-0005-0000-0000-0000DE010000}"/>
    <cellStyle name="Normal 9" xfId="246" xr:uid="{00000000-0005-0000-0000-0000DF010000}"/>
    <cellStyle name="Normal 9 2" xfId="561" xr:uid="{00000000-0005-0000-0000-0000E0010000}"/>
    <cellStyle name="Note" xfId="21" builtinId="10" hidden="1"/>
    <cellStyle name="Note 2" xfId="247" xr:uid="{00000000-0005-0000-0000-0000E2010000}"/>
    <cellStyle name="Note 2 2" xfId="562" xr:uid="{00000000-0005-0000-0000-0000E3010000}"/>
    <cellStyle name="Note 2 3" xfId="563" xr:uid="{00000000-0005-0000-0000-0000E4010000}"/>
    <cellStyle name="Note 3" xfId="564" xr:uid="{00000000-0005-0000-0000-0000E5010000}"/>
    <cellStyle name="Note 3 2" xfId="565" xr:uid="{00000000-0005-0000-0000-0000E6010000}"/>
    <cellStyle name="Note 3 3" xfId="566" xr:uid="{00000000-0005-0000-0000-0000E7010000}"/>
    <cellStyle name="Note 4" xfId="567" xr:uid="{00000000-0005-0000-0000-0000E8010000}"/>
    <cellStyle name="Note 4 2" xfId="568" xr:uid="{00000000-0005-0000-0000-0000E9010000}"/>
    <cellStyle name="Note 4 3" xfId="569" xr:uid="{00000000-0005-0000-0000-0000EA010000}"/>
    <cellStyle name="Output" xfId="16" builtinId="21" hidden="1"/>
    <cellStyle name="Output 2" xfId="248" xr:uid="{00000000-0005-0000-0000-0000EC010000}"/>
    <cellStyle name="Output 2 2" xfId="570" xr:uid="{00000000-0005-0000-0000-0000ED010000}"/>
    <cellStyle name="Output 2 3" xfId="571" xr:uid="{00000000-0005-0000-0000-0000EE010000}"/>
    <cellStyle name="Output Cell" xfId="54" xr:uid="{00000000-0005-0000-0000-0000EF010000}"/>
    <cellStyle name="Parameter Cell" xfId="53" xr:uid="{00000000-0005-0000-0000-0000F0010000}"/>
    <cellStyle name="Percent" xfId="6" builtinId="5" hidden="1"/>
    <cellStyle name="Percent" xfId="634" builtinId="5"/>
    <cellStyle name="Percent [2]" xfId="249" xr:uid="{00000000-0005-0000-0000-0000F2010000}"/>
    <cellStyle name="Percent [2] 2" xfId="250" xr:uid="{00000000-0005-0000-0000-0000F3010000}"/>
    <cellStyle name="Percent [2]_29(d) - Gas extensions -tariffs" xfId="251" xr:uid="{00000000-0005-0000-0000-0000F4010000}"/>
    <cellStyle name="Percent 12" xfId="572" xr:uid="{00000000-0005-0000-0000-0000F5010000}"/>
    <cellStyle name="Percent 12 2" xfId="573" xr:uid="{00000000-0005-0000-0000-0000F6010000}"/>
    <cellStyle name="Percent 12 2 2" xfId="574" xr:uid="{00000000-0005-0000-0000-0000F7010000}"/>
    <cellStyle name="Percent 12 3" xfId="575" xr:uid="{00000000-0005-0000-0000-0000F8010000}"/>
    <cellStyle name="Percent 12 4" xfId="576" xr:uid="{00000000-0005-0000-0000-0000F9010000}"/>
    <cellStyle name="Percent 2" xfId="56" xr:uid="{00000000-0005-0000-0000-0000FA010000}"/>
    <cellStyle name="Percent 2 2" xfId="252" xr:uid="{00000000-0005-0000-0000-0000FB010000}"/>
    <cellStyle name="Percent 2 2 2" xfId="577" xr:uid="{00000000-0005-0000-0000-0000FC010000}"/>
    <cellStyle name="Percent 2 2 2 2" xfId="578" xr:uid="{00000000-0005-0000-0000-0000FD010000}"/>
    <cellStyle name="Percent 2 2 2 2 2" xfId="579" xr:uid="{00000000-0005-0000-0000-0000FE010000}"/>
    <cellStyle name="Percent 2 2 2 2 3" xfId="580" xr:uid="{00000000-0005-0000-0000-0000FF010000}"/>
    <cellStyle name="Percent 2 2 2 3" xfId="581" xr:uid="{00000000-0005-0000-0000-000000020000}"/>
    <cellStyle name="Percent 2 2 2 4" xfId="582" xr:uid="{00000000-0005-0000-0000-000001020000}"/>
    <cellStyle name="Percent 2 2 3" xfId="583" xr:uid="{00000000-0005-0000-0000-000002020000}"/>
    <cellStyle name="Percent 2 2 3 2" xfId="584" xr:uid="{00000000-0005-0000-0000-000003020000}"/>
    <cellStyle name="Percent 2 2 3 2 2" xfId="585" xr:uid="{00000000-0005-0000-0000-000004020000}"/>
    <cellStyle name="Percent 2 2 3 2 3" xfId="586" xr:uid="{00000000-0005-0000-0000-000005020000}"/>
    <cellStyle name="Percent 2 2 3 3" xfId="587" xr:uid="{00000000-0005-0000-0000-000006020000}"/>
    <cellStyle name="Percent 2 2 3 4" xfId="588" xr:uid="{00000000-0005-0000-0000-000007020000}"/>
    <cellStyle name="Percent 2 3" xfId="589" xr:uid="{00000000-0005-0000-0000-000008020000}"/>
    <cellStyle name="Percent 2 3 2" xfId="590" xr:uid="{00000000-0005-0000-0000-000009020000}"/>
    <cellStyle name="Percent 2 3 2 2" xfId="591" xr:uid="{00000000-0005-0000-0000-00000A020000}"/>
    <cellStyle name="Percent 2 3 2 3" xfId="592" xr:uid="{00000000-0005-0000-0000-00000B020000}"/>
    <cellStyle name="Percent 2 3 3" xfId="593" xr:uid="{00000000-0005-0000-0000-00000C020000}"/>
    <cellStyle name="Percent 2 3 4" xfId="594" xr:uid="{00000000-0005-0000-0000-00000D020000}"/>
    <cellStyle name="Percent 2 4" xfId="595" xr:uid="{00000000-0005-0000-0000-00000E020000}"/>
    <cellStyle name="Percent 2 4 2" xfId="596" xr:uid="{00000000-0005-0000-0000-00000F020000}"/>
    <cellStyle name="Percent 2 4 2 2" xfId="597" xr:uid="{00000000-0005-0000-0000-000010020000}"/>
    <cellStyle name="Percent 2 4 2 3" xfId="598" xr:uid="{00000000-0005-0000-0000-000011020000}"/>
    <cellStyle name="Percent 2 4 3" xfId="599" xr:uid="{00000000-0005-0000-0000-000012020000}"/>
    <cellStyle name="Percent 2 4 4" xfId="600" xr:uid="{00000000-0005-0000-0000-000013020000}"/>
    <cellStyle name="Percent 3" xfId="253" xr:uid="{00000000-0005-0000-0000-000014020000}"/>
    <cellStyle name="Percent 3 2" xfId="254" xr:uid="{00000000-0005-0000-0000-000015020000}"/>
    <cellStyle name="Percent 3 4" xfId="601" xr:uid="{00000000-0005-0000-0000-000016020000}"/>
    <cellStyle name="Percent 3 4 2" xfId="602" xr:uid="{00000000-0005-0000-0000-000017020000}"/>
    <cellStyle name="Percent 3 4 3" xfId="603" xr:uid="{00000000-0005-0000-0000-000018020000}"/>
    <cellStyle name="Percent 4" xfId="255" xr:uid="{00000000-0005-0000-0000-000019020000}"/>
    <cellStyle name="Percent 5" xfId="604" xr:uid="{00000000-0005-0000-0000-00001A020000}"/>
    <cellStyle name="Percent 5 2" xfId="605" xr:uid="{00000000-0005-0000-0000-00001B020000}"/>
    <cellStyle name="Percent 5 3" xfId="606" xr:uid="{00000000-0005-0000-0000-00001C020000}"/>
    <cellStyle name="Percent 6" xfId="607" xr:uid="{00000000-0005-0000-0000-00001D020000}"/>
    <cellStyle name="Percent 7" xfId="256" xr:uid="{00000000-0005-0000-0000-00001E020000}"/>
    <cellStyle name="Percent 8" xfId="608" xr:uid="{00000000-0005-0000-0000-00001F020000}"/>
    <cellStyle name="Percent 9" xfId="648" xr:uid="{51B19B38-DE1C-4415-B4DC-0299EE4CE40B}"/>
    <cellStyle name="Percentage" xfId="257" xr:uid="{00000000-0005-0000-0000-000020020000}"/>
    <cellStyle name="Period Title" xfId="258" xr:uid="{00000000-0005-0000-0000-000021020000}"/>
    <cellStyle name="PSChar" xfId="259" xr:uid="{00000000-0005-0000-0000-000022020000}"/>
    <cellStyle name="PSDate" xfId="260" xr:uid="{00000000-0005-0000-0000-000023020000}"/>
    <cellStyle name="PSDec" xfId="261" xr:uid="{00000000-0005-0000-0000-000024020000}"/>
    <cellStyle name="PSDetail" xfId="262" xr:uid="{00000000-0005-0000-0000-000025020000}"/>
    <cellStyle name="PSHeading" xfId="263" xr:uid="{00000000-0005-0000-0000-000026020000}"/>
    <cellStyle name="PSHeading 2" xfId="320" xr:uid="{00000000-0005-0000-0000-000027020000}"/>
    <cellStyle name="PSHeading 2 2" xfId="609" xr:uid="{00000000-0005-0000-0000-000028020000}"/>
    <cellStyle name="PSHeading 2 2 2" xfId="628" xr:uid="{00000000-0005-0000-0000-000029020000}"/>
    <cellStyle name="PSHeading 2 3" xfId="627" xr:uid="{00000000-0005-0000-0000-00002A020000}"/>
    <cellStyle name="PSHeading 3" xfId="610" xr:uid="{00000000-0005-0000-0000-00002B020000}"/>
    <cellStyle name="PSHeading 3 2" xfId="611" xr:uid="{00000000-0005-0000-0000-00002C020000}"/>
    <cellStyle name="PSHeading 3 2 2" xfId="612" xr:uid="{00000000-0005-0000-0000-00002D020000}"/>
    <cellStyle name="PSHeading 3 2 2 2" xfId="631" xr:uid="{00000000-0005-0000-0000-00002E020000}"/>
    <cellStyle name="PSHeading 3 2 3" xfId="630" xr:uid="{00000000-0005-0000-0000-00002F020000}"/>
    <cellStyle name="PSHeading 3 3" xfId="629" xr:uid="{00000000-0005-0000-0000-000030020000}"/>
    <cellStyle name="PSHeading 4" xfId="613" xr:uid="{00000000-0005-0000-0000-000031020000}"/>
    <cellStyle name="PSHeading 4 2" xfId="632" xr:uid="{00000000-0005-0000-0000-000032020000}"/>
    <cellStyle name="PSHeading 5" xfId="626" xr:uid="{00000000-0005-0000-0000-000033020000}"/>
    <cellStyle name="PSInt" xfId="264" xr:uid="{00000000-0005-0000-0000-000034020000}"/>
    <cellStyle name="PSSpacer" xfId="265" xr:uid="{00000000-0005-0000-0000-000035020000}"/>
    <cellStyle name="Ratio" xfId="266" xr:uid="{00000000-0005-0000-0000-000036020000}"/>
    <cellStyle name="Ratio 2" xfId="267" xr:uid="{00000000-0005-0000-0000-000037020000}"/>
    <cellStyle name="Ratio_29(d) - Gas extensions -tariffs" xfId="268" xr:uid="{00000000-0005-0000-0000-000038020000}"/>
    <cellStyle name="Right Date" xfId="269" xr:uid="{00000000-0005-0000-0000-000039020000}"/>
    <cellStyle name="Right Number" xfId="270" xr:uid="{00000000-0005-0000-0000-00003A020000}"/>
    <cellStyle name="Right Year" xfId="271" xr:uid="{00000000-0005-0000-0000-00003B020000}"/>
    <cellStyle name="RIN_Input$_3dp" xfId="614" xr:uid="{00000000-0005-0000-0000-00003C020000}"/>
    <cellStyle name="SAPError" xfId="272" xr:uid="{00000000-0005-0000-0000-00003D020000}"/>
    <cellStyle name="SAPError 2" xfId="273" xr:uid="{00000000-0005-0000-0000-00003E020000}"/>
    <cellStyle name="SAPKey" xfId="274" xr:uid="{00000000-0005-0000-0000-00003F020000}"/>
    <cellStyle name="SAPKey 2" xfId="275" xr:uid="{00000000-0005-0000-0000-000040020000}"/>
    <cellStyle name="SAPLocked" xfId="276" xr:uid="{00000000-0005-0000-0000-000041020000}"/>
    <cellStyle name="SAPLocked 2" xfId="277" xr:uid="{00000000-0005-0000-0000-000042020000}"/>
    <cellStyle name="SAPOutput" xfId="278" xr:uid="{00000000-0005-0000-0000-000043020000}"/>
    <cellStyle name="SAPOutput 2" xfId="279" xr:uid="{00000000-0005-0000-0000-000044020000}"/>
    <cellStyle name="SAPSpace" xfId="280" xr:uid="{00000000-0005-0000-0000-000045020000}"/>
    <cellStyle name="SAPSpace 2" xfId="281" xr:uid="{00000000-0005-0000-0000-000046020000}"/>
    <cellStyle name="SAPText" xfId="282" xr:uid="{00000000-0005-0000-0000-000047020000}"/>
    <cellStyle name="SAPText 2" xfId="283" xr:uid="{00000000-0005-0000-0000-000048020000}"/>
    <cellStyle name="SAPUnLocked" xfId="284" xr:uid="{00000000-0005-0000-0000-000049020000}"/>
    <cellStyle name="SAPUnLocked 2" xfId="285" xr:uid="{00000000-0005-0000-0000-00004A020000}"/>
    <cellStyle name="Sheet Title" xfId="286" xr:uid="{00000000-0005-0000-0000-00004B020000}"/>
    <cellStyle name="SheetHeader1" xfId="615" xr:uid="{00000000-0005-0000-0000-00004C020000}"/>
    <cellStyle name="Style 1" xfId="287" xr:uid="{00000000-0005-0000-0000-00004D020000}"/>
    <cellStyle name="Style 1 2" xfId="288" xr:uid="{00000000-0005-0000-0000-00004E020000}"/>
    <cellStyle name="Style 1 2 2" xfId="616" xr:uid="{00000000-0005-0000-0000-00004F020000}"/>
    <cellStyle name="Style 1 3" xfId="617" xr:uid="{00000000-0005-0000-0000-000050020000}"/>
    <cellStyle name="Style 1 3 2" xfId="618" xr:uid="{00000000-0005-0000-0000-000051020000}"/>
    <cellStyle name="Style 1 3 3" xfId="619" xr:uid="{00000000-0005-0000-0000-000052020000}"/>
    <cellStyle name="Style 1 4" xfId="620" xr:uid="{00000000-0005-0000-0000-000053020000}"/>
    <cellStyle name="Style 1_29(d) - Gas extensions -tariffs" xfId="289" xr:uid="{00000000-0005-0000-0000-000054020000}"/>
    <cellStyle name="Style2" xfId="290" xr:uid="{00000000-0005-0000-0000-000055020000}"/>
    <cellStyle name="Style3" xfId="291" xr:uid="{00000000-0005-0000-0000-000056020000}"/>
    <cellStyle name="Style4" xfId="292" xr:uid="{00000000-0005-0000-0000-000057020000}"/>
    <cellStyle name="Style4 2" xfId="293" xr:uid="{00000000-0005-0000-0000-000058020000}"/>
    <cellStyle name="Style4_29(d) - Gas extensions -tariffs" xfId="294" xr:uid="{00000000-0005-0000-0000-000059020000}"/>
    <cellStyle name="Style5" xfId="295" xr:uid="{00000000-0005-0000-0000-00005A020000}"/>
    <cellStyle name="Style5 2" xfId="296" xr:uid="{00000000-0005-0000-0000-00005B020000}"/>
    <cellStyle name="Style5_29(d) - Gas extensions -tariffs" xfId="297" xr:uid="{00000000-0005-0000-0000-00005C020000}"/>
    <cellStyle name="Table Head Green" xfId="298" xr:uid="{00000000-0005-0000-0000-00005D020000}"/>
    <cellStyle name="Table Head_pldt" xfId="299" xr:uid="{00000000-0005-0000-0000-00005E020000}"/>
    <cellStyle name="Table Header" xfId="49" xr:uid="{00000000-0005-0000-0000-00005F020000}"/>
    <cellStyle name="Table Row Name" xfId="50" xr:uid="{00000000-0005-0000-0000-000060020000}"/>
    <cellStyle name="Table Source" xfId="300" xr:uid="{00000000-0005-0000-0000-000061020000}"/>
    <cellStyle name="Table Units" xfId="301" xr:uid="{00000000-0005-0000-0000-000062020000}"/>
    <cellStyle name="TableLvl2" xfId="621" xr:uid="{00000000-0005-0000-0000-000063020000}"/>
    <cellStyle name="TableLvl3" xfId="622" xr:uid="{00000000-0005-0000-0000-000064020000}"/>
    <cellStyle name="Text" xfId="302" xr:uid="{00000000-0005-0000-0000-000065020000}"/>
    <cellStyle name="Text 2" xfId="303" xr:uid="{00000000-0005-0000-0000-000066020000}"/>
    <cellStyle name="Text 3" xfId="304" xr:uid="{00000000-0005-0000-0000-000067020000}"/>
    <cellStyle name="Text Head 1" xfId="305" xr:uid="{00000000-0005-0000-0000-000068020000}"/>
    <cellStyle name="Text Head 2" xfId="306" xr:uid="{00000000-0005-0000-0000-000069020000}"/>
    <cellStyle name="Text Indent 2" xfId="307" xr:uid="{00000000-0005-0000-0000-00006A020000}"/>
    <cellStyle name="Theirs" xfId="308" xr:uid="{00000000-0005-0000-0000-00006B020000}"/>
    <cellStyle name="Title" xfId="7" builtinId="15" hidden="1"/>
    <cellStyle name="Title 2" xfId="309" xr:uid="{00000000-0005-0000-0000-00006D020000}"/>
    <cellStyle name="TOC 1" xfId="310" xr:uid="{00000000-0005-0000-0000-00006E020000}"/>
    <cellStyle name="TOC 2" xfId="311" xr:uid="{00000000-0005-0000-0000-00006F020000}"/>
    <cellStyle name="TOC 3" xfId="312" xr:uid="{00000000-0005-0000-0000-000070020000}"/>
    <cellStyle name="Total" xfId="23" builtinId="25" hidden="1"/>
    <cellStyle name="Total 2" xfId="313" xr:uid="{00000000-0005-0000-0000-000072020000}"/>
    <cellStyle name="Total 2 2" xfId="623" xr:uid="{00000000-0005-0000-0000-000073020000}"/>
    <cellStyle name="Total 2 3" xfId="624" xr:uid="{00000000-0005-0000-0000-000074020000}"/>
    <cellStyle name="Warning Text" xfId="20" builtinId="11" hidden="1"/>
    <cellStyle name="Warning Text 2" xfId="314" xr:uid="{00000000-0005-0000-0000-000076020000}"/>
    <cellStyle name="year" xfId="315" xr:uid="{00000000-0005-0000-0000-000077020000}"/>
    <cellStyle name="year 2" xfId="316" xr:uid="{00000000-0005-0000-0000-000078020000}"/>
    <cellStyle name="year_29(d) - Gas extensions -tariffs" xfId="317" xr:uid="{00000000-0005-0000-0000-000079020000}"/>
  </cellStyles>
  <dxfs count="14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9ECCA6"/>
      <color rgb="FF9EC0DB"/>
      <color rgb="FFE0D4A4"/>
      <color rgb="FFE5BDE6"/>
      <color rgb="FF262D33"/>
      <color rgb="FFF6C1D1"/>
      <color rgb="FFD9DA93"/>
      <color rgb="FF696A6D"/>
      <color rgb="FFA0BCA6"/>
      <color rgb="FF9ECF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'Max demand'!$AJ$17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'Max demand'!$AK$16:$AU$16</c:f>
              <c:numCache>
                <c:formatCode>General</c:formatCode>
                <c:ptCount val="1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</c:numCache>
            </c:numRef>
          </c:cat>
          <c:val>
            <c:numRef>
              <c:f>'Max demand'!$AK$17:$AU$17</c:f>
              <c:numCache>
                <c:formatCode>#,##0</c:formatCode>
                <c:ptCount val="11"/>
                <c:pt idx="0">
                  <c:v>5514.6652206792969</c:v>
                </c:pt>
                <c:pt idx="1">
                  <c:v>5510.3802303517477</c:v>
                </c:pt>
                <c:pt idx="2">
                  <c:v>5527.3204533838643</c:v>
                </c:pt>
                <c:pt idx="3">
                  <c:v>5576.7143919550635</c:v>
                </c:pt>
                <c:pt idx="4">
                  <c:v>5615.086292773758</c:v>
                </c:pt>
                <c:pt idx="5">
                  <c:v>5657.6521838372582</c:v>
                </c:pt>
                <c:pt idx="6">
                  <c:v>5678.2931209907583</c:v>
                </c:pt>
                <c:pt idx="7">
                  <c:v>5726.232178592657</c:v>
                </c:pt>
                <c:pt idx="8">
                  <c:v>5754.8899075560566</c:v>
                </c:pt>
                <c:pt idx="9">
                  <c:v>5779.9973460725578</c:v>
                </c:pt>
                <c:pt idx="10">
                  <c:v>5811.6363142040573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7-4F73-9251-9528F8D9C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30904"/>
        <c:axId val="731931560"/>
      </c:lineChart>
      <c:catAx>
        <c:axId val="731930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31560"/>
        <c:crosses val="autoZero"/>
        <c:auto val="1"/>
        <c:lblAlgn val="ctr"/>
        <c:lblOffset val="100"/>
        <c:noMultiLvlLbl val="0"/>
      </c:catAx>
      <c:valAx>
        <c:axId val="73193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'Max demand'!$B$5</c:f>
              <c:strCache>
                <c:ptCount val="1"/>
                <c:pt idx="0">
                  <c:v>Units: MW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38</xdr:row>
      <xdr:rowOff>125189</xdr:rowOff>
    </xdr:from>
    <xdr:to>
      <xdr:col>8</xdr:col>
      <xdr:colOff>377825</xdr:colOff>
      <xdr:row>39</xdr:row>
      <xdr:rowOff>15875</xdr:rowOff>
    </xdr:to>
    <xdr:pic>
      <xdr:nvPicPr>
        <xdr:cNvPr id="2" name="image2.png">
          <a:extLst>
            <a:ext uri="{FF2B5EF4-FFF2-40B4-BE49-F238E27FC236}">
              <a16:creationId xmlns:a16="http://schemas.microsoft.com/office/drawing/2014/main" id="{DDF37BB9-CB8D-489B-8F78-7F65BC24B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0" y="7037164"/>
          <a:ext cx="4943475" cy="74836"/>
        </a:xfrm>
        <a:prstGeom prst="rect">
          <a:avLst/>
        </a:prstGeom>
      </xdr:spPr>
    </xdr:pic>
    <xdr:clientData/>
  </xdr:twoCellAnchor>
  <xdr:twoCellAnchor>
    <xdr:from>
      <xdr:col>6</xdr:col>
      <xdr:colOff>231140</xdr:colOff>
      <xdr:row>36</xdr:row>
      <xdr:rowOff>31115</xdr:rowOff>
    </xdr:from>
    <xdr:to>
      <xdr:col>8</xdr:col>
      <xdr:colOff>200660</xdr:colOff>
      <xdr:row>37</xdr:row>
      <xdr:rowOff>169545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EB2E8C2-E590-41E5-9CFC-2537C9B797EC}"/>
            </a:ext>
          </a:extLst>
        </xdr:cNvPr>
        <xdr:cNvGrpSpPr>
          <a:grpSpLocks/>
        </xdr:cNvGrpSpPr>
      </xdr:nvGrpSpPr>
      <xdr:grpSpPr bwMode="auto">
        <a:xfrm>
          <a:off x="4340497" y="6436904"/>
          <a:ext cx="1490345" cy="318498"/>
          <a:chOff x="8854" y="75"/>
          <a:chExt cx="1867" cy="513"/>
        </a:xfrm>
      </xdr:grpSpPr>
      <xdr:sp macro="" textlink="">
        <xdr:nvSpPr>
          <xdr:cNvPr id="4" name="AutoShape 22">
            <a:extLst>
              <a:ext uri="{FF2B5EF4-FFF2-40B4-BE49-F238E27FC236}">
                <a16:creationId xmlns:a16="http://schemas.microsoft.com/office/drawing/2014/main" id="{6D371185-DFCB-4FB2-8E24-800DC4D68036}"/>
              </a:ext>
            </a:extLst>
          </xdr:cNvPr>
          <xdr:cNvSpPr>
            <a:spLocks/>
          </xdr:cNvSpPr>
        </xdr:nvSpPr>
        <xdr:spPr bwMode="auto">
          <a:xfrm>
            <a:off x="9412" y="153"/>
            <a:ext cx="1309" cy="391"/>
          </a:xfrm>
          <a:custGeom>
            <a:avLst/>
            <a:gdLst>
              <a:gd name="T0" fmla="+- 0 9663 9412"/>
              <a:gd name="T1" fmla="*/ T0 w 1309"/>
              <a:gd name="T2" fmla="+- 0 391 154"/>
              <a:gd name="T3" fmla="*/ 391 h 391"/>
              <a:gd name="T4" fmla="+- 0 9504 9412"/>
              <a:gd name="T5" fmla="*/ T4 w 1309"/>
              <a:gd name="T6" fmla="+- 0 346 154"/>
              <a:gd name="T7" fmla="*/ 346 h 391"/>
              <a:gd name="T8" fmla="+- 0 9585 9412"/>
              <a:gd name="T9" fmla="*/ T8 w 1309"/>
              <a:gd name="T10" fmla="+- 0 188 154"/>
              <a:gd name="T11" fmla="*/ 188 h 391"/>
              <a:gd name="T12" fmla="+- 0 9413 9412"/>
              <a:gd name="T13" fmla="*/ T12 w 1309"/>
              <a:gd name="T14" fmla="+- 0 445 154"/>
              <a:gd name="T15" fmla="*/ 445 h 391"/>
              <a:gd name="T16" fmla="+- 0 9467 9412"/>
              <a:gd name="T17" fmla="*/ T16 w 1309"/>
              <a:gd name="T18" fmla="+- 0 452 154"/>
              <a:gd name="T19" fmla="*/ 452 h 391"/>
              <a:gd name="T20" fmla="+- 0 9625 9412"/>
              <a:gd name="T21" fmla="*/ T20 w 1309"/>
              <a:gd name="T22" fmla="+- 0 452 154"/>
              <a:gd name="T23" fmla="*/ 452 h 391"/>
              <a:gd name="T24" fmla="+- 0 9878 9412"/>
              <a:gd name="T25" fmla="*/ T24 w 1309"/>
              <a:gd name="T26" fmla="+- 0 255 154"/>
              <a:gd name="T27" fmla="*/ 255 h 391"/>
              <a:gd name="T28" fmla="+- 0 9816 9412"/>
              <a:gd name="T29" fmla="*/ T28 w 1309"/>
              <a:gd name="T30" fmla="+- 0 397 154"/>
              <a:gd name="T31" fmla="*/ 397 h 391"/>
              <a:gd name="T32" fmla="+- 0 9743 9412"/>
              <a:gd name="T33" fmla="*/ T32 w 1309"/>
              <a:gd name="T34" fmla="+- 0 383 154"/>
              <a:gd name="T35" fmla="*/ 383 h 391"/>
              <a:gd name="T36" fmla="+- 0 9688 9412"/>
              <a:gd name="T37" fmla="*/ T36 w 1309"/>
              <a:gd name="T38" fmla="+- 0 259 154"/>
              <a:gd name="T39" fmla="*/ 259 h 391"/>
              <a:gd name="T40" fmla="+- 0 9763 9412"/>
              <a:gd name="T41" fmla="*/ T40 w 1309"/>
              <a:gd name="T42" fmla="+- 0 460 154"/>
              <a:gd name="T43" fmla="*/ 460 h 391"/>
              <a:gd name="T44" fmla="+- 0 9831 9412"/>
              <a:gd name="T45" fmla="*/ T44 w 1309"/>
              <a:gd name="T46" fmla="+- 0 426 154"/>
              <a:gd name="T47" fmla="*/ 426 h 391"/>
              <a:gd name="T48" fmla="+- 0 9882 9412"/>
              <a:gd name="T49" fmla="*/ T48 w 1309"/>
              <a:gd name="T50" fmla="+- 0 259 154"/>
              <a:gd name="T51" fmla="*/ 259 h 391"/>
              <a:gd name="T52" fmla="+- 0 10000 9412"/>
              <a:gd name="T53" fmla="*/ T52 w 1309"/>
              <a:gd name="T54" fmla="+- 0 337 154"/>
              <a:gd name="T55" fmla="*/ 337 h 391"/>
              <a:gd name="T56" fmla="+- 0 9954 9412"/>
              <a:gd name="T57" fmla="*/ T56 w 1309"/>
              <a:gd name="T58" fmla="+- 0 295 154"/>
              <a:gd name="T59" fmla="*/ 295 h 391"/>
              <a:gd name="T60" fmla="+- 0 10016 9412"/>
              <a:gd name="T61" fmla="*/ T60 w 1309"/>
              <a:gd name="T62" fmla="+- 0 297 154"/>
              <a:gd name="T63" fmla="*/ 297 h 391"/>
              <a:gd name="T64" fmla="+- 0 10036 9412"/>
              <a:gd name="T65" fmla="*/ T64 w 1309"/>
              <a:gd name="T66" fmla="+- 0 263 154"/>
              <a:gd name="T67" fmla="*/ 263 h 391"/>
              <a:gd name="T68" fmla="+- 0 9979 9412"/>
              <a:gd name="T69" fmla="*/ T68 w 1309"/>
              <a:gd name="T70" fmla="+- 0 250 154"/>
              <a:gd name="T71" fmla="*/ 250 h 391"/>
              <a:gd name="T72" fmla="+- 0 9906 9412"/>
              <a:gd name="T73" fmla="*/ T72 w 1309"/>
              <a:gd name="T74" fmla="+- 0 330 154"/>
              <a:gd name="T75" fmla="*/ 330 h 391"/>
              <a:gd name="T76" fmla="+- 0 9984 9412"/>
              <a:gd name="T77" fmla="*/ T76 w 1309"/>
              <a:gd name="T78" fmla="+- 0 385 154"/>
              <a:gd name="T79" fmla="*/ 385 h 391"/>
              <a:gd name="T80" fmla="+- 0 9963 9412"/>
              <a:gd name="T81" fmla="*/ T80 w 1309"/>
              <a:gd name="T82" fmla="+- 0 421 154"/>
              <a:gd name="T83" fmla="*/ 421 h 391"/>
              <a:gd name="T84" fmla="+- 0 9910 9412"/>
              <a:gd name="T85" fmla="*/ T84 w 1309"/>
              <a:gd name="T86" fmla="+- 0 408 154"/>
              <a:gd name="T87" fmla="*/ 408 h 391"/>
              <a:gd name="T88" fmla="+- 0 9923 9412"/>
              <a:gd name="T89" fmla="*/ T88 w 1309"/>
              <a:gd name="T90" fmla="+- 0 454 154"/>
              <a:gd name="T91" fmla="*/ 454 h 391"/>
              <a:gd name="T92" fmla="+- 0 10022 9412"/>
              <a:gd name="T93" fmla="*/ T92 w 1309"/>
              <a:gd name="T94" fmla="+- 0 446 154"/>
              <a:gd name="T95" fmla="*/ 446 h 391"/>
              <a:gd name="T96" fmla="+- 0 10219 9412"/>
              <a:gd name="T97" fmla="*/ T96 w 1309"/>
              <a:gd name="T98" fmla="+- 0 255 154"/>
              <a:gd name="T99" fmla="*/ 255 h 391"/>
              <a:gd name="T100" fmla="+- 0 10210 9412"/>
              <a:gd name="T101" fmla="*/ T100 w 1309"/>
              <a:gd name="T102" fmla="+- 0 378 154"/>
              <a:gd name="T103" fmla="*/ 378 h 391"/>
              <a:gd name="T104" fmla="+- 0 10128 9412"/>
              <a:gd name="T105" fmla="*/ T104 w 1309"/>
              <a:gd name="T106" fmla="+- 0 396 154"/>
              <a:gd name="T107" fmla="*/ 396 h 391"/>
              <a:gd name="T108" fmla="+- 0 10128 9412"/>
              <a:gd name="T109" fmla="*/ T108 w 1309"/>
              <a:gd name="T110" fmla="+- 0 310 154"/>
              <a:gd name="T111" fmla="*/ 310 h 391"/>
              <a:gd name="T112" fmla="+- 0 10210 9412"/>
              <a:gd name="T113" fmla="*/ T112 w 1309"/>
              <a:gd name="T114" fmla="+- 0 328 154"/>
              <a:gd name="T115" fmla="*/ 328 h 391"/>
              <a:gd name="T116" fmla="+- 0 10169 9412"/>
              <a:gd name="T117" fmla="*/ T116 w 1309"/>
              <a:gd name="T118" fmla="+- 0 252 154"/>
              <a:gd name="T119" fmla="*/ 252 h 391"/>
              <a:gd name="T120" fmla="+- 0 10060 9412"/>
              <a:gd name="T121" fmla="*/ T120 w 1309"/>
              <a:gd name="T122" fmla="+- 0 352 154"/>
              <a:gd name="T123" fmla="*/ 352 h 391"/>
              <a:gd name="T124" fmla="+- 0 10168 9412"/>
              <a:gd name="T125" fmla="*/ T124 w 1309"/>
              <a:gd name="T126" fmla="+- 0 454 154"/>
              <a:gd name="T127" fmla="*/ 454 h 391"/>
              <a:gd name="T128" fmla="+- 0 10213 9412"/>
              <a:gd name="T129" fmla="*/ T128 w 1309"/>
              <a:gd name="T130" fmla="+- 0 441 154"/>
              <a:gd name="T131" fmla="*/ 441 h 391"/>
              <a:gd name="T132" fmla="+- 0 10129 9412"/>
              <a:gd name="T133" fmla="*/ T132 w 1309"/>
              <a:gd name="T134" fmla="+- 0 501 154"/>
              <a:gd name="T135" fmla="*/ 501 h 391"/>
              <a:gd name="T136" fmla="+- 0 10084 9412"/>
              <a:gd name="T137" fmla="*/ T136 w 1309"/>
              <a:gd name="T138" fmla="+- 0 491 154"/>
              <a:gd name="T139" fmla="*/ 491 h 391"/>
              <a:gd name="T140" fmla="+- 0 10092 9412"/>
              <a:gd name="T141" fmla="*/ T140 w 1309"/>
              <a:gd name="T142" fmla="+- 0 533 154"/>
              <a:gd name="T143" fmla="*/ 533 h 391"/>
              <a:gd name="T144" fmla="+- 0 10202 9412"/>
              <a:gd name="T145" fmla="*/ T144 w 1309"/>
              <a:gd name="T146" fmla="+- 0 538 154"/>
              <a:gd name="T147" fmla="*/ 538 h 391"/>
              <a:gd name="T148" fmla="+- 0 10267 9412"/>
              <a:gd name="T149" fmla="*/ T148 w 1309"/>
              <a:gd name="T150" fmla="+- 0 426 154"/>
              <a:gd name="T151" fmla="*/ 426 h 391"/>
              <a:gd name="T152" fmla="+- 0 10422 9412"/>
              <a:gd name="T153" fmla="*/ T152 w 1309"/>
              <a:gd name="T154" fmla="+- 0 256 154"/>
              <a:gd name="T155" fmla="*/ 256 h 391"/>
              <a:gd name="T156" fmla="+- 0 10380 9412"/>
              <a:gd name="T157" fmla="*/ T156 w 1309"/>
              <a:gd name="T158" fmla="+- 0 252 154"/>
              <a:gd name="T159" fmla="*/ 252 h 391"/>
              <a:gd name="T160" fmla="+- 0 10343 9412"/>
              <a:gd name="T161" fmla="*/ T160 w 1309"/>
              <a:gd name="T162" fmla="+- 0 259 154"/>
              <a:gd name="T163" fmla="*/ 259 h 391"/>
              <a:gd name="T164" fmla="+- 0 10296 9412"/>
              <a:gd name="T165" fmla="*/ T164 w 1309"/>
              <a:gd name="T166" fmla="+- 0 456 154"/>
              <a:gd name="T167" fmla="*/ 456 h 391"/>
              <a:gd name="T168" fmla="+- 0 10355 9412"/>
              <a:gd name="T169" fmla="*/ T168 w 1309"/>
              <a:gd name="T170" fmla="+- 0 316 154"/>
              <a:gd name="T171" fmla="*/ 316 h 391"/>
              <a:gd name="T172" fmla="+- 0 10418 9412"/>
              <a:gd name="T173" fmla="*/ T172 w 1309"/>
              <a:gd name="T174" fmla="+- 0 298 154"/>
              <a:gd name="T175" fmla="*/ 298 h 391"/>
              <a:gd name="T176" fmla="+- 0 10442 9412"/>
              <a:gd name="T177" fmla="*/ T176 w 1309"/>
              <a:gd name="T178" fmla="+- 0 255 154"/>
              <a:gd name="T179" fmla="*/ 255 h 391"/>
              <a:gd name="T180" fmla="+- 0 10491 9412"/>
              <a:gd name="T181" fmla="*/ T180 w 1309"/>
              <a:gd name="T182" fmla="+- 0 452 154"/>
              <a:gd name="T183" fmla="*/ 452 h 391"/>
              <a:gd name="T184" fmla="+- 0 10476 9412"/>
              <a:gd name="T185" fmla="*/ T184 w 1309"/>
              <a:gd name="T186" fmla="+- 0 158 154"/>
              <a:gd name="T187" fmla="*/ 158 h 391"/>
              <a:gd name="T188" fmla="+- 0 10434 9412"/>
              <a:gd name="T189" fmla="*/ T188 w 1309"/>
              <a:gd name="T190" fmla="+- 0 185 154"/>
              <a:gd name="T191" fmla="*/ 185 h 391"/>
              <a:gd name="T192" fmla="+- 0 10476 9412"/>
              <a:gd name="T193" fmla="*/ T192 w 1309"/>
              <a:gd name="T194" fmla="+- 0 214 154"/>
              <a:gd name="T195" fmla="*/ 214 h 391"/>
              <a:gd name="T196" fmla="+- 0 10717 9412"/>
              <a:gd name="T197" fmla="*/ T196 w 1309"/>
              <a:gd name="T198" fmla="+- 0 154 154"/>
              <a:gd name="T199" fmla="*/ 154 h 391"/>
              <a:gd name="T200" fmla="+- 0 10664 9412"/>
              <a:gd name="T201" fmla="*/ T200 w 1309"/>
              <a:gd name="T202" fmla="+- 0 380 154"/>
              <a:gd name="T203" fmla="*/ 380 h 391"/>
              <a:gd name="T204" fmla="+- 0 10582 9412"/>
              <a:gd name="T205" fmla="*/ T204 w 1309"/>
              <a:gd name="T206" fmla="+- 0 398 154"/>
              <a:gd name="T207" fmla="*/ 398 h 391"/>
              <a:gd name="T208" fmla="+- 0 10597 9412"/>
              <a:gd name="T209" fmla="*/ T208 w 1309"/>
              <a:gd name="T210" fmla="+- 0 297 154"/>
              <a:gd name="T211" fmla="*/ 297 h 391"/>
              <a:gd name="T212" fmla="+- 0 10668 9412"/>
              <a:gd name="T213" fmla="*/ T212 w 1309"/>
              <a:gd name="T214" fmla="+- 0 356 154"/>
              <a:gd name="T215" fmla="*/ 356 h 391"/>
              <a:gd name="T216" fmla="+- 0 10622 9412"/>
              <a:gd name="T217" fmla="*/ T216 w 1309"/>
              <a:gd name="T218" fmla="+- 0 252 154"/>
              <a:gd name="T219" fmla="*/ 252 h 391"/>
              <a:gd name="T220" fmla="+- 0 10515 9412"/>
              <a:gd name="T221" fmla="*/ T220 w 1309"/>
              <a:gd name="T222" fmla="+- 0 352 154"/>
              <a:gd name="T223" fmla="*/ 352 h 391"/>
              <a:gd name="T224" fmla="+- 0 10624 9412"/>
              <a:gd name="T225" fmla="*/ T224 w 1309"/>
              <a:gd name="T226" fmla="+- 0 458 154"/>
              <a:gd name="T227" fmla="*/ 458 h 391"/>
              <a:gd name="T228" fmla="+- 0 10671 9412"/>
              <a:gd name="T229" fmla="*/ T228 w 1309"/>
              <a:gd name="T230" fmla="+- 0 452 154"/>
              <a:gd name="T231" fmla="*/ 452 h 391"/>
              <a:gd name="T232" fmla="+- 0 10721 9412"/>
              <a:gd name="T233" fmla="*/ T232 w 1309"/>
              <a:gd name="T234" fmla="+- 0 418 154"/>
              <a:gd name="T235" fmla="*/ 418 h 39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  <a:cxn ang="0">
                <a:pos x="T213" y="T215"/>
              </a:cxn>
              <a:cxn ang="0">
                <a:pos x="T217" y="T219"/>
              </a:cxn>
              <a:cxn ang="0">
                <a:pos x="T221" y="T223"/>
              </a:cxn>
              <a:cxn ang="0">
                <a:pos x="T225" y="T227"/>
              </a:cxn>
              <a:cxn ang="0">
                <a:pos x="T229" y="T231"/>
              </a:cxn>
              <a:cxn ang="0">
                <a:pos x="T233" y="T235"/>
              </a:cxn>
            </a:cxnLst>
            <a:rect l="0" t="0" r="r" b="b"/>
            <a:pathLst>
              <a:path w="1309" h="391">
                <a:moveTo>
                  <a:pt x="273" y="299"/>
                </a:moveTo>
                <a:lnTo>
                  <a:pt x="272" y="293"/>
                </a:lnTo>
                <a:lnTo>
                  <a:pt x="272" y="291"/>
                </a:lnTo>
                <a:lnTo>
                  <a:pt x="271" y="289"/>
                </a:lnTo>
                <a:lnTo>
                  <a:pt x="251" y="237"/>
                </a:lnTo>
                <a:lnTo>
                  <a:pt x="234" y="192"/>
                </a:lnTo>
                <a:lnTo>
                  <a:pt x="189" y="75"/>
                </a:lnTo>
                <a:lnTo>
                  <a:pt x="177" y="45"/>
                </a:lnTo>
                <a:lnTo>
                  <a:pt x="177" y="192"/>
                </a:lnTo>
                <a:lnTo>
                  <a:pt x="92" y="192"/>
                </a:lnTo>
                <a:lnTo>
                  <a:pt x="134" y="75"/>
                </a:lnTo>
                <a:lnTo>
                  <a:pt x="135" y="75"/>
                </a:lnTo>
                <a:lnTo>
                  <a:pt x="177" y="192"/>
                </a:lnTo>
                <a:lnTo>
                  <a:pt x="177" y="45"/>
                </a:lnTo>
                <a:lnTo>
                  <a:pt x="173" y="34"/>
                </a:lnTo>
                <a:lnTo>
                  <a:pt x="170" y="26"/>
                </a:lnTo>
                <a:lnTo>
                  <a:pt x="165" y="21"/>
                </a:lnTo>
                <a:lnTo>
                  <a:pt x="107" y="21"/>
                </a:lnTo>
                <a:lnTo>
                  <a:pt x="102" y="26"/>
                </a:lnTo>
                <a:lnTo>
                  <a:pt x="1" y="291"/>
                </a:lnTo>
                <a:lnTo>
                  <a:pt x="0" y="293"/>
                </a:lnTo>
                <a:lnTo>
                  <a:pt x="0" y="299"/>
                </a:lnTo>
                <a:lnTo>
                  <a:pt x="3" y="302"/>
                </a:lnTo>
                <a:lnTo>
                  <a:pt x="50" y="302"/>
                </a:lnTo>
                <a:lnTo>
                  <a:pt x="55" y="298"/>
                </a:lnTo>
                <a:lnTo>
                  <a:pt x="58" y="289"/>
                </a:lnTo>
                <a:lnTo>
                  <a:pt x="76" y="237"/>
                </a:lnTo>
                <a:lnTo>
                  <a:pt x="192" y="237"/>
                </a:lnTo>
                <a:lnTo>
                  <a:pt x="211" y="289"/>
                </a:lnTo>
                <a:lnTo>
                  <a:pt x="213" y="298"/>
                </a:lnTo>
                <a:lnTo>
                  <a:pt x="218" y="302"/>
                </a:lnTo>
                <a:lnTo>
                  <a:pt x="269" y="302"/>
                </a:lnTo>
                <a:lnTo>
                  <a:pt x="273" y="299"/>
                </a:lnTo>
                <a:close/>
                <a:moveTo>
                  <a:pt x="470" y="105"/>
                </a:moveTo>
                <a:lnTo>
                  <a:pt x="466" y="101"/>
                </a:lnTo>
                <a:lnTo>
                  <a:pt x="421" y="101"/>
                </a:lnTo>
                <a:lnTo>
                  <a:pt x="417" y="105"/>
                </a:lnTo>
                <a:lnTo>
                  <a:pt x="417" y="192"/>
                </a:lnTo>
                <a:lnTo>
                  <a:pt x="414" y="221"/>
                </a:lnTo>
                <a:lnTo>
                  <a:pt x="404" y="243"/>
                </a:lnTo>
                <a:lnTo>
                  <a:pt x="388" y="257"/>
                </a:lnTo>
                <a:lnTo>
                  <a:pt x="367" y="262"/>
                </a:lnTo>
                <a:lnTo>
                  <a:pt x="349" y="258"/>
                </a:lnTo>
                <a:lnTo>
                  <a:pt x="337" y="247"/>
                </a:lnTo>
                <a:lnTo>
                  <a:pt x="331" y="229"/>
                </a:lnTo>
                <a:lnTo>
                  <a:pt x="329" y="205"/>
                </a:lnTo>
                <a:lnTo>
                  <a:pt x="329" y="105"/>
                </a:lnTo>
                <a:lnTo>
                  <a:pt x="325" y="101"/>
                </a:lnTo>
                <a:lnTo>
                  <a:pt x="280" y="101"/>
                </a:lnTo>
                <a:lnTo>
                  <a:pt x="276" y="105"/>
                </a:lnTo>
                <a:lnTo>
                  <a:pt x="276" y="220"/>
                </a:lnTo>
                <a:lnTo>
                  <a:pt x="280" y="252"/>
                </a:lnTo>
                <a:lnTo>
                  <a:pt x="292" y="280"/>
                </a:lnTo>
                <a:lnTo>
                  <a:pt x="315" y="299"/>
                </a:lnTo>
                <a:lnTo>
                  <a:pt x="351" y="306"/>
                </a:lnTo>
                <a:lnTo>
                  <a:pt x="371" y="304"/>
                </a:lnTo>
                <a:lnTo>
                  <a:pt x="388" y="298"/>
                </a:lnTo>
                <a:lnTo>
                  <a:pt x="403" y="288"/>
                </a:lnTo>
                <a:lnTo>
                  <a:pt x="416" y="272"/>
                </a:lnTo>
                <a:lnTo>
                  <a:pt x="419" y="272"/>
                </a:lnTo>
                <a:lnTo>
                  <a:pt x="419" y="298"/>
                </a:lnTo>
                <a:lnTo>
                  <a:pt x="423" y="302"/>
                </a:lnTo>
                <a:lnTo>
                  <a:pt x="466" y="302"/>
                </a:lnTo>
                <a:lnTo>
                  <a:pt x="470" y="298"/>
                </a:lnTo>
                <a:lnTo>
                  <a:pt x="470" y="105"/>
                </a:lnTo>
                <a:close/>
                <a:moveTo>
                  <a:pt x="635" y="243"/>
                </a:moveTo>
                <a:lnTo>
                  <a:pt x="633" y="224"/>
                </a:lnTo>
                <a:lnTo>
                  <a:pt x="624" y="208"/>
                </a:lnTo>
                <a:lnTo>
                  <a:pt x="609" y="195"/>
                </a:lnTo>
                <a:lnTo>
                  <a:pt x="588" y="183"/>
                </a:lnTo>
                <a:lnTo>
                  <a:pt x="569" y="176"/>
                </a:lnTo>
                <a:lnTo>
                  <a:pt x="555" y="168"/>
                </a:lnTo>
                <a:lnTo>
                  <a:pt x="545" y="161"/>
                </a:lnTo>
                <a:lnTo>
                  <a:pt x="542" y="152"/>
                </a:lnTo>
                <a:lnTo>
                  <a:pt x="542" y="141"/>
                </a:lnTo>
                <a:lnTo>
                  <a:pt x="553" y="135"/>
                </a:lnTo>
                <a:lnTo>
                  <a:pt x="569" y="135"/>
                </a:lnTo>
                <a:lnTo>
                  <a:pt x="584" y="137"/>
                </a:lnTo>
                <a:lnTo>
                  <a:pt x="596" y="140"/>
                </a:lnTo>
                <a:lnTo>
                  <a:pt x="604" y="143"/>
                </a:lnTo>
                <a:lnTo>
                  <a:pt x="611" y="145"/>
                </a:lnTo>
                <a:lnTo>
                  <a:pt x="616" y="145"/>
                </a:lnTo>
                <a:lnTo>
                  <a:pt x="618" y="143"/>
                </a:lnTo>
                <a:lnTo>
                  <a:pt x="625" y="111"/>
                </a:lnTo>
                <a:lnTo>
                  <a:pt x="624" y="109"/>
                </a:lnTo>
                <a:lnTo>
                  <a:pt x="616" y="106"/>
                </a:lnTo>
                <a:lnTo>
                  <a:pt x="604" y="101"/>
                </a:lnTo>
                <a:lnTo>
                  <a:pt x="592" y="99"/>
                </a:lnTo>
                <a:lnTo>
                  <a:pt x="579" y="97"/>
                </a:lnTo>
                <a:lnTo>
                  <a:pt x="567" y="96"/>
                </a:lnTo>
                <a:lnTo>
                  <a:pt x="537" y="100"/>
                </a:lnTo>
                <a:lnTo>
                  <a:pt x="513" y="111"/>
                </a:lnTo>
                <a:lnTo>
                  <a:pt x="497" y="129"/>
                </a:lnTo>
                <a:lnTo>
                  <a:pt x="491" y="155"/>
                </a:lnTo>
                <a:lnTo>
                  <a:pt x="494" y="176"/>
                </a:lnTo>
                <a:lnTo>
                  <a:pt x="503" y="192"/>
                </a:lnTo>
                <a:lnTo>
                  <a:pt x="518" y="205"/>
                </a:lnTo>
                <a:lnTo>
                  <a:pt x="538" y="215"/>
                </a:lnTo>
                <a:lnTo>
                  <a:pt x="559" y="223"/>
                </a:lnTo>
                <a:lnTo>
                  <a:pt x="572" y="231"/>
                </a:lnTo>
                <a:lnTo>
                  <a:pt x="580" y="238"/>
                </a:lnTo>
                <a:lnTo>
                  <a:pt x="583" y="247"/>
                </a:lnTo>
                <a:lnTo>
                  <a:pt x="583" y="262"/>
                </a:lnTo>
                <a:lnTo>
                  <a:pt x="567" y="267"/>
                </a:lnTo>
                <a:lnTo>
                  <a:pt x="551" y="267"/>
                </a:lnTo>
                <a:lnTo>
                  <a:pt x="533" y="265"/>
                </a:lnTo>
                <a:lnTo>
                  <a:pt x="520" y="261"/>
                </a:lnTo>
                <a:lnTo>
                  <a:pt x="511" y="256"/>
                </a:lnTo>
                <a:lnTo>
                  <a:pt x="504" y="254"/>
                </a:lnTo>
                <a:lnTo>
                  <a:pt x="498" y="254"/>
                </a:lnTo>
                <a:lnTo>
                  <a:pt x="496" y="257"/>
                </a:lnTo>
                <a:lnTo>
                  <a:pt x="495" y="263"/>
                </a:lnTo>
                <a:lnTo>
                  <a:pt x="491" y="288"/>
                </a:lnTo>
                <a:lnTo>
                  <a:pt x="493" y="293"/>
                </a:lnTo>
                <a:lnTo>
                  <a:pt x="511" y="300"/>
                </a:lnTo>
                <a:lnTo>
                  <a:pt x="524" y="303"/>
                </a:lnTo>
                <a:lnTo>
                  <a:pt x="538" y="305"/>
                </a:lnTo>
                <a:lnTo>
                  <a:pt x="553" y="306"/>
                </a:lnTo>
                <a:lnTo>
                  <a:pt x="583" y="303"/>
                </a:lnTo>
                <a:lnTo>
                  <a:pt x="610" y="292"/>
                </a:lnTo>
                <a:lnTo>
                  <a:pt x="628" y="273"/>
                </a:lnTo>
                <a:lnTo>
                  <a:pt x="635" y="243"/>
                </a:lnTo>
                <a:close/>
                <a:moveTo>
                  <a:pt x="855" y="105"/>
                </a:moveTo>
                <a:lnTo>
                  <a:pt x="851" y="101"/>
                </a:lnTo>
                <a:lnTo>
                  <a:pt x="807" y="101"/>
                </a:lnTo>
                <a:lnTo>
                  <a:pt x="804" y="105"/>
                </a:lnTo>
                <a:lnTo>
                  <a:pt x="804" y="125"/>
                </a:lnTo>
                <a:lnTo>
                  <a:pt x="802" y="125"/>
                </a:lnTo>
                <a:lnTo>
                  <a:pt x="802" y="201"/>
                </a:lnTo>
                <a:lnTo>
                  <a:pt x="798" y="224"/>
                </a:lnTo>
                <a:lnTo>
                  <a:pt x="789" y="244"/>
                </a:lnTo>
                <a:lnTo>
                  <a:pt x="773" y="256"/>
                </a:lnTo>
                <a:lnTo>
                  <a:pt x="751" y="261"/>
                </a:lnTo>
                <a:lnTo>
                  <a:pt x="730" y="256"/>
                </a:lnTo>
                <a:lnTo>
                  <a:pt x="716" y="242"/>
                </a:lnTo>
                <a:lnTo>
                  <a:pt x="707" y="223"/>
                </a:lnTo>
                <a:lnTo>
                  <a:pt x="704" y="201"/>
                </a:lnTo>
                <a:lnTo>
                  <a:pt x="704" y="198"/>
                </a:lnTo>
                <a:lnTo>
                  <a:pt x="707" y="176"/>
                </a:lnTo>
                <a:lnTo>
                  <a:pt x="716" y="156"/>
                </a:lnTo>
                <a:lnTo>
                  <a:pt x="731" y="143"/>
                </a:lnTo>
                <a:lnTo>
                  <a:pt x="752" y="137"/>
                </a:lnTo>
                <a:lnTo>
                  <a:pt x="772" y="142"/>
                </a:lnTo>
                <a:lnTo>
                  <a:pt x="788" y="155"/>
                </a:lnTo>
                <a:lnTo>
                  <a:pt x="798" y="174"/>
                </a:lnTo>
                <a:lnTo>
                  <a:pt x="802" y="201"/>
                </a:lnTo>
                <a:lnTo>
                  <a:pt x="802" y="125"/>
                </a:lnTo>
                <a:lnTo>
                  <a:pt x="789" y="112"/>
                </a:lnTo>
                <a:lnTo>
                  <a:pt x="774" y="103"/>
                </a:lnTo>
                <a:lnTo>
                  <a:pt x="757" y="98"/>
                </a:lnTo>
                <a:lnTo>
                  <a:pt x="737" y="96"/>
                </a:lnTo>
                <a:lnTo>
                  <a:pt x="698" y="105"/>
                </a:lnTo>
                <a:lnTo>
                  <a:pt x="670" y="128"/>
                </a:lnTo>
                <a:lnTo>
                  <a:pt x="654" y="161"/>
                </a:lnTo>
                <a:lnTo>
                  <a:pt x="648" y="198"/>
                </a:lnTo>
                <a:lnTo>
                  <a:pt x="654" y="238"/>
                </a:lnTo>
                <a:lnTo>
                  <a:pt x="671" y="271"/>
                </a:lnTo>
                <a:lnTo>
                  <a:pt x="698" y="293"/>
                </a:lnTo>
                <a:lnTo>
                  <a:pt x="737" y="302"/>
                </a:lnTo>
                <a:lnTo>
                  <a:pt x="756" y="300"/>
                </a:lnTo>
                <a:lnTo>
                  <a:pt x="773" y="295"/>
                </a:lnTo>
                <a:lnTo>
                  <a:pt x="788" y="286"/>
                </a:lnTo>
                <a:lnTo>
                  <a:pt x="800" y="272"/>
                </a:lnTo>
                <a:lnTo>
                  <a:pt x="802" y="272"/>
                </a:lnTo>
                <a:lnTo>
                  <a:pt x="801" y="287"/>
                </a:lnTo>
                <a:lnTo>
                  <a:pt x="798" y="314"/>
                </a:lnTo>
                <a:lnTo>
                  <a:pt x="787" y="333"/>
                </a:lnTo>
                <a:lnTo>
                  <a:pt x="768" y="345"/>
                </a:lnTo>
                <a:lnTo>
                  <a:pt x="741" y="349"/>
                </a:lnTo>
                <a:lnTo>
                  <a:pt x="717" y="347"/>
                </a:lnTo>
                <a:lnTo>
                  <a:pt x="700" y="342"/>
                </a:lnTo>
                <a:lnTo>
                  <a:pt x="688" y="337"/>
                </a:lnTo>
                <a:lnTo>
                  <a:pt x="680" y="335"/>
                </a:lnTo>
                <a:lnTo>
                  <a:pt x="674" y="335"/>
                </a:lnTo>
                <a:lnTo>
                  <a:pt x="672" y="337"/>
                </a:lnTo>
                <a:lnTo>
                  <a:pt x="671" y="343"/>
                </a:lnTo>
                <a:lnTo>
                  <a:pt x="668" y="362"/>
                </a:lnTo>
                <a:lnTo>
                  <a:pt x="667" y="371"/>
                </a:lnTo>
                <a:lnTo>
                  <a:pt x="668" y="374"/>
                </a:lnTo>
                <a:lnTo>
                  <a:pt x="680" y="379"/>
                </a:lnTo>
                <a:lnTo>
                  <a:pt x="693" y="383"/>
                </a:lnTo>
                <a:lnTo>
                  <a:pt x="709" y="387"/>
                </a:lnTo>
                <a:lnTo>
                  <a:pt x="725" y="389"/>
                </a:lnTo>
                <a:lnTo>
                  <a:pt x="741" y="390"/>
                </a:lnTo>
                <a:lnTo>
                  <a:pt x="790" y="384"/>
                </a:lnTo>
                <a:lnTo>
                  <a:pt x="826" y="365"/>
                </a:lnTo>
                <a:lnTo>
                  <a:pt x="837" y="349"/>
                </a:lnTo>
                <a:lnTo>
                  <a:pt x="847" y="333"/>
                </a:lnTo>
                <a:lnTo>
                  <a:pt x="855" y="287"/>
                </a:lnTo>
                <a:lnTo>
                  <a:pt x="855" y="272"/>
                </a:lnTo>
                <a:lnTo>
                  <a:pt x="855" y="261"/>
                </a:lnTo>
                <a:lnTo>
                  <a:pt x="855" y="137"/>
                </a:lnTo>
                <a:lnTo>
                  <a:pt x="855" y="125"/>
                </a:lnTo>
                <a:lnTo>
                  <a:pt x="855" y="105"/>
                </a:lnTo>
                <a:close/>
                <a:moveTo>
                  <a:pt x="1010" y="102"/>
                </a:moveTo>
                <a:lnTo>
                  <a:pt x="1007" y="99"/>
                </a:lnTo>
                <a:lnTo>
                  <a:pt x="999" y="97"/>
                </a:lnTo>
                <a:lnTo>
                  <a:pt x="992" y="96"/>
                </a:lnTo>
                <a:lnTo>
                  <a:pt x="984" y="96"/>
                </a:lnTo>
                <a:lnTo>
                  <a:pt x="968" y="98"/>
                </a:lnTo>
                <a:lnTo>
                  <a:pt x="955" y="104"/>
                </a:lnTo>
                <a:lnTo>
                  <a:pt x="943" y="114"/>
                </a:lnTo>
                <a:lnTo>
                  <a:pt x="933" y="129"/>
                </a:lnTo>
                <a:lnTo>
                  <a:pt x="931" y="129"/>
                </a:lnTo>
                <a:lnTo>
                  <a:pt x="931" y="105"/>
                </a:lnTo>
                <a:lnTo>
                  <a:pt x="927" y="101"/>
                </a:lnTo>
                <a:lnTo>
                  <a:pt x="884" y="101"/>
                </a:lnTo>
                <a:lnTo>
                  <a:pt x="880" y="105"/>
                </a:lnTo>
                <a:lnTo>
                  <a:pt x="880" y="298"/>
                </a:lnTo>
                <a:lnTo>
                  <a:pt x="884" y="302"/>
                </a:lnTo>
                <a:lnTo>
                  <a:pt x="929" y="302"/>
                </a:lnTo>
                <a:lnTo>
                  <a:pt x="933" y="298"/>
                </a:lnTo>
                <a:lnTo>
                  <a:pt x="933" y="211"/>
                </a:lnTo>
                <a:lnTo>
                  <a:pt x="935" y="184"/>
                </a:lnTo>
                <a:lnTo>
                  <a:pt x="943" y="162"/>
                </a:lnTo>
                <a:lnTo>
                  <a:pt x="958" y="147"/>
                </a:lnTo>
                <a:lnTo>
                  <a:pt x="979" y="142"/>
                </a:lnTo>
                <a:lnTo>
                  <a:pt x="989" y="142"/>
                </a:lnTo>
                <a:lnTo>
                  <a:pt x="994" y="144"/>
                </a:lnTo>
                <a:lnTo>
                  <a:pt x="1006" y="144"/>
                </a:lnTo>
                <a:lnTo>
                  <a:pt x="1010" y="141"/>
                </a:lnTo>
                <a:lnTo>
                  <a:pt x="1010" y="102"/>
                </a:lnTo>
                <a:close/>
                <a:moveTo>
                  <a:pt x="1079" y="105"/>
                </a:moveTo>
                <a:lnTo>
                  <a:pt x="1075" y="101"/>
                </a:lnTo>
                <a:lnTo>
                  <a:pt x="1030" y="101"/>
                </a:lnTo>
                <a:lnTo>
                  <a:pt x="1026" y="105"/>
                </a:lnTo>
                <a:lnTo>
                  <a:pt x="1026" y="298"/>
                </a:lnTo>
                <a:lnTo>
                  <a:pt x="1030" y="302"/>
                </a:lnTo>
                <a:lnTo>
                  <a:pt x="1075" y="302"/>
                </a:lnTo>
                <a:lnTo>
                  <a:pt x="1079" y="298"/>
                </a:lnTo>
                <a:lnTo>
                  <a:pt x="1079" y="105"/>
                </a:lnTo>
                <a:close/>
                <a:moveTo>
                  <a:pt x="1083" y="31"/>
                </a:moveTo>
                <a:lnTo>
                  <a:pt x="1080" y="20"/>
                </a:lnTo>
                <a:lnTo>
                  <a:pt x="1074" y="10"/>
                </a:lnTo>
                <a:lnTo>
                  <a:pt x="1064" y="4"/>
                </a:lnTo>
                <a:lnTo>
                  <a:pt x="1052" y="1"/>
                </a:lnTo>
                <a:lnTo>
                  <a:pt x="1041" y="4"/>
                </a:lnTo>
                <a:lnTo>
                  <a:pt x="1031" y="10"/>
                </a:lnTo>
                <a:lnTo>
                  <a:pt x="1024" y="20"/>
                </a:lnTo>
                <a:lnTo>
                  <a:pt x="1022" y="31"/>
                </a:lnTo>
                <a:lnTo>
                  <a:pt x="1024" y="43"/>
                </a:lnTo>
                <a:lnTo>
                  <a:pt x="1031" y="53"/>
                </a:lnTo>
                <a:lnTo>
                  <a:pt x="1041" y="60"/>
                </a:lnTo>
                <a:lnTo>
                  <a:pt x="1052" y="62"/>
                </a:lnTo>
                <a:lnTo>
                  <a:pt x="1064" y="60"/>
                </a:lnTo>
                <a:lnTo>
                  <a:pt x="1074" y="53"/>
                </a:lnTo>
                <a:lnTo>
                  <a:pt x="1080" y="43"/>
                </a:lnTo>
                <a:lnTo>
                  <a:pt x="1083" y="31"/>
                </a:lnTo>
                <a:close/>
                <a:moveTo>
                  <a:pt x="1309" y="4"/>
                </a:moveTo>
                <a:lnTo>
                  <a:pt x="1305" y="0"/>
                </a:lnTo>
                <a:lnTo>
                  <a:pt x="1260" y="0"/>
                </a:lnTo>
                <a:lnTo>
                  <a:pt x="1256" y="4"/>
                </a:lnTo>
                <a:lnTo>
                  <a:pt x="1256" y="125"/>
                </a:lnTo>
                <a:lnTo>
                  <a:pt x="1256" y="202"/>
                </a:lnTo>
                <a:lnTo>
                  <a:pt x="1252" y="226"/>
                </a:lnTo>
                <a:lnTo>
                  <a:pt x="1243" y="246"/>
                </a:lnTo>
                <a:lnTo>
                  <a:pt x="1227" y="259"/>
                </a:lnTo>
                <a:lnTo>
                  <a:pt x="1206" y="264"/>
                </a:lnTo>
                <a:lnTo>
                  <a:pt x="1185" y="259"/>
                </a:lnTo>
                <a:lnTo>
                  <a:pt x="1170" y="244"/>
                </a:lnTo>
                <a:lnTo>
                  <a:pt x="1161" y="224"/>
                </a:lnTo>
                <a:lnTo>
                  <a:pt x="1158" y="200"/>
                </a:lnTo>
                <a:lnTo>
                  <a:pt x="1161" y="177"/>
                </a:lnTo>
                <a:lnTo>
                  <a:pt x="1170" y="157"/>
                </a:lnTo>
                <a:lnTo>
                  <a:pt x="1185" y="143"/>
                </a:lnTo>
                <a:lnTo>
                  <a:pt x="1206" y="138"/>
                </a:lnTo>
                <a:lnTo>
                  <a:pt x="1227" y="143"/>
                </a:lnTo>
                <a:lnTo>
                  <a:pt x="1242" y="156"/>
                </a:lnTo>
                <a:lnTo>
                  <a:pt x="1252" y="176"/>
                </a:lnTo>
                <a:lnTo>
                  <a:pt x="1256" y="202"/>
                </a:lnTo>
                <a:lnTo>
                  <a:pt x="1256" y="125"/>
                </a:lnTo>
                <a:lnTo>
                  <a:pt x="1255" y="125"/>
                </a:lnTo>
                <a:lnTo>
                  <a:pt x="1242" y="112"/>
                </a:lnTo>
                <a:lnTo>
                  <a:pt x="1227" y="103"/>
                </a:lnTo>
                <a:lnTo>
                  <a:pt x="1210" y="98"/>
                </a:lnTo>
                <a:lnTo>
                  <a:pt x="1190" y="96"/>
                </a:lnTo>
                <a:lnTo>
                  <a:pt x="1152" y="105"/>
                </a:lnTo>
                <a:lnTo>
                  <a:pt x="1125" y="128"/>
                </a:lnTo>
                <a:lnTo>
                  <a:pt x="1108" y="161"/>
                </a:lnTo>
                <a:lnTo>
                  <a:pt x="1103" y="198"/>
                </a:lnTo>
                <a:lnTo>
                  <a:pt x="1108" y="239"/>
                </a:lnTo>
                <a:lnTo>
                  <a:pt x="1125" y="274"/>
                </a:lnTo>
                <a:lnTo>
                  <a:pt x="1153" y="297"/>
                </a:lnTo>
                <a:lnTo>
                  <a:pt x="1192" y="306"/>
                </a:lnTo>
                <a:lnTo>
                  <a:pt x="1212" y="304"/>
                </a:lnTo>
                <a:lnTo>
                  <a:pt x="1229" y="298"/>
                </a:lnTo>
                <a:lnTo>
                  <a:pt x="1244" y="289"/>
                </a:lnTo>
                <a:lnTo>
                  <a:pt x="1256" y="275"/>
                </a:lnTo>
                <a:lnTo>
                  <a:pt x="1259" y="275"/>
                </a:lnTo>
                <a:lnTo>
                  <a:pt x="1259" y="298"/>
                </a:lnTo>
                <a:lnTo>
                  <a:pt x="1263" y="302"/>
                </a:lnTo>
                <a:lnTo>
                  <a:pt x="1305" y="302"/>
                </a:lnTo>
                <a:lnTo>
                  <a:pt x="1309" y="298"/>
                </a:lnTo>
                <a:lnTo>
                  <a:pt x="1309" y="275"/>
                </a:lnTo>
                <a:lnTo>
                  <a:pt x="1309" y="264"/>
                </a:lnTo>
                <a:lnTo>
                  <a:pt x="1309" y="138"/>
                </a:lnTo>
                <a:lnTo>
                  <a:pt x="1309" y="125"/>
                </a:lnTo>
                <a:lnTo>
                  <a:pt x="130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AU"/>
          </a:p>
        </xdr:txBody>
      </xdr: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F686C15-9A77-2932-8054-DF7164292E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54" y="75"/>
            <a:ext cx="527" cy="5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215900</xdr:colOff>
      <xdr:row>36</xdr:row>
      <xdr:rowOff>19051</xdr:rowOff>
    </xdr:from>
    <xdr:to>
      <xdr:col>4</xdr:col>
      <xdr:colOff>339725</xdr:colOff>
      <xdr:row>38</xdr:row>
      <xdr:rowOff>34925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E9E3C26-C38E-4BCB-8C5B-99A9BD2E4BE3}"/>
            </a:ext>
          </a:extLst>
        </xdr:cNvPr>
        <xdr:cNvSpPr txBox="1"/>
      </xdr:nvSpPr>
      <xdr:spPr>
        <a:xfrm>
          <a:off x="219075" y="6572251"/>
          <a:ext cx="2254250" cy="377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Empowering communities for a resilient, affordable and net-zero future.</a:t>
          </a:r>
        </a:p>
      </xdr:txBody>
    </xdr:sp>
    <xdr:clientData/>
  </xdr:twoCellAnchor>
  <xdr:twoCellAnchor>
    <xdr:from>
      <xdr:col>1</xdr:col>
      <xdr:colOff>22592</xdr:colOff>
      <xdr:row>29</xdr:row>
      <xdr:rowOff>49028</xdr:rowOff>
    </xdr:from>
    <xdr:to>
      <xdr:col>2</xdr:col>
      <xdr:colOff>281987</xdr:colOff>
      <xdr:row>29</xdr:row>
      <xdr:rowOff>99058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F2FAE3A-119D-437E-80F2-8176ECB6BAEA}"/>
            </a:ext>
          </a:extLst>
        </xdr:cNvPr>
        <xdr:cNvSpPr/>
      </xdr:nvSpPr>
      <xdr:spPr>
        <a:xfrm flipH="1" flipV="1">
          <a:off x="330567" y="5332228"/>
          <a:ext cx="862645" cy="56380"/>
        </a:xfrm>
        <a:prstGeom prst="rect">
          <a:avLst/>
        </a:prstGeom>
        <a:gradFill flip="none" rotWithShape="1">
          <a:gsLst>
            <a:gs pos="0">
              <a:srgbClr val="70BF43"/>
            </a:gs>
            <a:gs pos="71000">
              <a:srgbClr val="0095D5"/>
            </a:gs>
          </a:gsLst>
          <a:lin ang="2700000" scaled="0"/>
          <a:tileRect/>
        </a:gradFill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>
          <a:noAutofit/>
        </a:bodyPr>
        <a:lstStyle/>
        <a:p>
          <a:pPr marL="90170">
            <a:lnSpc>
              <a:spcPct val="115000"/>
            </a:lnSpc>
            <a:spcAft>
              <a:spcPts val="600"/>
            </a:spcAft>
          </a:pPr>
          <a:r>
            <a:rPr lang="en-US" sz="1000">
              <a:effectLst/>
              <a:latin typeface="Arial" panose="020B0604020202020204" pitchFamily="34" charset="0"/>
              <a:ea typeface="Arial" panose="020B0604020202020204" pitchFamily="34" charset="0"/>
            </a:rPr>
            <a:t>  </a:t>
          </a:r>
          <a:endParaRPr lang="en-AU" sz="10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360045</xdr:colOff>
      <xdr:row>25</xdr:row>
      <xdr:rowOff>142241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240B96-8368-4BDC-9F7D-4DF885ADD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55" b="23683"/>
        <a:stretch/>
      </xdr:blipFill>
      <xdr:spPr bwMode="auto">
        <a:xfrm>
          <a:off x="0" y="6350"/>
          <a:ext cx="4932045" cy="46602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85724</xdr:colOff>
      <xdr:row>14</xdr:row>
      <xdr:rowOff>0</xdr:rowOff>
    </xdr:from>
    <xdr:to>
      <xdr:col>3</xdr:col>
      <xdr:colOff>131443</xdr:colOff>
      <xdr:row>16</xdr:row>
      <xdr:rowOff>85725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CE94760E-21B7-45C9-B03F-6F9F245980C1}"/>
            </a:ext>
          </a:extLst>
        </xdr:cNvPr>
        <xdr:cNvSpPr/>
      </xdr:nvSpPr>
      <xdr:spPr>
        <a:xfrm>
          <a:off x="527049" y="1704975"/>
          <a:ext cx="42544" cy="444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3</xdr:col>
      <xdr:colOff>82550</xdr:colOff>
      <xdr:row>50</xdr:row>
      <xdr:rowOff>0</xdr:rowOff>
    </xdr:from>
    <xdr:to>
      <xdr:col>3</xdr:col>
      <xdr:colOff>128269</xdr:colOff>
      <xdr:row>52</xdr:row>
      <xdr:rowOff>95250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3F66621A-D39A-42AC-8C27-61D7ACC4EA4B}"/>
            </a:ext>
          </a:extLst>
        </xdr:cNvPr>
        <xdr:cNvSpPr/>
      </xdr:nvSpPr>
      <xdr:spPr>
        <a:xfrm>
          <a:off x="523875" y="8058150"/>
          <a:ext cx="39369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6</xdr:col>
      <xdr:colOff>1</xdr:colOff>
      <xdr:row>11</xdr:row>
      <xdr:rowOff>98424</xdr:rowOff>
    </xdr:from>
    <xdr:to>
      <xdr:col>6</xdr:col>
      <xdr:colOff>552451</xdr:colOff>
      <xdr:row>11</xdr:row>
      <xdr:rowOff>131443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8804B901-ADB5-4D37-8605-E2CFBA22C5BD}"/>
            </a:ext>
          </a:extLst>
        </xdr:cNvPr>
        <xdr:cNvSpPr/>
      </xdr:nvSpPr>
      <xdr:spPr>
        <a:xfrm flipV="1">
          <a:off x="6164037" y="2357210"/>
          <a:ext cx="552450" cy="3301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6</xdr:col>
      <xdr:colOff>0</xdr:colOff>
      <xdr:row>12</xdr:row>
      <xdr:rowOff>55244</xdr:rowOff>
    </xdr:from>
    <xdr:to>
      <xdr:col>6</xdr:col>
      <xdr:colOff>552451</xdr:colOff>
      <xdr:row>12</xdr:row>
      <xdr:rowOff>91438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32410A3B-7CF9-4D11-8753-5C6CD9D21481}"/>
            </a:ext>
          </a:extLst>
        </xdr:cNvPr>
        <xdr:cNvSpPr/>
      </xdr:nvSpPr>
      <xdr:spPr>
        <a:xfrm>
          <a:off x="6164036" y="2518137"/>
          <a:ext cx="552451" cy="3619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6</xdr:col>
      <xdr:colOff>0</xdr:colOff>
      <xdr:row>48</xdr:row>
      <xdr:rowOff>125638</xdr:rowOff>
    </xdr:from>
    <xdr:to>
      <xdr:col>6</xdr:col>
      <xdr:colOff>552451</xdr:colOff>
      <xdr:row>48</xdr:row>
      <xdr:rowOff>155482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6721C238-DCFC-4316-873E-DB1307398F74}"/>
            </a:ext>
          </a:extLst>
        </xdr:cNvPr>
        <xdr:cNvSpPr/>
      </xdr:nvSpPr>
      <xdr:spPr>
        <a:xfrm>
          <a:off x="6164036" y="9895567"/>
          <a:ext cx="552451" cy="2984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18143</xdr:colOff>
      <xdr:row>19</xdr:row>
      <xdr:rowOff>116794</xdr:rowOff>
    </xdr:from>
    <xdr:to>
      <xdr:col>46</xdr:col>
      <xdr:colOff>721179</xdr:colOff>
      <xdr:row>42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3B6305-AEAD-101D-800C-A0FEDCA6D2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FC\GPSECT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statefc\STCONST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conomic\Private%20Clients\EnergyAustralia\EnergyAust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  <sheetName val="BAR CHARTS"/>
      <sheetName val="Data"/>
      <sheetName val="Qtr sa"/>
    </sheetNames>
    <sheetDataSet>
      <sheetData sheetId="0"/>
      <sheetData sheetId="1"/>
      <sheetData sheetId="2" refreshError="1">
        <row r="3">
          <cell r="BT3" t="str">
            <v>[from REXP.xls]</v>
          </cell>
        </row>
        <row r="16">
          <cell r="A16" t="str">
            <v>1976</v>
          </cell>
          <cell r="BP16">
            <v>6565</v>
          </cell>
        </row>
        <row r="17">
          <cell r="A17" t="str">
            <v>1977</v>
          </cell>
          <cell r="BP17">
            <v>-1924</v>
          </cell>
        </row>
        <row r="18">
          <cell r="A18" t="str">
            <v>1978</v>
          </cell>
          <cell r="BP18">
            <v>-2080</v>
          </cell>
        </row>
        <row r="19">
          <cell r="A19" t="str">
            <v>1979</v>
          </cell>
          <cell r="BP19">
            <v>2126</v>
          </cell>
        </row>
        <row r="20">
          <cell r="A20" t="str">
            <v>1980</v>
          </cell>
          <cell r="BP20">
            <v>1676</v>
          </cell>
        </row>
        <row r="21">
          <cell r="A21" t="str">
            <v>1981</v>
          </cell>
          <cell r="BP21">
            <v>2581</v>
          </cell>
        </row>
        <row r="22">
          <cell r="A22" t="str">
            <v>1982</v>
          </cell>
          <cell r="BP22">
            <v>-10411</v>
          </cell>
        </row>
        <row r="23">
          <cell r="A23" t="str">
            <v>1983</v>
          </cell>
          <cell r="BP23">
            <v>7266</v>
          </cell>
        </row>
        <row r="24">
          <cell r="A24" t="str">
            <v>1984</v>
          </cell>
          <cell r="BP24">
            <v>-1097</v>
          </cell>
        </row>
        <row r="25">
          <cell r="A25" t="str">
            <v>1985</v>
          </cell>
          <cell r="BP25">
            <v>-420</v>
          </cell>
        </row>
        <row r="26">
          <cell r="A26" t="str">
            <v>1986</v>
          </cell>
          <cell r="BP26">
            <v>5627</v>
          </cell>
        </row>
        <row r="27">
          <cell r="A27" t="str">
            <v>1987</v>
          </cell>
          <cell r="BP27">
            <v>5396</v>
          </cell>
        </row>
        <row r="28">
          <cell r="A28" t="str">
            <v>1988</v>
          </cell>
          <cell r="BP28">
            <v>-4507</v>
          </cell>
        </row>
        <row r="29">
          <cell r="A29" t="str">
            <v>1989</v>
          </cell>
          <cell r="BP29">
            <v>-8454</v>
          </cell>
        </row>
        <row r="30">
          <cell r="A30" t="str">
            <v>1990</v>
          </cell>
          <cell r="BP30">
            <v>-2789</v>
          </cell>
        </row>
        <row r="31">
          <cell r="A31" t="str">
            <v>1991</v>
          </cell>
          <cell r="BP31">
            <v>-2596</v>
          </cell>
        </row>
        <row r="32">
          <cell r="A32" t="str">
            <v>1992</v>
          </cell>
          <cell r="BP32">
            <v>4337</v>
          </cell>
        </row>
        <row r="33">
          <cell r="A33" t="str">
            <v>1993</v>
          </cell>
          <cell r="BP33">
            <v>4561</v>
          </cell>
          <cell r="CH33">
            <v>4.8236270576843321</v>
          </cell>
        </row>
        <row r="34">
          <cell r="A34" t="str">
            <v>1994</v>
          </cell>
          <cell r="CH34">
            <v>2.2922522665188572</v>
          </cell>
        </row>
        <row r="35">
          <cell r="A35" t="str">
            <v>1995</v>
          </cell>
          <cell r="CH35">
            <v>2.3931160822561193</v>
          </cell>
        </row>
        <row r="36">
          <cell r="A36" t="str">
            <v>1996</v>
          </cell>
          <cell r="CH36">
            <v>3.8327306631052327</v>
          </cell>
        </row>
        <row r="37">
          <cell r="A37" t="str">
            <v>1997</v>
          </cell>
          <cell r="CH37">
            <v>3.0893934062200534</v>
          </cell>
        </row>
        <row r="38">
          <cell r="CH38">
            <v>2.8626246218675266</v>
          </cell>
        </row>
        <row r="39">
          <cell r="CH39">
            <v>3.1319731316298283</v>
          </cell>
        </row>
        <row r="40">
          <cell r="CH40">
            <v>2.9525331202982397</v>
          </cell>
        </row>
        <row r="41">
          <cell r="CH41">
            <v>3.155614471854884</v>
          </cell>
        </row>
        <row r="42">
          <cell r="CH42">
            <v>3.6441519093141084</v>
          </cell>
        </row>
        <row r="43">
          <cell r="CH43">
            <v>3.0855921695916555</v>
          </cell>
        </row>
        <row r="44">
          <cell r="CH44">
            <v>2.8269967926151995</v>
          </cell>
        </row>
        <row r="45">
          <cell r="CH45">
            <v>2.6969711378441286</v>
          </cell>
        </row>
        <row r="46">
          <cell r="CH46">
            <v>3.3512051930253417</v>
          </cell>
        </row>
        <row r="47">
          <cell r="CH47">
            <v>3.0257145417077247</v>
          </cell>
        </row>
        <row r="48">
          <cell r="CH48">
            <v>3.6551958047431388</v>
          </cell>
        </row>
        <row r="49">
          <cell r="CH49">
            <v>4.3736890678748308</v>
          </cell>
        </row>
        <row r="50">
          <cell r="CH50">
            <v>4.638151813059177</v>
          </cell>
        </row>
        <row r="51">
          <cell r="CH51">
            <v>3.8364330544736536</v>
          </cell>
        </row>
        <row r="52">
          <cell r="CH52">
            <v>3.0083444923686864</v>
          </cell>
        </row>
        <row r="53">
          <cell r="CH53">
            <v>2.8968823490192808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2"/>
      <sheetName val="Data"/>
      <sheetName val="A&amp;A analysis"/>
      <sheetName val="Public Equip,Intang"/>
      <sheetName val="2ndHand Purch Assets"/>
      <sheetName val="NSW- Constn Cont. to Growth"/>
      <sheetName val="VIC- Constn Cont. to Growth"/>
      <sheetName val="NSW Table"/>
      <sheetName val="VIC Table"/>
      <sheetName val="NSW v VIC data"/>
      <sheetName val="NSW v VIC chart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  <sheetName val="GVA,WD x State x Categ"/>
      <sheetName val="Chart"/>
    </sheetNames>
    <sheetDataSet>
      <sheetData sheetId="0">
        <row r="10">
          <cell r="R10">
            <v>21811.607255531868</v>
          </cell>
        </row>
      </sheetData>
      <sheetData sheetId="1">
        <row r="5">
          <cell r="A5">
            <v>29738</v>
          </cell>
          <cell r="F5">
            <v>674.47</v>
          </cell>
          <cell r="R5">
            <v>14177.069606736852</v>
          </cell>
          <cell r="AZ5">
            <v>250.47005466731844</v>
          </cell>
          <cell r="BC5">
            <v>1684</v>
          </cell>
          <cell r="BE5">
            <v>1240.0428428397813</v>
          </cell>
          <cell r="BG5">
            <v>4388.2665927097833</v>
          </cell>
        </row>
        <row r="6">
          <cell r="A6">
            <v>30103</v>
          </cell>
          <cell r="C6">
            <v>-11.677165054035965</v>
          </cell>
          <cell r="F6">
            <v>747.71199999999999</v>
          </cell>
          <cell r="G6">
            <v>10.859193144246593</v>
          </cell>
          <cell r="N6">
            <v>3607.4010000000003</v>
          </cell>
          <cell r="P6">
            <v>5517.3438772791578</v>
          </cell>
          <cell r="R6">
            <v>14319.002877279157</v>
          </cell>
          <cell r="S6">
            <v>1.0011467424471121</v>
          </cell>
          <cell r="X6">
            <v>-12.061810921265694</v>
          </cell>
          <cell r="AG6">
            <v>2494.8698551498615</v>
          </cell>
          <cell r="AZ6">
            <v>239.62353411377717</v>
          </cell>
          <cell r="BA6">
            <v>-4.3304659983996574</v>
          </cell>
          <cell r="BC6">
            <v>1436</v>
          </cell>
          <cell r="BD6">
            <v>-14.726840855106893</v>
          </cell>
          <cell r="BE6">
            <v>1112.5311448501388</v>
          </cell>
          <cell r="BG6">
            <v>4918.4056543223405</v>
          </cell>
        </row>
        <row r="7">
          <cell r="A7">
            <v>30468</v>
          </cell>
          <cell r="C7">
            <v>-5.8594243711860949</v>
          </cell>
          <cell r="F7">
            <v>678.60899999999992</v>
          </cell>
          <cell r="G7">
            <v>-9.241927373106229</v>
          </cell>
          <cell r="N7">
            <v>2897.0010000000002</v>
          </cell>
          <cell r="P7">
            <v>4948.8069939886018</v>
          </cell>
          <cell r="R7">
            <v>12710.420993988602</v>
          </cell>
          <cell r="S7">
            <v>-11.233895942873161</v>
          </cell>
          <cell r="U7">
            <v>7301.9083305514278</v>
          </cell>
          <cell r="X7">
            <v>-8.2448957714706754</v>
          </cell>
          <cell r="AG7">
            <v>1977.6584597456579</v>
          </cell>
          <cell r="AZ7">
            <v>325.93790661267985</v>
          </cell>
          <cell r="BA7">
            <v>36.02082442282952</v>
          </cell>
          <cell r="BC7">
            <v>2949</v>
          </cell>
          <cell r="BD7">
            <v>105.36211699164343</v>
          </cell>
          <cell r="BE7">
            <v>919.34254025434234</v>
          </cell>
          <cell r="BG7">
            <v>4528.182776042051</v>
          </cell>
        </row>
        <row r="8">
          <cell r="A8">
            <v>30834</v>
          </cell>
          <cell r="C8">
            <v>28.105013755361917</v>
          </cell>
          <cell r="F8">
            <v>659.9899999999999</v>
          </cell>
          <cell r="G8">
            <v>-2.7437007172024019</v>
          </cell>
          <cell r="N8">
            <v>3429.5619999999999</v>
          </cell>
          <cell r="P8">
            <v>4076.6062302907662</v>
          </cell>
          <cell r="R8">
            <v>13528.639230290766</v>
          </cell>
          <cell r="S8">
            <v>6.4373810803681542</v>
          </cell>
          <cell r="U8">
            <v>7517.6901765341618</v>
          </cell>
          <cell r="V8">
            <v>2.9551431792137928</v>
          </cell>
          <cell r="X8">
            <v>29.393494993358317</v>
          </cell>
          <cell r="AG8">
            <v>2025.2537053941983</v>
          </cell>
          <cell r="AZ8">
            <v>367.80657271255586</v>
          </cell>
          <cell r="BA8">
            <v>12.845595817619815</v>
          </cell>
          <cell r="BC8">
            <v>2503</v>
          </cell>
          <cell r="BD8">
            <v>-15.123770769752454</v>
          </cell>
          <cell r="BE8">
            <v>1404.3082946058016</v>
          </cell>
          <cell r="BG8">
            <v>3605.6018687417686</v>
          </cell>
        </row>
        <row r="9">
          <cell r="A9">
            <v>31199</v>
          </cell>
          <cell r="B9">
            <v>6191.6689999999999</v>
          </cell>
          <cell r="C9">
            <v>15.462768073210897</v>
          </cell>
          <cell r="D9">
            <v>40293</v>
          </cell>
          <cell r="F9">
            <v>821.59400000000005</v>
          </cell>
          <cell r="G9">
            <v>24.485825542811291</v>
          </cell>
          <cell r="N9">
            <v>3884.4339999999997</v>
          </cell>
          <cell r="P9">
            <v>4559.3479927911649</v>
          </cell>
          <cell r="R9">
            <v>15457.044992791165</v>
          </cell>
          <cell r="S9">
            <v>14.25424781956397</v>
          </cell>
          <cell r="U9">
            <v>8189.379815221766</v>
          </cell>
          <cell r="V9">
            <v>8.934787453521654</v>
          </cell>
          <cell r="W9">
            <v>5888.8986443741896</v>
          </cell>
          <cell r="X9">
            <v>17.903553677119042</v>
          </cell>
          <cell r="AA9">
            <v>6704.4788980231251</v>
          </cell>
          <cell r="AB9">
            <v>18.608673388716369</v>
          </cell>
          <cell r="AG9">
            <v>2700.6673488561291</v>
          </cell>
          <cell r="AN9">
            <v>950.47784068246972</v>
          </cell>
          <cell r="AZ9">
            <v>302.77035562581023</v>
          </cell>
          <cell r="BA9">
            <v>-17.68217914299537</v>
          </cell>
          <cell r="BC9">
            <v>2629</v>
          </cell>
          <cell r="BD9">
            <v>5.0339592489013096</v>
          </cell>
          <cell r="BE9">
            <v>1183.7666511438706</v>
          </cell>
          <cell r="BG9">
            <v>3608.870152108695</v>
          </cell>
        </row>
        <row r="10">
          <cell r="A10">
            <v>31564</v>
          </cell>
          <cell r="B10">
            <v>6078.7119999999995</v>
          </cell>
          <cell r="C10">
            <v>-1.8243384780420313</v>
          </cell>
          <cell r="D10">
            <v>35877</v>
          </cell>
          <cell r="F10">
            <v>950.84</v>
          </cell>
          <cell r="G10">
            <v>15.731127539879797</v>
          </cell>
          <cell r="N10">
            <v>4242.2469999999994</v>
          </cell>
          <cell r="P10">
            <v>4044.6261314392841</v>
          </cell>
          <cell r="R10">
            <v>15316.425131439282</v>
          </cell>
          <cell r="S10">
            <v>-0.90974608288625358</v>
          </cell>
          <cell r="U10">
            <v>8982.7725456122298</v>
          </cell>
          <cell r="V10">
            <v>9.6880685508781603</v>
          </cell>
          <cell r="W10">
            <v>5767.9286857270545</v>
          </cell>
          <cell r="X10">
            <v>-2.0542034419746851</v>
          </cell>
          <cell r="AA10">
            <v>6712.8664933207374</v>
          </cell>
          <cell r="AB10">
            <v>0.12510435822365995</v>
          </cell>
          <cell r="AG10">
            <v>3280.6243302958537</v>
          </cell>
          <cell r="AN10">
            <v>733.65933748304542</v>
          </cell>
          <cell r="AU10">
            <v>5449</v>
          </cell>
          <cell r="AV10" t="e">
            <v>#DIV/0!</v>
          </cell>
          <cell r="AW10">
            <v>336</v>
          </cell>
          <cell r="AX10">
            <v>5738</v>
          </cell>
          <cell r="AZ10">
            <v>310.78331427294506</v>
          </cell>
          <cell r="BA10">
            <v>2.6465466312157515</v>
          </cell>
          <cell r="BC10">
            <v>2202</v>
          </cell>
          <cell r="BD10">
            <v>-16.241917078737167</v>
          </cell>
          <cell r="BE10">
            <v>961.62266970414566</v>
          </cell>
          <cell r="BG10">
            <v>3310.9667939562387</v>
          </cell>
          <cell r="BI10">
            <v>3629.7250296603543</v>
          </cell>
          <cell r="BO10">
            <v>8021</v>
          </cell>
        </row>
        <row r="11">
          <cell r="A11">
            <v>31929</v>
          </cell>
          <cell r="B11">
            <v>5579.6740000000009</v>
          </cell>
          <cell r="C11">
            <v>-8.2096009812604791</v>
          </cell>
          <cell r="D11">
            <v>32536</v>
          </cell>
          <cell r="F11">
            <v>1005.597</v>
          </cell>
          <cell r="G11">
            <v>5.7588027428379096</v>
          </cell>
          <cell r="N11">
            <v>4616.2089999999998</v>
          </cell>
          <cell r="P11">
            <v>3973.0895222340946</v>
          </cell>
          <cell r="R11">
            <v>15174.569522234095</v>
          </cell>
          <cell r="S11">
            <v>-0.92616656946932219</v>
          </cell>
          <cell r="U11">
            <v>8644.6585611191604</v>
          </cell>
          <cell r="V11">
            <v>-3.7640270058738823</v>
          </cell>
          <cell r="W11">
            <v>5250.4540421620613</v>
          </cell>
          <cell r="X11">
            <v>-8.9715853256907057</v>
          </cell>
          <cell r="AA11">
            <v>6251.0988521316112</v>
          </cell>
          <cell r="AB11">
            <v>-6.8788444049733837</v>
          </cell>
          <cell r="AF11">
            <v>-4.6478149100257049</v>
          </cell>
          <cell r="AG11">
            <v>3427.6395985458248</v>
          </cell>
          <cell r="AN11">
            <v>925.22178435092701</v>
          </cell>
          <cell r="AU11">
            <v>5816</v>
          </cell>
          <cell r="AV11">
            <v>6.7351807671132358</v>
          </cell>
          <cell r="AW11">
            <v>367</v>
          </cell>
          <cell r="AX11">
            <v>6112</v>
          </cell>
          <cell r="AY11">
            <v>6.517950505402581</v>
          </cell>
          <cell r="AZ11">
            <v>329.21995783793955</v>
          </cell>
          <cell r="BA11">
            <v>5.9323144835254915</v>
          </cell>
          <cell r="BC11">
            <v>2172</v>
          </cell>
          <cell r="BD11">
            <v>-1.3623978201634857</v>
          </cell>
          <cell r="BE11">
            <v>1188.569401454175</v>
          </cell>
          <cell r="BG11">
            <v>3047.8677378831676</v>
          </cell>
          <cell r="BI11">
            <v>3257.390712794268</v>
          </cell>
          <cell r="BO11">
            <v>7592</v>
          </cell>
        </row>
        <row r="12">
          <cell r="A12">
            <v>32295</v>
          </cell>
          <cell r="B12">
            <v>5686.7839999999997</v>
          </cell>
          <cell r="C12">
            <v>1.9196462015522497</v>
          </cell>
          <cell r="D12">
            <v>31852</v>
          </cell>
          <cell r="F12">
            <v>1116.308</v>
          </cell>
          <cell r="G12">
            <v>11.009479940771506</v>
          </cell>
          <cell r="N12">
            <v>5130.2939999999999</v>
          </cell>
          <cell r="P12">
            <v>3777.272288474659</v>
          </cell>
          <cell r="R12">
            <v>15710.65828847466</v>
          </cell>
          <cell r="S12">
            <v>3.5328103736654848</v>
          </cell>
          <cell r="U12">
            <v>9123.2317346506879</v>
          </cell>
          <cell r="V12">
            <v>5.5360564000062729</v>
          </cell>
          <cell r="W12">
            <v>5405.3317332670304</v>
          </cell>
          <cell r="X12">
            <v>2.949796148319253</v>
          </cell>
          <cell r="AA12">
            <v>6516.4401231283537</v>
          </cell>
          <cell r="AB12">
            <v>4.2447140458554911</v>
          </cell>
          <cell r="AF12">
            <v>1.8117114202523377</v>
          </cell>
          <cell r="AG12">
            <v>3962.6775570325708</v>
          </cell>
          <cell r="AN12">
            <v>925.55716852080457</v>
          </cell>
          <cell r="AU12">
            <v>6424</v>
          </cell>
          <cell r="AV12">
            <v>10.453920220082535</v>
          </cell>
          <cell r="AW12">
            <v>599</v>
          </cell>
          <cell r="AX12">
            <v>6918</v>
          </cell>
          <cell r="AY12">
            <v>13.187172774869115</v>
          </cell>
          <cell r="AZ12">
            <v>281.45226673296929</v>
          </cell>
          <cell r="BA12">
            <v>-14.50935460251902</v>
          </cell>
          <cell r="BC12">
            <v>1812</v>
          </cell>
          <cell r="BD12">
            <v>-16.574585635359117</v>
          </cell>
          <cell r="BE12">
            <v>1167.6164429674291</v>
          </cell>
          <cell r="BG12">
            <v>2851.7151199538544</v>
          </cell>
          <cell r="BI12">
            <v>3041.0165602070697</v>
          </cell>
          <cell r="BO12">
            <v>6892</v>
          </cell>
        </row>
        <row r="13">
          <cell r="A13">
            <v>32660</v>
          </cell>
          <cell r="B13">
            <v>6761.7159999999994</v>
          </cell>
          <cell r="C13">
            <v>18.90228290717566</v>
          </cell>
          <cell r="D13">
            <v>38635</v>
          </cell>
          <cell r="F13">
            <v>1225.009</v>
          </cell>
          <cell r="G13">
            <v>9.7375455519444376</v>
          </cell>
          <cell r="N13">
            <v>6347.8670000000002</v>
          </cell>
          <cell r="P13">
            <v>3749.5063527783695</v>
          </cell>
          <cell r="R13">
            <v>18084.098352778368</v>
          </cell>
          <cell r="S13">
            <v>15.107196787832011</v>
          </cell>
          <cell r="U13">
            <v>10052.409203165431</v>
          </cell>
          <cell r="V13">
            <v>10.184740402741932</v>
          </cell>
          <cell r="W13">
            <v>6432.84280547241</v>
          </cell>
          <cell r="X13">
            <v>19.009213918945598</v>
          </cell>
          <cell r="AA13">
            <v>7654.0845404229403</v>
          </cell>
          <cell r="AB13">
            <v>17.458065996138352</v>
          </cell>
          <cell r="AF13">
            <v>9.1727571231861038</v>
          </cell>
          <cell r="AG13">
            <v>5106.7194581981867</v>
          </cell>
          <cell r="AN13">
            <v>995.52304056178014</v>
          </cell>
          <cell r="AU13">
            <v>7905</v>
          </cell>
          <cell r="AV13">
            <v>23.054171855541728</v>
          </cell>
          <cell r="AW13">
            <v>1030</v>
          </cell>
          <cell r="AX13">
            <v>8779</v>
          </cell>
          <cell r="AY13">
            <v>26.900838392599024</v>
          </cell>
          <cell r="AZ13">
            <v>328.87319452758948</v>
          </cell>
          <cell r="BA13">
            <v>16.848657267916511</v>
          </cell>
          <cell r="BC13">
            <v>1597</v>
          </cell>
          <cell r="BD13">
            <v>-11.865342163355407</v>
          </cell>
          <cell r="BE13">
            <v>1241.1475418018135</v>
          </cell>
          <cell r="BG13">
            <v>2753.9833122165892</v>
          </cell>
          <cell r="BI13">
            <v>3556.2286864045373</v>
          </cell>
          <cell r="BO13">
            <v>6970</v>
          </cell>
        </row>
        <row r="14">
          <cell r="A14">
            <v>33025</v>
          </cell>
          <cell r="B14">
            <v>6082.7870000000012</v>
          </cell>
          <cell r="C14">
            <v>-10.040779589086535</v>
          </cell>
          <cell r="D14">
            <v>30016</v>
          </cell>
          <cell r="F14">
            <v>1304.5930000000001</v>
          </cell>
          <cell r="G14">
            <v>6.496605331062888</v>
          </cell>
          <cell r="N14">
            <v>7054.4359999999997</v>
          </cell>
          <cell r="P14">
            <v>4591.9809824642989</v>
          </cell>
          <cell r="R14">
            <v>19033.796982464301</v>
          </cell>
          <cell r="S14">
            <v>5.2515674885169172</v>
          </cell>
          <cell r="U14">
            <v>10679</v>
          </cell>
          <cell r="V14">
            <v>6.2332400539092614</v>
          </cell>
          <cell r="W14">
            <v>5742.081316483388</v>
          </cell>
          <cell r="X14">
            <v>-10.738043970255145</v>
          </cell>
          <cell r="AA14">
            <v>7045.934416203615</v>
          </cell>
          <cell r="AB14">
            <v>-7.9454325466036817</v>
          </cell>
          <cell r="AF14">
            <v>-5.8503929368390439</v>
          </cell>
          <cell r="AG14">
            <v>5650.3238983372839</v>
          </cell>
          <cell r="AN14">
            <v>887.5817686148539</v>
          </cell>
          <cell r="AU14">
            <v>8499</v>
          </cell>
          <cell r="AV14">
            <v>7.5142314990512382</v>
          </cell>
          <cell r="AW14">
            <v>682</v>
          </cell>
          <cell r="AX14">
            <v>9174</v>
          </cell>
          <cell r="AY14">
            <v>4.4993735049549954</v>
          </cell>
          <cell r="AZ14">
            <v>340.70568351661313</v>
          </cell>
          <cell r="BA14">
            <v>3.597887935506705</v>
          </cell>
          <cell r="BC14">
            <v>1699</v>
          </cell>
          <cell r="BD14">
            <v>6.3869755792110183</v>
          </cell>
          <cell r="BE14">
            <v>1404.1121016627158</v>
          </cell>
          <cell r="BG14">
            <v>3704.399213849445</v>
          </cell>
          <cell r="BI14">
            <v>3378.0431006914523</v>
          </cell>
          <cell r="BO14">
            <v>8369</v>
          </cell>
        </row>
        <row r="15">
          <cell r="A15">
            <v>33390</v>
          </cell>
          <cell r="B15">
            <v>4498.7049999999999</v>
          </cell>
          <cell r="C15">
            <v>-26.042042899085583</v>
          </cell>
          <cell r="D15">
            <v>23580</v>
          </cell>
          <cell r="F15">
            <v>1092.645</v>
          </cell>
          <cell r="G15">
            <v>-16.246292905143601</v>
          </cell>
          <cell r="N15">
            <v>5713.6450000000004</v>
          </cell>
          <cell r="P15">
            <v>4301.8955756710784</v>
          </cell>
          <cell r="R15">
            <v>15606.890575671079</v>
          </cell>
          <cell r="S15">
            <v>-18.004323624710327</v>
          </cell>
          <cell r="U15">
            <v>9109</v>
          </cell>
          <cell r="V15">
            <v>-14.701751100290295</v>
          </cell>
          <cell r="W15">
            <v>4206.3860914972338</v>
          </cell>
          <cell r="X15">
            <v>-26.744574664551372</v>
          </cell>
          <cell r="AA15">
            <v>5295.5470642302807</v>
          </cell>
          <cell r="AB15">
            <v>-24.842515535596654</v>
          </cell>
          <cell r="AF15">
            <v>-21.104699093157464</v>
          </cell>
          <cell r="AG15">
            <v>4143.1701576652495</v>
          </cell>
          <cell r="AN15">
            <v>769.20410466726594</v>
          </cell>
          <cell r="AU15">
            <v>6455</v>
          </cell>
          <cell r="AV15">
            <v>-24.049888222143778</v>
          </cell>
          <cell r="AW15">
            <v>145</v>
          </cell>
          <cell r="AX15">
            <v>6659</v>
          </cell>
          <cell r="AY15">
            <v>-27.414432090691086</v>
          </cell>
          <cell r="AZ15">
            <v>292.31890850276613</v>
          </cell>
          <cell r="BA15">
            <v>-14.201927750197807</v>
          </cell>
          <cell r="BC15">
            <v>1665</v>
          </cell>
          <cell r="BD15">
            <v>-2.0011771630370823</v>
          </cell>
          <cell r="BE15">
            <v>1570.474842334751</v>
          </cell>
          <cell r="BG15">
            <v>3532.6914710038127</v>
          </cell>
          <cell r="BI15">
            <v>1884.0307508917176</v>
          </cell>
          <cell r="BO15">
            <v>7191</v>
          </cell>
        </row>
        <row r="16">
          <cell r="A16">
            <v>33756</v>
          </cell>
          <cell r="B16">
            <v>4201.9710000000005</v>
          </cell>
          <cell r="C16">
            <v>-6.5959870673893857</v>
          </cell>
          <cell r="D16">
            <v>25421</v>
          </cell>
          <cell r="F16">
            <v>1069.1369999999999</v>
          </cell>
          <cell r="G16">
            <v>-2.151476463078128</v>
          </cell>
          <cell r="N16">
            <v>4216.0429999999997</v>
          </cell>
          <cell r="P16">
            <v>3474.8509497588448</v>
          </cell>
          <cell r="R16">
            <v>12962.001949758844</v>
          </cell>
          <cell r="S16">
            <v>-16.946928749761604</v>
          </cell>
          <cell r="U16">
            <v>7689</v>
          </cell>
          <cell r="V16">
            <v>-15.588977933911519</v>
          </cell>
          <cell r="W16">
            <v>3957.4323208662631</v>
          </cell>
          <cell r="X16">
            <v>-5.9184717050630349</v>
          </cell>
          <cell r="AA16">
            <v>5025.2170944991703</v>
          </cell>
          <cell r="AB16">
            <v>-5.1048544456738458</v>
          </cell>
          <cell r="AF16">
            <v>-5.1332288401253923</v>
          </cell>
          <cell r="AG16">
            <v>2952.4765773376103</v>
          </cell>
          <cell r="AN16">
            <v>625.86682556831306</v>
          </cell>
          <cell r="AU16">
            <v>4873</v>
          </cell>
          <cell r="AV16">
            <v>-24.50813323005422</v>
          </cell>
          <cell r="AW16">
            <v>209</v>
          </cell>
          <cell r="AX16">
            <v>5090</v>
          </cell>
          <cell r="AY16">
            <v>-23.562096410872503</v>
          </cell>
          <cell r="AZ16">
            <v>244.53867913373733</v>
          </cell>
          <cell r="BA16">
            <v>-16.345240755637491</v>
          </cell>
          <cell r="BC16">
            <v>1707</v>
          </cell>
          <cell r="BD16">
            <v>2.522522522522519</v>
          </cell>
          <cell r="BE16">
            <v>1263.5664226623894</v>
          </cell>
          <cell r="BG16">
            <v>2848.9841241905315</v>
          </cell>
          <cell r="BI16">
            <v>2751.5585476462493</v>
          </cell>
          <cell r="BO16">
            <v>7061</v>
          </cell>
        </row>
        <row r="17">
          <cell r="A17">
            <v>34121</v>
          </cell>
          <cell r="B17">
            <v>4890.223</v>
          </cell>
          <cell r="C17">
            <v>16.379265825489988</v>
          </cell>
          <cell r="D17">
            <v>28154</v>
          </cell>
          <cell r="F17">
            <v>1145.2429999999999</v>
          </cell>
          <cell r="G17">
            <v>7.1184516109722207</v>
          </cell>
          <cell r="N17">
            <v>3713.4340000000002</v>
          </cell>
          <cell r="P17">
            <v>3773.672009138003</v>
          </cell>
          <cell r="R17">
            <v>13522.572009138003</v>
          </cell>
          <cell r="S17">
            <v>4.3247182152259089</v>
          </cell>
          <cell r="U17">
            <v>8319</v>
          </cell>
          <cell r="V17">
            <v>8.1935232149824344</v>
          </cell>
          <cell r="W17">
            <v>4622.8566807341513</v>
          </cell>
          <cell r="X17">
            <v>16.814548068436199</v>
          </cell>
          <cell r="AA17">
            <v>5767.3289244816597</v>
          </cell>
          <cell r="AB17">
            <v>14.767756616820371</v>
          </cell>
          <cell r="AF17">
            <v>15.517003992840417</v>
          </cell>
          <cell r="AG17">
            <v>2785.996939226301</v>
          </cell>
          <cell r="AN17">
            <v>727.91455342109214</v>
          </cell>
          <cell r="AU17">
            <v>4822</v>
          </cell>
          <cell r="AV17">
            <v>-1.0465832136261066</v>
          </cell>
          <cell r="AW17">
            <v>1130</v>
          </cell>
          <cell r="AX17">
            <v>5726</v>
          </cell>
          <cell r="AY17">
            <v>12.495088408644396</v>
          </cell>
          <cell r="AZ17">
            <v>267.36631926584869</v>
          </cell>
          <cell r="BA17">
            <v>9.3349813669464599</v>
          </cell>
          <cell r="BC17">
            <v>1367</v>
          </cell>
          <cell r="BD17">
            <v>-19.917984768599883</v>
          </cell>
          <cell r="BE17">
            <v>927.43706077369916</v>
          </cell>
          <cell r="BG17">
            <v>3045.757455716911</v>
          </cell>
          <cell r="BI17">
            <v>3079.6684079910501</v>
          </cell>
          <cell r="BO17">
            <v>6138</v>
          </cell>
        </row>
        <row r="18">
          <cell r="A18">
            <v>34486</v>
          </cell>
          <cell r="B18">
            <v>5426.5010000000002</v>
          </cell>
          <cell r="C18">
            <v>10.966330165311478</v>
          </cell>
          <cell r="D18">
            <v>31466</v>
          </cell>
          <cell r="F18">
            <v>1267.2429999999999</v>
          </cell>
          <cell r="G18">
            <v>10.652761029755254</v>
          </cell>
          <cell r="N18">
            <v>3517.5889999999999</v>
          </cell>
          <cell r="P18">
            <v>4189.978546616434</v>
          </cell>
          <cell r="R18">
            <v>14401.311546616434</v>
          </cell>
          <cell r="S18">
            <v>6.4983165693968337</v>
          </cell>
          <cell r="U18">
            <v>8982</v>
          </cell>
          <cell r="V18">
            <v>7.9697078975838442</v>
          </cell>
          <cell r="W18">
            <v>5146.6363644637258</v>
          </cell>
          <cell r="X18">
            <v>11.330216788083373</v>
          </cell>
          <cell r="AA18">
            <v>6411.2124311584521</v>
          </cell>
          <cell r="AB18">
            <v>11.16432780422112</v>
          </cell>
          <cell r="AF18">
            <v>15.804529201430274</v>
          </cell>
          <cell r="AG18">
            <v>2526.3429200546316</v>
          </cell>
          <cell r="AN18">
            <v>1078.6168435948171</v>
          </cell>
          <cell r="AU18">
            <v>4867</v>
          </cell>
          <cell r="AV18">
            <v>0.93322272915803417</v>
          </cell>
          <cell r="AW18">
            <v>416</v>
          </cell>
          <cell r="AX18">
            <v>5245</v>
          </cell>
          <cell r="AY18">
            <v>-8.4002794271742953</v>
          </cell>
          <cell r="AZ18">
            <v>279.86463553627436</v>
          </cell>
          <cell r="BA18">
            <v>4.6746038561417791</v>
          </cell>
          <cell r="BC18">
            <v>1366</v>
          </cell>
          <cell r="BD18">
            <v>-7.3152889539140897E-2</v>
          </cell>
          <cell r="BE18">
            <v>991.24607994536836</v>
          </cell>
          <cell r="BG18">
            <v>3111.3617030216169</v>
          </cell>
          <cell r="BI18">
            <v>2687.8606481914671</v>
          </cell>
          <cell r="BO18">
            <v>6833</v>
          </cell>
        </row>
        <row r="19">
          <cell r="A19">
            <v>34851</v>
          </cell>
          <cell r="B19">
            <v>5426.0079999999998</v>
          </cell>
          <cell r="C19">
            <v>-9.0850439353196144E-3</v>
          </cell>
          <cell r="D19">
            <v>29459</v>
          </cell>
          <cell r="F19">
            <v>1342.2150000000001</v>
          </cell>
          <cell r="G19">
            <v>5.9161502568962909</v>
          </cell>
          <cell r="N19">
            <v>4129.893</v>
          </cell>
          <cell r="P19">
            <v>4266.4548539426278</v>
          </cell>
          <cell r="R19">
            <v>15164.570853942629</v>
          </cell>
          <cell r="S19">
            <v>5.2999291408671878</v>
          </cell>
          <cell r="U19">
            <v>9259</v>
          </cell>
          <cell r="V19">
            <v>3.0839456691160061</v>
          </cell>
          <cell r="W19">
            <v>5185.5276457299324</v>
          </cell>
          <cell r="X19">
            <v>0.75566405924345825</v>
          </cell>
          <cell r="AA19">
            <v>6518.0299079161869</v>
          </cell>
          <cell r="AB19">
            <v>1.6661041558785783</v>
          </cell>
          <cell r="AF19">
            <v>-1.0086455331412059</v>
          </cell>
          <cell r="AG19">
            <v>2848.2654845694424</v>
          </cell>
          <cell r="AN19">
            <v>739.30880475155459</v>
          </cell>
          <cell r="AU19">
            <v>5451</v>
          </cell>
          <cell r="AV19">
            <v>11.999178138483657</v>
          </cell>
          <cell r="AW19">
            <v>-326</v>
          </cell>
          <cell r="AX19">
            <v>5275</v>
          </cell>
          <cell r="AY19">
            <v>0.57197330791229906</v>
          </cell>
          <cell r="AZ19">
            <v>240.48035427006744</v>
          </cell>
          <cell r="BA19">
            <v>-14.072618067923838</v>
          </cell>
          <cell r="BC19">
            <v>1043</v>
          </cell>
          <cell r="BD19">
            <v>-23.645680819912151</v>
          </cell>
          <cell r="BE19">
            <v>1281.6275154305577</v>
          </cell>
          <cell r="BG19">
            <v>3527.146049191073</v>
          </cell>
          <cell r="BI19">
            <v>2287.0333432945563</v>
          </cell>
          <cell r="BO19">
            <v>7889</v>
          </cell>
        </row>
        <row r="20">
          <cell r="A20">
            <v>35217</v>
          </cell>
          <cell r="B20">
            <v>4740.8410000000003</v>
          </cell>
          <cell r="C20">
            <v>-12.627460188042472</v>
          </cell>
          <cell r="D20">
            <v>23675</v>
          </cell>
          <cell r="F20">
            <v>1302.204</v>
          </cell>
          <cell r="G20">
            <v>-2.9809680267319449</v>
          </cell>
          <cell r="N20">
            <v>4912.1759999999995</v>
          </cell>
          <cell r="P20">
            <v>4063.0646460801809</v>
          </cell>
          <cell r="R20">
            <v>15018.28564608018</v>
          </cell>
          <cell r="S20">
            <v>-0.96465115479622554</v>
          </cell>
          <cell r="U20">
            <v>9365</v>
          </cell>
          <cell r="V20">
            <v>1.14483205529754</v>
          </cell>
          <cell r="W20">
            <v>4469.5637322330876</v>
          </cell>
          <cell r="X20">
            <v>-13.80696358038726</v>
          </cell>
          <cell r="AA20">
            <v>5709.9918127328519</v>
          </cell>
          <cell r="AB20">
            <v>-12.396968203566662</v>
          </cell>
          <cell r="AF20">
            <v>-6.8101476398419685</v>
          </cell>
          <cell r="AG20">
            <v>3610.7800999297565</v>
          </cell>
          <cell r="AN20">
            <v>980.33901798803595</v>
          </cell>
          <cell r="AU20">
            <v>6867</v>
          </cell>
          <cell r="AV20">
            <v>25.976884975233894</v>
          </cell>
          <cell r="AW20">
            <v>373</v>
          </cell>
          <cell r="AX20">
            <v>7208</v>
          </cell>
          <cell r="AY20">
            <v>36.644549763033176</v>
          </cell>
          <cell r="AZ20">
            <v>271.2772677669127</v>
          </cell>
          <cell r="BA20">
            <v>12.8064155553677</v>
          </cell>
          <cell r="BC20">
            <v>1531</v>
          </cell>
          <cell r="BD20">
            <v>46.788111217641415</v>
          </cell>
          <cell r="BE20">
            <v>1301.395900070243</v>
          </cell>
          <cell r="BG20">
            <v>3082.7256280921447</v>
          </cell>
          <cell r="BI20">
            <v>2436.8252845704646</v>
          </cell>
          <cell r="BO20">
            <v>6984</v>
          </cell>
        </row>
        <row r="21">
          <cell r="A21">
            <v>35582</v>
          </cell>
          <cell r="B21">
            <v>4774.0490000000009</v>
          </cell>
          <cell r="C21">
            <v>0.70046643622936333</v>
          </cell>
          <cell r="D21">
            <v>24699</v>
          </cell>
          <cell r="F21">
            <v>1436.7570000000001</v>
          </cell>
          <cell r="G21">
            <v>10.332712846835058</v>
          </cell>
          <cell r="N21">
            <v>5417.3019999999997</v>
          </cell>
          <cell r="P21">
            <v>4222.7031392601739</v>
          </cell>
          <cell r="R21">
            <v>15850.811139260175</v>
          </cell>
          <cell r="S21">
            <v>5.5434122961783405</v>
          </cell>
          <cell r="U21">
            <v>10283</v>
          </cell>
          <cell r="V21">
            <v>9.8024559530165423</v>
          </cell>
          <cell r="W21">
            <v>4572.1370413256955</v>
          </cell>
          <cell r="X21">
            <v>2.2949288842864322</v>
          </cell>
          <cell r="AA21">
            <v>5940.8595160640107</v>
          </cell>
          <cell r="AB21">
            <v>4.0432230185749374</v>
          </cell>
          <cell r="AF21">
            <v>7.4528617650340356</v>
          </cell>
          <cell r="AG21">
            <v>4253.0487756742541</v>
          </cell>
          <cell r="AN21">
            <v>1603.5779114623606</v>
          </cell>
          <cell r="AU21">
            <v>8766</v>
          </cell>
          <cell r="AV21">
            <v>27.653997378768015</v>
          </cell>
          <cell r="AW21">
            <v>734</v>
          </cell>
          <cell r="AX21">
            <v>9376</v>
          </cell>
          <cell r="AY21">
            <v>30.077691453940059</v>
          </cell>
          <cell r="AZ21">
            <v>201.91195867430542</v>
          </cell>
          <cell r="BA21">
            <v>-25.569893734040207</v>
          </cell>
          <cell r="BC21">
            <v>668</v>
          </cell>
          <cell r="BD21">
            <v>-56.368386675375568</v>
          </cell>
          <cell r="BE21">
            <v>1164.2532243257456</v>
          </cell>
          <cell r="BG21">
            <v>2619.1252277978133</v>
          </cell>
          <cell r="BI21">
            <v>2412.6750639404513</v>
          </cell>
          <cell r="BO21">
            <v>5371</v>
          </cell>
        </row>
        <row r="22">
          <cell r="A22">
            <v>35947</v>
          </cell>
          <cell r="B22">
            <v>6473.0580000000009</v>
          </cell>
          <cell r="C22">
            <v>35.58842818747776</v>
          </cell>
          <cell r="D22">
            <v>33602</v>
          </cell>
          <cell r="F22">
            <v>1677.4490000000001</v>
          </cell>
          <cell r="G22">
            <v>16.752450135965937</v>
          </cell>
          <cell r="N22">
            <v>4811.6669999999995</v>
          </cell>
          <cell r="P22">
            <v>5296.4620075449475</v>
          </cell>
          <cell r="R22">
            <v>18258.636007544948</v>
          </cell>
          <cell r="S22">
            <v>15.19054669903257</v>
          </cell>
          <cell r="U22">
            <v>11268</v>
          </cell>
          <cell r="V22">
            <v>9.5789166585626759</v>
          </cell>
          <cell r="W22">
            <v>6287.1151143094039</v>
          </cell>
          <cell r="X22">
            <v>37.509332233104914</v>
          </cell>
          <cell r="AA22">
            <v>7872.1910371265694</v>
          </cell>
          <cell r="AB22">
            <v>32.509294586755708</v>
          </cell>
          <cell r="AF22">
            <v>28.086387706364867</v>
          </cell>
          <cell r="AG22">
            <v>3641.0379638668651</v>
          </cell>
          <cell r="AN22">
            <v>2568.5681707263434</v>
          </cell>
          <cell r="AU22">
            <v>8703</v>
          </cell>
          <cell r="AV22">
            <v>-0.71868583162217892</v>
          </cell>
          <cell r="AW22">
            <v>316</v>
          </cell>
          <cell r="AX22">
            <v>8982</v>
          </cell>
          <cell r="AY22">
            <v>-4.202218430034133</v>
          </cell>
          <cell r="AZ22">
            <v>185.942885690597</v>
          </cell>
          <cell r="BA22">
            <v>-7.9089287670510817</v>
          </cell>
          <cell r="BC22">
            <v>841</v>
          </cell>
          <cell r="BD22">
            <v>25.898203592814362</v>
          </cell>
          <cell r="BE22">
            <v>1170.6290361331344</v>
          </cell>
          <cell r="BG22">
            <v>2727.8938368186041</v>
          </cell>
          <cell r="BI22">
            <v>2524.16116417483</v>
          </cell>
          <cell r="BO22">
            <v>6530</v>
          </cell>
        </row>
        <row r="23">
          <cell r="A23">
            <v>36312</v>
          </cell>
          <cell r="B23">
            <v>7652.6409999999987</v>
          </cell>
          <cell r="C23">
            <v>18.222963551384797</v>
          </cell>
          <cell r="D23">
            <v>37472</v>
          </cell>
          <cell r="F23">
            <v>1802.5700000000002</v>
          </cell>
          <cell r="G23">
            <v>7.4590047148974437</v>
          </cell>
          <cell r="N23">
            <v>5599.0209999999997</v>
          </cell>
          <cell r="P23">
            <v>6484.0325977741068</v>
          </cell>
          <cell r="R23">
            <v>21538.264597774105</v>
          </cell>
          <cell r="S23">
            <v>17.962067861333828</v>
          </cell>
          <cell r="U23">
            <v>13119</v>
          </cell>
          <cell r="V23">
            <v>16.427050053248138</v>
          </cell>
          <cell r="W23">
            <v>7394.666243981419</v>
          </cell>
          <cell r="X23">
            <v>17.616205676769638</v>
          </cell>
          <cell r="AA23">
            <v>9119.8815144004857</v>
          </cell>
          <cell r="AB23">
            <v>15.849341960701913</v>
          </cell>
          <cell r="AF23">
            <v>8.4225032425421453</v>
          </cell>
          <cell r="AG23">
            <v>4306.2954308823118</v>
          </cell>
          <cell r="AN23">
            <v>3558.6665390612839</v>
          </cell>
          <cell r="AU23">
            <v>11135</v>
          </cell>
          <cell r="AV23">
            <v>27.944386992990932</v>
          </cell>
          <cell r="AW23">
            <v>661</v>
          </cell>
          <cell r="AX23">
            <v>11672</v>
          </cell>
          <cell r="AY23">
            <v>29.948786461812517</v>
          </cell>
          <cell r="AZ23">
            <v>257.97475601857968</v>
          </cell>
          <cell r="BA23">
            <v>38.738707351160187</v>
          </cell>
          <cell r="BC23">
            <v>1082</v>
          </cell>
          <cell r="BD23">
            <v>28.656361474435201</v>
          </cell>
          <cell r="BE23">
            <v>1292.7255691176879</v>
          </cell>
          <cell r="BG23">
            <v>2925.3660587128229</v>
          </cell>
          <cell r="BI23">
            <v>3772.5788865699756</v>
          </cell>
          <cell r="BO23">
            <v>8153</v>
          </cell>
        </row>
        <row r="24">
          <cell r="A24">
            <v>36678</v>
          </cell>
          <cell r="B24">
            <v>9662.6990000000005</v>
          </cell>
          <cell r="C24">
            <v>26.266200126204819</v>
          </cell>
          <cell r="D24">
            <v>46441</v>
          </cell>
          <cell r="F24">
            <v>2137.58</v>
          </cell>
          <cell r="G24">
            <v>18.585131229300366</v>
          </cell>
          <cell r="N24">
            <v>5211.5860000000002</v>
          </cell>
          <cell r="P24">
            <v>5560.9112706784608</v>
          </cell>
          <cell r="R24">
            <v>22572.776270678463</v>
          </cell>
          <cell r="S24">
            <v>4.8031338282067182</v>
          </cell>
          <cell r="U24">
            <v>13550</v>
          </cell>
          <cell r="V24">
            <v>3.285311380440592</v>
          </cell>
          <cell r="W24">
            <v>9438.8916833652183</v>
          </cell>
          <cell r="X24">
            <v>27.644593710332927</v>
          </cell>
          <cell r="AA24">
            <v>11502.762899208617</v>
          </cell>
          <cell r="AB24">
            <v>26.128424816106556</v>
          </cell>
          <cell r="AF24">
            <v>20.164485981308424</v>
          </cell>
          <cell r="AG24">
            <v>4050.6113413371449</v>
          </cell>
          <cell r="AN24">
            <v>2822.6063514238094</v>
          </cell>
          <cell r="AU24">
            <v>10451</v>
          </cell>
          <cell r="AV24">
            <v>-6.1427929950606197</v>
          </cell>
          <cell r="AW24">
            <v>-64</v>
          </cell>
          <cell r="AX24">
            <v>10443</v>
          </cell>
          <cell r="AY24">
            <v>-10.529472241261139</v>
          </cell>
          <cell r="AZ24">
            <v>223.80731663478218</v>
          </cell>
          <cell r="BA24">
            <v>-13.244489465216013</v>
          </cell>
          <cell r="BC24">
            <v>670</v>
          </cell>
          <cell r="BD24">
            <v>-38.077634011090581</v>
          </cell>
          <cell r="BE24">
            <v>1160.9746586628553</v>
          </cell>
          <cell r="BG24">
            <v>2738.3049192546514</v>
          </cell>
          <cell r="BI24">
            <v>3376.2043212911112</v>
          </cell>
          <cell r="BO24">
            <v>8147</v>
          </cell>
        </row>
        <row r="25">
          <cell r="A25">
            <v>37043</v>
          </cell>
          <cell r="B25">
            <v>7859.1189999999997</v>
          </cell>
          <cell r="C25">
            <v>-18.665385313151127</v>
          </cell>
          <cell r="D25">
            <v>33688</v>
          </cell>
          <cell r="F25">
            <v>1760.4770000000001</v>
          </cell>
          <cell r="G25">
            <v>-17.641585344174249</v>
          </cell>
          <cell r="N25">
            <v>5135.9129999999996</v>
          </cell>
          <cell r="P25">
            <v>5015.7640210166928</v>
          </cell>
          <cell r="R25">
            <v>19771.273021016692</v>
          </cell>
          <cell r="S25">
            <v>-12.410982220653388</v>
          </cell>
          <cell r="U25">
            <v>12879</v>
          </cell>
          <cell r="V25">
            <v>-4.9520295202951985</v>
          </cell>
          <cell r="W25">
            <v>7715.9323262899661</v>
          </cell>
          <cell r="X25">
            <v>-18.253831221643715</v>
          </cell>
          <cell r="AA25">
            <v>9367.5842381853345</v>
          </cell>
          <cell r="AB25">
            <v>-18.562311331047098</v>
          </cell>
          <cell r="AF25">
            <v>-14.142608262817324</v>
          </cell>
          <cell r="AG25">
            <v>3894.024641015078</v>
          </cell>
          <cell r="AN25">
            <v>2557.052167105277</v>
          </cell>
          <cell r="AU25">
            <v>9630</v>
          </cell>
          <cell r="AV25">
            <v>-7.855707587790639</v>
          </cell>
          <cell r="AW25">
            <v>39</v>
          </cell>
          <cell r="AX25">
            <v>9712</v>
          </cell>
          <cell r="AY25">
            <v>-6.9999042420760276</v>
          </cell>
          <cell r="AZ25">
            <v>143.18667371003357</v>
          </cell>
          <cell r="BA25">
            <v>-36.022344638673552</v>
          </cell>
          <cell r="BC25">
            <v>394</v>
          </cell>
          <cell r="BD25">
            <v>-41.194029850746276</v>
          </cell>
          <cell r="BE25">
            <v>1241.8883589849215</v>
          </cell>
          <cell r="BG25">
            <v>2458.7118539114158</v>
          </cell>
          <cell r="BI25">
            <v>2820.3880252889981</v>
          </cell>
          <cell r="BO25">
            <v>7497</v>
          </cell>
        </row>
        <row r="26">
          <cell r="A26">
            <v>37408</v>
          </cell>
          <cell r="B26">
            <v>9411.9340000000011</v>
          </cell>
          <cell r="C26">
            <v>19.758130650522034</v>
          </cell>
          <cell r="D26">
            <v>46331</v>
          </cell>
          <cell r="F26">
            <v>2054.2049999999999</v>
          </cell>
          <cell r="G26">
            <v>16.684569011693974</v>
          </cell>
          <cell r="N26">
            <v>5555.4110000000001</v>
          </cell>
          <cell r="P26">
            <v>5187.9318966746723</v>
          </cell>
          <cell r="R26">
            <v>22209.481896674675</v>
          </cell>
          <cell r="S26">
            <v>12.332078329332607</v>
          </cell>
          <cell r="U26">
            <v>14527</v>
          </cell>
          <cell r="V26">
            <v>12.796024536066476</v>
          </cell>
          <cell r="W26">
            <v>9208.5413798029767</v>
          </cell>
          <cell r="X26">
            <v>19.344506799617026</v>
          </cell>
          <cell r="AA26">
            <v>11137.844389016571</v>
          </cell>
          <cell r="AB26">
            <v>18.897723317128843</v>
          </cell>
          <cell r="AF26">
            <v>17.689687658525987</v>
          </cell>
          <cell r="AG26">
            <v>4249.5151485828974</v>
          </cell>
          <cell r="AN26">
            <v>2890.660270229957</v>
          </cell>
          <cell r="AU26">
            <v>10613</v>
          </cell>
          <cell r="AV26">
            <v>10.207684319833854</v>
          </cell>
          <cell r="AW26">
            <v>-445</v>
          </cell>
          <cell r="AX26">
            <v>10307</v>
          </cell>
          <cell r="AY26">
            <v>6.1264415156507379</v>
          </cell>
          <cell r="AZ26">
            <v>203.39262019702437</v>
          </cell>
          <cell r="BA26">
            <v>42.047171658525627</v>
          </cell>
          <cell r="BC26">
            <v>775</v>
          </cell>
          <cell r="BD26">
            <v>96.700507614213208</v>
          </cell>
          <cell r="BE26">
            <v>1305.8958514171027</v>
          </cell>
          <cell r="BG26">
            <v>2297.2716264447154</v>
          </cell>
          <cell r="BI26">
            <v>3292.5379111547518</v>
          </cell>
          <cell r="BO26">
            <v>8465</v>
          </cell>
        </row>
      </sheetData>
      <sheetData sheetId="2">
        <row r="14">
          <cell r="R14">
            <v>15450.417040063407</v>
          </cell>
        </row>
      </sheetData>
      <sheetData sheetId="3">
        <row r="7">
          <cell r="H7">
            <v>1152.5380000000002</v>
          </cell>
        </row>
        <row r="10">
          <cell r="BI10">
            <v>1295.7683235747779</v>
          </cell>
        </row>
        <row r="11">
          <cell r="BI11">
            <v>1026.5715434102922</v>
          </cell>
          <cell r="BJ11">
            <v>-20.775070301288356</v>
          </cell>
        </row>
        <row r="12">
          <cell r="BI12">
            <v>978.44474075197741</v>
          </cell>
          <cell r="BJ12">
            <v>-4.6881099488143345</v>
          </cell>
        </row>
        <row r="13">
          <cell r="BI13">
            <v>1307.6143385514627</v>
          </cell>
          <cell r="BJ13">
            <v>33.642124495094535</v>
          </cell>
        </row>
        <row r="14">
          <cell r="BI14">
            <v>1594.539547108956</v>
          </cell>
          <cell r="BJ14">
            <v>21.942647774522015</v>
          </cell>
        </row>
        <row r="15">
          <cell r="BI15">
            <v>1501.490612555378</v>
          </cell>
          <cell r="BJ15">
            <v>-5.8354736150811775</v>
          </cell>
        </row>
        <row r="16">
          <cell r="BI16">
            <v>1768.4353928341377</v>
          </cell>
          <cell r="BJ16">
            <v>17.778651298022297</v>
          </cell>
        </row>
        <row r="17">
          <cell r="BI17">
            <v>1382.9908966467456</v>
          </cell>
          <cell r="BJ17">
            <v>-21.795791791390773</v>
          </cell>
        </row>
        <row r="18">
          <cell r="BI18">
            <v>1161.0995295457906</v>
          </cell>
          <cell r="BJ18">
            <v>-16.044311472979434</v>
          </cell>
        </row>
        <row r="19">
          <cell r="BI19">
            <v>1346.313890014254</v>
          </cell>
          <cell r="BJ19">
            <v>15.951635131651232</v>
          </cell>
        </row>
        <row r="20">
          <cell r="BI20">
            <v>1463.8141293961721</v>
          </cell>
          <cell r="BJ20">
            <v>8.7275515950202553</v>
          </cell>
        </row>
        <row r="21">
          <cell r="BI21">
            <v>1451.489231396738</v>
          </cell>
          <cell r="BJ21">
            <v>-0.84197151482054977</v>
          </cell>
        </row>
        <row r="22">
          <cell r="BI22">
            <v>1437.6871753234377</v>
          </cell>
          <cell r="BJ22">
            <v>-0.9508893193798551</v>
          </cell>
        </row>
        <row r="23">
          <cell r="BI23">
            <v>1108.7931793889329</v>
          </cell>
          <cell r="BJ23">
            <v>-22.876603588017208</v>
          </cell>
        </row>
        <row r="24">
          <cell r="BI24">
            <v>3435.4695549675898</v>
          </cell>
          <cell r="BJ24">
            <v>209.83862624956907</v>
          </cell>
        </row>
        <row r="25">
          <cell r="BI25">
            <v>1959.3274936649882</v>
          </cell>
          <cell r="BJ25">
            <v>-42.967694450039374</v>
          </cell>
        </row>
        <row r="26">
          <cell r="BI26">
            <v>906.73917140408662</v>
          </cell>
          <cell r="BJ26">
            <v>-53.721918651383781</v>
          </cell>
        </row>
      </sheetData>
      <sheetData sheetId="4">
        <row r="9">
          <cell r="A9">
            <v>1985</v>
          </cell>
          <cell r="BI9">
            <v>-2416.2352513224432</v>
          </cell>
        </row>
        <row r="10">
          <cell r="A10">
            <v>1986</v>
          </cell>
          <cell r="BI10">
            <v>606.34326691207525</v>
          </cell>
        </row>
        <row r="11">
          <cell r="A11">
            <v>1987</v>
          </cell>
          <cell r="BI11">
            <v>804.87719605902385</v>
          </cell>
          <cell r="BJ11">
            <v>32.742827368731668</v>
          </cell>
        </row>
        <row r="12">
          <cell r="A12">
            <v>1988</v>
          </cell>
          <cell r="BI12">
            <v>596.94495264173952</v>
          </cell>
          <cell r="BJ12">
            <v>-25.834033369984567</v>
          </cell>
        </row>
        <row r="13">
          <cell r="A13">
            <v>1989</v>
          </cell>
          <cell r="BI13">
            <v>945.26970840044009</v>
          </cell>
          <cell r="BJ13">
            <v>58.351235606769578</v>
          </cell>
        </row>
        <row r="14">
          <cell r="A14">
            <v>1990</v>
          </cell>
          <cell r="BI14">
            <v>1361.1328703797928</v>
          </cell>
          <cell r="BJ14">
            <v>43.994127631897271</v>
          </cell>
        </row>
        <row r="15">
          <cell r="A15">
            <v>1991</v>
          </cell>
          <cell r="BI15">
            <v>951.33761938369025</v>
          </cell>
          <cell r="BJ15">
            <v>-30.106924894243324</v>
          </cell>
        </row>
        <row r="16">
          <cell r="A16">
            <v>1992</v>
          </cell>
          <cell r="BI16">
            <v>889.26603620846936</v>
          </cell>
          <cell r="BJ16">
            <v>-6.5246640005083627</v>
          </cell>
        </row>
        <row r="17">
          <cell r="A17">
            <v>1993</v>
          </cell>
          <cell r="BI17">
            <v>835.6687399049365</v>
          </cell>
          <cell r="BJ17">
            <v>-6.0271385750943152</v>
          </cell>
        </row>
        <row r="18">
          <cell r="A18">
            <v>1994</v>
          </cell>
          <cell r="BI18">
            <v>616.21420909504081</v>
          </cell>
          <cell r="BJ18">
            <v>-26.260947709359129</v>
          </cell>
        </row>
        <row r="19">
          <cell r="A19">
            <v>1995</v>
          </cell>
          <cell r="BI19">
            <v>1113.1335128977053</v>
          </cell>
          <cell r="BJ19">
            <v>80.640675996814437</v>
          </cell>
        </row>
        <row r="20">
          <cell r="A20">
            <v>1996</v>
          </cell>
          <cell r="BI20">
            <v>947.21084429593157</v>
          </cell>
          <cell r="BJ20">
            <v>-14.905909010846718</v>
          </cell>
        </row>
        <row r="21">
          <cell r="A21">
            <v>1997</v>
          </cell>
          <cell r="BI21">
            <v>1155.2598719141984</v>
          </cell>
          <cell r="BJ21">
            <v>21.964384051463327</v>
          </cell>
        </row>
        <row r="22">
          <cell r="A22">
            <v>1998</v>
          </cell>
          <cell r="BI22">
            <v>2608.9721885997092</v>
          </cell>
          <cell r="BJ22">
            <v>125.83422587653756</v>
          </cell>
        </row>
        <row r="23">
          <cell r="A23">
            <v>1999</v>
          </cell>
          <cell r="BI23">
            <v>1193.1323774716457</v>
          </cell>
          <cell r="BJ23">
            <v>-54.268106701741992</v>
          </cell>
        </row>
        <row r="24">
          <cell r="A24">
            <v>2000</v>
          </cell>
          <cell r="BI24">
            <v>1156.4157775404333</v>
          </cell>
          <cell r="BJ24">
            <v>-3.0773282683869585</v>
          </cell>
        </row>
        <row r="25">
          <cell r="A25">
            <v>2001</v>
          </cell>
          <cell r="BI25">
            <v>1495.4474453871371</v>
          </cell>
          <cell r="BJ25">
            <v>29.317454364708361</v>
          </cell>
        </row>
        <row r="26">
          <cell r="A26">
            <v>2002</v>
          </cell>
          <cell r="BI26">
            <v>946.98957305855538</v>
          </cell>
          <cell r="BJ26">
            <v>-36.675168627313312</v>
          </cell>
        </row>
      </sheetData>
      <sheetData sheetId="5">
        <row r="5">
          <cell r="AG5">
            <v>278.90908783783777</v>
          </cell>
          <cell r="AN5">
            <v>166.74272482427213</v>
          </cell>
        </row>
        <row r="6">
          <cell r="AG6">
            <v>226.85773076923073</v>
          </cell>
          <cell r="AN6">
            <v>70.623101119624664</v>
          </cell>
        </row>
        <row r="7">
          <cell r="AG7">
            <v>134.49534452736319</v>
          </cell>
          <cell r="AN7">
            <v>20.634395597377967</v>
          </cell>
        </row>
        <row r="8">
          <cell r="AG8">
            <v>105.54392634207242</v>
          </cell>
          <cell r="AN8">
            <v>4.415665889521839</v>
          </cell>
        </row>
        <row r="9">
          <cell r="AG9">
            <v>138.70824225934592</v>
          </cell>
          <cell r="AN9">
            <v>45.210391530046842</v>
          </cell>
        </row>
        <row r="10">
          <cell r="AG10">
            <v>248.92847309514733</v>
          </cell>
          <cell r="AN10">
            <v>89.695028720497703</v>
          </cell>
          <cell r="AU10">
            <v>461</v>
          </cell>
          <cell r="AW10">
            <v>30</v>
          </cell>
          <cell r="AX10">
            <v>487</v>
          </cell>
        </row>
        <row r="11">
          <cell r="AG11">
            <v>274.24478717813975</v>
          </cell>
          <cell r="AN11">
            <v>93.436924415640021</v>
          </cell>
          <cell r="AU11">
            <v>491</v>
          </cell>
          <cell r="AW11">
            <v>7</v>
          </cell>
          <cell r="AX11">
            <v>500</v>
          </cell>
        </row>
        <row r="12">
          <cell r="AG12">
            <v>250.96893433948679</v>
          </cell>
          <cell r="AN12">
            <v>73.153648048517439</v>
          </cell>
          <cell r="AU12">
            <v>427</v>
          </cell>
          <cell r="AW12">
            <v>18</v>
          </cell>
          <cell r="AX12">
            <v>446</v>
          </cell>
        </row>
        <row r="13">
          <cell r="AG13">
            <v>264.66164385891096</v>
          </cell>
          <cell r="AN13">
            <v>126.0982579255666</v>
          </cell>
          <cell r="AU13">
            <v>509</v>
          </cell>
          <cell r="AW13">
            <v>29</v>
          </cell>
          <cell r="AX13">
            <v>536</v>
          </cell>
        </row>
        <row r="14">
          <cell r="AG14">
            <v>280.8975898777021</v>
          </cell>
          <cell r="AN14">
            <v>76.183937986218695</v>
          </cell>
          <cell r="AU14">
            <v>467</v>
          </cell>
          <cell r="AW14">
            <v>63</v>
          </cell>
          <cell r="AX14">
            <v>531</v>
          </cell>
        </row>
        <row r="15">
          <cell r="AG15">
            <v>164.97690534249284</v>
          </cell>
          <cell r="AN15">
            <v>55.345312466041264</v>
          </cell>
          <cell r="AU15">
            <v>292</v>
          </cell>
          <cell r="AW15">
            <v>-21</v>
          </cell>
          <cell r="AX15">
            <v>275</v>
          </cell>
        </row>
        <row r="16">
          <cell r="AG16">
            <v>197.59635452658966</v>
          </cell>
          <cell r="AN16">
            <v>188.84172708286309</v>
          </cell>
          <cell r="AU16">
            <v>542</v>
          </cell>
          <cell r="AW16">
            <v>35</v>
          </cell>
          <cell r="AX16">
            <v>564</v>
          </cell>
        </row>
        <row r="17">
          <cell r="AG17">
            <v>147.77293657510936</v>
          </cell>
          <cell r="AN17">
            <v>114.27447047922561</v>
          </cell>
          <cell r="AU17">
            <v>367</v>
          </cell>
          <cell r="AW17">
            <v>12</v>
          </cell>
          <cell r="AX17">
            <v>374</v>
          </cell>
        </row>
        <row r="18">
          <cell r="AG18">
            <v>141.31744795731009</v>
          </cell>
          <cell r="AN18">
            <v>53.913501081613447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178.27388853629515</v>
          </cell>
          <cell r="AN19">
            <v>44.414497272683626</v>
          </cell>
          <cell r="AU19">
            <v>341</v>
          </cell>
          <cell r="AW19">
            <v>46</v>
          </cell>
          <cell r="AX19">
            <v>384</v>
          </cell>
        </row>
        <row r="20">
          <cell r="AG20">
            <v>223.20673664900542</v>
          </cell>
          <cell r="AN20">
            <v>89.352670502635803</v>
          </cell>
          <cell r="AU20">
            <v>464</v>
          </cell>
          <cell r="AW20">
            <v>34</v>
          </cell>
          <cell r="AX20">
            <v>496</v>
          </cell>
        </row>
        <row r="21">
          <cell r="AG21">
            <v>250.18737365660422</v>
          </cell>
          <cell r="AN21">
            <v>77.471315375490803</v>
          </cell>
          <cell r="AU21">
            <v>475</v>
          </cell>
          <cell r="AW21">
            <v>31</v>
          </cell>
          <cell r="AX21">
            <v>506</v>
          </cell>
        </row>
        <row r="22">
          <cell r="AG22">
            <v>189.82881768324131</v>
          </cell>
          <cell r="AN22">
            <v>95.695806019527666</v>
          </cell>
          <cell r="AU22">
            <v>412</v>
          </cell>
          <cell r="AW22">
            <v>39</v>
          </cell>
          <cell r="AX22">
            <v>445</v>
          </cell>
        </row>
        <row r="23">
          <cell r="AG23">
            <v>180.40990846882016</v>
          </cell>
          <cell r="AN23">
            <v>76.660362497463623</v>
          </cell>
          <cell r="AU23">
            <v>389</v>
          </cell>
          <cell r="AW23">
            <v>53</v>
          </cell>
          <cell r="AX23">
            <v>440</v>
          </cell>
        </row>
        <row r="24">
          <cell r="AG24">
            <v>213.71313753546914</v>
          </cell>
          <cell r="AN24">
            <v>44.818472974815428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159.59097776421004</v>
          </cell>
          <cell r="AN25">
            <v>29.314517670085948</v>
          </cell>
          <cell r="AU25">
            <v>297</v>
          </cell>
          <cell r="AW25">
            <v>42</v>
          </cell>
          <cell r="AX25">
            <v>337</v>
          </cell>
        </row>
        <row r="26">
          <cell r="AG26">
            <v>183.01231058201998</v>
          </cell>
          <cell r="AN26">
            <v>353.09040730567574</v>
          </cell>
          <cell r="AU26">
            <v>812</v>
          </cell>
          <cell r="AW26">
            <v>37</v>
          </cell>
          <cell r="AX26">
            <v>839</v>
          </cell>
        </row>
      </sheetData>
      <sheetData sheetId="6"/>
      <sheetData sheetId="7">
        <row r="5">
          <cell r="J5">
            <v>0</v>
          </cell>
          <cell r="L5">
            <v>538.52499999999998</v>
          </cell>
          <cell r="P5">
            <v>108.21374966680047</v>
          </cell>
          <cell r="R5">
            <v>910.43474966680049</v>
          </cell>
        </row>
        <row r="6">
          <cell r="J6">
            <v>0</v>
          </cell>
          <cell r="L6">
            <v>536.61099999999999</v>
          </cell>
          <cell r="P6">
            <v>73.577210032863462</v>
          </cell>
          <cell r="R6">
            <v>910.27821003286351</v>
          </cell>
        </row>
        <row r="7">
          <cell r="J7">
            <v>0</v>
          </cell>
          <cell r="L7">
            <v>389.51400000000001</v>
          </cell>
          <cell r="P7">
            <v>64.6415770427312</v>
          </cell>
          <cell r="R7">
            <v>876.02957704273126</v>
          </cell>
          <cell r="BA7">
            <v>49.33827737984646</v>
          </cell>
          <cell r="BB7">
            <v>0.29777500000001567</v>
          </cell>
          <cell r="BD7">
            <v>40.625</v>
          </cell>
        </row>
        <row r="8">
          <cell r="J8">
            <v>0</v>
          </cell>
          <cell r="L8">
            <v>461.18800000000005</v>
          </cell>
          <cell r="P8">
            <v>137.03063454870204</v>
          </cell>
          <cell r="R8">
            <v>1253.0906345487019</v>
          </cell>
          <cell r="BA8">
            <v>21.268717593897613</v>
          </cell>
          <cell r="BB8">
            <v>4.8053951330798554</v>
          </cell>
          <cell r="BD8">
            <v>47.037037037037031</v>
          </cell>
        </row>
        <row r="9">
          <cell r="J9">
            <v>0</v>
          </cell>
          <cell r="L9">
            <v>651.61500000000001</v>
          </cell>
          <cell r="P9">
            <v>270.27149597314451</v>
          </cell>
          <cell r="R9">
            <v>1779.9514959731446</v>
          </cell>
          <cell r="BA9">
            <v>33.545498839095586</v>
          </cell>
          <cell r="BB9">
            <v>6.3546305822056866</v>
          </cell>
          <cell r="BD9">
            <v>24.685138539042818</v>
          </cell>
        </row>
        <row r="10">
          <cell r="J10">
            <v>361.24192641373804</v>
          </cell>
          <cell r="L10">
            <v>1109.7149264137379</v>
          </cell>
          <cell r="P10">
            <v>392.95008798905877</v>
          </cell>
          <cell r="R10">
            <v>2214.4960879890587</v>
          </cell>
          <cell r="BA10">
            <v>117.02869045273148</v>
          </cell>
          <cell r="BB10">
            <v>3.3698083346741754</v>
          </cell>
          <cell r="BD10">
            <v>28.080808080808083</v>
          </cell>
        </row>
        <row r="11">
          <cell r="J11">
            <v>298.44223030059038</v>
          </cell>
          <cell r="L11">
            <v>883.89623030059033</v>
          </cell>
          <cell r="P11">
            <v>432.0822366297628</v>
          </cell>
          <cell r="R11">
            <v>2518.6812366297627</v>
          </cell>
          <cell r="BA11">
            <v>-22.454015506619605</v>
          </cell>
          <cell r="BB11">
            <v>5.5317009052676553</v>
          </cell>
          <cell r="BD11">
            <v>-21.135646687697161</v>
          </cell>
        </row>
        <row r="12">
          <cell r="A12">
            <v>1988</v>
          </cell>
          <cell r="J12">
            <v>248.5608431342506</v>
          </cell>
          <cell r="L12">
            <v>759.75984313425056</v>
          </cell>
          <cell r="N12">
            <v>1452.5060000000001</v>
          </cell>
          <cell r="P12">
            <v>305.17321324805459</v>
          </cell>
          <cell r="R12">
            <v>2268.8782132480546</v>
          </cell>
          <cell r="BA12">
            <v>-34.490101239143037</v>
          </cell>
          <cell r="BB12">
            <v>10.768220275344177</v>
          </cell>
          <cell r="BD12">
            <v>-19.799999999999997</v>
          </cell>
        </row>
        <row r="13">
          <cell r="A13">
            <v>1989</v>
          </cell>
          <cell r="J13">
            <v>240.73110212810695</v>
          </cell>
          <cell r="L13">
            <v>866.29110212810701</v>
          </cell>
          <cell r="N13">
            <v>936.51499999999987</v>
          </cell>
          <cell r="P13">
            <v>268.08574491243655</v>
          </cell>
          <cell r="R13">
            <v>1830.1607449124365</v>
          </cell>
          <cell r="BA13">
            <v>-8.6348353305400352</v>
          </cell>
          <cell r="BB13">
            <v>12.788870288742515</v>
          </cell>
          <cell r="BD13">
            <v>-66.832917705735667</v>
          </cell>
        </row>
        <row r="14">
          <cell r="A14">
            <v>1990</v>
          </cell>
          <cell r="J14">
            <v>149.67398573529715</v>
          </cell>
          <cell r="L14">
            <v>796.33498573529721</v>
          </cell>
          <cell r="N14">
            <v>820.84900000000005</v>
          </cell>
          <cell r="P14">
            <v>303.56326346693442</v>
          </cell>
          <cell r="R14">
            <v>1771.0732634669343</v>
          </cell>
          <cell r="BA14">
            <v>-56.978615107446615</v>
          </cell>
          <cell r="BB14">
            <v>13.898867743131163</v>
          </cell>
          <cell r="BD14">
            <v>7.5187969924812137</v>
          </cell>
        </row>
        <row r="15">
          <cell r="A15">
            <v>1991</v>
          </cell>
          <cell r="J15">
            <v>120.6538494893847</v>
          </cell>
          <cell r="L15">
            <v>725.1868494893846</v>
          </cell>
          <cell r="N15">
            <v>807.06600000000003</v>
          </cell>
          <cell r="P15">
            <v>256.94562665665961</v>
          </cell>
          <cell r="R15">
            <v>1668.5446266566596</v>
          </cell>
          <cell r="BA15">
            <v>24.927672262395117</v>
          </cell>
          <cell r="BB15">
            <v>7.6564829809751132</v>
          </cell>
          <cell r="BD15">
            <v>10.489510489510479</v>
          </cell>
        </row>
        <row r="16">
          <cell r="A16">
            <v>1992</v>
          </cell>
          <cell r="J16">
            <v>153.34673028411885</v>
          </cell>
          <cell r="L16">
            <v>916.9547302841188</v>
          </cell>
          <cell r="N16">
            <v>628.05399999999997</v>
          </cell>
          <cell r="P16">
            <v>302.02213529367015</v>
          </cell>
          <cell r="R16">
            <v>1693.6841352936699</v>
          </cell>
          <cell r="BA16">
            <v>-50.226553849478293</v>
          </cell>
          <cell r="BB16">
            <v>7.2473870580247421</v>
          </cell>
          <cell r="BD16">
            <v>-20.253164556962023</v>
          </cell>
        </row>
        <row r="17">
          <cell r="A17">
            <v>1993</v>
          </cell>
          <cell r="J17">
            <v>181.17773923059804</v>
          </cell>
          <cell r="L17">
            <v>1007.737739230598</v>
          </cell>
          <cell r="N17">
            <v>486.16200000000003</v>
          </cell>
          <cell r="P17">
            <v>337.40741155875435</v>
          </cell>
          <cell r="R17">
            <v>1650.1294115587543</v>
          </cell>
          <cell r="BA17">
            <v>58.514763314368089</v>
          </cell>
          <cell r="BB17">
            <v>8.5947241922106912</v>
          </cell>
          <cell r="BD17">
            <v>21.42857142857142</v>
          </cell>
        </row>
        <row r="18">
          <cell r="A18">
            <v>1994</v>
          </cell>
          <cell r="J18">
            <v>220.29274890845522</v>
          </cell>
          <cell r="L18">
            <v>1021.9837489084551</v>
          </cell>
          <cell r="N18">
            <v>485.24800000000005</v>
          </cell>
          <cell r="P18">
            <v>299.79417935838251</v>
          </cell>
          <cell r="R18">
            <v>1586.7331793583826</v>
          </cell>
          <cell r="BA18">
            <v>-23.602302721374812</v>
          </cell>
          <cell r="BB18">
            <v>0.59494925664003517</v>
          </cell>
          <cell r="BD18">
            <v>-22.875816993464049</v>
          </cell>
        </row>
        <row r="19">
          <cell r="A19">
            <v>1995</v>
          </cell>
          <cell r="J19">
            <v>198.1412175278017</v>
          </cell>
          <cell r="L19">
            <v>933.36321752780168</v>
          </cell>
          <cell r="N19">
            <v>543.48300000000006</v>
          </cell>
          <cell r="P19">
            <v>314.47336935393673</v>
          </cell>
          <cell r="R19">
            <v>1593.1783693539369</v>
          </cell>
          <cell r="BA19">
            <v>-1.4499157821560305</v>
          </cell>
          <cell r="BB19">
            <v>2.1975425108225011</v>
          </cell>
          <cell r="BD19">
            <v>12.711864406779672</v>
          </cell>
        </row>
        <row r="20">
          <cell r="A20">
            <v>1996</v>
          </cell>
          <cell r="J20">
            <v>198.88350318544246</v>
          </cell>
          <cell r="L20">
            <v>747.49650318544252</v>
          </cell>
          <cell r="N20">
            <v>556.64800000000002</v>
          </cell>
          <cell r="P20">
            <v>242.67273664338521</v>
          </cell>
          <cell r="R20">
            <v>1347.9337366433851</v>
          </cell>
          <cell r="BA20">
            <v>-12.484422068332268</v>
          </cell>
          <cell r="BB20">
            <v>5.2241750470946329</v>
          </cell>
          <cell r="BD20">
            <v>-4.5112781954887211</v>
          </cell>
        </row>
        <row r="21">
          <cell r="A21">
            <v>1997</v>
          </cell>
          <cell r="J21">
            <v>357.32755347036539</v>
          </cell>
          <cell r="L21">
            <v>846.39455347036539</v>
          </cell>
          <cell r="N21">
            <v>686.98699999999997</v>
          </cell>
          <cell r="P21">
            <v>232.40602491110289</v>
          </cell>
          <cell r="R21">
            <v>1408.4600249111029</v>
          </cell>
          <cell r="BA21">
            <v>-14.618690740894358</v>
          </cell>
          <cell r="BB21">
            <v>11.062465936679388</v>
          </cell>
          <cell r="BD21">
            <v>-53.543307086614163</v>
          </cell>
        </row>
        <row r="22">
          <cell r="A22">
            <v>1998</v>
          </cell>
          <cell r="J22">
            <v>328.94913670142353</v>
          </cell>
          <cell r="L22">
            <v>738.10313670142352</v>
          </cell>
          <cell r="N22">
            <v>646.77499999999998</v>
          </cell>
          <cell r="P22">
            <v>255.47714028749425</v>
          </cell>
          <cell r="R22">
            <v>1311.4061402874941</v>
          </cell>
          <cell r="BA22">
            <v>-123.92099685381675</v>
          </cell>
          <cell r="BB22">
            <v>2.8138850038283607</v>
          </cell>
          <cell r="BD22">
            <v>-83.050847457627114</v>
          </cell>
        </row>
        <row r="23">
          <cell r="A23">
            <v>1999</v>
          </cell>
          <cell r="J23">
            <v>364.42234345051094</v>
          </cell>
          <cell r="L23">
            <v>873.78834345051087</v>
          </cell>
          <cell r="N23">
            <v>627.66300000000001</v>
          </cell>
          <cell r="P23">
            <v>287.49604216035868</v>
          </cell>
          <cell r="R23">
            <v>1424.5250421603587</v>
          </cell>
          <cell r="BA23">
            <v>-88.972584649580469</v>
          </cell>
          <cell r="BB23">
            <v>8.7268924921573898E-2</v>
          </cell>
          <cell r="BD23">
            <v>580</v>
          </cell>
        </row>
        <row r="24">
          <cell r="A24">
            <v>2000</v>
          </cell>
          <cell r="J24">
            <v>377.76698894748779</v>
          </cell>
          <cell r="L24">
            <v>1091.8689889474879</v>
          </cell>
          <cell r="N24">
            <v>436.32799999999997</v>
          </cell>
          <cell r="P24">
            <v>443.03388087537388</v>
          </cell>
          <cell r="R24">
            <v>1593.4638808753739</v>
          </cell>
          <cell r="BA24">
            <v>-4030.0009665590524</v>
          </cell>
          <cell r="BB24">
            <v>7.1212149138590348</v>
          </cell>
          <cell r="BD24">
            <v>17.647058823529417</v>
          </cell>
        </row>
        <row r="25">
          <cell r="A25">
            <v>2001</v>
          </cell>
          <cell r="J25">
            <v>250.69787964681399</v>
          </cell>
          <cell r="L25">
            <v>714.247879646814</v>
          </cell>
          <cell r="N25">
            <v>460.399</v>
          </cell>
          <cell r="P25">
            <v>328.76806753637618</v>
          </cell>
          <cell r="R25">
            <v>1252.7170675363761</v>
          </cell>
          <cell r="BA25">
            <v>-68.61645364413377</v>
          </cell>
          <cell r="BB25">
            <v>0.56101153718765318</v>
          </cell>
          <cell r="BD25">
            <v>37.5</v>
          </cell>
        </row>
        <row r="26">
          <cell r="A26">
            <v>2002</v>
          </cell>
          <cell r="J26">
            <v>377.46712230175967</v>
          </cell>
          <cell r="L26">
            <v>975.10612230175957</v>
          </cell>
          <cell r="N26">
            <v>464.65200000000004</v>
          </cell>
          <cell r="P26">
            <v>307.63802674244573</v>
          </cell>
          <cell r="R26">
            <v>1369.9290267424458</v>
          </cell>
          <cell r="BA26">
            <v>611.25488565899673</v>
          </cell>
          <cell r="BB26">
            <v>0.88309274423917827</v>
          </cell>
          <cell r="BD26">
            <v>-27.27272727272727</v>
          </cell>
        </row>
        <row r="27">
          <cell r="A27">
            <v>2003</v>
          </cell>
          <cell r="L27">
            <v>1134.101246939967</v>
          </cell>
          <cell r="N27">
            <v>519.29200000000003</v>
          </cell>
        </row>
      </sheetData>
      <sheetData sheetId="8">
        <row r="7">
          <cell r="B7">
            <v>19608.507000000001</v>
          </cell>
        </row>
      </sheetData>
      <sheetData sheetId="9"/>
      <sheetData sheetId="10"/>
      <sheetData sheetId="11">
        <row r="27">
          <cell r="E27">
            <v>7.6460199513725291</v>
          </cell>
        </row>
      </sheetData>
      <sheetData sheetId="12"/>
      <sheetData sheetId="13"/>
      <sheetData sheetId="14"/>
      <sheetData sheetId="15"/>
      <sheetData sheetId="16"/>
      <sheetData sheetId="17">
        <row r="27">
          <cell r="B27">
            <v>-363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Houston Kemp - Richard">
  <a:themeElements>
    <a:clrScheme name="HoustonKemp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8698"/>
      </a:accent1>
      <a:accent2>
        <a:srgbClr val="696A6D"/>
      </a:accent2>
      <a:accent3>
        <a:srgbClr val="B5A991"/>
      </a:accent3>
      <a:accent4>
        <a:srgbClr val="C94B20"/>
      </a:accent4>
      <a:accent5>
        <a:srgbClr val="A79344"/>
      </a:accent5>
      <a:accent6>
        <a:srgbClr val="242C31"/>
      </a:accent6>
      <a:hlink>
        <a:srgbClr val="A79344"/>
      </a:hlink>
      <a:folHlink>
        <a:srgbClr val="C94B2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FDB35-D3F6-4487-B702-B54C59EECDDB}">
  <dimension ref="B27:H35"/>
  <sheetViews>
    <sheetView showGridLines="0" tabSelected="1" zoomScale="70" zoomScaleNormal="70" workbookViewId="0"/>
  </sheetViews>
  <sheetFormatPr defaultColWidth="9.23046875" defaultRowHeight="14.5"/>
  <cols>
    <col min="1" max="1" width="3.69140625" style="154" customWidth="1"/>
    <col min="2" max="16384" width="9.23046875" style="154"/>
  </cols>
  <sheetData>
    <row r="27" spans="2:8">
      <c r="B27" s="189">
        <v>45260</v>
      </c>
      <c r="C27" s="189"/>
    </row>
    <row r="29" spans="2:8" ht="17.5">
      <c r="B29" s="155" t="s">
        <v>290</v>
      </c>
    </row>
    <row r="31" spans="2:8" ht="14.5" customHeight="1">
      <c r="B31" s="190" t="s">
        <v>346</v>
      </c>
      <c r="C31" s="190"/>
      <c r="D31" s="190"/>
      <c r="E31" s="190"/>
      <c r="F31" s="190"/>
      <c r="G31" s="190"/>
      <c r="H31" s="190"/>
    </row>
    <row r="32" spans="2:8" ht="14.5" customHeight="1">
      <c r="B32" s="190"/>
      <c r="C32" s="190"/>
      <c r="D32" s="190"/>
      <c r="E32" s="190"/>
      <c r="F32" s="190"/>
      <c r="G32" s="190"/>
      <c r="H32" s="190"/>
    </row>
    <row r="33" spans="2:8" ht="14.5" customHeight="1">
      <c r="B33" s="190"/>
      <c r="C33" s="190"/>
      <c r="D33" s="190"/>
      <c r="E33" s="190"/>
      <c r="F33" s="190"/>
      <c r="G33" s="190"/>
      <c r="H33" s="190"/>
    </row>
    <row r="34" spans="2:8" ht="14.5" customHeight="1">
      <c r="B34" s="190"/>
      <c r="C34" s="190"/>
      <c r="D34" s="190"/>
      <c r="E34" s="190"/>
      <c r="F34" s="190"/>
      <c r="G34" s="190"/>
      <c r="H34" s="190"/>
    </row>
    <row r="35" spans="2:8">
      <c r="B35" s="190"/>
      <c r="C35" s="190"/>
      <c r="D35" s="190"/>
      <c r="E35" s="190"/>
      <c r="F35" s="190"/>
      <c r="G35" s="190"/>
      <c r="H35" s="190"/>
    </row>
  </sheetData>
  <sheetProtection selectLockedCells="1"/>
  <mergeCells count="2">
    <mergeCell ref="B27:C27"/>
    <mergeCell ref="B31:H35"/>
  </mergeCell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8">
    <tabColor rgb="FF9EC0DB"/>
  </sheetPr>
  <dimension ref="A1:P2007"/>
  <sheetViews>
    <sheetView showGridLines="0" zoomScale="70" zoomScaleNormal="70" workbookViewId="0"/>
  </sheetViews>
  <sheetFormatPr defaultColWidth="8.84375" defaultRowHeight="14"/>
  <cols>
    <col min="1" max="1" width="13.84375" style="1" bestFit="1" customWidth="1"/>
    <col min="2" max="2" width="28.07421875" style="1" customWidth="1"/>
    <col min="3" max="3" width="29.53515625" style="1" bestFit="1" customWidth="1"/>
    <col min="4" max="4" width="13.84375" style="1" bestFit="1" customWidth="1"/>
    <col min="5" max="6" width="13.84375" style="1" customWidth="1"/>
    <col min="7" max="7" width="17.84375" style="1" bestFit="1" customWidth="1"/>
    <col min="8" max="16" width="11.53515625" style="1" bestFit="1" customWidth="1"/>
    <col min="17" max="16384" width="8.84375" style="1"/>
  </cols>
  <sheetData>
    <row r="1" spans="1:16" ht="18">
      <c r="A1" s="49" t="str">
        <f ca="1">MID(CELL("filename",A2),FIND("]",CELL("filename",A2))+1,256)</f>
        <v>Total augex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ht="15.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</row>
    <row r="3" spans="1:16" ht="21">
      <c r="B3" s="6" t="s">
        <v>81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>
      <c r="O4" s="7"/>
    </row>
    <row r="5" spans="1:16" ht="15.5">
      <c r="B5" s="5" t="s">
        <v>82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16" ht="15.5">
      <c r="B7" s="18"/>
      <c r="C7" s="18"/>
      <c r="D7" s="18" t="s">
        <v>68</v>
      </c>
      <c r="E7" s="18"/>
      <c r="F7" s="18" t="s">
        <v>69</v>
      </c>
      <c r="G7" s="14" cm="1">
        <f t="array" ref="G7:P7">TRANSPOSE(years)</f>
        <v>2025</v>
      </c>
      <c r="H7" s="14">
        <v>2026</v>
      </c>
      <c r="I7" s="14">
        <v>2027</v>
      </c>
      <c r="J7" s="14">
        <v>2028</v>
      </c>
      <c r="K7" s="14">
        <v>2029</v>
      </c>
      <c r="L7" s="14">
        <v>2030</v>
      </c>
      <c r="M7" s="14">
        <v>2031</v>
      </c>
      <c r="N7" s="14">
        <v>2032</v>
      </c>
      <c r="O7" s="14">
        <v>2033</v>
      </c>
      <c r="P7" s="14">
        <v>2034</v>
      </c>
    </row>
    <row r="8" spans="1:16" ht="15.5">
      <c r="B8" s="2"/>
      <c r="C8" s="2"/>
      <c r="D8" s="35" t="str" cm="1">
        <f t="array" ref="D8:D10">network_levels</f>
        <v>LV</v>
      </c>
      <c r="E8" s="2"/>
      <c r="F8" s="35" t="str">
        <f>F20</f>
        <v>$2024 real</v>
      </c>
      <c r="G8" s="40">
        <f t="shared" ref="G8:P10" si="0">SUMIF($D$20:$D$334,$D8,G$20:G$334)</f>
        <v>7156873.1822185172</v>
      </c>
      <c r="H8" s="40">
        <f t="shared" si="0"/>
        <v>7156873.1822185172</v>
      </c>
      <c r="I8" s="40">
        <f t="shared" si="0"/>
        <v>7156873.1822185172</v>
      </c>
      <c r="J8" s="40">
        <f t="shared" si="0"/>
        <v>7156873.1822185172</v>
      </c>
      <c r="K8" s="40">
        <f t="shared" si="0"/>
        <v>7156873.1822185172</v>
      </c>
      <c r="L8" s="40">
        <f t="shared" si="0"/>
        <v>7156873.1822185172</v>
      </c>
      <c r="M8" s="40">
        <f t="shared" si="0"/>
        <v>7156873.1822185172</v>
      </c>
      <c r="N8" s="40">
        <f t="shared" si="0"/>
        <v>7156873.1822185172</v>
      </c>
      <c r="O8" s="40">
        <f t="shared" si="0"/>
        <v>7156873.1822185172</v>
      </c>
      <c r="P8" s="40">
        <f t="shared" si="0"/>
        <v>7156873.1822185172</v>
      </c>
    </row>
    <row r="9" spans="1:16" ht="15.5">
      <c r="B9" s="2"/>
      <c r="C9" s="2"/>
      <c r="D9" s="35" t="str">
        <v>HV</v>
      </c>
      <c r="E9" s="2"/>
      <c r="F9" s="35" t="str">
        <f>F21</f>
        <v>$2024 real</v>
      </c>
      <c r="G9" s="40">
        <f t="shared" si="0"/>
        <v>10387756.168853126</v>
      </c>
      <c r="H9" s="40">
        <f t="shared" si="0"/>
        <v>10239361.894486792</v>
      </c>
      <c r="I9" s="40">
        <f t="shared" si="0"/>
        <v>10350657.600261543</v>
      </c>
      <c r="J9" s="40">
        <f t="shared" si="0"/>
        <v>10350657.600261543</v>
      </c>
      <c r="K9" s="40">
        <f t="shared" si="0"/>
        <v>10350657.600261543</v>
      </c>
      <c r="L9" s="40">
        <f t="shared" si="0"/>
        <v>10350657.600261543</v>
      </c>
      <c r="M9" s="40">
        <f t="shared" si="0"/>
        <v>10350657.600261543</v>
      </c>
      <c r="N9" s="40">
        <f t="shared" si="0"/>
        <v>10350657.600261543</v>
      </c>
      <c r="O9" s="40">
        <f t="shared" si="0"/>
        <v>10350657.600261543</v>
      </c>
      <c r="P9" s="40">
        <f t="shared" si="0"/>
        <v>10350657.600261543</v>
      </c>
    </row>
    <row r="10" spans="1:16" ht="15.5">
      <c r="B10" s="2"/>
      <c r="C10" s="2"/>
      <c r="D10" s="35" t="str">
        <v>ST</v>
      </c>
      <c r="E10" s="2"/>
      <c r="F10" s="35" t="str">
        <f>F22</f>
        <v>$2024 real</v>
      </c>
      <c r="G10" s="40">
        <f t="shared" si="0"/>
        <v>3415801.2731576674</v>
      </c>
      <c r="H10" s="40">
        <f t="shared" si="0"/>
        <v>4348883.0855837287</v>
      </c>
      <c r="I10" s="40">
        <f t="shared" si="0"/>
        <v>10620853.471083263</v>
      </c>
      <c r="J10" s="40">
        <f t="shared" si="0"/>
        <v>1689063.396961279</v>
      </c>
      <c r="K10" s="40">
        <f t="shared" si="0"/>
        <v>748726.93547473836</v>
      </c>
      <c r="L10" s="40">
        <f t="shared" si="0"/>
        <v>215434.00785917975</v>
      </c>
      <c r="M10" s="40">
        <f t="shared" si="0"/>
        <v>0</v>
      </c>
      <c r="N10" s="40">
        <f t="shared" si="0"/>
        <v>0</v>
      </c>
      <c r="O10" s="40">
        <f t="shared" si="0"/>
        <v>0</v>
      </c>
      <c r="P10" s="40">
        <f t="shared" si="0"/>
        <v>0</v>
      </c>
    </row>
    <row r="11" spans="1:16" ht="15.5">
      <c r="B11" s="50"/>
      <c r="C11" s="50"/>
      <c r="D11" s="51" t="str">
        <f>D8</f>
        <v>LV</v>
      </c>
      <c r="E11" s="50"/>
      <c r="F11" s="51" t="s">
        <v>83</v>
      </c>
      <c r="G11" s="96">
        <f t="shared" ref="G11:P11" si="1">G8/SUM(G$8:G$10)</f>
        <v>0.34144685815497966</v>
      </c>
      <c r="H11" s="96">
        <f t="shared" si="1"/>
        <v>0.32912551354308833</v>
      </c>
      <c r="I11" s="96">
        <f t="shared" si="1"/>
        <v>0.25443598600271111</v>
      </c>
      <c r="J11" s="96">
        <f t="shared" si="1"/>
        <v>0.37281994479433211</v>
      </c>
      <c r="K11" s="96">
        <f t="shared" si="1"/>
        <v>0.39202301439795201</v>
      </c>
      <c r="L11" s="96">
        <f t="shared" si="1"/>
        <v>0.40381918414235735</v>
      </c>
      <c r="M11" s="96">
        <f t="shared" si="1"/>
        <v>0.40878826781104177</v>
      </c>
      <c r="N11" s="96">
        <f t="shared" si="1"/>
        <v>0.40878826781104177</v>
      </c>
      <c r="O11" s="96">
        <f t="shared" si="1"/>
        <v>0.40878826781104177</v>
      </c>
      <c r="P11" s="96">
        <f t="shared" si="1"/>
        <v>0.40878826781104177</v>
      </c>
    </row>
    <row r="12" spans="1:16" ht="15.5">
      <c r="B12" s="2"/>
      <c r="C12" s="2"/>
      <c r="D12" s="35" t="str">
        <f>D9</f>
        <v>HV</v>
      </c>
      <c r="E12" s="2"/>
      <c r="F12" s="35" t="s">
        <v>83</v>
      </c>
      <c r="G12" s="8">
        <f t="shared" ref="G12:P12" si="2">G9/SUM(G$8:G$10)</f>
        <v>0.49558887195978452</v>
      </c>
      <c r="H12" s="8">
        <f t="shared" si="2"/>
        <v>0.47088094983287632</v>
      </c>
      <c r="I12" s="8">
        <f t="shared" si="2"/>
        <v>0.3679791027794394</v>
      </c>
      <c r="J12" s="8">
        <f t="shared" si="2"/>
        <v>0.53919239545870157</v>
      </c>
      <c r="K12" s="8">
        <f t="shared" si="2"/>
        <v>0.56696491472520139</v>
      </c>
      <c r="L12" s="8">
        <f t="shared" si="2"/>
        <v>0.58402517427014644</v>
      </c>
      <c r="M12" s="8">
        <f t="shared" si="2"/>
        <v>0.59121173218895817</v>
      </c>
      <c r="N12" s="8">
        <f t="shared" si="2"/>
        <v>0.59121173218895817</v>
      </c>
      <c r="O12" s="8">
        <f t="shared" si="2"/>
        <v>0.59121173218895817</v>
      </c>
      <c r="P12" s="8">
        <f t="shared" si="2"/>
        <v>0.59121173218895817</v>
      </c>
    </row>
    <row r="13" spans="1:16" ht="15.5">
      <c r="B13" s="2"/>
      <c r="C13" s="2"/>
      <c r="D13" s="35" t="str">
        <f>D10</f>
        <v>ST</v>
      </c>
      <c r="E13" s="2"/>
      <c r="F13" s="35" t="s">
        <v>83</v>
      </c>
      <c r="G13" s="8">
        <f t="shared" ref="G13:P13" si="3">G10/SUM(G$8:G$10)</f>
        <v>0.16296426988523582</v>
      </c>
      <c r="H13" s="8">
        <f t="shared" si="3"/>
        <v>0.19999353662403532</v>
      </c>
      <c r="I13" s="8">
        <f t="shared" si="3"/>
        <v>0.37758491121784948</v>
      </c>
      <c r="J13" s="8">
        <f t="shared" si="3"/>
        <v>8.7987659746966332E-2</v>
      </c>
      <c r="K13" s="8">
        <f t="shared" si="3"/>
        <v>4.101207087684651E-2</v>
      </c>
      <c r="L13" s="8">
        <f t="shared" si="3"/>
        <v>1.2155641587496269E-2</v>
      </c>
      <c r="M13" s="8">
        <f t="shared" si="3"/>
        <v>0</v>
      </c>
      <c r="N13" s="8">
        <f t="shared" si="3"/>
        <v>0</v>
      </c>
      <c r="O13" s="8">
        <f t="shared" si="3"/>
        <v>0</v>
      </c>
      <c r="P13" s="8">
        <f t="shared" si="3"/>
        <v>0</v>
      </c>
    </row>
    <row r="14" spans="1:16">
      <c r="O14" s="7"/>
    </row>
    <row r="15" spans="1:16" customFormat="1" ht="15.5">
      <c r="A15" s="1"/>
      <c r="B15" s="5" t="s">
        <v>84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6" customFormat="1" ht="15.5">
      <c r="A16" s="1"/>
      <c r="B16" s="1"/>
      <c r="C16" s="1"/>
      <c r="D16" s="1"/>
      <c r="E16" s="1"/>
      <c r="F16" s="1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1:16" ht="15.5">
      <c r="B17" s="2" t="s">
        <v>85</v>
      </c>
      <c r="C17" s="2"/>
      <c r="D17" s="2"/>
      <c r="E17" s="2"/>
      <c r="F17" s="2"/>
      <c r="G17" s="36"/>
      <c r="H17" s="36"/>
      <c r="I17" s="36"/>
      <c r="J17" s="36"/>
      <c r="K17" s="36"/>
      <c r="L17" s="36"/>
      <c r="M17" s="36"/>
      <c r="N17" s="36"/>
      <c r="O17" s="36"/>
      <c r="P17" s="36"/>
    </row>
    <row r="18" spans="1:16"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1:16" ht="15.5">
      <c r="B19" s="14" t="s">
        <v>86</v>
      </c>
      <c r="C19" s="14" t="s">
        <v>87</v>
      </c>
      <c r="D19" s="14" t="s">
        <v>68</v>
      </c>
      <c r="E19" s="14" t="s">
        <v>88</v>
      </c>
      <c r="F19" s="18" t="s">
        <v>69</v>
      </c>
      <c r="G19" s="14" cm="1">
        <f t="array" ref="G19:P19">TRANSPOSE(years)</f>
        <v>2025</v>
      </c>
      <c r="H19" s="14">
        <v>2026</v>
      </c>
      <c r="I19" s="14">
        <v>2027</v>
      </c>
      <c r="J19" s="14">
        <v>2028</v>
      </c>
      <c r="K19" s="14">
        <v>2029</v>
      </c>
      <c r="L19" s="14">
        <v>2030</v>
      </c>
      <c r="M19" s="14">
        <v>2031</v>
      </c>
      <c r="N19" s="14">
        <v>2032</v>
      </c>
      <c r="O19" s="14">
        <v>2033</v>
      </c>
      <c r="P19" s="14">
        <v>2034</v>
      </c>
    </row>
    <row r="20" spans="1:16" ht="15.5">
      <c r="B20" s="2" t="str" cm="1">
        <f t="array" ref="B20:B45">area_plans</f>
        <v>Auburn / Homebush</v>
      </c>
      <c r="C20" s="35" t="str" cm="1">
        <f t="array" ref="C20">INDEX(augex_categories,COUNTIFS($B$20:$B20,$B$20))</f>
        <v>LV Distribution Centre Capacity</v>
      </c>
      <c r="D20" s="35" t="str">
        <f>IF(COUNTIF('LV &amp; HV augex'!$C$10:$C$13,C20), "LV", IF(COUNTIF('LV &amp; HV augex'!$C$15:$C$17, C20), "HV", "Error"))</f>
        <v>LV</v>
      </c>
      <c r="E20" s="35" t="str">
        <f>INDEX('Growing &amp; falling'!$D$14:$D$39,MATCH($B20,'Growing &amp; falling'!$B$14:$B$39,0))</f>
        <v>Growth</v>
      </c>
      <c r="F20" s="35" t="str">
        <f>"$" &amp; base_year &amp; " real"</f>
        <v>$2024 real</v>
      </c>
      <c r="G20" s="40">
        <f>IFERROR(INDEX('LV &amp; HV augex'!$D$10:$P$18,MATCH($C20,'LV &amp; HV augex'!$C$10:$C$18,0),MATCH(G$19,'LV &amp; HV augex'!$D$9:$P$9,0))*INDEX('LV &amp; HV augex'!$D$28:$J$52,MATCH($B20,'LV &amp; HV augex'!$L$28:$L$52,0),MATCH($C20,'LV &amp; HV augex'!$D$27:$J$27,0)),0)*'Financial inputs'!$D$11</f>
        <v>134528.08827115418</v>
      </c>
      <c r="H20" s="40">
        <f>IFERROR(INDEX('LV &amp; HV augex'!$D$10:$P$18,MATCH($C20,'LV &amp; HV augex'!$C$10:$C$18,0),MATCH(H$19,'LV &amp; HV augex'!$D$9:$P$9,0))*INDEX('LV &amp; HV augex'!$D$28:$J$52,MATCH($B20,'LV &amp; HV augex'!$L$28:$L$52,0),MATCH($C20,'LV &amp; HV augex'!$D$27:$J$27,0)),0)*'Financial inputs'!$D$11</f>
        <v>134528.08827115418</v>
      </c>
      <c r="I20" s="40">
        <f>IFERROR(INDEX('LV &amp; HV augex'!$D$10:$P$18,MATCH($C20,'LV &amp; HV augex'!$C$10:$C$18,0),MATCH(I$19,'LV &amp; HV augex'!$D$9:$P$9,0))*INDEX('LV &amp; HV augex'!$D$28:$J$52,MATCH($B20,'LV &amp; HV augex'!$L$28:$L$52,0),MATCH($C20,'LV &amp; HV augex'!$D$27:$J$27,0)),0)*'Financial inputs'!$D$11</f>
        <v>134528.08827115418</v>
      </c>
      <c r="J20" s="40">
        <f>IFERROR(INDEX('LV &amp; HV augex'!$D$10:$P$18,MATCH($C20,'LV &amp; HV augex'!$C$10:$C$18,0),MATCH(J$19,'LV &amp; HV augex'!$D$9:$P$9,0))*INDEX('LV &amp; HV augex'!$D$28:$J$52,MATCH($B20,'LV &amp; HV augex'!$L$28:$L$52,0),MATCH($C20,'LV &amp; HV augex'!$D$27:$J$27,0)),0)*'Financial inputs'!$D$11</f>
        <v>134528.08827115418</v>
      </c>
      <c r="K20" s="40">
        <f>IFERROR(INDEX('LV &amp; HV augex'!$D$10:$P$18,MATCH($C20,'LV &amp; HV augex'!$C$10:$C$18,0),MATCH(K$19,'LV &amp; HV augex'!$D$9:$P$9,0))*INDEX('LV &amp; HV augex'!$D$28:$J$52,MATCH($B20,'LV &amp; HV augex'!$L$28:$L$52,0),MATCH($C20,'LV &amp; HV augex'!$D$27:$J$27,0)),0)*'Financial inputs'!$D$11</f>
        <v>134528.08827115418</v>
      </c>
      <c r="L20" s="40">
        <f>IFERROR(INDEX('LV &amp; HV augex'!$D$10:$P$18,MATCH($C20,'LV &amp; HV augex'!$C$10:$C$18,0),MATCH(L$19,'LV &amp; HV augex'!$D$9:$P$9,0))*INDEX('LV &amp; HV augex'!$D$28:$J$52,MATCH($B20,'LV &amp; HV augex'!$L$28:$L$52,0),MATCH($C20,'LV &amp; HV augex'!$D$27:$J$27,0)),0)*'Financial inputs'!$D$11</f>
        <v>134528.08827115418</v>
      </c>
      <c r="M20" s="40">
        <f>IFERROR(INDEX('LV &amp; HV augex'!$D$10:$P$18,MATCH($C20,'LV &amp; HV augex'!$C$10:$C$18,0),MATCH(M$19,'LV &amp; HV augex'!$D$9:$P$9,0))*INDEX('LV &amp; HV augex'!$D$28:$J$52,MATCH($B20,'LV &amp; HV augex'!$L$28:$L$52,0),MATCH($C20,'LV &amp; HV augex'!$D$27:$J$27,0)),0)*'Financial inputs'!$D$11</f>
        <v>134528.08827115418</v>
      </c>
      <c r="N20" s="40">
        <f>IFERROR(INDEX('LV &amp; HV augex'!$D$10:$P$18,MATCH($C20,'LV &amp; HV augex'!$C$10:$C$18,0),MATCH(N$19,'LV &amp; HV augex'!$D$9:$P$9,0))*INDEX('LV &amp; HV augex'!$D$28:$J$52,MATCH($B20,'LV &amp; HV augex'!$L$28:$L$52,0),MATCH($C20,'LV &amp; HV augex'!$D$27:$J$27,0)),0)*'Financial inputs'!$D$11</f>
        <v>134528.08827115418</v>
      </c>
      <c r="O20" s="40">
        <f>IFERROR(INDEX('LV &amp; HV augex'!$D$10:$P$18,MATCH($C20,'LV &amp; HV augex'!$C$10:$C$18,0),MATCH(O$19,'LV &amp; HV augex'!$D$9:$P$9,0))*INDEX('LV &amp; HV augex'!$D$28:$J$52,MATCH($B20,'LV &amp; HV augex'!$L$28:$L$52,0),MATCH($C20,'LV &amp; HV augex'!$D$27:$J$27,0)),0)*'Financial inputs'!$D$11</f>
        <v>134528.08827115418</v>
      </c>
      <c r="P20" s="40">
        <f>IFERROR(INDEX('LV &amp; HV augex'!$D$10:$P$18,MATCH($C20,'LV &amp; HV augex'!$C$10:$C$18,0),MATCH(P$19,'LV &amp; HV augex'!$D$9:$P$9,0))*INDEX('LV &amp; HV augex'!$D$28:$J$52,MATCH($B20,'LV &amp; HV augex'!$L$28:$L$52,0),MATCH($C20,'LV &amp; HV augex'!$D$27:$J$27,0)),0)*'Financial inputs'!$D$11</f>
        <v>134528.08827115418</v>
      </c>
    </row>
    <row r="21" spans="1:16" ht="15.5">
      <c r="B21" s="2" t="str">
        <v>Camperdown &amp; Blackwattle Bay</v>
      </c>
      <c r="C21" s="35" t="str" cm="1">
        <f t="array" ref="C21">INDEX(augex_categories,COUNTIFS($B$20:$B21,$B$20))</f>
        <v>LV Distribution Centre Capacity</v>
      </c>
      <c r="D21" s="35" t="str">
        <f>IF(COUNTIF('LV &amp; HV augex'!$C$10:$C$13,C21), "LV", IF(COUNTIF('LV &amp; HV augex'!$C$15:$C$17, C21), "HV", "Error"))</f>
        <v>LV</v>
      </c>
      <c r="E21" s="35" t="str">
        <f>INDEX('Growing &amp; falling'!$D$14:$D$39,MATCH($B21,'Growing &amp; falling'!$B$14:$B$39,0))</f>
        <v>Growth</v>
      </c>
      <c r="F21" s="35" t="str">
        <f>F20</f>
        <v>$2024 real</v>
      </c>
      <c r="G21" s="40">
        <f>IFERROR(INDEX('LV &amp; HV augex'!$D$10:$P$18,MATCH($C21,'LV &amp; HV augex'!$C$10:$C$18,0),MATCH(G$19,'LV &amp; HV augex'!$D$9:$P$9,0))*INDEX('LV &amp; HV augex'!$D$28:$J$52,MATCH($B21,'LV &amp; HV augex'!$L$28:$L$52,0),MATCH($C21,'LV &amp; HV augex'!$D$27:$J$27,0)),0)*'Financial inputs'!$D$11</f>
        <v>5529.0326818300437</v>
      </c>
      <c r="H21" s="40">
        <f>IFERROR(INDEX('LV &amp; HV augex'!$D$10:$P$18,MATCH($C21,'LV &amp; HV augex'!$C$10:$C$18,0),MATCH(H$19,'LV &amp; HV augex'!$D$9:$P$9,0))*INDEX('LV &amp; HV augex'!$D$28:$J$52,MATCH($B21,'LV &amp; HV augex'!$L$28:$L$52,0),MATCH($C21,'LV &amp; HV augex'!$D$27:$J$27,0)),0)*'Financial inputs'!$D$11</f>
        <v>5529.0326818300437</v>
      </c>
      <c r="I21" s="40">
        <f>IFERROR(INDEX('LV &amp; HV augex'!$D$10:$P$18,MATCH($C21,'LV &amp; HV augex'!$C$10:$C$18,0),MATCH(I$19,'LV &amp; HV augex'!$D$9:$P$9,0))*INDEX('LV &amp; HV augex'!$D$28:$J$52,MATCH($B21,'LV &amp; HV augex'!$L$28:$L$52,0),MATCH($C21,'LV &amp; HV augex'!$D$27:$J$27,0)),0)*'Financial inputs'!$D$11</f>
        <v>5529.0326818300437</v>
      </c>
      <c r="J21" s="40">
        <f>IFERROR(INDEX('LV &amp; HV augex'!$D$10:$P$18,MATCH($C21,'LV &amp; HV augex'!$C$10:$C$18,0),MATCH(J$19,'LV &amp; HV augex'!$D$9:$P$9,0))*INDEX('LV &amp; HV augex'!$D$28:$J$52,MATCH($B21,'LV &amp; HV augex'!$L$28:$L$52,0),MATCH($C21,'LV &amp; HV augex'!$D$27:$J$27,0)),0)*'Financial inputs'!$D$11</f>
        <v>5529.0326818300437</v>
      </c>
      <c r="K21" s="40">
        <f>IFERROR(INDEX('LV &amp; HV augex'!$D$10:$P$18,MATCH($C21,'LV &amp; HV augex'!$C$10:$C$18,0),MATCH(K$19,'LV &amp; HV augex'!$D$9:$P$9,0))*INDEX('LV &amp; HV augex'!$D$28:$J$52,MATCH($B21,'LV &amp; HV augex'!$L$28:$L$52,0),MATCH($C21,'LV &amp; HV augex'!$D$27:$J$27,0)),0)*'Financial inputs'!$D$11</f>
        <v>5529.0326818300437</v>
      </c>
      <c r="L21" s="40">
        <f>IFERROR(INDEX('LV &amp; HV augex'!$D$10:$P$18,MATCH($C21,'LV &amp; HV augex'!$C$10:$C$18,0),MATCH(L$19,'LV &amp; HV augex'!$D$9:$P$9,0))*INDEX('LV &amp; HV augex'!$D$28:$J$52,MATCH($B21,'LV &amp; HV augex'!$L$28:$L$52,0),MATCH($C21,'LV &amp; HV augex'!$D$27:$J$27,0)),0)*'Financial inputs'!$D$11</f>
        <v>5529.0326818300437</v>
      </c>
      <c r="M21" s="40">
        <f>IFERROR(INDEX('LV &amp; HV augex'!$D$10:$P$18,MATCH($C21,'LV &amp; HV augex'!$C$10:$C$18,0),MATCH(M$19,'LV &amp; HV augex'!$D$9:$P$9,0))*INDEX('LV &amp; HV augex'!$D$28:$J$52,MATCH($B21,'LV &amp; HV augex'!$L$28:$L$52,0),MATCH($C21,'LV &amp; HV augex'!$D$27:$J$27,0)),0)*'Financial inputs'!$D$11</f>
        <v>5529.0326818300437</v>
      </c>
      <c r="N21" s="40">
        <f>IFERROR(INDEX('LV &amp; HV augex'!$D$10:$P$18,MATCH($C21,'LV &amp; HV augex'!$C$10:$C$18,0),MATCH(N$19,'LV &amp; HV augex'!$D$9:$P$9,0))*INDEX('LV &amp; HV augex'!$D$28:$J$52,MATCH($B21,'LV &amp; HV augex'!$L$28:$L$52,0),MATCH($C21,'LV &amp; HV augex'!$D$27:$J$27,0)),0)*'Financial inputs'!$D$11</f>
        <v>5529.0326818300437</v>
      </c>
      <c r="O21" s="40">
        <f>IFERROR(INDEX('LV &amp; HV augex'!$D$10:$P$18,MATCH($C21,'LV &amp; HV augex'!$C$10:$C$18,0),MATCH(O$19,'LV &amp; HV augex'!$D$9:$P$9,0))*INDEX('LV &amp; HV augex'!$D$28:$J$52,MATCH($B21,'LV &amp; HV augex'!$L$28:$L$52,0),MATCH($C21,'LV &amp; HV augex'!$D$27:$J$27,0)),0)*'Financial inputs'!$D$11</f>
        <v>5529.0326818300437</v>
      </c>
      <c r="P21" s="40">
        <f>IFERROR(INDEX('LV &amp; HV augex'!$D$10:$P$18,MATCH($C21,'LV &amp; HV augex'!$C$10:$C$18,0),MATCH(P$19,'LV &amp; HV augex'!$D$9:$P$9,0))*INDEX('LV &amp; HV augex'!$D$28:$J$52,MATCH($B21,'LV &amp; HV augex'!$L$28:$L$52,0),MATCH($C21,'LV &amp; HV augex'!$D$27:$J$27,0)),0)*'Financial inputs'!$D$11</f>
        <v>5529.0326818300437</v>
      </c>
    </row>
    <row r="22" spans="1:16" ht="15.5">
      <c r="B22" s="2" t="str">
        <v>Canterbury Bankstown</v>
      </c>
      <c r="C22" s="35" t="str" cm="1">
        <f t="array" ref="C22">INDEX(augex_categories,COUNTIFS($B$20:$B22,$B$20))</f>
        <v>LV Distribution Centre Capacity</v>
      </c>
      <c r="D22" s="35" t="str">
        <f>IF(COUNTIF('LV &amp; HV augex'!$C$10:$C$13,C22), "LV", IF(COUNTIF('LV &amp; HV augex'!$C$15:$C$17, C22), "HV", "Error"))</f>
        <v>LV</v>
      </c>
      <c r="E22" s="35" t="str">
        <f>INDEX('Growing &amp; falling'!$D$14:$D$39,MATCH($B22,'Growing &amp; falling'!$B$14:$B$39,0))</f>
        <v>Growth</v>
      </c>
      <c r="F22" s="35" t="str">
        <f t="shared" ref="F22:F85" si="4">F21</f>
        <v>$2024 real</v>
      </c>
      <c r="G22" s="40">
        <f>IFERROR(INDEX('LV &amp; HV augex'!$D$10:$P$18,MATCH($C22,'LV &amp; HV augex'!$C$10:$C$18,0),MATCH(G$19,'LV &amp; HV augex'!$D$9:$P$9,0))*INDEX('LV &amp; HV augex'!$D$28:$J$52,MATCH($B22,'LV &amp; HV augex'!$L$28:$L$52,0),MATCH($C22,'LV &amp; HV augex'!$D$27:$J$27,0)),0)*'Financial inputs'!$D$11</f>
        <v>160327.899389019</v>
      </c>
      <c r="H22" s="40">
        <f>IFERROR(INDEX('LV &amp; HV augex'!$D$10:$P$18,MATCH($C22,'LV &amp; HV augex'!$C$10:$C$18,0),MATCH(H$19,'LV &amp; HV augex'!$D$9:$P$9,0))*INDEX('LV &amp; HV augex'!$D$28:$J$52,MATCH($B22,'LV &amp; HV augex'!$L$28:$L$52,0),MATCH($C22,'LV &amp; HV augex'!$D$27:$J$27,0)),0)*'Financial inputs'!$D$11</f>
        <v>160327.899389019</v>
      </c>
      <c r="I22" s="40">
        <f>IFERROR(INDEX('LV &amp; HV augex'!$D$10:$P$18,MATCH($C22,'LV &amp; HV augex'!$C$10:$C$18,0),MATCH(I$19,'LV &amp; HV augex'!$D$9:$P$9,0))*INDEX('LV &amp; HV augex'!$D$28:$J$52,MATCH($B22,'LV &amp; HV augex'!$L$28:$L$52,0),MATCH($C22,'LV &amp; HV augex'!$D$27:$J$27,0)),0)*'Financial inputs'!$D$11</f>
        <v>160327.899389019</v>
      </c>
      <c r="J22" s="40">
        <f>IFERROR(INDEX('LV &amp; HV augex'!$D$10:$P$18,MATCH($C22,'LV &amp; HV augex'!$C$10:$C$18,0),MATCH(J$19,'LV &amp; HV augex'!$D$9:$P$9,0))*INDEX('LV &amp; HV augex'!$D$28:$J$52,MATCH($B22,'LV &amp; HV augex'!$L$28:$L$52,0),MATCH($C22,'LV &amp; HV augex'!$D$27:$J$27,0)),0)*'Financial inputs'!$D$11</f>
        <v>160327.899389019</v>
      </c>
      <c r="K22" s="40">
        <f>IFERROR(INDEX('LV &amp; HV augex'!$D$10:$P$18,MATCH($C22,'LV &amp; HV augex'!$C$10:$C$18,0),MATCH(K$19,'LV &amp; HV augex'!$D$9:$P$9,0))*INDEX('LV &amp; HV augex'!$D$28:$J$52,MATCH($B22,'LV &amp; HV augex'!$L$28:$L$52,0),MATCH($C22,'LV &amp; HV augex'!$D$27:$J$27,0)),0)*'Financial inputs'!$D$11</f>
        <v>160327.899389019</v>
      </c>
      <c r="L22" s="40">
        <f>IFERROR(INDEX('LV &amp; HV augex'!$D$10:$P$18,MATCH($C22,'LV &amp; HV augex'!$C$10:$C$18,0),MATCH(L$19,'LV &amp; HV augex'!$D$9:$P$9,0))*INDEX('LV &amp; HV augex'!$D$28:$J$52,MATCH($B22,'LV &amp; HV augex'!$L$28:$L$52,0),MATCH($C22,'LV &amp; HV augex'!$D$27:$J$27,0)),0)*'Financial inputs'!$D$11</f>
        <v>160327.899389019</v>
      </c>
      <c r="M22" s="40">
        <f>IFERROR(INDEX('LV &amp; HV augex'!$D$10:$P$18,MATCH($C22,'LV &amp; HV augex'!$C$10:$C$18,0),MATCH(M$19,'LV &amp; HV augex'!$D$9:$P$9,0))*INDEX('LV &amp; HV augex'!$D$28:$J$52,MATCH($B22,'LV &amp; HV augex'!$L$28:$L$52,0),MATCH($C22,'LV &amp; HV augex'!$D$27:$J$27,0)),0)*'Financial inputs'!$D$11</f>
        <v>160327.899389019</v>
      </c>
      <c r="N22" s="40">
        <f>IFERROR(INDEX('LV &amp; HV augex'!$D$10:$P$18,MATCH($C22,'LV &amp; HV augex'!$C$10:$C$18,0),MATCH(N$19,'LV &amp; HV augex'!$D$9:$P$9,0))*INDEX('LV &amp; HV augex'!$D$28:$J$52,MATCH($B22,'LV &amp; HV augex'!$L$28:$L$52,0),MATCH($C22,'LV &amp; HV augex'!$D$27:$J$27,0)),0)*'Financial inputs'!$D$11</f>
        <v>160327.899389019</v>
      </c>
      <c r="O22" s="40">
        <f>IFERROR(INDEX('LV &amp; HV augex'!$D$10:$P$18,MATCH($C22,'LV &amp; HV augex'!$C$10:$C$18,0),MATCH(O$19,'LV &amp; HV augex'!$D$9:$P$9,0))*INDEX('LV &amp; HV augex'!$D$28:$J$52,MATCH($B22,'LV &amp; HV augex'!$L$28:$L$52,0),MATCH($C22,'LV &amp; HV augex'!$D$27:$J$27,0)),0)*'Financial inputs'!$D$11</f>
        <v>160327.899389019</v>
      </c>
      <c r="P22" s="40">
        <f>IFERROR(INDEX('LV &amp; HV augex'!$D$10:$P$18,MATCH($C22,'LV &amp; HV augex'!$C$10:$C$18,0),MATCH(P$19,'LV &amp; HV augex'!$D$9:$P$9,0))*INDEX('LV &amp; HV augex'!$D$28:$J$52,MATCH($B22,'LV &amp; HV augex'!$L$28:$L$52,0),MATCH($C22,'LV &amp; HV augex'!$D$27:$J$27,0)),0)*'Financial inputs'!$D$11</f>
        <v>160327.899389019</v>
      </c>
    </row>
    <row r="23" spans="1:16" ht="15.5">
      <c r="B23" s="2" t="str">
        <v>Carlingford</v>
      </c>
      <c r="C23" s="35" t="str" cm="1">
        <f t="array" ref="C23">INDEX(augex_categories,COUNTIFS($B$20:$B23,$B$20))</f>
        <v>LV Distribution Centre Capacity</v>
      </c>
      <c r="D23" s="35" t="str">
        <f>IF(COUNTIF('LV &amp; HV augex'!$C$10:$C$13,C23), "LV", IF(COUNTIF('LV &amp; HV augex'!$C$15:$C$17, C23), "HV", "Error"))</f>
        <v>LV</v>
      </c>
      <c r="E23" s="35" t="str">
        <f>INDEX('Growing &amp; falling'!$D$14:$D$39,MATCH($B23,'Growing &amp; falling'!$B$14:$B$39,0))</f>
        <v>Growth</v>
      </c>
      <c r="F23" s="35" t="str">
        <f t="shared" si="4"/>
        <v>$2024 real</v>
      </c>
      <c r="G23" s="40">
        <f>IFERROR(INDEX('LV &amp; HV augex'!$D$10:$P$18,MATCH($C23,'LV &amp; HV augex'!$C$10:$C$18,0),MATCH(G$19,'LV &amp; HV augex'!$D$9:$P$9,0))*INDEX('LV &amp; HV augex'!$D$28:$J$52,MATCH($B23,'LV &amp; HV augex'!$L$28:$L$52,0),MATCH($C23,'LV &amp; HV augex'!$D$27:$J$27,0)),0)*'Financial inputs'!$D$11</f>
        <v>62541.232949102203</v>
      </c>
      <c r="H23" s="40">
        <f>IFERROR(INDEX('LV &amp; HV augex'!$D$10:$P$18,MATCH($C23,'LV &amp; HV augex'!$C$10:$C$18,0),MATCH(H$19,'LV &amp; HV augex'!$D$9:$P$9,0))*INDEX('LV &amp; HV augex'!$D$28:$J$52,MATCH($B23,'LV &amp; HV augex'!$L$28:$L$52,0),MATCH($C23,'LV &amp; HV augex'!$D$27:$J$27,0)),0)*'Financial inputs'!$D$11</f>
        <v>62541.232949102203</v>
      </c>
      <c r="I23" s="40">
        <f>IFERROR(INDEX('LV &amp; HV augex'!$D$10:$P$18,MATCH($C23,'LV &amp; HV augex'!$C$10:$C$18,0),MATCH(I$19,'LV &amp; HV augex'!$D$9:$P$9,0))*INDEX('LV &amp; HV augex'!$D$28:$J$52,MATCH($B23,'LV &amp; HV augex'!$L$28:$L$52,0),MATCH($C23,'LV &amp; HV augex'!$D$27:$J$27,0)),0)*'Financial inputs'!$D$11</f>
        <v>62541.232949102203</v>
      </c>
      <c r="J23" s="40">
        <f>IFERROR(INDEX('LV &amp; HV augex'!$D$10:$P$18,MATCH($C23,'LV &amp; HV augex'!$C$10:$C$18,0),MATCH(J$19,'LV &amp; HV augex'!$D$9:$P$9,0))*INDEX('LV &amp; HV augex'!$D$28:$J$52,MATCH($B23,'LV &amp; HV augex'!$L$28:$L$52,0),MATCH($C23,'LV &amp; HV augex'!$D$27:$J$27,0)),0)*'Financial inputs'!$D$11</f>
        <v>62541.232949102203</v>
      </c>
      <c r="K23" s="40">
        <f>IFERROR(INDEX('LV &amp; HV augex'!$D$10:$P$18,MATCH($C23,'LV &amp; HV augex'!$C$10:$C$18,0),MATCH(K$19,'LV &amp; HV augex'!$D$9:$P$9,0))*INDEX('LV &amp; HV augex'!$D$28:$J$52,MATCH($B23,'LV &amp; HV augex'!$L$28:$L$52,0),MATCH($C23,'LV &amp; HV augex'!$D$27:$J$27,0)),0)*'Financial inputs'!$D$11</f>
        <v>62541.232949102203</v>
      </c>
      <c r="L23" s="40">
        <f>IFERROR(INDEX('LV &amp; HV augex'!$D$10:$P$18,MATCH($C23,'LV &amp; HV augex'!$C$10:$C$18,0),MATCH(L$19,'LV &amp; HV augex'!$D$9:$P$9,0))*INDEX('LV &amp; HV augex'!$D$28:$J$52,MATCH($B23,'LV &amp; HV augex'!$L$28:$L$52,0),MATCH($C23,'LV &amp; HV augex'!$D$27:$J$27,0)),0)*'Financial inputs'!$D$11</f>
        <v>62541.232949102203</v>
      </c>
      <c r="M23" s="40">
        <f>IFERROR(INDEX('LV &amp; HV augex'!$D$10:$P$18,MATCH($C23,'LV &amp; HV augex'!$C$10:$C$18,0),MATCH(M$19,'LV &amp; HV augex'!$D$9:$P$9,0))*INDEX('LV &amp; HV augex'!$D$28:$J$52,MATCH($B23,'LV &amp; HV augex'!$L$28:$L$52,0),MATCH($C23,'LV &amp; HV augex'!$D$27:$J$27,0)),0)*'Financial inputs'!$D$11</f>
        <v>62541.232949102203</v>
      </c>
      <c r="N23" s="40">
        <f>IFERROR(INDEX('LV &amp; HV augex'!$D$10:$P$18,MATCH($C23,'LV &amp; HV augex'!$C$10:$C$18,0),MATCH(N$19,'LV &amp; HV augex'!$D$9:$P$9,0))*INDEX('LV &amp; HV augex'!$D$28:$J$52,MATCH($B23,'LV &amp; HV augex'!$L$28:$L$52,0),MATCH($C23,'LV &amp; HV augex'!$D$27:$J$27,0)),0)*'Financial inputs'!$D$11</f>
        <v>62541.232949102203</v>
      </c>
      <c r="O23" s="40">
        <f>IFERROR(INDEX('LV &amp; HV augex'!$D$10:$P$18,MATCH($C23,'LV &amp; HV augex'!$C$10:$C$18,0),MATCH(O$19,'LV &amp; HV augex'!$D$9:$P$9,0))*INDEX('LV &amp; HV augex'!$D$28:$J$52,MATCH($B23,'LV &amp; HV augex'!$L$28:$L$52,0),MATCH($C23,'LV &amp; HV augex'!$D$27:$J$27,0)),0)*'Financial inputs'!$D$11</f>
        <v>62541.232949102203</v>
      </c>
      <c r="P23" s="40">
        <f>IFERROR(INDEX('LV &amp; HV augex'!$D$10:$P$18,MATCH($C23,'LV &amp; HV augex'!$C$10:$C$18,0),MATCH(P$19,'LV &amp; HV augex'!$D$9:$P$9,0))*INDEX('LV &amp; HV augex'!$D$28:$J$52,MATCH($B23,'LV &amp; HV augex'!$L$28:$L$52,0),MATCH($C23,'LV &amp; HV augex'!$D$27:$J$27,0)),0)*'Financial inputs'!$D$11</f>
        <v>62541.232949102203</v>
      </c>
    </row>
    <row r="24" spans="1:16" customFormat="1" ht="15.5">
      <c r="A24" s="1"/>
      <c r="B24" s="2" t="str">
        <v>Eastern Suburbs</v>
      </c>
      <c r="C24" s="35" t="str" cm="1">
        <f t="array" ref="C24">INDEX(augex_categories,COUNTIFS($B$20:$B24,$B$20))</f>
        <v>LV Distribution Centre Capacity</v>
      </c>
      <c r="D24" s="35" t="str">
        <f>IF(COUNTIF('LV &amp; HV augex'!$C$10:$C$13,C24), "LV", IF(COUNTIF('LV &amp; HV augex'!$C$15:$C$17, C24), "HV", "Error"))</f>
        <v>LV</v>
      </c>
      <c r="E24" s="35" t="str">
        <f>INDEX('Growing &amp; falling'!$D$14:$D$39,MATCH($B24,'Growing &amp; falling'!$B$14:$B$39,0))</f>
        <v>Growth</v>
      </c>
      <c r="F24" s="35" t="str">
        <f t="shared" si="4"/>
        <v>$2024 real</v>
      </c>
      <c r="G24" s="40">
        <f>IFERROR(INDEX('LV &amp; HV augex'!$D$10:$P$18,MATCH($C24,'LV &amp; HV augex'!$C$10:$C$18,0),MATCH(G$19,'LV &amp; HV augex'!$D$9:$P$9,0))*INDEX('LV &amp; HV augex'!$D$28:$J$52,MATCH($B24,'LV &amp; HV augex'!$L$28:$L$52,0),MATCH($C24,'LV &amp; HV augex'!$D$27:$J$27,0)),0)*'Financial inputs'!$D$11</f>
        <v>143128.02531044243</v>
      </c>
      <c r="H24" s="40">
        <f>IFERROR(INDEX('LV &amp; HV augex'!$D$10:$P$18,MATCH($C24,'LV &amp; HV augex'!$C$10:$C$18,0),MATCH(H$19,'LV &amp; HV augex'!$D$9:$P$9,0))*INDEX('LV &amp; HV augex'!$D$28:$J$52,MATCH($B24,'LV &amp; HV augex'!$L$28:$L$52,0),MATCH($C24,'LV &amp; HV augex'!$D$27:$J$27,0)),0)*'Financial inputs'!$D$11</f>
        <v>143128.02531044243</v>
      </c>
      <c r="I24" s="40">
        <f>IFERROR(INDEX('LV &amp; HV augex'!$D$10:$P$18,MATCH($C24,'LV &amp; HV augex'!$C$10:$C$18,0),MATCH(I$19,'LV &amp; HV augex'!$D$9:$P$9,0))*INDEX('LV &amp; HV augex'!$D$28:$J$52,MATCH($B24,'LV &amp; HV augex'!$L$28:$L$52,0),MATCH($C24,'LV &amp; HV augex'!$D$27:$J$27,0)),0)*'Financial inputs'!$D$11</f>
        <v>143128.02531044243</v>
      </c>
      <c r="J24" s="40">
        <f>IFERROR(INDEX('LV &amp; HV augex'!$D$10:$P$18,MATCH($C24,'LV &amp; HV augex'!$C$10:$C$18,0),MATCH(J$19,'LV &amp; HV augex'!$D$9:$P$9,0))*INDEX('LV &amp; HV augex'!$D$28:$J$52,MATCH($B24,'LV &amp; HV augex'!$L$28:$L$52,0),MATCH($C24,'LV &amp; HV augex'!$D$27:$J$27,0)),0)*'Financial inputs'!$D$11</f>
        <v>143128.02531044243</v>
      </c>
      <c r="K24" s="40">
        <f>IFERROR(INDEX('LV &amp; HV augex'!$D$10:$P$18,MATCH($C24,'LV &amp; HV augex'!$C$10:$C$18,0),MATCH(K$19,'LV &amp; HV augex'!$D$9:$P$9,0))*INDEX('LV &amp; HV augex'!$D$28:$J$52,MATCH($B24,'LV &amp; HV augex'!$L$28:$L$52,0),MATCH($C24,'LV &amp; HV augex'!$D$27:$J$27,0)),0)*'Financial inputs'!$D$11</f>
        <v>143128.02531044243</v>
      </c>
      <c r="L24" s="40">
        <f>IFERROR(INDEX('LV &amp; HV augex'!$D$10:$P$18,MATCH($C24,'LV &amp; HV augex'!$C$10:$C$18,0),MATCH(L$19,'LV &amp; HV augex'!$D$9:$P$9,0))*INDEX('LV &amp; HV augex'!$D$28:$J$52,MATCH($B24,'LV &amp; HV augex'!$L$28:$L$52,0),MATCH($C24,'LV &amp; HV augex'!$D$27:$J$27,0)),0)*'Financial inputs'!$D$11</f>
        <v>143128.02531044243</v>
      </c>
      <c r="M24" s="40">
        <f>IFERROR(INDEX('LV &amp; HV augex'!$D$10:$P$18,MATCH($C24,'LV &amp; HV augex'!$C$10:$C$18,0),MATCH(M$19,'LV &amp; HV augex'!$D$9:$P$9,0))*INDEX('LV &amp; HV augex'!$D$28:$J$52,MATCH($B24,'LV &amp; HV augex'!$L$28:$L$52,0),MATCH($C24,'LV &amp; HV augex'!$D$27:$J$27,0)),0)*'Financial inputs'!$D$11</f>
        <v>143128.02531044243</v>
      </c>
      <c r="N24" s="40">
        <f>IFERROR(INDEX('LV &amp; HV augex'!$D$10:$P$18,MATCH($C24,'LV &amp; HV augex'!$C$10:$C$18,0),MATCH(N$19,'LV &amp; HV augex'!$D$9:$P$9,0))*INDEX('LV &amp; HV augex'!$D$28:$J$52,MATCH($B24,'LV &amp; HV augex'!$L$28:$L$52,0),MATCH($C24,'LV &amp; HV augex'!$D$27:$J$27,0)),0)*'Financial inputs'!$D$11</f>
        <v>143128.02531044243</v>
      </c>
      <c r="O24" s="40">
        <f>IFERROR(INDEX('LV &amp; HV augex'!$D$10:$P$18,MATCH($C24,'LV &amp; HV augex'!$C$10:$C$18,0),MATCH(O$19,'LV &amp; HV augex'!$D$9:$P$9,0))*INDEX('LV &amp; HV augex'!$D$28:$J$52,MATCH($B24,'LV &amp; HV augex'!$L$28:$L$52,0),MATCH($C24,'LV &amp; HV augex'!$D$27:$J$27,0)),0)*'Financial inputs'!$D$11</f>
        <v>143128.02531044243</v>
      </c>
      <c r="P24" s="40">
        <f>IFERROR(INDEX('LV &amp; HV augex'!$D$10:$P$18,MATCH($C24,'LV &amp; HV augex'!$C$10:$C$18,0),MATCH(P$19,'LV &amp; HV augex'!$D$9:$P$9,0))*INDEX('LV &amp; HV augex'!$D$28:$J$52,MATCH($B24,'LV &amp; HV augex'!$L$28:$L$52,0),MATCH($C24,'LV &amp; HV augex'!$D$27:$J$27,0)),0)*'Financial inputs'!$D$11</f>
        <v>143128.02531044243</v>
      </c>
    </row>
    <row r="25" spans="1:16" customFormat="1" ht="15.5">
      <c r="A25" s="1"/>
      <c r="B25" s="2" t="str">
        <v>Greater Cessnock</v>
      </c>
      <c r="C25" s="35" t="str" cm="1">
        <f t="array" ref="C25">INDEX(augex_categories,COUNTIFS($B$20:$B25,$B$20))</f>
        <v>LV Distribution Centre Capacity</v>
      </c>
      <c r="D25" s="35" t="str">
        <f>IF(COUNTIF('LV &amp; HV augex'!$C$10:$C$13,C25), "LV", IF(COUNTIF('LV &amp; HV augex'!$C$15:$C$17, C25), "HV", "Error"))</f>
        <v>LV</v>
      </c>
      <c r="E25" s="35" t="str">
        <f>INDEX('Growing &amp; falling'!$D$14:$D$39,MATCH($B25,'Growing &amp; falling'!$B$14:$B$39,0))</f>
        <v>Growth</v>
      </c>
      <c r="F25" s="35" t="str">
        <f t="shared" si="4"/>
        <v>$2024 real</v>
      </c>
      <c r="G25" s="40">
        <f>IFERROR(INDEX('LV &amp; HV augex'!$D$10:$P$18,MATCH($C25,'LV &amp; HV augex'!$C$10:$C$18,0),MATCH(G$19,'LV &amp; HV augex'!$D$9:$P$9,0))*INDEX('LV &amp; HV augex'!$D$28:$J$52,MATCH($B25,'LV &amp; HV augex'!$L$28:$L$52,0),MATCH($C25,'LV &amp; HV augex'!$D$27:$J$27,0)),0)*'Financial inputs'!$D$11</f>
        <v>49290.808241838073</v>
      </c>
      <c r="H25" s="40">
        <f>IFERROR(INDEX('LV &amp; HV augex'!$D$10:$P$18,MATCH($C25,'LV &amp; HV augex'!$C$10:$C$18,0),MATCH(H$19,'LV &amp; HV augex'!$D$9:$P$9,0))*INDEX('LV &amp; HV augex'!$D$28:$J$52,MATCH($B25,'LV &amp; HV augex'!$L$28:$L$52,0),MATCH($C25,'LV &amp; HV augex'!$D$27:$J$27,0)),0)*'Financial inputs'!$D$11</f>
        <v>49290.808241838073</v>
      </c>
      <c r="I25" s="40">
        <f>IFERROR(INDEX('LV &amp; HV augex'!$D$10:$P$18,MATCH($C25,'LV &amp; HV augex'!$C$10:$C$18,0),MATCH(I$19,'LV &amp; HV augex'!$D$9:$P$9,0))*INDEX('LV &amp; HV augex'!$D$28:$J$52,MATCH($B25,'LV &amp; HV augex'!$L$28:$L$52,0),MATCH($C25,'LV &amp; HV augex'!$D$27:$J$27,0)),0)*'Financial inputs'!$D$11</f>
        <v>49290.808241838073</v>
      </c>
      <c r="J25" s="40">
        <f>IFERROR(INDEX('LV &amp; HV augex'!$D$10:$P$18,MATCH($C25,'LV &amp; HV augex'!$C$10:$C$18,0),MATCH(J$19,'LV &amp; HV augex'!$D$9:$P$9,0))*INDEX('LV &amp; HV augex'!$D$28:$J$52,MATCH($B25,'LV &amp; HV augex'!$L$28:$L$52,0),MATCH($C25,'LV &amp; HV augex'!$D$27:$J$27,0)),0)*'Financial inputs'!$D$11</f>
        <v>49290.808241838073</v>
      </c>
      <c r="K25" s="40">
        <f>IFERROR(INDEX('LV &amp; HV augex'!$D$10:$P$18,MATCH($C25,'LV &amp; HV augex'!$C$10:$C$18,0),MATCH(K$19,'LV &amp; HV augex'!$D$9:$P$9,0))*INDEX('LV &amp; HV augex'!$D$28:$J$52,MATCH($B25,'LV &amp; HV augex'!$L$28:$L$52,0),MATCH($C25,'LV &amp; HV augex'!$D$27:$J$27,0)),0)*'Financial inputs'!$D$11</f>
        <v>49290.808241838073</v>
      </c>
      <c r="L25" s="40">
        <f>IFERROR(INDEX('LV &amp; HV augex'!$D$10:$P$18,MATCH($C25,'LV &amp; HV augex'!$C$10:$C$18,0),MATCH(L$19,'LV &amp; HV augex'!$D$9:$P$9,0))*INDEX('LV &amp; HV augex'!$D$28:$J$52,MATCH($B25,'LV &amp; HV augex'!$L$28:$L$52,0),MATCH($C25,'LV &amp; HV augex'!$D$27:$J$27,0)),0)*'Financial inputs'!$D$11</f>
        <v>49290.808241838073</v>
      </c>
      <c r="M25" s="40">
        <f>IFERROR(INDEX('LV &amp; HV augex'!$D$10:$P$18,MATCH($C25,'LV &amp; HV augex'!$C$10:$C$18,0),MATCH(M$19,'LV &amp; HV augex'!$D$9:$P$9,0))*INDEX('LV &amp; HV augex'!$D$28:$J$52,MATCH($B25,'LV &amp; HV augex'!$L$28:$L$52,0),MATCH($C25,'LV &amp; HV augex'!$D$27:$J$27,0)),0)*'Financial inputs'!$D$11</f>
        <v>49290.808241838073</v>
      </c>
      <c r="N25" s="40">
        <f>IFERROR(INDEX('LV &amp; HV augex'!$D$10:$P$18,MATCH($C25,'LV &amp; HV augex'!$C$10:$C$18,0),MATCH(N$19,'LV &amp; HV augex'!$D$9:$P$9,0))*INDEX('LV &amp; HV augex'!$D$28:$J$52,MATCH($B25,'LV &amp; HV augex'!$L$28:$L$52,0),MATCH($C25,'LV &amp; HV augex'!$D$27:$J$27,0)),0)*'Financial inputs'!$D$11</f>
        <v>49290.808241838073</v>
      </c>
      <c r="O25" s="40">
        <f>IFERROR(INDEX('LV &amp; HV augex'!$D$10:$P$18,MATCH($C25,'LV &amp; HV augex'!$C$10:$C$18,0),MATCH(O$19,'LV &amp; HV augex'!$D$9:$P$9,0))*INDEX('LV &amp; HV augex'!$D$28:$J$52,MATCH($B25,'LV &amp; HV augex'!$L$28:$L$52,0),MATCH($C25,'LV &amp; HV augex'!$D$27:$J$27,0)),0)*'Financial inputs'!$D$11</f>
        <v>49290.808241838073</v>
      </c>
      <c r="P25" s="40">
        <f>IFERROR(INDEX('LV &amp; HV augex'!$D$10:$P$18,MATCH($C25,'LV &amp; HV augex'!$C$10:$C$18,0),MATCH(P$19,'LV &amp; HV augex'!$D$9:$P$9,0))*INDEX('LV &amp; HV augex'!$D$28:$J$52,MATCH($B25,'LV &amp; HV augex'!$L$28:$L$52,0),MATCH($C25,'LV &amp; HV augex'!$D$27:$J$27,0)),0)*'Financial inputs'!$D$11</f>
        <v>49290.808241838073</v>
      </c>
    </row>
    <row r="26" spans="1:16" customFormat="1" ht="15.5">
      <c r="A26" s="1"/>
      <c r="B26" s="2" t="str">
        <v>Lower Central Coast</v>
      </c>
      <c r="C26" s="35" t="str" cm="1">
        <f t="array" ref="C26">INDEX(augex_categories,COUNTIFS($B$20:$B26,$B$20))</f>
        <v>LV Distribution Centre Capacity</v>
      </c>
      <c r="D26" s="35" t="str">
        <f>IF(COUNTIF('LV &amp; HV augex'!$C$10:$C$13,C26), "LV", IF(COUNTIF('LV &amp; HV augex'!$C$15:$C$17, C26), "HV", "Error"))</f>
        <v>LV</v>
      </c>
      <c r="E26" s="35" t="str">
        <f>INDEX('Growing &amp; falling'!$D$14:$D$39,MATCH($B26,'Growing &amp; falling'!$B$14:$B$39,0))</f>
        <v>Growth</v>
      </c>
      <c r="F26" s="35" t="str">
        <f t="shared" si="4"/>
        <v>$2024 real</v>
      </c>
      <c r="G26" s="40">
        <f>IFERROR(INDEX('LV &amp; HV augex'!$D$10:$P$18,MATCH($C26,'LV &amp; HV augex'!$C$10:$C$18,0),MATCH(G$19,'LV &amp; HV augex'!$D$9:$P$9,0))*INDEX('LV &amp; HV augex'!$D$28:$J$52,MATCH($B26,'LV &amp; HV augex'!$L$28:$L$52,0),MATCH($C26,'LV &amp; HV augex'!$D$27:$J$27,0)),0)*'Financial inputs'!$D$11</f>
        <v>240800.92834212873</v>
      </c>
      <c r="H26" s="40">
        <f>IFERROR(INDEX('LV &amp; HV augex'!$D$10:$P$18,MATCH($C26,'LV &amp; HV augex'!$C$10:$C$18,0),MATCH(H$19,'LV &amp; HV augex'!$D$9:$P$9,0))*INDEX('LV &amp; HV augex'!$D$28:$J$52,MATCH($B26,'LV &amp; HV augex'!$L$28:$L$52,0),MATCH($C26,'LV &amp; HV augex'!$D$27:$J$27,0)),0)*'Financial inputs'!$D$11</f>
        <v>240800.92834212873</v>
      </c>
      <c r="I26" s="40">
        <f>IFERROR(INDEX('LV &amp; HV augex'!$D$10:$P$18,MATCH($C26,'LV &amp; HV augex'!$C$10:$C$18,0),MATCH(I$19,'LV &amp; HV augex'!$D$9:$P$9,0))*INDEX('LV &amp; HV augex'!$D$28:$J$52,MATCH($B26,'LV &amp; HV augex'!$L$28:$L$52,0),MATCH($C26,'LV &amp; HV augex'!$D$27:$J$27,0)),0)*'Financial inputs'!$D$11</f>
        <v>240800.92834212873</v>
      </c>
      <c r="J26" s="40">
        <f>IFERROR(INDEX('LV &amp; HV augex'!$D$10:$P$18,MATCH($C26,'LV &amp; HV augex'!$C$10:$C$18,0),MATCH(J$19,'LV &amp; HV augex'!$D$9:$P$9,0))*INDEX('LV &amp; HV augex'!$D$28:$J$52,MATCH($B26,'LV &amp; HV augex'!$L$28:$L$52,0),MATCH($C26,'LV &amp; HV augex'!$D$27:$J$27,0)),0)*'Financial inputs'!$D$11</f>
        <v>240800.92834212873</v>
      </c>
      <c r="K26" s="40">
        <f>IFERROR(INDEX('LV &amp; HV augex'!$D$10:$P$18,MATCH($C26,'LV &amp; HV augex'!$C$10:$C$18,0),MATCH(K$19,'LV &amp; HV augex'!$D$9:$P$9,0))*INDEX('LV &amp; HV augex'!$D$28:$J$52,MATCH($B26,'LV &amp; HV augex'!$L$28:$L$52,0),MATCH($C26,'LV &amp; HV augex'!$D$27:$J$27,0)),0)*'Financial inputs'!$D$11</f>
        <v>240800.92834212873</v>
      </c>
      <c r="L26" s="40">
        <f>IFERROR(INDEX('LV &amp; HV augex'!$D$10:$P$18,MATCH($C26,'LV &amp; HV augex'!$C$10:$C$18,0),MATCH(L$19,'LV &amp; HV augex'!$D$9:$P$9,0))*INDEX('LV &amp; HV augex'!$D$28:$J$52,MATCH($B26,'LV &amp; HV augex'!$L$28:$L$52,0),MATCH($C26,'LV &amp; HV augex'!$D$27:$J$27,0)),0)*'Financial inputs'!$D$11</f>
        <v>240800.92834212873</v>
      </c>
      <c r="M26" s="40">
        <f>IFERROR(INDEX('LV &amp; HV augex'!$D$10:$P$18,MATCH($C26,'LV &amp; HV augex'!$C$10:$C$18,0),MATCH(M$19,'LV &amp; HV augex'!$D$9:$P$9,0))*INDEX('LV &amp; HV augex'!$D$28:$J$52,MATCH($B26,'LV &amp; HV augex'!$L$28:$L$52,0),MATCH($C26,'LV &amp; HV augex'!$D$27:$J$27,0)),0)*'Financial inputs'!$D$11</f>
        <v>240800.92834212873</v>
      </c>
      <c r="N26" s="40">
        <f>IFERROR(INDEX('LV &amp; HV augex'!$D$10:$P$18,MATCH($C26,'LV &amp; HV augex'!$C$10:$C$18,0),MATCH(N$19,'LV &amp; HV augex'!$D$9:$P$9,0))*INDEX('LV &amp; HV augex'!$D$28:$J$52,MATCH($B26,'LV &amp; HV augex'!$L$28:$L$52,0),MATCH($C26,'LV &amp; HV augex'!$D$27:$J$27,0)),0)*'Financial inputs'!$D$11</f>
        <v>240800.92834212873</v>
      </c>
      <c r="O26" s="40">
        <f>IFERROR(INDEX('LV &amp; HV augex'!$D$10:$P$18,MATCH($C26,'LV &amp; HV augex'!$C$10:$C$18,0),MATCH(O$19,'LV &amp; HV augex'!$D$9:$P$9,0))*INDEX('LV &amp; HV augex'!$D$28:$J$52,MATCH($B26,'LV &amp; HV augex'!$L$28:$L$52,0),MATCH($C26,'LV &amp; HV augex'!$D$27:$J$27,0)),0)*'Financial inputs'!$D$11</f>
        <v>240800.92834212873</v>
      </c>
      <c r="P26" s="40">
        <f>IFERROR(INDEX('LV &amp; HV augex'!$D$10:$P$18,MATCH($C26,'LV &amp; HV augex'!$C$10:$C$18,0),MATCH(P$19,'LV &amp; HV augex'!$D$9:$P$9,0))*INDEX('LV &amp; HV augex'!$D$28:$J$52,MATCH($B26,'LV &amp; HV augex'!$L$28:$L$52,0),MATCH($C26,'LV &amp; HV augex'!$D$27:$J$27,0)),0)*'Financial inputs'!$D$11</f>
        <v>240800.92834212873</v>
      </c>
    </row>
    <row r="27" spans="1:16" customFormat="1" ht="15.5">
      <c r="A27" s="1"/>
      <c r="B27" s="2" t="str">
        <v>Lower North Shore</v>
      </c>
      <c r="C27" s="35" t="str" cm="1">
        <f t="array" ref="C27">INDEX(augex_categories,COUNTIFS($B$20:$B27,$B$20))</f>
        <v>LV Distribution Centre Capacity</v>
      </c>
      <c r="D27" s="35" t="str">
        <f>IF(COUNTIF('LV &amp; HV augex'!$C$10:$C$13,C27), "LV", IF(COUNTIF('LV &amp; HV augex'!$C$15:$C$17, C27), "HV", "Error"))</f>
        <v>LV</v>
      </c>
      <c r="E27" s="35" t="str">
        <f>INDEX('Growing &amp; falling'!$D$14:$D$39,MATCH($B27,'Growing &amp; falling'!$B$14:$B$39,0))</f>
        <v>Growth</v>
      </c>
      <c r="F27" s="35" t="str">
        <f t="shared" si="4"/>
        <v>$2024 real</v>
      </c>
      <c r="G27" s="40">
        <f>IFERROR(INDEX('LV &amp; HV augex'!$D$10:$P$18,MATCH($C27,'LV &amp; HV augex'!$C$10:$C$18,0),MATCH(G$19,'LV &amp; HV augex'!$D$9:$P$9,0))*INDEX('LV &amp; HV augex'!$D$28:$J$52,MATCH($B27,'LV &amp; HV augex'!$L$28:$L$52,0),MATCH($C27,'LV &amp; HV augex'!$D$27:$J$27,0)),0)*'Financial inputs'!$D$11</f>
        <v>53475.127463948782</v>
      </c>
      <c r="H27" s="40">
        <f>IFERROR(INDEX('LV &amp; HV augex'!$D$10:$P$18,MATCH($C27,'LV &amp; HV augex'!$C$10:$C$18,0),MATCH(H$19,'LV &amp; HV augex'!$D$9:$P$9,0))*INDEX('LV &amp; HV augex'!$D$28:$J$52,MATCH($B27,'LV &amp; HV augex'!$L$28:$L$52,0),MATCH($C27,'LV &amp; HV augex'!$D$27:$J$27,0)),0)*'Financial inputs'!$D$11</f>
        <v>53475.127463948782</v>
      </c>
      <c r="I27" s="40">
        <f>IFERROR(INDEX('LV &amp; HV augex'!$D$10:$P$18,MATCH($C27,'LV &amp; HV augex'!$C$10:$C$18,0),MATCH(I$19,'LV &amp; HV augex'!$D$9:$P$9,0))*INDEX('LV &amp; HV augex'!$D$28:$J$52,MATCH($B27,'LV &amp; HV augex'!$L$28:$L$52,0),MATCH($C27,'LV &amp; HV augex'!$D$27:$J$27,0)),0)*'Financial inputs'!$D$11</f>
        <v>53475.127463948782</v>
      </c>
      <c r="J27" s="40">
        <f>IFERROR(INDEX('LV &amp; HV augex'!$D$10:$P$18,MATCH($C27,'LV &amp; HV augex'!$C$10:$C$18,0),MATCH(J$19,'LV &amp; HV augex'!$D$9:$P$9,0))*INDEX('LV &amp; HV augex'!$D$28:$J$52,MATCH($B27,'LV &amp; HV augex'!$L$28:$L$52,0),MATCH($C27,'LV &amp; HV augex'!$D$27:$J$27,0)),0)*'Financial inputs'!$D$11</f>
        <v>53475.127463948782</v>
      </c>
      <c r="K27" s="40">
        <f>IFERROR(INDEX('LV &amp; HV augex'!$D$10:$P$18,MATCH($C27,'LV &amp; HV augex'!$C$10:$C$18,0),MATCH(K$19,'LV &amp; HV augex'!$D$9:$P$9,0))*INDEX('LV &amp; HV augex'!$D$28:$J$52,MATCH($B27,'LV &amp; HV augex'!$L$28:$L$52,0),MATCH($C27,'LV &amp; HV augex'!$D$27:$J$27,0)),0)*'Financial inputs'!$D$11</f>
        <v>53475.127463948782</v>
      </c>
      <c r="L27" s="40">
        <f>IFERROR(INDEX('LV &amp; HV augex'!$D$10:$P$18,MATCH($C27,'LV &amp; HV augex'!$C$10:$C$18,0),MATCH(L$19,'LV &amp; HV augex'!$D$9:$P$9,0))*INDEX('LV &amp; HV augex'!$D$28:$J$52,MATCH($B27,'LV &amp; HV augex'!$L$28:$L$52,0),MATCH($C27,'LV &amp; HV augex'!$D$27:$J$27,0)),0)*'Financial inputs'!$D$11</f>
        <v>53475.127463948782</v>
      </c>
      <c r="M27" s="40">
        <f>IFERROR(INDEX('LV &amp; HV augex'!$D$10:$P$18,MATCH($C27,'LV &amp; HV augex'!$C$10:$C$18,0),MATCH(M$19,'LV &amp; HV augex'!$D$9:$P$9,0))*INDEX('LV &amp; HV augex'!$D$28:$J$52,MATCH($B27,'LV &amp; HV augex'!$L$28:$L$52,0),MATCH($C27,'LV &amp; HV augex'!$D$27:$J$27,0)),0)*'Financial inputs'!$D$11</f>
        <v>53475.127463948782</v>
      </c>
      <c r="N27" s="40">
        <f>IFERROR(INDEX('LV &amp; HV augex'!$D$10:$P$18,MATCH($C27,'LV &amp; HV augex'!$C$10:$C$18,0),MATCH(N$19,'LV &amp; HV augex'!$D$9:$P$9,0))*INDEX('LV &amp; HV augex'!$D$28:$J$52,MATCH($B27,'LV &amp; HV augex'!$L$28:$L$52,0),MATCH($C27,'LV &amp; HV augex'!$D$27:$J$27,0)),0)*'Financial inputs'!$D$11</f>
        <v>53475.127463948782</v>
      </c>
      <c r="O27" s="40">
        <f>IFERROR(INDEX('LV &amp; HV augex'!$D$10:$P$18,MATCH($C27,'LV &amp; HV augex'!$C$10:$C$18,0),MATCH(O$19,'LV &amp; HV augex'!$D$9:$P$9,0))*INDEX('LV &amp; HV augex'!$D$28:$J$52,MATCH($B27,'LV &amp; HV augex'!$L$28:$L$52,0),MATCH($C27,'LV &amp; HV augex'!$D$27:$J$27,0)),0)*'Financial inputs'!$D$11</f>
        <v>53475.127463948782</v>
      </c>
      <c r="P27" s="40">
        <f>IFERROR(INDEX('LV &amp; HV augex'!$D$10:$P$18,MATCH($C27,'LV &amp; HV augex'!$C$10:$C$18,0),MATCH(P$19,'LV &amp; HV augex'!$D$9:$P$9,0))*INDEX('LV &amp; HV augex'!$D$28:$J$52,MATCH($B27,'LV &amp; HV augex'!$L$28:$L$52,0),MATCH($C27,'LV &amp; HV augex'!$D$27:$J$27,0)),0)*'Financial inputs'!$D$11</f>
        <v>53475.127463948782</v>
      </c>
    </row>
    <row r="28" spans="1:16" customFormat="1" ht="15.5">
      <c r="A28" s="1"/>
      <c r="B28" s="2" t="str">
        <v>Maitland</v>
      </c>
      <c r="C28" s="35" t="str" cm="1">
        <f t="array" ref="C28">INDEX(augex_categories,COUNTIFS($B$20:$B28,$B$20))</f>
        <v>LV Distribution Centre Capacity</v>
      </c>
      <c r="D28" s="35" t="str">
        <f>IF(COUNTIF('LV &amp; HV augex'!$C$10:$C$13,C28), "LV", IF(COUNTIF('LV &amp; HV augex'!$C$15:$C$17, C28), "HV", "Error"))</f>
        <v>LV</v>
      </c>
      <c r="E28" s="35" t="str">
        <f>INDEX('Growing &amp; falling'!$D$14:$D$39,MATCH($B28,'Growing &amp; falling'!$B$14:$B$39,0))</f>
        <v>Growth</v>
      </c>
      <c r="F28" s="35" t="str">
        <f t="shared" si="4"/>
        <v>$2024 real</v>
      </c>
      <c r="G28" s="40">
        <f>IFERROR(INDEX('LV &amp; HV augex'!$D$10:$P$18,MATCH($C28,'LV &amp; HV augex'!$C$10:$C$18,0),MATCH(G$19,'LV &amp; HV augex'!$D$9:$P$9,0))*INDEX('LV &amp; HV augex'!$D$28:$J$52,MATCH($B28,'LV &amp; HV augex'!$L$28:$L$52,0),MATCH($C28,'LV &amp; HV augex'!$D$27:$J$27,0)),0)*'Financial inputs'!$D$11</f>
        <v>57496.141159339582</v>
      </c>
      <c r="H28" s="40">
        <f>IFERROR(INDEX('LV &amp; HV augex'!$D$10:$P$18,MATCH($C28,'LV &amp; HV augex'!$C$10:$C$18,0),MATCH(H$19,'LV &amp; HV augex'!$D$9:$P$9,0))*INDEX('LV &amp; HV augex'!$D$28:$J$52,MATCH($B28,'LV &amp; HV augex'!$L$28:$L$52,0),MATCH($C28,'LV &amp; HV augex'!$D$27:$J$27,0)),0)*'Financial inputs'!$D$11</f>
        <v>57496.141159339582</v>
      </c>
      <c r="I28" s="40">
        <f>IFERROR(INDEX('LV &amp; HV augex'!$D$10:$P$18,MATCH($C28,'LV &amp; HV augex'!$C$10:$C$18,0),MATCH(I$19,'LV &amp; HV augex'!$D$9:$P$9,0))*INDEX('LV &amp; HV augex'!$D$28:$J$52,MATCH($B28,'LV &amp; HV augex'!$L$28:$L$52,0),MATCH($C28,'LV &amp; HV augex'!$D$27:$J$27,0)),0)*'Financial inputs'!$D$11</f>
        <v>57496.141159339582</v>
      </c>
      <c r="J28" s="40">
        <f>IFERROR(INDEX('LV &amp; HV augex'!$D$10:$P$18,MATCH($C28,'LV &amp; HV augex'!$C$10:$C$18,0),MATCH(J$19,'LV &amp; HV augex'!$D$9:$P$9,0))*INDEX('LV &amp; HV augex'!$D$28:$J$52,MATCH($B28,'LV &amp; HV augex'!$L$28:$L$52,0),MATCH($C28,'LV &amp; HV augex'!$D$27:$J$27,0)),0)*'Financial inputs'!$D$11</f>
        <v>57496.141159339582</v>
      </c>
      <c r="K28" s="40">
        <f>IFERROR(INDEX('LV &amp; HV augex'!$D$10:$P$18,MATCH($C28,'LV &amp; HV augex'!$C$10:$C$18,0),MATCH(K$19,'LV &amp; HV augex'!$D$9:$P$9,0))*INDEX('LV &amp; HV augex'!$D$28:$J$52,MATCH($B28,'LV &amp; HV augex'!$L$28:$L$52,0),MATCH($C28,'LV &amp; HV augex'!$D$27:$J$27,0)),0)*'Financial inputs'!$D$11</f>
        <v>57496.141159339582</v>
      </c>
      <c r="L28" s="40">
        <f>IFERROR(INDEX('LV &amp; HV augex'!$D$10:$P$18,MATCH($C28,'LV &amp; HV augex'!$C$10:$C$18,0),MATCH(L$19,'LV &amp; HV augex'!$D$9:$P$9,0))*INDEX('LV &amp; HV augex'!$D$28:$J$52,MATCH($B28,'LV &amp; HV augex'!$L$28:$L$52,0),MATCH($C28,'LV &amp; HV augex'!$D$27:$J$27,0)),0)*'Financial inputs'!$D$11</f>
        <v>57496.141159339582</v>
      </c>
      <c r="M28" s="40">
        <f>IFERROR(INDEX('LV &amp; HV augex'!$D$10:$P$18,MATCH($C28,'LV &amp; HV augex'!$C$10:$C$18,0),MATCH(M$19,'LV &amp; HV augex'!$D$9:$P$9,0))*INDEX('LV &amp; HV augex'!$D$28:$J$52,MATCH($B28,'LV &amp; HV augex'!$L$28:$L$52,0),MATCH($C28,'LV &amp; HV augex'!$D$27:$J$27,0)),0)*'Financial inputs'!$D$11</f>
        <v>57496.141159339582</v>
      </c>
      <c r="N28" s="40">
        <f>IFERROR(INDEX('LV &amp; HV augex'!$D$10:$P$18,MATCH($C28,'LV &amp; HV augex'!$C$10:$C$18,0),MATCH(N$19,'LV &amp; HV augex'!$D$9:$P$9,0))*INDEX('LV &amp; HV augex'!$D$28:$J$52,MATCH($B28,'LV &amp; HV augex'!$L$28:$L$52,0),MATCH($C28,'LV &amp; HV augex'!$D$27:$J$27,0)),0)*'Financial inputs'!$D$11</f>
        <v>57496.141159339582</v>
      </c>
      <c r="O28" s="40">
        <f>IFERROR(INDEX('LV &amp; HV augex'!$D$10:$P$18,MATCH($C28,'LV &amp; HV augex'!$C$10:$C$18,0),MATCH(O$19,'LV &amp; HV augex'!$D$9:$P$9,0))*INDEX('LV &amp; HV augex'!$D$28:$J$52,MATCH($B28,'LV &amp; HV augex'!$L$28:$L$52,0),MATCH($C28,'LV &amp; HV augex'!$D$27:$J$27,0)),0)*'Financial inputs'!$D$11</f>
        <v>57496.141159339582</v>
      </c>
      <c r="P28" s="40">
        <f>IFERROR(INDEX('LV &amp; HV augex'!$D$10:$P$18,MATCH($C28,'LV &amp; HV augex'!$C$10:$C$18,0),MATCH(P$19,'LV &amp; HV augex'!$D$9:$P$9,0))*INDEX('LV &amp; HV augex'!$D$28:$J$52,MATCH($B28,'LV &amp; HV augex'!$L$28:$L$52,0),MATCH($C28,'LV &amp; HV augex'!$D$27:$J$27,0)),0)*'Financial inputs'!$D$11</f>
        <v>57496.141159339582</v>
      </c>
    </row>
    <row r="29" spans="1:16" customFormat="1" ht="15.5">
      <c r="A29" s="1"/>
      <c r="B29" s="2" t="str">
        <v>Manly Warringah</v>
      </c>
      <c r="C29" s="35" t="str" cm="1">
        <f t="array" ref="C29">INDEX(augex_categories,COUNTIFS($B$20:$B29,$B$20))</f>
        <v>LV Distribution Centre Capacity</v>
      </c>
      <c r="D29" s="35" t="str">
        <f>IF(COUNTIF('LV &amp; HV augex'!$C$10:$C$13,C29), "LV", IF(COUNTIF('LV &amp; HV augex'!$C$15:$C$17, C29), "HV", "Error"))</f>
        <v>LV</v>
      </c>
      <c r="E29" s="35" t="str">
        <f>INDEX('Growing &amp; falling'!$D$14:$D$39,MATCH($B29,'Growing &amp; falling'!$B$14:$B$39,0))</f>
        <v>Growth</v>
      </c>
      <c r="F29" s="35" t="str">
        <f t="shared" si="4"/>
        <v>$2024 real</v>
      </c>
      <c r="G29" s="40">
        <f>IFERROR(INDEX('LV &amp; HV augex'!$D$10:$P$18,MATCH($C29,'LV &amp; HV augex'!$C$10:$C$18,0),MATCH(G$19,'LV &amp; HV augex'!$D$9:$P$9,0))*INDEX('LV &amp; HV augex'!$D$28:$J$52,MATCH($B29,'LV &amp; HV augex'!$L$28:$L$52,0),MATCH($C29,'LV &amp; HV augex'!$D$27:$J$27,0)),0)*'Financial inputs'!$D$11</f>
        <v>53475.127463948782</v>
      </c>
      <c r="H29" s="40">
        <f>IFERROR(INDEX('LV &amp; HV augex'!$D$10:$P$18,MATCH($C29,'LV &amp; HV augex'!$C$10:$C$18,0),MATCH(H$19,'LV &amp; HV augex'!$D$9:$P$9,0))*INDEX('LV &amp; HV augex'!$D$28:$J$52,MATCH($B29,'LV &amp; HV augex'!$L$28:$L$52,0),MATCH($C29,'LV &amp; HV augex'!$D$27:$J$27,0)),0)*'Financial inputs'!$D$11</f>
        <v>53475.127463948782</v>
      </c>
      <c r="I29" s="40">
        <f>IFERROR(INDEX('LV &amp; HV augex'!$D$10:$P$18,MATCH($C29,'LV &amp; HV augex'!$C$10:$C$18,0),MATCH(I$19,'LV &amp; HV augex'!$D$9:$P$9,0))*INDEX('LV &amp; HV augex'!$D$28:$J$52,MATCH($B29,'LV &amp; HV augex'!$L$28:$L$52,0),MATCH($C29,'LV &amp; HV augex'!$D$27:$J$27,0)),0)*'Financial inputs'!$D$11</f>
        <v>53475.127463948782</v>
      </c>
      <c r="J29" s="40">
        <f>IFERROR(INDEX('LV &amp; HV augex'!$D$10:$P$18,MATCH($C29,'LV &amp; HV augex'!$C$10:$C$18,0),MATCH(J$19,'LV &amp; HV augex'!$D$9:$P$9,0))*INDEX('LV &amp; HV augex'!$D$28:$J$52,MATCH($B29,'LV &amp; HV augex'!$L$28:$L$52,0),MATCH($C29,'LV &amp; HV augex'!$D$27:$J$27,0)),0)*'Financial inputs'!$D$11</f>
        <v>53475.127463948782</v>
      </c>
      <c r="K29" s="40">
        <f>IFERROR(INDEX('LV &amp; HV augex'!$D$10:$P$18,MATCH($C29,'LV &amp; HV augex'!$C$10:$C$18,0),MATCH(K$19,'LV &amp; HV augex'!$D$9:$P$9,0))*INDEX('LV &amp; HV augex'!$D$28:$J$52,MATCH($B29,'LV &amp; HV augex'!$L$28:$L$52,0),MATCH($C29,'LV &amp; HV augex'!$D$27:$J$27,0)),0)*'Financial inputs'!$D$11</f>
        <v>53475.127463948782</v>
      </c>
      <c r="L29" s="40">
        <f>IFERROR(INDEX('LV &amp; HV augex'!$D$10:$P$18,MATCH($C29,'LV &amp; HV augex'!$C$10:$C$18,0),MATCH(L$19,'LV &amp; HV augex'!$D$9:$P$9,0))*INDEX('LV &amp; HV augex'!$D$28:$J$52,MATCH($B29,'LV &amp; HV augex'!$L$28:$L$52,0),MATCH($C29,'LV &amp; HV augex'!$D$27:$J$27,0)),0)*'Financial inputs'!$D$11</f>
        <v>53475.127463948782</v>
      </c>
      <c r="M29" s="40">
        <f>IFERROR(INDEX('LV &amp; HV augex'!$D$10:$P$18,MATCH($C29,'LV &amp; HV augex'!$C$10:$C$18,0),MATCH(M$19,'LV &amp; HV augex'!$D$9:$P$9,0))*INDEX('LV &amp; HV augex'!$D$28:$J$52,MATCH($B29,'LV &amp; HV augex'!$L$28:$L$52,0),MATCH($C29,'LV &amp; HV augex'!$D$27:$J$27,0)),0)*'Financial inputs'!$D$11</f>
        <v>53475.127463948782</v>
      </c>
      <c r="N29" s="40">
        <f>IFERROR(INDEX('LV &amp; HV augex'!$D$10:$P$18,MATCH($C29,'LV &amp; HV augex'!$C$10:$C$18,0),MATCH(N$19,'LV &amp; HV augex'!$D$9:$P$9,0))*INDEX('LV &amp; HV augex'!$D$28:$J$52,MATCH($B29,'LV &amp; HV augex'!$L$28:$L$52,0),MATCH($C29,'LV &amp; HV augex'!$D$27:$J$27,0)),0)*'Financial inputs'!$D$11</f>
        <v>53475.127463948782</v>
      </c>
      <c r="O29" s="40">
        <f>IFERROR(INDEX('LV &amp; HV augex'!$D$10:$P$18,MATCH($C29,'LV &amp; HV augex'!$C$10:$C$18,0),MATCH(O$19,'LV &amp; HV augex'!$D$9:$P$9,0))*INDEX('LV &amp; HV augex'!$D$28:$J$52,MATCH($B29,'LV &amp; HV augex'!$L$28:$L$52,0),MATCH($C29,'LV &amp; HV augex'!$D$27:$J$27,0)),0)*'Financial inputs'!$D$11</f>
        <v>53475.127463948782</v>
      </c>
      <c r="P29" s="40">
        <f>IFERROR(INDEX('LV &amp; HV augex'!$D$10:$P$18,MATCH($C29,'LV &amp; HV augex'!$C$10:$C$18,0),MATCH(P$19,'LV &amp; HV augex'!$D$9:$P$9,0))*INDEX('LV &amp; HV augex'!$D$28:$J$52,MATCH($B29,'LV &amp; HV augex'!$L$28:$L$52,0),MATCH($C29,'LV &amp; HV augex'!$D$27:$J$27,0)),0)*'Financial inputs'!$D$11</f>
        <v>53475.127463948782</v>
      </c>
    </row>
    <row r="30" spans="1:16" customFormat="1" ht="15.5">
      <c r="A30" s="1"/>
      <c r="B30" s="2" t="str">
        <v>Newcastle Inner City</v>
      </c>
      <c r="C30" s="35" t="str" cm="1">
        <f t="array" ref="C30">INDEX(augex_categories,COUNTIFS($B$20:$B30,$B$20))</f>
        <v>LV Distribution Centre Capacity</v>
      </c>
      <c r="D30" s="35" t="str">
        <f>IF(COUNTIF('LV &amp; HV augex'!$C$10:$C$13,C30), "LV", IF(COUNTIF('LV &amp; HV augex'!$C$15:$C$17, C30), "HV", "Error"))</f>
        <v>LV</v>
      </c>
      <c r="E30" s="35" t="str">
        <f>INDEX('Growing &amp; falling'!$D$14:$D$39,MATCH($B30,'Growing &amp; falling'!$B$14:$B$39,0))</f>
        <v>Decline</v>
      </c>
      <c r="F30" s="35" t="str">
        <f t="shared" si="4"/>
        <v>$2024 real</v>
      </c>
      <c r="G30" s="40">
        <f>IFERROR(INDEX('LV &amp; HV augex'!$D$10:$P$18,MATCH($C30,'LV &amp; HV augex'!$C$10:$C$18,0),MATCH(G$19,'LV &amp; HV augex'!$D$9:$P$9,0))*INDEX('LV &amp; HV augex'!$D$28:$J$52,MATCH($B30,'LV &amp; HV augex'!$L$28:$L$52,0),MATCH($C30,'LV &amp; HV augex'!$D$27:$J$27,0)),0)*'Financial inputs'!$D$11</f>
        <v>42899.080849865401</v>
      </c>
      <c r="H30" s="40">
        <f>IFERROR(INDEX('LV &amp; HV augex'!$D$10:$P$18,MATCH($C30,'LV &amp; HV augex'!$C$10:$C$18,0),MATCH(H$19,'LV &amp; HV augex'!$D$9:$P$9,0))*INDEX('LV &amp; HV augex'!$D$28:$J$52,MATCH($B30,'LV &amp; HV augex'!$L$28:$L$52,0),MATCH($C30,'LV &amp; HV augex'!$D$27:$J$27,0)),0)*'Financial inputs'!$D$11</f>
        <v>42899.080849865401</v>
      </c>
      <c r="I30" s="40">
        <f>IFERROR(INDEX('LV &amp; HV augex'!$D$10:$P$18,MATCH($C30,'LV &amp; HV augex'!$C$10:$C$18,0),MATCH(I$19,'LV &amp; HV augex'!$D$9:$P$9,0))*INDEX('LV &amp; HV augex'!$D$28:$J$52,MATCH($B30,'LV &amp; HV augex'!$L$28:$L$52,0),MATCH($C30,'LV &amp; HV augex'!$D$27:$J$27,0)),0)*'Financial inputs'!$D$11</f>
        <v>42899.080849865401</v>
      </c>
      <c r="J30" s="40">
        <f>IFERROR(INDEX('LV &amp; HV augex'!$D$10:$P$18,MATCH($C30,'LV &amp; HV augex'!$C$10:$C$18,0),MATCH(J$19,'LV &amp; HV augex'!$D$9:$P$9,0))*INDEX('LV &amp; HV augex'!$D$28:$J$52,MATCH($B30,'LV &amp; HV augex'!$L$28:$L$52,0),MATCH($C30,'LV &amp; HV augex'!$D$27:$J$27,0)),0)*'Financial inputs'!$D$11</f>
        <v>42899.080849865401</v>
      </c>
      <c r="K30" s="40">
        <f>IFERROR(INDEX('LV &amp; HV augex'!$D$10:$P$18,MATCH($C30,'LV &amp; HV augex'!$C$10:$C$18,0),MATCH(K$19,'LV &amp; HV augex'!$D$9:$P$9,0))*INDEX('LV &amp; HV augex'!$D$28:$J$52,MATCH($B30,'LV &amp; HV augex'!$L$28:$L$52,0),MATCH($C30,'LV &amp; HV augex'!$D$27:$J$27,0)),0)*'Financial inputs'!$D$11</f>
        <v>42899.080849865401</v>
      </c>
      <c r="L30" s="40">
        <f>IFERROR(INDEX('LV &amp; HV augex'!$D$10:$P$18,MATCH($C30,'LV &amp; HV augex'!$C$10:$C$18,0),MATCH(L$19,'LV &amp; HV augex'!$D$9:$P$9,0))*INDEX('LV &amp; HV augex'!$D$28:$J$52,MATCH($B30,'LV &amp; HV augex'!$L$28:$L$52,0),MATCH($C30,'LV &amp; HV augex'!$D$27:$J$27,0)),0)*'Financial inputs'!$D$11</f>
        <v>42899.080849865401</v>
      </c>
      <c r="M30" s="40">
        <f>IFERROR(INDEX('LV &amp; HV augex'!$D$10:$P$18,MATCH($C30,'LV &amp; HV augex'!$C$10:$C$18,0),MATCH(M$19,'LV &amp; HV augex'!$D$9:$P$9,0))*INDEX('LV &amp; HV augex'!$D$28:$J$52,MATCH($B30,'LV &amp; HV augex'!$L$28:$L$52,0),MATCH($C30,'LV &amp; HV augex'!$D$27:$J$27,0)),0)*'Financial inputs'!$D$11</f>
        <v>42899.080849865401</v>
      </c>
      <c r="N30" s="40">
        <f>IFERROR(INDEX('LV &amp; HV augex'!$D$10:$P$18,MATCH($C30,'LV &amp; HV augex'!$C$10:$C$18,0),MATCH(N$19,'LV &amp; HV augex'!$D$9:$P$9,0))*INDEX('LV &amp; HV augex'!$D$28:$J$52,MATCH($B30,'LV &amp; HV augex'!$L$28:$L$52,0),MATCH($C30,'LV &amp; HV augex'!$D$27:$J$27,0)),0)*'Financial inputs'!$D$11</f>
        <v>42899.080849865401</v>
      </c>
      <c r="O30" s="40">
        <f>IFERROR(INDEX('LV &amp; HV augex'!$D$10:$P$18,MATCH($C30,'LV &amp; HV augex'!$C$10:$C$18,0),MATCH(O$19,'LV &amp; HV augex'!$D$9:$P$9,0))*INDEX('LV &amp; HV augex'!$D$28:$J$52,MATCH($B30,'LV &amp; HV augex'!$L$28:$L$52,0),MATCH($C30,'LV &amp; HV augex'!$D$27:$J$27,0)),0)*'Financial inputs'!$D$11</f>
        <v>42899.080849865401</v>
      </c>
      <c r="P30" s="40">
        <f>IFERROR(INDEX('LV &amp; HV augex'!$D$10:$P$18,MATCH($C30,'LV &amp; HV augex'!$C$10:$C$18,0),MATCH(P$19,'LV &amp; HV augex'!$D$9:$P$9,0))*INDEX('LV &amp; HV augex'!$D$28:$J$52,MATCH($B30,'LV &amp; HV augex'!$L$28:$L$52,0),MATCH($C30,'LV &amp; HV augex'!$D$27:$J$27,0)),0)*'Financial inputs'!$D$11</f>
        <v>42899.080849865401</v>
      </c>
    </row>
    <row r="31" spans="1:16" customFormat="1" ht="15.5">
      <c r="A31" s="1"/>
      <c r="B31" s="2" t="str">
        <v>Newcastle Port</v>
      </c>
      <c r="C31" s="35" t="str" cm="1">
        <f t="array" ref="C31">INDEX(augex_categories,COUNTIFS($B$20:$B31,$B$20))</f>
        <v>LV Distribution Centre Capacity</v>
      </c>
      <c r="D31" s="35" t="str">
        <f>IF(COUNTIF('LV &amp; HV augex'!$C$10:$C$13,C31), "LV", IF(COUNTIF('LV &amp; HV augex'!$C$15:$C$17, C31), "HV", "Error"))</f>
        <v>LV</v>
      </c>
      <c r="E31" s="35" t="str">
        <f>INDEX('Growing &amp; falling'!$D$14:$D$39,MATCH($B31,'Growing &amp; falling'!$B$14:$B$39,0))</f>
        <v>Growth</v>
      </c>
      <c r="F31" s="35" t="str">
        <f t="shared" si="4"/>
        <v>$2024 real</v>
      </c>
      <c r="G31" s="40">
        <f>IFERROR(INDEX('LV &amp; HV augex'!$D$10:$P$18,MATCH($C31,'LV &amp; HV augex'!$C$10:$C$18,0),MATCH(G$19,'LV &amp; HV augex'!$D$9:$P$9,0))*INDEX('LV &amp; HV augex'!$D$28:$J$52,MATCH($B31,'LV &amp; HV augex'!$L$28:$L$52,0),MATCH($C31,'LV &amp; HV augex'!$D$27:$J$27,0)),0)*'Financial inputs'!$D$11</f>
        <v>1382.2581704575109</v>
      </c>
      <c r="H31" s="40">
        <f>IFERROR(INDEX('LV &amp; HV augex'!$D$10:$P$18,MATCH($C31,'LV &amp; HV augex'!$C$10:$C$18,0),MATCH(H$19,'LV &amp; HV augex'!$D$9:$P$9,0))*INDEX('LV &amp; HV augex'!$D$28:$J$52,MATCH($B31,'LV &amp; HV augex'!$L$28:$L$52,0),MATCH($C31,'LV &amp; HV augex'!$D$27:$J$27,0)),0)*'Financial inputs'!$D$11</f>
        <v>1382.2581704575109</v>
      </c>
      <c r="I31" s="40">
        <f>IFERROR(INDEX('LV &amp; HV augex'!$D$10:$P$18,MATCH($C31,'LV &amp; HV augex'!$C$10:$C$18,0),MATCH(I$19,'LV &amp; HV augex'!$D$9:$P$9,0))*INDEX('LV &amp; HV augex'!$D$28:$J$52,MATCH($B31,'LV &amp; HV augex'!$L$28:$L$52,0),MATCH($C31,'LV &amp; HV augex'!$D$27:$J$27,0)),0)*'Financial inputs'!$D$11</f>
        <v>1382.2581704575109</v>
      </c>
      <c r="J31" s="40">
        <f>IFERROR(INDEX('LV &amp; HV augex'!$D$10:$P$18,MATCH($C31,'LV &amp; HV augex'!$C$10:$C$18,0),MATCH(J$19,'LV &amp; HV augex'!$D$9:$P$9,0))*INDEX('LV &amp; HV augex'!$D$28:$J$52,MATCH($B31,'LV &amp; HV augex'!$L$28:$L$52,0),MATCH($C31,'LV &amp; HV augex'!$D$27:$J$27,0)),0)*'Financial inputs'!$D$11</f>
        <v>1382.2581704575109</v>
      </c>
      <c r="K31" s="40">
        <f>IFERROR(INDEX('LV &amp; HV augex'!$D$10:$P$18,MATCH($C31,'LV &amp; HV augex'!$C$10:$C$18,0),MATCH(K$19,'LV &amp; HV augex'!$D$9:$P$9,0))*INDEX('LV &amp; HV augex'!$D$28:$J$52,MATCH($B31,'LV &amp; HV augex'!$L$28:$L$52,0),MATCH($C31,'LV &amp; HV augex'!$D$27:$J$27,0)),0)*'Financial inputs'!$D$11</f>
        <v>1382.2581704575109</v>
      </c>
      <c r="L31" s="40">
        <f>IFERROR(INDEX('LV &amp; HV augex'!$D$10:$P$18,MATCH($C31,'LV &amp; HV augex'!$C$10:$C$18,0),MATCH(L$19,'LV &amp; HV augex'!$D$9:$P$9,0))*INDEX('LV &amp; HV augex'!$D$28:$J$52,MATCH($B31,'LV &amp; HV augex'!$L$28:$L$52,0),MATCH($C31,'LV &amp; HV augex'!$D$27:$J$27,0)),0)*'Financial inputs'!$D$11</f>
        <v>1382.2581704575109</v>
      </c>
      <c r="M31" s="40">
        <f>IFERROR(INDEX('LV &amp; HV augex'!$D$10:$P$18,MATCH($C31,'LV &amp; HV augex'!$C$10:$C$18,0),MATCH(M$19,'LV &amp; HV augex'!$D$9:$P$9,0))*INDEX('LV &amp; HV augex'!$D$28:$J$52,MATCH($B31,'LV &amp; HV augex'!$L$28:$L$52,0),MATCH($C31,'LV &amp; HV augex'!$D$27:$J$27,0)),0)*'Financial inputs'!$D$11</f>
        <v>1382.2581704575109</v>
      </c>
      <c r="N31" s="40">
        <f>IFERROR(INDEX('LV &amp; HV augex'!$D$10:$P$18,MATCH($C31,'LV &amp; HV augex'!$C$10:$C$18,0),MATCH(N$19,'LV &amp; HV augex'!$D$9:$P$9,0))*INDEX('LV &amp; HV augex'!$D$28:$J$52,MATCH($B31,'LV &amp; HV augex'!$L$28:$L$52,0),MATCH($C31,'LV &amp; HV augex'!$D$27:$J$27,0)),0)*'Financial inputs'!$D$11</f>
        <v>1382.2581704575109</v>
      </c>
      <c r="O31" s="40">
        <f>IFERROR(INDEX('LV &amp; HV augex'!$D$10:$P$18,MATCH($C31,'LV &amp; HV augex'!$C$10:$C$18,0),MATCH(O$19,'LV &amp; HV augex'!$D$9:$P$9,0))*INDEX('LV &amp; HV augex'!$D$28:$J$52,MATCH($B31,'LV &amp; HV augex'!$L$28:$L$52,0),MATCH($C31,'LV &amp; HV augex'!$D$27:$J$27,0)),0)*'Financial inputs'!$D$11</f>
        <v>1382.2581704575109</v>
      </c>
      <c r="P31" s="40">
        <f>IFERROR(INDEX('LV &amp; HV augex'!$D$10:$P$18,MATCH($C31,'LV &amp; HV augex'!$C$10:$C$18,0),MATCH(P$19,'LV &amp; HV augex'!$D$9:$P$9,0))*INDEX('LV &amp; HV augex'!$D$28:$J$52,MATCH($B31,'LV &amp; HV augex'!$L$28:$L$52,0),MATCH($C31,'LV &amp; HV augex'!$D$27:$J$27,0)),0)*'Financial inputs'!$D$11</f>
        <v>1382.2581704575109</v>
      </c>
    </row>
    <row r="32" spans="1:16" ht="15.5">
      <c r="B32" s="2" t="str">
        <v>Newcastle Western Corridor</v>
      </c>
      <c r="C32" s="35" t="str" cm="1">
        <f t="array" ref="C32">INDEX(augex_categories,COUNTIFS($B$20:$B32,$B$20))</f>
        <v>LV Distribution Centre Capacity</v>
      </c>
      <c r="D32" s="35" t="str">
        <f>IF(COUNTIF('LV &amp; HV augex'!$C$10:$C$13,C32), "LV", IF(COUNTIF('LV &amp; HV augex'!$C$15:$C$17, C32), "HV", "Error"))</f>
        <v>LV</v>
      </c>
      <c r="E32" s="35" t="str">
        <f>INDEX('Growing &amp; falling'!$D$14:$D$39,MATCH($B32,'Growing &amp; falling'!$B$14:$B$39,0))</f>
        <v>Decline</v>
      </c>
      <c r="F32" s="35" t="str">
        <f t="shared" si="4"/>
        <v>$2024 real</v>
      </c>
      <c r="G32" s="40">
        <f>IFERROR(INDEX('LV &amp; HV augex'!$D$10:$P$18,MATCH($C32,'LV &amp; HV augex'!$C$10:$C$18,0),MATCH(G$19,'LV &amp; HV augex'!$D$9:$P$9,0))*INDEX('LV &amp; HV augex'!$D$28:$J$52,MATCH($B32,'LV &amp; HV augex'!$L$28:$L$52,0),MATCH($C32,'LV &amp; HV augex'!$D$27:$J$27,0)),0)*'Financial inputs'!$D$11</f>
        <v>45634.191822365894</v>
      </c>
      <c r="H32" s="40">
        <f>IFERROR(INDEX('LV &amp; HV augex'!$D$10:$P$18,MATCH($C32,'LV &amp; HV augex'!$C$10:$C$18,0),MATCH(H$19,'LV &amp; HV augex'!$D$9:$P$9,0))*INDEX('LV &amp; HV augex'!$D$28:$J$52,MATCH($B32,'LV &amp; HV augex'!$L$28:$L$52,0),MATCH($C32,'LV &amp; HV augex'!$D$27:$J$27,0)),0)*'Financial inputs'!$D$11</f>
        <v>45634.191822365894</v>
      </c>
      <c r="I32" s="40">
        <f>IFERROR(INDEX('LV &amp; HV augex'!$D$10:$P$18,MATCH($C32,'LV &amp; HV augex'!$C$10:$C$18,0),MATCH(I$19,'LV &amp; HV augex'!$D$9:$P$9,0))*INDEX('LV &amp; HV augex'!$D$28:$J$52,MATCH($B32,'LV &amp; HV augex'!$L$28:$L$52,0),MATCH($C32,'LV &amp; HV augex'!$D$27:$J$27,0)),0)*'Financial inputs'!$D$11</f>
        <v>45634.191822365894</v>
      </c>
      <c r="J32" s="40">
        <f>IFERROR(INDEX('LV &amp; HV augex'!$D$10:$P$18,MATCH($C32,'LV &amp; HV augex'!$C$10:$C$18,0),MATCH(J$19,'LV &amp; HV augex'!$D$9:$P$9,0))*INDEX('LV &amp; HV augex'!$D$28:$J$52,MATCH($B32,'LV &amp; HV augex'!$L$28:$L$52,0),MATCH($C32,'LV &amp; HV augex'!$D$27:$J$27,0)),0)*'Financial inputs'!$D$11</f>
        <v>45634.191822365894</v>
      </c>
      <c r="K32" s="40">
        <f>IFERROR(INDEX('LV &amp; HV augex'!$D$10:$P$18,MATCH($C32,'LV &amp; HV augex'!$C$10:$C$18,0),MATCH(K$19,'LV &amp; HV augex'!$D$9:$P$9,0))*INDEX('LV &amp; HV augex'!$D$28:$J$52,MATCH($B32,'LV &amp; HV augex'!$L$28:$L$52,0),MATCH($C32,'LV &amp; HV augex'!$D$27:$J$27,0)),0)*'Financial inputs'!$D$11</f>
        <v>45634.191822365894</v>
      </c>
      <c r="L32" s="40">
        <f>IFERROR(INDEX('LV &amp; HV augex'!$D$10:$P$18,MATCH($C32,'LV &amp; HV augex'!$C$10:$C$18,0),MATCH(L$19,'LV &amp; HV augex'!$D$9:$P$9,0))*INDEX('LV &amp; HV augex'!$D$28:$J$52,MATCH($B32,'LV &amp; HV augex'!$L$28:$L$52,0),MATCH($C32,'LV &amp; HV augex'!$D$27:$J$27,0)),0)*'Financial inputs'!$D$11</f>
        <v>45634.191822365894</v>
      </c>
      <c r="M32" s="40">
        <f>IFERROR(INDEX('LV &amp; HV augex'!$D$10:$P$18,MATCH($C32,'LV &amp; HV augex'!$C$10:$C$18,0),MATCH(M$19,'LV &amp; HV augex'!$D$9:$P$9,0))*INDEX('LV &amp; HV augex'!$D$28:$J$52,MATCH($B32,'LV &amp; HV augex'!$L$28:$L$52,0),MATCH($C32,'LV &amp; HV augex'!$D$27:$J$27,0)),0)*'Financial inputs'!$D$11</f>
        <v>45634.191822365894</v>
      </c>
      <c r="N32" s="40">
        <f>IFERROR(INDEX('LV &amp; HV augex'!$D$10:$P$18,MATCH($C32,'LV &amp; HV augex'!$C$10:$C$18,0),MATCH(N$19,'LV &amp; HV augex'!$D$9:$P$9,0))*INDEX('LV &amp; HV augex'!$D$28:$J$52,MATCH($B32,'LV &amp; HV augex'!$L$28:$L$52,0),MATCH($C32,'LV &amp; HV augex'!$D$27:$J$27,0)),0)*'Financial inputs'!$D$11</f>
        <v>45634.191822365894</v>
      </c>
      <c r="O32" s="40">
        <f>IFERROR(INDEX('LV &amp; HV augex'!$D$10:$P$18,MATCH($C32,'LV &amp; HV augex'!$C$10:$C$18,0),MATCH(O$19,'LV &amp; HV augex'!$D$9:$P$9,0))*INDEX('LV &amp; HV augex'!$D$28:$J$52,MATCH($B32,'LV &amp; HV augex'!$L$28:$L$52,0),MATCH($C32,'LV &amp; HV augex'!$D$27:$J$27,0)),0)*'Financial inputs'!$D$11</f>
        <v>45634.191822365894</v>
      </c>
      <c r="P32" s="40">
        <f>IFERROR(INDEX('LV &amp; HV augex'!$D$10:$P$18,MATCH($C32,'LV &amp; HV augex'!$C$10:$C$18,0),MATCH(P$19,'LV &amp; HV augex'!$D$9:$P$9,0))*INDEX('LV &amp; HV augex'!$D$28:$J$52,MATCH($B32,'LV &amp; HV augex'!$L$28:$L$52,0),MATCH($C32,'LV &amp; HV augex'!$D$27:$J$27,0)),0)*'Financial inputs'!$D$11</f>
        <v>45634.191822365894</v>
      </c>
    </row>
    <row r="33" spans="1:16" ht="15.5">
      <c r="B33" s="2" t="str">
        <v>North East Lake Macquarie</v>
      </c>
      <c r="C33" s="35" t="str" cm="1">
        <f t="array" ref="C33">INDEX(augex_categories,COUNTIFS($B$20:$B33,$B$20))</f>
        <v>LV Distribution Centre Capacity</v>
      </c>
      <c r="D33" s="35" t="str">
        <f>IF(COUNTIF('LV &amp; HV augex'!$C$10:$C$13,C33), "LV", IF(COUNTIF('LV &amp; HV augex'!$C$15:$C$17, C33), "HV", "Error"))</f>
        <v>LV</v>
      </c>
      <c r="E33" s="35" t="str">
        <f>INDEX('Growing &amp; falling'!$D$14:$D$39,MATCH($B33,'Growing &amp; falling'!$B$14:$B$39,0))</f>
        <v>Decline</v>
      </c>
      <c r="F33" s="35" t="str">
        <f t="shared" si="4"/>
        <v>$2024 real</v>
      </c>
      <c r="G33" s="40">
        <f>IFERROR(INDEX('LV &amp; HV augex'!$D$10:$P$18,MATCH($C33,'LV &amp; HV augex'!$C$10:$C$18,0),MATCH(G$19,'LV &amp; HV augex'!$D$9:$P$9,0))*INDEX('LV &amp; HV augex'!$D$28:$J$52,MATCH($B33,'LV &amp; HV augex'!$L$28:$L$52,0),MATCH($C33,'LV &amp; HV augex'!$D$27:$J$27,0)),0)*'Financial inputs'!$D$11</f>
        <v>40163.969877364892</v>
      </c>
      <c r="H33" s="40">
        <f>IFERROR(INDEX('LV &amp; HV augex'!$D$10:$P$18,MATCH($C33,'LV &amp; HV augex'!$C$10:$C$18,0),MATCH(H$19,'LV &amp; HV augex'!$D$9:$P$9,0))*INDEX('LV &amp; HV augex'!$D$28:$J$52,MATCH($B33,'LV &amp; HV augex'!$L$28:$L$52,0),MATCH($C33,'LV &amp; HV augex'!$D$27:$J$27,0)),0)*'Financial inputs'!$D$11</f>
        <v>40163.969877364892</v>
      </c>
      <c r="I33" s="40">
        <f>IFERROR(INDEX('LV &amp; HV augex'!$D$10:$P$18,MATCH($C33,'LV &amp; HV augex'!$C$10:$C$18,0),MATCH(I$19,'LV &amp; HV augex'!$D$9:$P$9,0))*INDEX('LV &amp; HV augex'!$D$28:$J$52,MATCH($B33,'LV &amp; HV augex'!$L$28:$L$52,0),MATCH($C33,'LV &amp; HV augex'!$D$27:$J$27,0)),0)*'Financial inputs'!$D$11</f>
        <v>40163.969877364892</v>
      </c>
      <c r="J33" s="40">
        <f>IFERROR(INDEX('LV &amp; HV augex'!$D$10:$P$18,MATCH($C33,'LV &amp; HV augex'!$C$10:$C$18,0),MATCH(J$19,'LV &amp; HV augex'!$D$9:$P$9,0))*INDEX('LV &amp; HV augex'!$D$28:$J$52,MATCH($B33,'LV &amp; HV augex'!$L$28:$L$52,0),MATCH($C33,'LV &amp; HV augex'!$D$27:$J$27,0)),0)*'Financial inputs'!$D$11</f>
        <v>40163.969877364892</v>
      </c>
      <c r="K33" s="40">
        <f>IFERROR(INDEX('LV &amp; HV augex'!$D$10:$P$18,MATCH($C33,'LV &amp; HV augex'!$C$10:$C$18,0),MATCH(K$19,'LV &amp; HV augex'!$D$9:$P$9,0))*INDEX('LV &amp; HV augex'!$D$28:$J$52,MATCH($B33,'LV &amp; HV augex'!$L$28:$L$52,0),MATCH($C33,'LV &amp; HV augex'!$D$27:$J$27,0)),0)*'Financial inputs'!$D$11</f>
        <v>40163.969877364892</v>
      </c>
      <c r="L33" s="40">
        <f>IFERROR(INDEX('LV &amp; HV augex'!$D$10:$P$18,MATCH($C33,'LV &amp; HV augex'!$C$10:$C$18,0),MATCH(L$19,'LV &amp; HV augex'!$D$9:$P$9,0))*INDEX('LV &amp; HV augex'!$D$28:$J$52,MATCH($B33,'LV &amp; HV augex'!$L$28:$L$52,0),MATCH($C33,'LV &amp; HV augex'!$D$27:$J$27,0)),0)*'Financial inputs'!$D$11</f>
        <v>40163.969877364892</v>
      </c>
      <c r="M33" s="40">
        <f>IFERROR(INDEX('LV &amp; HV augex'!$D$10:$P$18,MATCH($C33,'LV &amp; HV augex'!$C$10:$C$18,0),MATCH(M$19,'LV &amp; HV augex'!$D$9:$P$9,0))*INDEX('LV &amp; HV augex'!$D$28:$J$52,MATCH($B33,'LV &amp; HV augex'!$L$28:$L$52,0),MATCH($C33,'LV &amp; HV augex'!$D$27:$J$27,0)),0)*'Financial inputs'!$D$11</f>
        <v>40163.969877364892</v>
      </c>
      <c r="N33" s="40">
        <f>IFERROR(INDEX('LV &amp; HV augex'!$D$10:$P$18,MATCH($C33,'LV &amp; HV augex'!$C$10:$C$18,0),MATCH(N$19,'LV &amp; HV augex'!$D$9:$P$9,0))*INDEX('LV &amp; HV augex'!$D$28:$J$52,MATCH($B33,'LV &amp; HV augex'!$L$28:$L$52,0),MATCH($C33,'LV &amp; HV augex'!$D$27:$J$27,0)),0)*'Financial inputs'!$D$11</f>
        <v>40163.969877364892</v>
      </c>
      <c r="O33" s="40">
        <f>IFERROR(INDEX('LV &amp; HV augex'!$D$10:$P$18,MATCH($C33,'LV &amp; HV augex'!$C$10:$C$18,0),MATCH(O$19,'LV &amp; HV augex'!$D$9:$P$9,0))*INDEX('LV &amp; HV augex'!$D$28:$J$52,MATCH($B33,'LV &amp; HV augex'!$L$28:$L$52,0),MATCH($C33,'LV &amp; HV augex'!$D$27:$J$27,0)),0)*'Financial inputs'!$D$11</f>
        <v>40163.969877364892</v>
      </c>
      <c r="P33" s="40">
        <f>IFERROR(INDEX('LV &amp; HV augex'!$D$10:$P$18,MATCH($C33,'LV &amp; HV augex'!$C$10:$C$18,0),MATCH(P$19,'LV &amp; HV augex'!$D$9:$P$9,0))*INDEX('LV &amp; HV augex'!$D$28:$J$52,MATCH($B33,'LV &amp; HV augex'!$L$28:$L$52,0),MATCH($C33,'LV &amp; HV augex'!$D$27:$J$27,0)),0)*'Financial inputs'!$D$11</f>
        <v>40163.969877364892</v>
      </c>
    </row>
    <row r="34" spans="1:16" customFormat="1" ht="15.5">
      <c r="A34" s="1"/>
      <c r="B34" s="2" t="str">
        <v>North West</v>
      </c>
      <c r="C34" s="35" t="str" cm="1">
        <f t="array" ref="C34">INDEX(augex_categories,COUNTIFS($B$20:$B34,$B$20))</f>
        <v>LV Distribution Centre Capacity</v>
      </c>
      <c r="D34" s="35" t="str">
        <f>IF(COUNTIF('LV &amp; HV augex'!$C$10:$C$13,C34), "LV", IF(COUNTIF('LV &amp; HV augex'!$C$15:$C$17, C34), "HV", "Error"))</f>
        <v>LV</v>
      </c>
      <c r="E34" s="35" t="str">
        <f>INDEX('Growing &amp; falling'!$D$14:$D$39,MATCH($B34,'Growing &amp; falling'!$B$14:$B$39,0))</f>
        <v>Growth</v>
      </c>
      <c r="F34" s="35" t="str">
        <f t="shared" si="4"/>
        <v>$2024 real</v>
      </c>
      <c r="G34" s="40">
        <f>IFERROR(INDEX('LV &amp; HV augex'!$D$10:$P$18,MATCH($C34,'LV &amp; HV augex'!$C$10:$C$18,0),MATCH(G$19,'LV &amp; HV augex'!$D$9:$P$9,0))*INDEX('LV &amp; HV augex'!$D$28:$J$52,MATCH($B34,'LV &amp; HV augex'!$L$28:$L$52,0),MATCH($C34,'LV &amp; HV augex'!$D$27:$J$27,0)),0)*'Financial inputs'!$D$11</f>
        <v>4607.5272348583694</v>
      </c>
      <c r="H34" s="40">
        <f>IFERROR(INDEX('LV &amp; HV augex'!$D$10:$P$18,MATCH($C34,'LV &amp; HV augex'!$C$10:$C$18,0),MATCH(H$19,'LV &amp; HV augex'!$D$9:$P$9,0))*INDEX('LV &amp; HV augex'!$D$28:$J$52,MATCH($B34,'LV &amp; HV augex'!$L$28:$L$52,0),MATCH($C34,'LV &amp; HV augex'!$D$27:$J$27,0)),0)*'Financial inputs'!$D$11</f>
        <v>4607.5272348583694</v>
      </c>
      <c r="I34" s="40">
        <f>IFERROR(INDEX('LV &amp; HV augex'!$D$10:$P$18,MATCH($C34,'LV &amp; HV augex'!$C$10:$C$18,0),MATCH(I$19,'LV &amp; HV augex'!$D$9:$P$9,0))*INDEX('LV &amp; HV augex'!$D$28:$J$52,MATCH($B34,'LV &amp; HV augex'!$L$28:$L$52,0),MATCH($C34,'LV &amp; HV augex'!$D$27:$J$27,0)),0)*'Financial inputs'!$D$11</f>
        <v>4607.5272348583694</v>
      </c>
      <c r="J34" s="40">
        <f>IFERROR(INDEX('LV &amp; HV augex'!$D$10:$P$18,MATCH($C34,'LV &amp; HV augex'!$C$10:$C$18,0),MATCH(J$19,'LV &amp; HV augex'!$D$9:$P$9,0))*INDEX('LV &amp; HV augex'!$D$28:$J$52,MATCH($B34,'LV &amp; HV augex'!$L$28:$L$52,0),MATCH($C34,'LV &amp; HV augex'!$D$27:$J$27,0)),0)*'Financial inputs'!$D$11</f>
        <v>4607.5272348583694</v>
      </c>
      <c r="K34" s="40">
        <f>IFERROR(INDEX('LV &amp; HV augex'!$D$10:$P$18,MATCH($C34,'LV &amp; HV augex'!$C$10:$C$18,0),MATCH(K$19,'LV &amp; HV augex'!$D$9:$P$9,0))*INDEX('LV &amp; HV augex'!$D$28:$J$52,MATCH($B34,'LV &amp; HV augex'!$L$28:$L$52,0),MATCH($C34,'LV &amp; HV augex'!$D$27:$J$27,0)),0)*'Financial inputs'!$D$11</f>
        <v>4607.5272348583694</v>
      </c>
      <c r="L34" s="40">
        <f>IFERROR(INDEX('LV &amp; HV augex'!$D$10:$P$18,MATCH($C34,'LV &amp; HV augex'!$C$10:$C$18,0),MATCH(L$19,'LV &amp; HV augex'!$D$9:$P$9,0))*INDEX('LV &amp; HV augex'!$D$28:$J$52,MATCH($B34,'LV &amp; HV augex'!$L$28:$L$52,0),MATCH($C34,'LV &amp; HV augex'!$D$27:$J$27,0)),0)*'Financial inputs'!$D$11</f>
        <v>4607.5272348583694</v>
      </c>
      <c r="M34" s="40">
        <f>IFERROR(INDEX('LV &amp; HV augex'!$D$10:$P$18,MATCH($C34,'LV &amp; HV augex'!$C$10:$C$18,0),MATCH(M$19,'LV &amp; HV augex'!$D$9:$P$9,0))*INDEX('LV &amp; HV augex'!$D$28:$J$52,MATCH($B34,'LV &amp; HV augex'!$L$28:$L$52,0),MATCH($C34,'LV &amp; HV augex'!$D$27:$J$27,0)),0)*'Financial inputs'!$D$11</f>
        <v>4607.5272348583694</v>
      </c>
      <c r="N34" s="40">
        <f>IFERROR(INDEX('LV &amp; HV augex'!$D$10:$P$18,MATCH($C34,'LV &amp; HV augex'!$C$10:$C$18,0),MATCH(N$19,'LV &amp; HV augex'!$D$9:$P$9,0))*INDEX('LV &amp; HV augex'!$D$28:$J$52,MATCH($B34,'LV &amp; HV augex'!$L$28:$L$52,0),MATCH($C34,'LV &amp; HV augex'!$D$27:$J$27,0)),0)*'Financial inputs'!$D$11</f>
        <v>4607.5272348583694</v>
      </c>
      <c r="O34" s="40">
        <f>IFERROR(INDEX('LV &amp; HV augex'!$D$10:$P$18,MATCH($C34,'LV &amp; HV augex'!$C$10:$C$18,0),MATCH(O$19,'LV &amp; HV augex'!$D$9:$P$9,0))*INDEX('LV &amp; HV augex'!$D$28:$J$52,MATCH($B34,'LV &amp; HV augex'!$L$28:$L$52,0),MATCH($C34,'LV &amp; HV augex'!$D$27:$J$27,0)),0)*'Financial inputs'!$D$11</f>
        <v>4607.5272348583694</v>
      </c>
      <c r="P34" s="40">
        <f>IFERROR(INDEX('LV &amp; HV augex'!$D$10:$P$18,MATCH($C34,'LV &amp; HV augex'!$C$10:$C$18,0),MATCH(P$19,'LV &amp; HV augex'!$D$9:$P$9,0))*INDEX('LV &amp; HV augex'!$D$28:$J$52,MATCH($B34,'LV &amp; HV augex'!$L$28:$L$52,0),MATCH($C34,'LV &amp; HV augex'!$D$27:$J$27,0)),0)*'Financial inputs'!$D$11</f>
        <v>4607.5272348583694</v>
      </c>
    </row>
    <row r="35" spans="1:16" customFormat="1" ht="15.5">
      <c r="A35" s="1"/>
      <c r="B35" s="2" t="str">
        <v>Pittwater &amp; Terrey Hills</v>
      </c>
      <c r="C35" s="35" t="str" cm="1">
        <f t="array" ref="C35">INDEX(augex_categories,COUNTIFS($B$20:$B35,$B$20))</f>
        <v>LV Distribution Centre Capacity</v>
      </c>
      <c r="D35" s="35" t="str">
        <f>IF(COUNTIF('LV &amp; HV augex'!$C$10:$C$13,C35), "LV", IF(COUNTIF('LV &amp; HV augex'!$C$15:$C$17, C35), "HV", "Error"))</f>
        <v>LV</v>
      </c>
      <c r="E35" s="35" t="str">
        <f>INDEX('Growing &amp; falling'!$D$14:$D$39,MATCH($B35,'Growing &amp; falling'!$B$14:$B$39,0))</f>
        <v>Decline</v>
      </c>
      <c r="F35" s="35" t="str">
        <f t="shared" si="4"/>
        <v>$2024 real</v>
      </c>
      <c r="G35" s="40">
        <f>IFERROR(INDEX('LV &amp; HV augex'!$D$10:$P$18,MATCH($C35,'LV &amp; HV augex'!$C$10:$C$18,0),MATCH(G$19,'LV &amp; HV augex'!$D$9:$P$9,0))*INDEX('LV &amp; HV augex'!$D$28:$J$52,MATCH($B35,'LV &amp; HV augex'!$L$28:$L$52,0),MATCH($C35,'LV &amp; HV augex'!$D$27:$J$27,0)),0)*'Financial inputs'!$D$11</f>
        <v>29041.327349403578</v>
      </c>
      <c r="H35" s="40">
        <f>IFERROR(INDEX('LV &amp; HV augex'!$D$10:$P$18,MATCH($C35,'LV &amp; HV augex'!$C$10:$C$18,0),MATCH(H$19,'LV &amp; HV augex'!$D$9:$P$9,0))*INDEX('LV &amp; HV augex'!$D$28:$J$52,MATCH($B35,'LV &amp; HV augex'!$L$28:$L$52,0),MATCH($C35,'LV &amp; HV augex'!$D$27:$J$27,0)),0)*'Financial inputs'!$D$11</f>
        <v>29041.327349403578</v>
      </c>
      <c r="I35" s="40">
        <f>IFERROR(INDEX('LV &amp; HV augex'!$D$10:$P$18,MATCH($C35,'LV &amp; HV augex'!$C$10:$C$18,0),MATCH(I$19,'LV &amp; HV augex'!$D$9:$P$9,0))*INDEX('LV &amp; HV augex'!$D$28:$J$52,MATCH($B35,'LV &amp; HV augex'!$L$28:$L$52,0),MATCH($C35,'LV &amp; HV augex'!$D$27:$J$27,0)),0)*'Financial inputs'!$D$11</f>
        <v>29041.327349403578</v>
      </c>
      <c r="J35" s="40">
        <f>IFERROR(INDEX('LV &amp; HV augex'!$D$10:$P$18,MATCH($C35,'LV &amp; HV augex'!$C$10:$C$18,0),MATCH(J$19,'LV &amp; HV augex'!$D$9:$P$9,0))*INDEX('LV &amp; HV augex'!$D$28:$J$52,MATCH($B35,'LV &amp; HV augex'!$L$28:$L$52,0),MATCH($C35,'LV &amp; HV augex'!$D$27:$J$27,0)),0)*'Financial inputs'!$D$11</f>
        <v>29041.327349403578</v>
      </c>
      <c r="K35" s="40">
        <f>IFERROR(INDEX('LV &amp; HV augex'!$D$10:$P$18,MATCH($C35,'LV &amp; HV augex'!$C$10:$C$18,0),MATCH(K$19,'LV &amp; HV augex'!$D$9:$P$9,0))*INDEX('LV &amp; HV augex'!$D$28:$J$52,MATCH($B35,'LV &amp; HV augex'!$L$28:$L$52,0),MATCH($C35,'LV &amp; HV augex'!$D$27:$J$27,0)),0)*'Financial inputs'!$D$11</f>
        <v>29041.327349403578</v>
      </c>
      <c r="L35" s="40">
        <f>IFERROR(INDEX('LV &amp; HV augex'!$D$10:$P$18,MATCH($C35,'LV &amp; HV augex'!$C$10:$C$18,0),MATCH(L$19,'LV &amp; HV augex'!$D$9:$P$9,0))*INDEX('LV &amp; HV augex'!$D$28:$J$52,MATCH($B35,'LV &amp; HV augex'!$L$28:$L$52,0),MATCH($C35,'LV &amp; HV augex'!$D$27:$J$27,0)),0)*'Financial inputs'!$D$11</f>
        <v>29041.327349403578</v>
      </c>
      <c r="M35" s="40">
        <f>IFERROR(INDEX('LV &amp; HV augex'!$D$10:$P$18,MATCH($C35,'LV &amp; HV augex'!$C$10:$C$18,0),MATCH(M$19,'LV &amp; HV augex'!$D$9:$P$9,0))*INDEX('LV &amp; HV augex'!$D$28:$J$52,MATCH($B35,'LV &amp; HV augex'!$L$28:$L$52,0),MATCH($C35,'LV &amp; HV augex'!$D$27:$J$27,0)),0)*'Financial inputs'!$D$11</f>
        <v>29041.327349403578</v>
      </c>
      <c r="N35" s="40">
        <f>IFERROR(INDEX('LV &amp; HV augex'!$D$10:$P$18,MATCH($C35,'LV &amp; HV augex'!$C$10:$C$18,0),MATCH(N$19,'LV &amp; HV augex'!$D$9:$P$9,0))*INDEX('LV &amp; HV augex'!$D$28:$J$52,MATCH($B35,'LV &amp; HV augex'!$L$28:$L$52,0),MATCH($C35,'LV &amp; HV augex'!$D$27:$J$27,0)),0)*'Financial inputs'!$D$11</f>
        <v>29041.327349403578</v>
      </c>
      <c r="O35" s="40">
        <f>IFERROR(INDEX('LV &amp; HV augex'!$D$10:$P$18,MATCH($C35,'LV &amp; HV augex'!$C$10:$C$18,0),MATCH(O$19,'LV &amp; HV augex'!$D$9:$P$9,0))*INDEX('LV &amp; HV augex'!$D$28:$J$52,MATCH($B35,'LV &amp; HV augex'!$L$28:$L$52,0),MATCH($C35,'LV &amp; HV augex'!$D$27:$J$27,0)),0)*'Financial inputs'!$D$11</f>
        <v>29041.327349403578</v>
      </c>
      <c r="P35" s="40">
        <f>IFERROR(INDEX('LV &amp; HV augex'!$D$10:$P$18,MATCH($C35,'LV &amp; HV augex'!$C$10:$C$18,0),MATCH(P$19,'LV &amp; HV augex'!$D$9:$P$9,0))*INDEX('LV &amp; HV augex'!$D$28:$J$52,MATCH($B35,'LV &amp; HV augex'!$L$28:$L$52,0),MATCH($C35,'LV &amp; HV augex'!$D$27:$J$27,0)),0)*'Financial inputs'!$D$11</f>
        <v>29041.327349403578</v>
      </c>
    </row>
    <row r="36" spans="1:16" customFormat="1" ht="15.5">
      <c r="A36" s="1"/>
      <c r="B36" s="2" t="str">
        <v>Port Stephens</v>
      </c>
      <c r="C36" s="35" t="str" cm="1">
        <f t="array" ref="C36">INDEX(augex_categories,COUNTIFS($B$20:$B36,$B$20))</f>
        <v>LV Distribution Centre Capacity</v>
      </c>
      <c r="D36" s="35" t="str">
        <f>IF(COUNTIF('LV &amp; HV augex'!$C$10:$C$13,C36), "LV", IF(COUNTIF('LV &amp; HV augex'!$C$15:$C$17, C36), "HV", "Error"))</f>
        <v>LV</v>
      </c>
      <c r="E36" s="35" t="str">
        <f>INDEX('Growing &amp; falling'!$D$14:$D$39,MATCH($B36,'Growing &amp; falling'!$B$14:$B$39,0))</f>
        <v>Decline</v>
      </c>
      <c r="F36" s="35" t="str">
        <f t="shared" si="4"/>
        <v>$2024 real</v>
      </c>
      <c r="G36" s="40">
        <f>IFERROR(INDEX('LV &amp; HV augex'!$D$10:$P$18,MATCH($C36,'LV &amp; HV augex'!$C$10:$C$18,0),MATCH(G$19,'LV &amp; HV augex'!$D$9:$P$9,0))*INDEX('LV &amp; HV augex'!$D$28:$J$52,MATCH($B36,'LV &amp; HV augex'!$L$28:$L$52,0),MATCH($C36,'LV &amp; HV augex'!$D$27:$J$27,0)),0)*'Financial inputs'!$D$11</f>
        <v>41085.475324336563</v>
      </c>
      <c r="H36" s="40">
        <f>IFERROR(INDEX('LV &amp; HV augex'!$D$10:$P$18,MATCH($C36,'LV &amp; HV augex'!$C$10:$C$18,0),MATCH(H$19,'LV &amp; HV augex'!$D$9:$P$9,0))*INDEX('LV &amp; HV augex'!$D$28:$J$52,MATCH($B36,'LV &amp; HV augex'!$L$28:$L$52,0),MATCH($C36,'LV &amp; HV augex'!$D$27:$J$27,0)),0)*'Financial inputs'!$D$11</f>
        <v>41085.475324336563</v>
      </c>
      <c r="I36" s="40">
        <f>IFERROR(INDEX('LV &amp; HV augex'!$D$10:$P$18,MATCH($C36,'LV &amp; HV augex'!$C$10:$C$18,0),MATCH(I$19,'LV &amp; HV augex'!$D$9:$P$9,0))*INDEX('LV &amp; HV augex'!$D$28:$J$52,MATCH($B36,'LV &amp; HV augex'!$L$28:$L$52,0),MATCH($C36,'LV &amp; HV augex'!$D$27:$J$27,0)),0)*'Financial inputs'!$D$11</f>
        <v>41085.475324336563</v>
      </c>
      <c r="J36" s="40">
        <f>IFERROR(INDEX('LV &amp; HV augex'!$D$10:$P$18,MATCH($C36,'LV &amp; HV augex'!$C$10:$C$18,0),MATCH(J$19,'LV &amp; HV augex'!$D$9:$P$9,0))*INDEX('LV &amp; HV augex'!$D$28:$J$52,MATCH($B36,'LV &amp; HV augex'!$L$28:$L$52,0),MATCH($C36,'LV &amp; HV augex'!$D$27:$J$27,0)),0)*'Financial inputs'!$D$11</f>
        <v>41085.475324336563</v>
      </c>
      <c r="K36" s="40">
        <f>IFERROR(INDEX('LV &amp; HV augex'!$D$10:$P$18,MATCH($C36,'LV &amp; HV augex'!$C$10:$C$18,0),MATCH(K$19,'LV &amp; HV augex'!$D$9:$P$9,0))*INDEX('LV &amp; HV augex'!$D$28:$J$52,MATCH($B36,'LV &amp; HV augex'!$L$28:$L$52,0),MATCH($C36,'LV &amp; HV augex'!$D$27:$J$27,0)),0)*'Financial inputs'!$D$11</f>
        <v>41085.475324336563</v>
      </c>
      <c r="L36" s="40">
        <f>IFERROR(INDEX('LV &amp; HV augex'!$D$10:$P$18,MATCH($C36,'LV &amp; HV augex'!$C$10:$C$18,0),MATCH(L$19,'LV &amp; HV augex'!$D$9:$P$9,0))*INDEX('LV &amp; HV augex'!$D$28:$J$52,MATCH($B36,'LV &amp; HV augex'!$L$28:$L$52,0),MATCH($C36,'LV &amp; HV augex'!$D$27:$J$27,0)),0)*'Financial inputs'!$D$11</f>
        <v>41085.475324336563</v>
      </c>
      <c r="M36" s="40">
        <f>IFERROR(INDEX('LV &amp; HV augex'!$D$10:$P$18,MATCH($C36,'LV &amp; HV augex'!$C$10:$C$18,0),MATCH(M$19,'LV &amp; HV augex'!$D$9:$P$9,0))*INDEX('LV &amp; HV augex'!$D$28:$J$52,MATCH($B36,'LV &amp; HV augex'!$L$28:$L$52,0),MATCH($C36,'LV &amp; HV augex'!$D$27:$J$27,0)),0)*'Financial inputs'!$D$11</f>
        <v>41085.475324336563</v>
      </c>
      <c r="N36" s="40">
        <f>IFERROR(INDEX('LV &amp; HV augex'!$D$10:$P$18,MATCH($C36,'LV &amp; HV augex'!$C$10:$C$18,0),MATCH(N$19,'LV &amp; HV augex'!$D$9:$P$9,0))*INDEX('LV &amp; HV augex'!$D$28:$J$52,MATCH($B36,'LV &amp; HV augex'!$L$28:$L$52,0),MATCH($C36,'LV &amp; HV augex'!$D$27:$J$27,0)),0)*'Financial inputs'!$D$11</f>
        <v>41085.475324336563</v>
      </c>
      <c r="O36" s="40">
        <f>IFERROR(INDEX('LV &amp; HV augex'!$D$10:$P$18,MATCH($C36,'LV &amp; HV augex'!$C$10:$C$18,0),MATCH(O$19,'LV &amp; HV augex'!$D$9:$P$9,0))*INDEX('LV &amp; HV augex'!$D$28:$J$52,MATCH($B36,'LV &amp; HV augex'!$L$28:$L$52,0),MATCH($C36,'LV &amp; HV augex'!$D$27:$J$27,0)),0)*'Financial inputs'!$D$11</f>
        <v>41085.475324336563</v>
      </c>
      <c r="P36" s="40">
        <f>IFERROR(INDEX('LV &amp; HV augex'!$D$10:$P$18,MATCH($C36,'LV &amp; HV augex'!$C$10:$C$18,0),MATCH(P$19,'LV &amp; HV augex'!$D$9:$P$9,0))*INDEX('LV &amp; HV augex'!$D$28:$J$52,MATCH($B36,'LV &amp; HV augex'!$L$28:$L$52,0),MATCH($C36,'LV &amp; HV augex'!$D$27:$J$27,0)),0)*'Financial inputs'!$D$11</f>
        <v>41085.475324336563</v>
      </c>
    </row>
    <row r="37" spans="1:16" customFormat="1" ht="15.5">
      <c r="A37" s="1"/>
      <c r="B37" s="2" t="str">
        <v>Singleton</v>
      </c>
      <c r="C37" s="35" t="str" cm="1">
        <f t="array" ref="C37">INDEX(augex_categories,COUNTIFS($B$20:$B37,$B$20))</f>
        <v>LV Distribution Centre Capacity</v>
      </c>
      <c r="D37" s="35" t="str">
        <f>IF(COUNTIF('LV &amp; HV augex'!$C$10:$C$13,C37), "LV", IF(COUNTIF('LV &amp; HV augex'!$C$15:$C$17, C37), "HV", "Error"))</f>
        <v>LV</v>
      </c>
      <c r="E37" s="35" t="str">
        <f>INDEX('Growing &amp; falling'!$D$14:$D$39,MATCH($B37,'Growing &amp; falling'!$B$14:$B$39,0))</f>
        <v>Decline</v>
      </c>
      <c r="F37" s="35" t="str">
        <f t="shared" si="4"/>
        <v>$2024 real</v>
      </c>
      <c r="G37" s="40">
        <f>IFERROR(INDEX('LV &amp; HV augex'!$D$10:$P$18,MATCH($C37,'LV &amp; HV augex'!$C$10:$C$18,0),MATCH(G$19,'LV &amp; HV augex'!$D$9:$P$9,0))*INDEX('LV &amp; HV augex'!$D$28:$J$52,MATCH($B37,'LV &amp; HV augex'!$L$28:$L$52,0),MATCH($C37,'LV &amp; HV augex'!$D$27:$J$27,0)),0)*'Financial inputs'!$D$11</f>
        <v>58819.588592968059</v>
      </c>
      <c r="H37" s="40">
        <f>IFERROR(INDEX('LV &amp; HV augex'!$D$10:$P$18,MATCH($C37,'LV &amp; HV augex'!$C$10:$C$18,0),MATCH(H$19,'LV &amp; HV augex'!$D$9:$P$9,0))*INDEX('LV &amp; HV augex'!$D$28:$J$52,MATCH($B37,'LV &amp; HV augex'!$L$28:$L$52,0),MATCH($C37,'LV &amp; HV augex'!$D$27:$J$27,0)),0)*'Financial inputs'!$D$11</f>
        <v>58819.588592968059</v>
      </c>
      <c r="I37" s="40">
        <f>IFERROR(INDEX('LV &amp; HV augex'!$D$10:$P$18,MATCH($C37,'LV &amp; HV augex'!$C$10:$C$18,0),MATCH(I$19,'LV &amp; HV augex'!$D$9:$P$9,0))*INDEX('LV &amp; HV augex'!$D$28:$J$52,MATCH($B37,'LV &amp; HV augex'!$L$28:$L$52,0),MATCH($C37,'LV &amp; HV augex'!$D$27:$J$27,0)),0)*'Financial inputs'!$D$11</f>
        <v>58819.588592968059</v>
      </c>
      <c r="J37" s="40">
        <f>IFERROR(INDEX('LV &amp; HV augex'!$D$10:$P$18,MATCH($C37,'LV &amp; HV augex'!$C$10:$C$18,0),MATCH(J$19,'LV &amp; HV augex'!$D$9:$P$9,0))*INDEX('LV &amp; HV augex'!$D$28:$J$52,MATCH($B37,'LV &amp; HV augex'!$L$28:$L$52,0),MATCH($C37,'LV &amp; HV augex'!$D$27:$J$27,0)),0)*'Financial inputs'!$D$11</f>
        <v>58819.588592968059</v>
      </c>
      <c r="K37" s="40">
        <f>IFERROR(INDEX('LV &amp; HV augex'!$D$10:$P$18,MATCH($C37,'LV &amp; HV augex'!$C$10:$C$18,0),MATCH(K$19,'LV &amp; HV augex'!$D$9:$P$9,0))*INDEX('LV &amp; HV augex'!$D$28:$J$52,MATCH($B37,'LV &amp; HV augex'!$L$28:$L$52,0),MATCH($C37,'LV &amp; HV augex'!$D$27:$J$27,0)),0)*'Financial inputs'!$D$11</f>
        <v>58819.588592968059</v>
      </c>
      <c r="L37" s="40">
        <f>IFERROR(INDEX('LV &amp; HV augex'!$D$10:$P$18,MATCH($C37,'LV &amp; HV augex'!$C$10:$C$18,0),MATCH(L$19,'LV &amp; HV augex'!$D$9:$P$9,0))*INDEX('LV &amp; HV augex'!$D$28:$J$52,MATCH($B37,'LV &amp; HV augex'!$L$28:$L$52,0),MATCH($C37,'LV &amp; HV augex'!$D$27:$J$27,0)),0)*'Financial inputs'!$D$11</f>
        <v>58819.588592968059</v>
      </c>
      <c r="M37" s="40">
        <f>IFERROR(INDEX('LV &amp; HV augex'!$D$10:$P$18,MATCH($C37,'LV &amp; HV augex'!$C$10:$C$18,0),MATCH(M$19,'LV &amp; HV augex'!$D$9:$P$9,0))*INDEX('LV &amp; HV augex'!$D$28:$J$52,MATCH($B37,'LV &amp; HV augex'!$L$28:$L$52,0),MATCH($C37,'LV &amp; HV augex'!$D$27:$J$27,0)),0)*'Financial inputs'!$D$11</f>
        <v>58819.588592968059</v>
      </c>
      <c r="N37" s="40">
        <f>IFERROR(INDEX('LV &amp; HV augex'!$D$10:$P$18,MATCH($C37,'LV &amp; HV augex'!$C$10:$C$18,0),MATCH(N$19,'LV &amp; HV augex'!$D$9:$P$9,0))*INDEX('LV &amp; HV augex'!$D$28:$J$52,MATCH($B37,'LV &amp; HV augex'!$L$28:$L$52,0),MATCH($C37,'LV &amp; HV augex'!$D$27:$J$27,0)),0)*'Financial inputs'!$D$11</f>
        <v>58819.588592968059</v>
      </c>
      <c r="O37" s="40">
        <f>IFERROR(INDEX('LV &amp; HV augex'!$D$10:$P$18,MATCH($C37,'LV &amp; HV augex'!$C$10:$C$18,0),MATCH(O$19,'LV &amp; HV augex'!$D$9:$P$9,0))*INDEX('LV &amp; HV augex'!$D$28:$J$52,MATCH($B37,'LV &amp; HV augex'!$L$28:$L$52,0),MATCH($C37,'LV &amp; HV augex'!$D$27:$J$27,0)),0)*'Financial inputs'!$D$11</f>
        <v>58819.588592968059</v>
      </c>
      <c r="P37" s="40">
        <f>IFERROR(INDEX('LV &amp; HV augex'!$D$10:$P$18,MATCH($C37,'LV &amp; HV augex'!$C$10:$C$18,0),MATCH(P$19,'LV &amp; HV augex'!$D$9:$P$9,0))*INDEX('LV &amp; HV augex'!$D$28:$J$52,MATCH($B37,'LV &amp; HV augex'!$L$28:$L$52,0),MATCH($C37,'LV &amp; HV augex'!$D$27:$J$27,0)),0)*'Financial inputs'!$D$11</f>
        <v>58819.588592968059</v>
      </c>
    </row>
    <row r="38" spans="1:16" customFormat="1" ht="15.5">
      <c r="A38" s="1"/>
      <c r="B38" s="2" t="str">
        <v>St George</v>
      </c>
      <c r="C38" s="35" t="str" cm="1">
        <f t="array" ref="C38">INDEX(augex_categories,COUNTIFS($B$20:$B38,$B$20))</f>
        <v>LV Distribution Centre Capacity</v>
      </c>
      <c r="D38" s="35" t="str">
        <f>IF(COUNTIF('LV &amp; HV augex'!$C$10:$C$13,C38), "LV", IF(COUNTIF('LV &amp; HV augex'!$C$15:$C$17, C38), "HV", "Error"))</f>
        <v>LV</v>
      </c>
      <c r="E38" s="35" t="str">
        <f>INDEX('Growing &amp; falling'!$D$14:$D$39,MATCH($B38,'Growing &amp; falling'!$B$14:$B$39,0))</f>
        <v>Decline</v>
      </c>
      <c r="F38" s="35" t="str">
        <f t="shared" si="4"/>
        <v>$2024 real</v>
      </c>
      <c r="G38" s="40">
        <f>IFERROR(INDEX('LV &amp; HV augex'!$D$10:$P$18,MATCH($C38,'LV &amp; HV augex'!$C$10:$C$18,0),MATCH(G$19,'LV &amp; HV augex'!$D$9:$P$9,0))*INDEX('LV &amp; HV augex'!$D$28:$J$52,MATCH($B38,'LV &amp; HV augex'!$L$28:$L$52,0),MATCH($C38,'LV &amp; HV augex'!$D$27:$J$27,0)),0)*'Financial inputs'!$D$11</f>
        <v>39928.780838983141</v>
      </c>
      <c r="H38" s="40">
        <f>IFERROR(INDEX('LV &amp; HV augex'!$D$10:$P$18,MATCH($C38,'LV &amp; HV augex'!$C$10:$C$18,0),MATCH(H$19,'LV &amp; HV augex'!$D$9:$P$9,0))*INDEX('LV &amp; HV augex'!$D$28:$J$52,MATCH($B38,'LV &amp; HV augex'!$L$28:$L$52,0),MATCH($C38,'LV &amp; HV augex'!$D$27:$J$27,0)),0)*'Financial inputs'!$D$11</f>
        <v>39928.780838983141</v>
      </c>
      <c r="I38" s="40">
        <f>IFERROR(INDEX('LV &amp; HV augex'!$D$10:$P$18,MATCH($C38,'LV &amp; HV augex'!$C$10:$C$18,0),MATCH(I$19,'LV &amp; HV augex'!$D$9:$P$9,0))*INDEX('LV &amp; HV augex'!$D$28:$J$52,MATCH($B38,'LV &amp; HV augex'!$L$28:$L$52,0),MATCH($C38,'LV &amp; HV augex'!$D$27:$J$27,0)),0)*'Financial inputs'!$D$11</f>
        <v>39928.780838983141</v>
      </c>
      <c r="J38" s="40">
        <f>IFERROR(INDEX('LV &amp; HV augex'!$D$10:$P$18,MATCH($C38,'LV &amp; HV augex'!$C$10:$C$18,0),MATCH(J$19,'LV &amp; HV augex'!$D$9:$P$9,0))*INDEX('LV &amp; HV augex'!$D$28:$J$52,MATCH($B38,'LV &amp; HV augex'!$L$28:$L$52,0),MATCH($C38,'LV &amp; HV augex'!$D$27:$J$27,0)),0)*'Financial inputs'!$D$11</f>
        <v>39928.780838983141</v>
      </c>
      <c r="K38" s="40">
        <f>IFERROR(INDEX('LV &amp; HV augex'!$D$10:$P$18,MATCH($C38,'LV &amp; HV augex'!$C$10:$C$18,0),MATCH(K$19,'LV &amp; HV augex'!$D$9:$P$9,0))*INDEX('LV &amp; HV augex'!$D$28:$J$52,MATCH($B38,'LV &amp; HV augex'!$L$28:$L$52,0),MATCH($C38,'LV &amp; HV augex'!$D$27:$J$27,0)),0)*'Financial inputs'!$D$11</f>
        <v>39928.780838983141</v>
      </c>
      <c r="L38" s="40">
        <f>IFERROR(INDEX('LV &amp; HV augex'!$D$10:$P$18,MATCH($C38,'LV &amp; HV augex'!$C$10:$C$18,0),MATCH(L$19,'LV &amp; HV augex'!$D$9:$P$9,0))*INDEX('LV &amp; HV augex'!$D$28:$J$52,MATCH($B38,'LV &amp; HV augex'!$L$28:$L$52,0),MATCH($C38,'LV &amp; HV augex'!$D$27:$J$27,0)),0)*'Financial inputs'!$D$11</f>
        <v>39928.780838983141</v>
      </c>
      <c r="M38" s="40">
        <f>IFERROR(INDEX('LV &amp; HV augex'!$D$10:$P$18,MATCH($C38,'LV &amp; HV augex'!$C$10:$C$18,0),MATCH(M$19,'LV &amp; HV augex'!$D$9:$P$9,0))*INDEX('LV &amp; HV augex'!$D$28:$J$52,MATCH($B38,'LV &amp; HV augex'!$L$28:$L$52,0),MATCH($C38,'LV &amp; HV augex'!$D$27:$J$27,0)),0)*'Financial inputs'!$D$11</f>
        <v>39928.780838983141</v>
      </c>
      <c r="N38" s="40">
        <f>IFERROR(INDEX('LV &amp; HV augex'!$D$10:$P$18,MATCH($C38,'LV &amp; HV augex'!$C$10:$C$18,0),MATCH(N$19,'LV &amp; HV augex'!$D$9:$P$9,0))*INDEX('LV &amp; HV augex'!$D$28:$J$52,MATCH($B38,'LV &amp; HV augex'!$L$28:$L$52,0),MATCH($C38,'LV &amp; HV augex'!$D$27:$J$27,0)),0)*'Financial inputs'!$D$11</f>
        <v>39928.780838983141</v>
      </c>
      <c r="O38" s="40">
        <f>IFERROR(INDEX('LV &amp; HV augex'!$D$10:$P$18,MATCH($C38,'LV &amp; HV augex'!$C$10:$C$18,0),MATCH(O$19,'LV &amp; HV augex'!$D$9:$P$9,0))*INDEX('LV &amp; HV augex'!$D$28:$J$52,MATCH($B38,'LV &amp; HV augex'!$L$28:$L$52,0),MATCH($C38,'LV &amp; HV augex'!$D$27:$J$27,0)),0)*'Financial inputs'!$D$11</f>
        <v>39928.780838983141</v>
      </c>
      <c r="P38" s="40">
        <f>IFERROR(INDEX('LV &amp; HV augex'!$D$10:$P$18,MATCH($C38,'LV &amp; HV augex'!$C$10:$C$18,0),MATCH(P$19,'LV &amp; HV augex'!$D$9:$P$9,0))*INDEX('LV &amp; HV augex'!$D$28:$J$52,MATCH($B38,'LV &amp; HV augex'!$L$28:$L$52,0),MATCH($C38,'LV &amp; HV augex'!$D$27:$J$27,0)),0)*'Financial inputs'!$D$11</f>
        <v>39928.780838983141</v>
      </c>
    </row>
    <row r="39" spans="1:16" customFormat="1" ht="15.5">
      <c r="A39" s="1"/>
      <c r="B39" s="2" t="str">
        <v>Sutherland</v>
      </c>
      <c r="C39" s="35" t="str" cm="1">
        <f t="array" ref="C39">INDEX(augex_categories,COUNTIFS($B$20:$B39,$B$20))</f>
        <v>LV Distribution Centre Capacity</v>
      </c>
      <c r="D39" s="35" t="str">
        <f>IF(COUNTIF('LV &amp; HV augex'!$C$10:$C$13,C39), "LV", IF(COUNTIF('LV &amp; HV augex'!$C$15:$C$17, C39), "HV", "Error"))</f>
        <v>LV</v>
      </c>
      <c r="E39" s="35" t="str">
        <f>INDEX('Growing &amp; falling'!$D$14:$D$39,MATCH($B39,'Growing &amp; falling'!$B$14:$B$39,0))</f>
        <v>Decline</v>
      </c>
      <c r="F39" s="35" t="str">
        <f t="shared" si="4"/>
        <v>$2024 real</v>
      </c>
      <c r="G39" s="40">
        <f>IFERROR(INDEX('LV &amp; HV augex'!$D$10:$P$18,MATCH($C39,'LV &amp; HV augex'!$C$10:$C$18,0),MATCH(G$19,'LV &amp; HV augex'!$D$9:$P$9,0))*INDEX('LV &amp; HV augex'!$D$28:$J$52,MATCH($B39,'LV &amp; HV augex'!$L$28:$L$52,0),MATCH($C39,'LV &amp; HV augex'!$D$27:$J$27,0)),0)*'Financial inputs'!$D$11</f>
        <v>57128.65491755971</v>
      </c>
      <c r="H39" s="40">
        <f>IFERROR(INDEX('LV &amp; HV augex'!$D$10:$P$18,MATCH($C39,'LV &amp; HV augex'!$C$10:$C$18,0),MATCH(H$19,'LV &amp; HV augex'!$D$9:$P$9,0))*INDEX('LV &amp; HV augex'!$D$28:$J$52,MATCH($B39,'LV &amp; HV augex'!$L$28:$L$52,0),MATCH($C39,'LV &amp; HV augex'!$D$27:$J$27,0)),0)*'Financial inputs'!$D$11</f>
        <v>57128.65491755971</v>
      </c>
      <c r="I39" s="40">
        <f>IFERROR(INDEX('LV &amp; HV augex'!$D$10:$P$18,MATCH($C39,'LV &amp; HV augex'!$C$10:$C$18,0),MATCH(I$19,'LV &amp; HV augex'!$D$9:$P$9,0))*INDEX('LV &amp; HV augex'!$D$28:$J$52,MATCH($B39,'LV &amp; HV augex'!$L$28:$L$52,0),MATCH($C39,'LV &amp; HV augex'!$D$27:$J$27,0)),0)*'Financial inputs'!$D$11</f>
        <v>57128.65491755971</v>
      </c>
      <c r="J39" s="40">
        <f>IFERROR(INDEX('LV &amp; HV augex'!$D$10:$P$18,MATCH($C39,'LV &amp; HV augex'!$C$10:$C$18,0),MATCH(J$19,'LV &amp; HV augex'!$D$9:$P$9,0))*INDEX('LV &amp; HV augex'!$D$28:$J$52,MATCH($B39,'LV &amp; HV augex'!$L$28:$L$52,0),MATCH($C39,'LV &amp; HV augex'!$D$27:$J$27,0)),0)*'Financial inputs'!$D$11</f>
        <v>57128.65491755971</v>
      </c>
      <c r="K39" s="40">
        <f>IFERROR(INDEX('LV &amp; HV augex'!$D$10:$P$18,MATCH($C39,'LV &amp; HV augex'!$C$10:$C$18,0),MATCH(K$19,'LV &amp; HV augex'!$D$9:$P$9,0))*INDEX('LV &amp; HV augex'!$D$28:$J$52,MATCH($B39,'LV &amp; HV augex'!$L$28:$L$52,0),MATCH($C39,'LV &amp; HV augex'!$D$27:$J$27,0)),0)*'Financial inputs'!$D$11</f>
        <v>57128.65491755971</v>
      </c>
      <c r="L39" s="40">
        <f>IFERROR(INDEX('LV &amp; HV augex'!$D$10:$P$18,MATCH($C39,'LV &amp; HV augex'!$C$10:$C$18,0),MATCH(L$19,'LV &amp; HV augex'!$D$9:$P$9,0))*INDEX('LV &amp; HV augex'!$D$28:$J$52,MATCH($B39,'LV &amp; HV augex'!$L$28:$L$52,0),MATCH($C39,'LV &amp; HV augex'!$D$27:$J$27,0)),0)*'Financial inputs'!$D$11</f>
        <v>57128.65491755971</v>
      </c>
      <c r="M39" s="40">
        <f>IFERROR(INDEX('LV &amp; HV augex'!$D$10:$P$18,MATCH($C39,'LV &amp; HV augex'!$C$10:$C$18,0),MATCH(M$19,'LV &amp; HV augex'!$D$9:$P$9,0))*INDEX('LV &amp; HV augex'!$D$28:$J$52,MATCH($B39,'LV &amp; HV augex'!$L$28:$L$52,0),MATCH($C39,'LV &amp; HV augex'!$D$27:$J$27,0)),0)*'Financial inputs'!$D$11</f>
        <v>57128.65491755971</v>
      </c>
      <c r="N39" s="40">
        <f>IFERROR(INDEX('LV &amp; HV augex'!$D$10:$P$18,MATCH($C39,'LV &amp; HV augex'!$C$10:$C$18,0),MATCH(N$19,'LV &amp; HV augex'!$D$9:$P$9,0))*INDEX('LV &amp; HV augex'!$D$28:$J$52,MATCH($B39,'LV &amp; HV augex'!$L$28:$L$52,0),MATCH($C39,'LV &amp; HV augex'!$D$27:$J$27,0)),0)*'Financial inputs'!$D$11</f>
        <v>57128.65491755971</v>
      </c>
      <c r="O39" s="40">
        <f>IFERROR(INDEX('LV &amp; HV augex'!$D$10:$P$18,MATCH($C39,'LV &amp; HV augex'!$C$10:$C$18,0),MATCH(O$19,'LV &amp; HV augex'!$D$9:$P$9,0))*INDEX('LV &amp; HV augex'!$D$28:$J$52,MATCH($B39,'LV &amp; HV augex'!$L$28:$L$52,0),MATCH($C39,'LV &amp; HV augex'!$D$27:$J$27,0)),0)*'Financial inputs'!$D$11</f>
        <v>57128.65491755971</v>
      </c>
      <c r="P39" s="40">
        <f>IFERROR(INDEX('LV &amp; HV augex'!$D$10:$P$18,MATCH($C39,'LV &amp; HV augex'!$C$10:$C$18,0),MATCH(P$19,'LV &amp; HV augex'!$D$9:$P$9,0))*INDEX('LV &amp; HV augex'!$D$28:$J$52,MATCH($B39,'LV &amp; HV augex'!$L$28:$L$52,0),MATCH($C39,'LV &amp; HV augex'!$D$27:$J$27,0)),0)*'Financial inputs'!$D$11</f>
        <v>57128.65491755971</v>
      </c>
    </row>
    <row r="40" spans="1:16" customFormat="1" ht="15.5">
      <c r="A40" s="1"/>
      <c r="B40" s="2" t="str">
        <v>Sydney CBD</v>
      </c>
      <c r="C40" s="35" t="str" cm="1">
        <f t="array" ref="C40">INDEX(augex_categories,COUNTIFS($B$20:$B40,$B$20))</f>
        <v>LV Distribution Centre Capacity</v>
      </c>
      <c r="D40" s="35" t="str">
        <f>IF(COUNTIF('LV &amp; HV augex'!$C$10:$C$13,C40), "LV", IF(COUNTIF('LV &amp; HV augex'!$C$15:$C$17, C40), "HV", "Error"))</f>
        <v>LV</v>
      </c>
      <c r="E40" s="35" t="str">
        <f>INDEX('Growing &amp; falling'!$D$14:$D$39,MATCH($B40,'Growing &amp; falling'!$B$14:$B$39,0))</f>
        <v>Growth</v>
      </c>
      <c r="F40" s="35" t="str">
        <f t="shared" si="4"/>
        <v>$2024 real</v>
      </c>
      <c r="G40" s="40">
        <f>IFERROR(INDEX('LV &amp; HV augex'!$D$10:$P$18,MATCH($C40,'LV &amp; HV augex'!$C$10:$C$18,0),MATCH(G$19,'LV &amp; HV augex'!$D$9:$P$9,0))*INDEX('LV &amp; HV augex'!$D$28:$J$52,MATCH($B40,'LV &amp; HV augex'!$L$28:$L$52,0),MATCH($C40,'LV &amp; HV augex'!$D$27:$J$27,0)),0)*'Financial inputs'!$D$11</f>
        <v>31328.843799694878</v>
      </c>
      <c r="H40" s="40">
        <f>IFERROR(INDEX('LV &amp; HV augex'!$D$10:$P$18,MATCH($C40,'LV &amp; HV augex'!$C$10:$C$18,0),MATCH(H$19,'LV &amp; HV augex'!$D$9:$P$9,0))*INDEX('LV &amp; HV augex'!$D$28:$J$52,MATCH($B40,'LV &amp; HV augex'!$L$28:$L$52,0),MATCH($C40,'LV &amp; HV augex'!$D$27:$J$27,0)),0)*'Financial inputs'!$D$11</f>
        <v>31328.843799694878</v>
      </c>
      <c r="I40" s="40">
        <f>IFERROR(INDEX('LV &amp; HV augex'!$D$10:$P$18,MATCH($C40,'LV &amp; HV augex'!$C$10:$C$18,0),MATCH(I$19,'LV &amp; HV augex'!$D$9:$P$9,0))*INDEX('LV &amp; HV augex'!$D$28:$J$52,MATCH($B40,'LV &amp; HV augex'!$L$28:$L$52,0),MATCH($C40,'LV &amp; HV augex'!$D$27:$J$27,0)),0)*'Financial inputs'!$D$11</f>
        <v>31328.843799694878</v>
      </c>
      <c r="J40" s="40">
        <f>IFERROR(INDEX('LV &amp; HV augex'!$D$10:$P$18,MATCH($C40,'LV &amp; HV augex'!$C$10:$C$18,0),MATCH(J$19,'LV &amp; HV augex'!$D$9:$P$9,0))*INDEX('LV &amp; HV augex'!$D$28:$J$52,MATCH($B40,'LV &amp; HV augex'!$L$28:$L$52,0),MATCH($C40,'LV &amp; HV augex'!$D$27:$J$27,0)),0)*'Financial inputs'!$D$11</f>
        <v>31328.843799694878</v>
      </c>
      <c r="K40" s="40">
        <f>IFERROR(INDEX('LV &amp; HV augex'!$D$10:$P$18,MATCH($C40,'LV &amp; HV augex'!$C$10:$C$18,0),MATCH(K$19,'LV &amp; HV augex'!$D$9:$P$9,0))*INDEX('LV &amp; HV augex'!$D$28:$J$52,MATCH($B40,'LV &amp; HV augex'!$L$28:$L$52,0),MATCH($C40,'LV &amp; HV augex'!$D$27:$J$27,0)),0)*'Financial inputs'!$D$11</f>
        <v>31328.843799694878</v>
      </c>
      <c r="L40" s="40">
        <f>IFERROR(INDEX('LV &amp; HV augex'!$D$10:$P$18,MATCH($C40,'LV &amp; HV augex'!$C$10:$C$18,0),MATCH(L$19,'LV &amp; HV augex'!$D$9:$P$9,0))*INDEX('LV &amp; HV augex'!$D$28:$J$52,MATCH($B40,'LV &amp; HV augex'!$L$28:$L$52,0),MATCH($C40,'LV &amp; HV augex'!$D$27:$J$27,0)),0)*'Financial inputs'!$D$11</f>
        <v>31328.843799694878</v>
      </c>
      <c r="M40" s="40">
        <f>IFERROR(INDEX('LV &amp; HV augex'!$D$10:$P$18,MATCH($C40,'LV &amp; HV augex'!$C$10:$C$18,0),MATCH(M$19,'LV &amp; HV augex'!$D$9:$P$9,0))*INDEX('LV &amp; HV augex'!$D$28:$J$52,MATCH($B40,'LV &amp; HV augex'!$L$28:$L$52,0),MATCH($C40,'LV &amp; HV augex'!$D$27:$J$27,0)),0)*'Financial inputs'!$D$11</f>
        <v>31328.843799694878</v>
      </c>
      <c r="N40" s="40">
        <f>IFERROR(INDEX('LV &amp; HV augex'!$D$10:$P$18,MATCH($C40,'LV &amp; HV augex'!$C$10:$C$18,0),MATCH(N$19,'LV &amp; HV augex'!$D$9:$P$9,0))*INDEX('LV &amp; HV augex'!$D$28:$J$52,MATCH($B40,'LV &amp; HV augex'!$L$28:$L$52,0),MATCH($C40,'LV &amp; HV augex'!$D$27:$J$27,0)),0)*'Financial inputs'!$D$11</f>
        <v>31328.843799694878</v>
      </c>
      <c r="O40" s="40">
        <f>IFERROR(INDEX('LV &amp; HV augex'!$D$10:$P$18,MATCH($C40,'LV &amp; HV augex'!$C$10:$C$18,0),MATCH(O$19,'LV &amp; HV augex'!$D$9:$P$9,0))*INDEX('LV &amp; HV augex'!$D$28:$J$52,MATCH($B40,'LV &amp; HV augex'!$L$28:$L$52,0),MATCH($C40,'LV &amp; HV augex'!$D$27:$J$27,0)),0)*'Financial inputs'!$D$11</f>
        <v>31328.843799694878</v>
      </c>
      <c r="P40" s="40">
        <f>IFERROR(INDEX('LV &amp; HV augex'!$D$10:$P$18,MATCH($C40,'LV &amp; HV augex'!$C$10:$C$18,0),MATCH(P$19,'LV &amp; HV augex'!$D$9:$P$9,0))*INDEX('LV &amp; HV augex'!$D$28:$J$52,MATCH($B40,'LV &amp; HV augex'!$L$28:$L$52,0),MATCH($C40,'LV &amp; HV augex'!$D$27:$J$27,0)),0)*'Financial inputs'!$D$11</f>
        <v>31328.843799694878</v>
      </c>
    </row>
    <row r="41" spans="1:16" customFormat="1" ht="15.5">
      <c r="A41" s="1"/>
      <c r="B41" s="2" t="str">
        <v>Upper Central Coast</v>
      </c>
      <c r="C41" s="35" t="str" cm="1">
        <f t="array" ref="C41">INDEX(augex_categories,COUNTIFS($B$20:$B41,$B$20))</f>
        <v>LV Distribution Centre Capacity</v>
      </c>
      <c r="D41" s="35" t="str">
        <f>IF(COUNTIF('LV &amp; HV augex'!$C$10:$C$13,C41), "LV", IF(COUNTIF('LV &amp; HV augex'!$C$15:$C$17, C41), "HV", "Error"))</f>
        <v>LV</v>
      </c>
      <c r="E41" s="35" t="str">
        <f>INDEX('Growing &amp; falling'!$D$14:$D$39,MATCH($B41,'Growing &amp; falling'!$B$14:$B$39,0))</f>
        <v>Growth</v>
      </c>
      <c r="F41" s="35" t="str">
        <f t="shared" si="4"/>
        <v>$2024 real</v>
      </c>
      <c r="G41" s="40">
        <f>IFERROR(INDEX('LV &amp; HV augex'!$D$10:$P$18,MATCH($C41,'LV &amp; HV augex'!$C$10:$C$18,0),MATCH(G$19,'LV &amp; HV augex'!$D$9:$P$9,0))*INDEX('LV &amp; HV augex'!$D$28:$J$52,MATCH($B41,'LV &amp; HV augex'!$L$28:$L$52,0),MATCH($C41,'LV &amp; HV augex'!$D$27:$J$27,0)),0)*'Financial inputs'!$D$11</f>
        <v>86053.527616675725</v>
      </c>
      <c r="H41" s="40">
        <f>IFERROR(INDEX('LV &amp; HV augex'!$D$10:$P$18,MATCH($C41,'LV &amp; HV augex'!$C$10:$C$18,0),MATCH(H$19,'LV &amp; HV augex'!$D$9:$P$9,0))*INDEX('LV &amp; HV augex'!$D$28:$J$52,MATCH($B41,'LV &amp; HV augex'!$L$28:$L$52,0),MATCH($C41,'LV &amp; HV augex'!$D$27:$J$27,0)),0)*'Financial inputs'!$D$11</f>
        <v>86053.527616675725</v>
      </c>
      <c r="I41" s="40">
        <f>IFERROR(INDEX('LV &amp; HV augex'!$D$10:$P$18,MATCH($C41,'LV &amp; HV augex'!$C$10:$C$18,0),MATCH(I$19,'LV &amp; HV augex'!$D$9:$P$9,0))*INDEX('LV &amp; HV augex'!$D$28:$J$52,MATCH($B41,'LV &amp; HV augex'!$L$28:$L$52,0),MATCH($C41,'LV &amp; HV augex'!$D$27:$J$27,0)),0)*'Financial inputs'!$D$11</f>
        <v>86053.527616675725</v>
      </c>
      <c r="J41" s="40">
        <f>IFERROR(INDEX('LV &amp; HV augex'!$D$10:$P$18,MATCH($C41,'LV &amp; HV augex'!$C$10:$C$18,0),MATCH(J$19,'LV &amp; HV augex'!$D$9:$P$9,0))*INDEX('LV &amp; HV augex'!$D$28:$J$52,MATCH($B41,'LV &amp; HV augex'!$L$28:$L$52,0),MATCH($C41,'LV &amp; HV augex'!$D$27:$J$27,0)),0)*'Financial inputs'!$D$11</f>
        <v>86053.527616675725</v>
      </c>
      <c r="K41" s="40">
        <f>IFERROR(INDEX('LV &amp; HV augex'!$D$10:$P$18,MATCH($C41,'LV &amp; HV augex'!$C$10:$C$18,0),MATCH(K$19,'LV &amp; HV augex'!$D$9:$P$9,0))*INDEX('LV &amp; HV augex'!$D$28:$J$52,MATCH($B41,'LV &amp; HV augex'!$L$28:$L$52,0),MATCH($C41,'LV &amp; HV augex'!$D$27:$J$27,0)),0)*'Financial inputs'!$D$11</f>
        <v>86053.527616675725</v>
      </c>
      <c r="L41" s="40">
        <f>IFERROR(INDEX('LV &amp; HV augex'!$D$10:$P$18,MATCH($C41,'LV &amp; HV augex'!$C$10:$C$18,0),MATCH(L$19,'LV &amp; HV augex'!$D$9:$P$9,0))*INDEX('LV &amp; HV augex'!$D$28:$J$52,MATCH($B41,'LV &amp; HV augex'!$L$28:$L$52,0),MATCH($C41,'LV &amp; HV augex'!$D$27:$J$27,0)),0)*'Financial inputs'!$D$11</f>
        <v>86053.527616675725</v>
      </c>
      <c r="M41" s="40">
        <f>IFERROR(INDEX('LV &amp; HV augex'!$D$10:$P$18,MATCH($C41,'LV &amp; HV augex'!$C$10:$C$18,0),MATCH(M$19,'LV &amp; HV augex'!$D$9:$P$9,0))*INDEX('LV &amp; HV augex'!$D$28:$J$52,MATCH($B41,'LV &amp; HV augex'!$L$28:$L$52,0),MATCH($C41,'LV &amp; HV augex'!$D$27:$J$27,0)),0)*'Financial inputs'!$D$11</f>
        <v>86053.527616675725</v>
      </c>
      <c r="N41" s="40">
        <f>IFERROR(INDEX('LV &amp; HV augex'!$D$10:$P$18,MATCH($C41,'LV &amp; HV augex'!$C$10:$C$18,0),MATCH(N$19,'LV &amp; HV augex'!$D$9:$P$9,0))*INDEX('LV &amp; HV augex'!$D$28:$J$52,MATCH($B41,'LV &amp; HV augex'!$L$28:$L$52,0),MATCH($C41,'LV &amp; HV augex'!$D$27:$J$27,0)),0)*'Financial inputs'!$D$11</f>
        <v>86053.527616675725</v>
      </c>
      <c r="O41" s="40">
        <f>IFERROR(INDEX('LV &amp; HV augex'!$D$10:$P$18,MATCH($C41,'LV &amp; HV augex'!$C$10:$C$18,0),MATCH(O$19,'LV &amp; HV augex'!$D$9:$P$9,0))*INDEX('LV &amp; HV augex'!$D$28:$J$52,MATCH($B41,'LV &amp; HV augex'!$L$28:$L$52,0),MATCH($C41,'LV &amp; HV augex'!$D$27:$J$27,0)),0)*'Financial inputs'!$D$11</f>
        <v>86053.527616675725</v>
      </c>
      <c r="P41" s="40">
        <f>IFERROR(INDEX('LV &amp; HV augex'!$D$10:$P$18,MATCH($C41,'LV &amp; HV augex'!$C$10:$C$18,0),MATCH(P$19,'LV &amp; HV augex'!$D$9:$P$9,0))*INDEX('LV &amp; HV augex'!$D$28:$J$52,MATCH($B41,'LV &amp; HV augex'!$L$28:$L$52,0),MATCH($C41,'LV &amp; HV augex'!$D$27:$J$27,0)),0)*'Financial inputs'!$D$11</f>
        <v>86053.527616675725</v>
      </c>
    </row>
    <row r="42" spans="1:16" customFormat="1" ht="15.5">
      <c r="A42" s="1"/>
      <c r="B42" s="2" t="str">
        <v>Upper Hunter</v>
      </c>
      <c r="C42" s="35" t="str" cm="1">
        <f t="array" ref="C42">INDEX(augex_categories,COUNTIFS($B$20:$B42,$B$20))</f>
        <v>LV Distribution Centre Capacity</v>
      </c>
      <c r="D42" s="35" t="str">
        <f>IF(COUNTIF('LV &amp; HV augex'!$C$10:$C$13,C42), "LV", IF(COUNTIF('LV &amp; HV augex'!$C$15:$C$17, C42), "HV", "Error"))</f>
        <v>LV</v>
      </c>
      <c r="E42" s="35" t="str">
        <f>INDEX('Growing &amp; falling'!$D$14:$D$39,MATCH($B42,'Growing &amp; falling'!$B$14:$B$39,0))</f>
        <v>Decline</v>
      </c>
      <c r="F42" s="35" t="str">
        <f t="shared" si="4"/>
        <v>$2024 real</v>
      </c>
      <c r="G42" s="40">
        <f>IFERROR(INDEX('LV &amp; HV augex'!$D$10:$P$18,MATCH($C42,'LV &amp; HV augex'!$C$10:$C$18,0),MATCH(G$19,'LV &amp; HV augex'!$D$9:$P$9,0))*INDEX('LV &amp; HV augex'!$D$28:$J$52,MATCH($B42,'LV &amp; HV augex'!$L$28:$L$52,0),MATCH($C42,'LV &amp; HV augex'!$D$27:$J$27,0)),0)*'Financial inputs'!$D$11</f>
        <v>61554.699565468567</v>
      </c>
      <c r="H42" s="40">
        <f>IFERROR(INDEX('LV &amp; HV augex'!$D$10:$P$18,MATCH($C42,'LV &amp; HV augex'!$C$10:$C$18,0),MATCH(H$19,'LV &amp; HV augex'!$D$9:$P$9,0))*INDEX('LV &amp; HV augex'!$D$28:$J$52,MATCH($B42,'LV &amp; HV augex'!$L$28:$L$52,0),MATCH($C42,'LV &amp; HV augex'!$D$27:$J$27,0)),0)*'Financial inputs'!$D$11</f>
        <v>61554.699565468567</v>
      </c>
      <c r="I42" s="40">
        <f>IFERROR(INDEX('LV &amp; HV augex'!$D$10:$P$18,MATCH($C42,'LV &amp; HV augex'!$C$10:$C$18,0),MATCH(I$19,'LV &amp; HV augex'!$D$9:$P$9,0))*INDEX('LV &amp; HV augex'!$D$28:$J$52,MATCH($B42,'LV &amp; HV augex'!$L$28:$L$52,0),MATCH($C42,'LV &amp; HV augex'!$D$27:$J$27,0)),0)*'Financial inputs'!$D$11</f>
        <v>61554.699565468567</v>
      </c>
      <c r="J42" s="40">
        <f>IFERROR(INDEX('LV &amp; HV augex'!$D$10:$P$18,MATCH($C42,'LV &amp; HV augex'!$C$10:$C$18,0),MATCH(J$19,'LV &amp; HV augex'!$D$9:$P$9,0))*INDEX('LV &amp; HV augex'!$D$28:$J$52,MATCH($B42,'LV &amp; HV augex'!$L$28:$L$52,0),MATCH($C42,'LV &amp; HV augex'!$D$27:$J$27,0)),0)*'Financial inputs'!$D$11</f>
        <v>61554.699565468567</v>
      </c>
      <c r="K42" s="40">
        <f>IFERROR(INDEX('LV &amp; HV augex'!$D$10:$P$18,MATCH($C42,'LV &amp; HV augex'!$C$10:$C$18,0),MATCH(K$19,'LV &amp; HV augex'!$D$9:$P$9,0))*INDEX('LV &amp; HV augex'!$D$28:$J$52,MATCH($B42,'LV &amp; HV augex'!$L$28:$L$52,0),MATCH($C42,'LV &amp; HV augex'!$D$27:$J$27,0)),0)*'Financial inputs'!$D$11</f>
        <v>61554.699565468567</v>
      </c>
      <c r="L42" s="40">
        <f>IFERROR(INDEX('LV &amp; HV augex'!$D$10:$P$18,MATCH($C42,'LV &amp; HV augex'!$C$10:$C$18,0),MATCH(L$19,'LV &amp; HV augex'!$D$9:$P$9,0))*INDEX('LV &amp; HV augex'!$D$28:$J$52,MATCH($B42,'LV &amp; HV augex'!$L$28:$L$52,0),MATCH($C42,'LV &amp; HV augex'!$D$27:$J$27,0)),0)*'Financial inputs'!$D$11</f>
        <v>61554.699565468567</v>
      </c>
      <c r="M42" s="40">
        <f>IFERROR(INDEX('LV &amp; HV augex'!$D$10:$P$18,MATCH($C42,'LV &amp; HV augex'!$C$10:$C$18,0),MATCH(M$19,'LV &amp; HV augex'!$D$9:$P$9,0))*INDEX('LV &amp; HV augex'!$D$28:$J$52,MATCH($B42,'LV &amp; HV augex'!$L$28:$L$52,0),MATCH($C42,'LV &amp; HV augex'!$D$27:$J$27,0)),0)*'Financial inputs'!$D$11</f>
        <v>61554.699565468567</v>
      </c>
      <c r="N42" s="40">
        <f>IFERROR(INDEX('LV &amp; HV augex'!$D$10:$P$18,MATCH($C42,'LV &amp; HV augex'!$C$10:$C$18,0),MATCH(N$19,'LV &amp; HV augex'!$D$9:$P$9,0))*INDEX('LV &amp; HV augex'!$D$28:$J$52,MATCH($B42,'LV &amp; HV augex'!$L$28:$L$52,0),MATCH($C42,'LV &amp; HV augex'!$D$27:$J$27,0)),0)*'Financial inputs'!$D$11</f>
        <v>61554.699565468567</v>
      </c>
      <c r="O42" s="40">
        <f>IFERROR(INDEX('LV &amp; HV augex'!$D$10:$P$18,MATCH($C42,'LV &amp; HV augex'!$C$10:$C$18,0),MATCH(O$19,'LV &amp; HV augex'!$D$9:$P$9,0))*INDEX('LV &amp; HV augex'!$D$28:$J$52,MATCH($B42,'LV &amp; HV augex'!$L$28:$L$52,0),MATCH($C42,'LV &amp; HV augex'!$D$27:$J$27,0)),0)*'Financial inputs'!$D$11</f>
        <v>61554.699565468567</v>
      </c>
      <c r="P42" s="40">
        <f>IFERROR(INDEX('LV &amp; HV augex'!$D$10:$P$18,MATCH($C42,'LV &amp; HV augex'!$C$10:$C$18,0),MATCH(P$19,'LV &amp; HV augex'!$D$9:$P$9,0))*INDEX('LV &amp; HV augex'!$D$28:$J$52,MATCH($B42,'LV &amp; HV augex'!$L$28:$L$52,0),MATCH($C42,'LV &amp; HV augex'!$D$27:$J$27,0)),0)*'Financial inputs'!$D$11</f>
        <v>61554.699565468567</v>
      </c>
    </row>
    <row r="43" spans="1:16" customFormat="1" ht="15.5">
      <c r="A43" s="1"/>
      <c r="B43" s="2" t="str">
        <v>Upper North Shore</v>
      </c>
      <c r="C43" s="35" t="str" cm="1">
        <f t="array" ref="C43">INDEX(augex_categories,COUNTIFS($B$20:$B43,$B$20))</f>
        <v>LV Distribution Centre Capacity</v>
      </c>
      <c r="D43" s="35" t="str">
        <f>IF(COUNTIF('LV &amp; HV augex'!$C$10:$C$13,C43), "LV", IF(COUNTIF('LV &amp; HV augex'!$C$15:$C$17, C43), "HV", "Error"))</f>
        <v>LV</v>
      </c>
      <c r="E43" s="35" t="str">
        <f>INDEX('Growing &amp; falling'!$D$14:$D$39,MATCH($B43,'Growing &amp; falling'!$B$14:$B$39,0))</f>
        <v>Decline</v>
      </c>
      <c r="F43" s="35" t="str">
        <f t="shared" si="4"/>
        <v>$2024 real</v>
      </c>
      <c r="G43" s="40">
        <f>IFERROR(INDEX('LV &amp; HV augex'!$D$10:$P$18,MATCH($C43,'LV &amp; HV augex'!$C$10:$C$18,0),MATCH(G$19,'LV &amp; HV augex'!$D$9:$P$9,0))*INDEX('LV &amp; HV augex'!$D$28:$J$52,MATCH($B43,'LV &amp; HV augex'!$L$28:$L$52,0),MATCH($C43,'LV &amp; HV augex'!$D$27:$J$27,0)),0)*'Financial inputs'!$D$11</f>
        <v>4607.5272348583694</v>
      </c>
      <c r="H43" s="40">
        <f>IFERROR(INDEX('LV &amp; HV augex'!$D$10:$P$18,MATCH($C43,'LV &amp; HV augex'!$C$10:$C$18,0),MATCH(H$19,'LV &amp; HV augex'!$D$9:$P$9,0))*INDEX('LV &amp; HV augex'!$D$28:$J$52,MATCH($B43,'LV &amp; HV augex'!$L$28:$L$52,0),MATCH($C43,'LV &amp; HV augex'!$D$27:$J$27,0)),0)*'Financial inputs'!$D$11</f>
        <v>4607.5272348583694</v>
      </c>
      <c r="I43" s="40">
        <f>IFERROR(INDEX('LV &amp; HV augex'!$D$10:$P$18,MATCH($C43,'LV &amp; HV augex'!$C$10:$C$18,0),MATCH(I$19,'LV &amp; HV augex'!$D$9:$P$9,0))*INDEX('LV &amp; HV augex'!$D$28:$J$52,MATCH($B43,'LV &amp; HV augex'!$L$28:$L$52,0),MATCH($C43,'LV &amp; HV augex'!$D$27:$J$27,0)),0)*'Financial inputs'!$D$11</f>
        <v>4607.5272348583694</v>
      </c>
      <c r="J43" s="40">
        <f>IFERROR(INDEX('LV &amp; HV augex'!$D$10:$P$18,MATCH($C43,'LV &amp; HV augex'!$C$10:$C$18,0),MATCH(J$19,'LV &amp; HV augex'!$D$9:$P$9,0))*INDEX('LV &amp; HV augex'!$D$28:$J$52,MATCH($B43,'LV &amp; HV augex'!$L$28:$L$52,0),MATCH($C43,'LV &amp; HV augex'!$D$27:$J$27,0)),0)*'Financial inputs'!$D$11</f>
        <v>4607.5272348583694</v>
      </c>
      <c r="K43" s="40">
        <f>IFERROR(INDEX('LV &amp; HV augex'!$D$10:$P$18,MATCH($C43,'LV &amp; HV augex'!$C$10:$C$18,0),MATCH(K$19,'LV &amp; HV augex'!$D$9:$P$9,0))*INDEX('LV &amp; HV augex'!$D$28:$J$52,MATCH($B43,'LV &amp; HV augex'!$L$28:$L$52,0),MATCH($C43,'LV &amp; HV augex'!$D$27:$J$27,0)),0)*'Financial inputs'!$D$11</f>
        <v>4607.5272348583694</v>
      </c>
      <c r="L43" s="40">
        <f>IFERROR(INDEX('LV &amp; HV augex'!$D$10:$P$18,MATCH($C43,'LV &amp; HV augex'!$C$10:$C$18,0),MATCH(L$19,'LV &amp; HV augex'!$D$9:$P$9,0))*INDEX('LV &amp; HV augex'!$D$28:$J$52,MATCH($B43,'LV &amp; HV augex'!$L$28:$L$52,0),MATCH($C43,'LV &amp; HV augex'!$D$27:$J$27,0)),0)*'Financial inputs'!$D$11</f>
        <v>4607.5272348583694</v>
      </c>
      <c r="M43" s="40">
        <f>IFERROR(INDEX('LV &amp; HV augex'!$D$10:$P$18,MATCH($C43,'LV &amp; HV augex'!$C$10:$C$18,0),MATCH(M$19,'LV &amp; HV augex'!$D$9:$P$9,0))*INDEX('LV &amp; HV augex'!$D$28:$J$52,MATCH($B43,'LV &amp; HV augex'!$L$28:$L$52,0),MATCH($C43,'LV &amp; HV augex'!$D$27:$J$27,0)),0)*'Financial inputs'!$D$11</f>
        <v>4607.5272348583694</v>
      </c>
      <c r="N43" s="40">
        <f>IFERROR(INDEX('LV &amp; HV augex'!$D$10:$P$18,MATCH($C43,'LV &amp; HV augex'!$C$10:$C$18,0),MATCH(N$19,'LV &amp; HV augex'!$D$9:$P$9,0))*INDEX('LV &amp; HV augex'!$D$28:$J$52,MATCH($B43,'LV &amp; HV augex'!$L$28:$L$52,0),MATCH($C43,'LV &amp; HV augex'!$D$27:$J$27,0)),0)*'Financial inputs'!$D$11</f>
        <v>4607.5272348583694</v>
      </c>
      <c r="O43" s="40">
        <f>IFERROR(INDEX('LV &amp; HV augex'!$D$10:$P$18,MATCH($C43,'LV &amp; HV augex'!$C$10:$C$18,0),MATCH(O$19,'LV &amp; HV augex'!$D$9:$P$9,0))*INDEX('LV &amp; HV augex'!$D$28:$J$52,MATCH($B43,'LV &amp; HV augex'!$L$28:$L$52,0),MATCH($C43,'LV &amp; HV augex'!$D$27:$J$27,0)),0)*'Financial inputs'!$D$11</f>
        <v>4607.5272348583694</v>
      </c>
      <c r="P43" s="40">
        <f>IFERROR(INDEX('LV &amp; HV augex'!$D$10:$P$18,MATCH($C43,'LV &amp; HV augex'!$C$10:$C$18,0),MATCH(P$19,'LV &amp; HV augex'!$D$9:$P$9,0))*INDEX('LV &amp; HV augex'!$D$28:$J$52,MATCH($B43,'LV &amp; HV augex'!$L$28:$L$52,0),MATCH($C43,'LV &amp; HV augex'!$D$27:$J$27,0)),0)*'Financial inputs'!$D$11</f>
        <v>4607.5272348583694</v>
      </c>
    </row>
    <row r="44" spans="1:16" customFormat="1" ht="15.5">
      <c r="A44" s="1"/>
      <c r="B44" s="2" t="str">
        <v>West Lake Macquarie</v>
      </c>
      <c r="C44" s="35" t="str" cm="1">
        <f t="array" ref="C44">INDEX(augex_categories,COUNTIFS($B$20:$B44,$B$20))</f>
        <v>LV Distribution Centre Capacity</v>
      </c>
      <c r="D44" s="35" t="str">
        <f>IF(COUNTIF('LV &amp; HV augex'!$C$10:$C$13,C44), "LV", IF(COUNTIF('LV &amp; HV augex'!$C$15:$C$17, C44), "HV", "Error"))</f>
        <v>LV</v>
      </c>
      <c r="E44" s="35" t="str">
        <f>INDEX('Growing &amp; falling'!$D$14:$D$39,MATCH($B44,'Growing &amp; falling'!$B$14:$B$39,0))</f>
        <v>Decline</v>
      </c>
      <c r="F44" s="35" t="str">
        <f t="shared" si="4"/>
        <v>$2024 real</v>
      </c>
      <c r="G44" s="40">
        <f>IFERROR(INDEX('LV &amp; HV augex'!$D$10:$P$18,MATCH($C44,'LV &amp; HV augex'!$C$10:$C$18,0),MATCH(G$19,'LV &amp; HV augex'!$D$9:$P$9,0))*INDEX('LV &amp; HV augex'!$D$28:$J$52,MATCH($B44,'LV &amp; HV augex'!$L$28:$L$52,0),MATCH($C44,'LV &amp; HV augex'!$D$27:$J$27,0)),0)*'Financial inputs'!$D$11</f>
        <v>51104.41376736691</v>
      </c>
      <c r="H44" s="40">
        <f>IFERROR(INDEX('LV &amp; HV augex'!$D$10:$P$18,MATCH($C44,'LV &amp; HV augex'!$C$10:$C$18,0),MATCH(H$19,'LV &amp; HV augex'!$D$9:$P$9,0))*INDEX('LV &amp; HV augex'!$D$28:$J$52,MATCH($B44,'LV &amp; HV augex'!$L$28:$L$52,0),MATCH($C44,'LV &amp; HV augex'!$D$27:$J$27,0)),0)*'Financial inputs'!$D$11</f>
        <v>51104.41376736691</v>
      </c>
      <c r="I44" s="40">
        <f>IFERROR(INDEX('LV &amp; HV augex'!$D$10:$P$18,MATCH($C44,'LV &amp; HV augex'!$C$10:$C$18,0),MATCH(I$19,'LV &amp; HV augex'!$D$9:$P$9,0))*INDEX('LV &amp; HV augex'!$D$28:$J$52,MATCH($B44,'LV &amp; HV augex'!$L$28:$L$52,0),MATCH($C44,'LV &amp; HV augex'!$D$27:$J$27,0)),0)*'Financial inputs'!$D$11</f>
        <v>51104.41376736691</v>
      </c>
      <c r="J44" s="40">
        <f>IFERROR(INDEX('LV &amp; HV augex'!$D$10:$P$18,MATCH($C44,'LV &amp; HV augex'!$C$10:$C$18,0),MATCH(J$19,'LV &amp; HV augex'!$D$9:$P$9,0))*INDEX('LV &amp; HV augex'!$D$28:$J$52,MATCH($B44,'LV &amp; HV augex'!$L$28:$L$52,0),MATCH($C44,'LV &amp; HV augex'!$D$27:$J$27,0)),0)*'Financial inputs'!$D$11</f>
        <v>51104.41376736691</v>
      </c>
      <c r="K44" s="40">
        <f>IFERROR(INDEX('LV &amp; HV augex'!$D$10:$P$18,MATCH($C44,'LV &amp; HV augex'!$C$10:$C$18,0),MATCH(K$19,'LV &amp; HV augex'!$D$9:$P$9,0))*INDEX('LV &amp; HV augex'!$D$28:$J$52,MATCH($B44,'LV &amp; HV augex'!$L$28:$L$52,0),MATCH($C44,'LV &amp; HV augex'!$D$27:$J$27,0)),0)*'Financial inputs'!$D$11</f>
        <v>51104.41376736691</v>
      </c>
      <c r="L44" s="40">
        <f>IFERROR(INDEX('LV &amp; HV augex'!$D$10:$P$18,MATCH($C44,'LV &amp; HV augex'!$C$10:$C$18,0),MATCH(L$19,'LV &amp; HV augex'!$D$9:$P$9,0))*INDEX('LV &amp; HV augex'!$D$28:$J$52,MATCH($B44,'LV &amp; HV augex'!$L$28:$L$52,0),MATCH($C44,'LV &amp; HV augex'!$D$27:$J$27,0)),0)*'Financial inputs'!$D$11</f>
        <v>51104.41376736691</v>
      </c>
      <c r="M44" s="40">
        <f>IFERROR(INDEX('LV &amp; HV augex'!$D$10:$P$18,MATCH($C44,'LV &amp; HV augex'!$C$10:$C$18,0),MATCH(M$19,'LV &amp; HV augex'!$D$9:$P$9,0))*INDEX('LV &amp; HV augex'!$D$28:$J$52,MATCH($B44,'LV &amp; HV augex'!$L$28:$L$52,0),MATCH($C44,'LV &amp; HV augex'!$D$27:$J$27,0)),0)*'Financial inputs'!$D$11</f>
        <v>51104.41376736691</v>
      </c>
      <c r="N44" s="40">
        <f>IFERROR(INDEX('LV &amp; HV augex'!$D$10:$P$18,MATCH($C44,'LV &amp; HV augex'!$C$10:$C$18,0),MATCH(N$19,'LV &amp; HV augex'!$D$9:$P$9,0))*INDEX('LV &amp; HV augex'!$D$28:$J$52,MATCH($B44,'LV &amp; HV augex'!$L$28:$L$52,0),MATCH($C44,'LV &amp; HV augex'!$D$27:$J$27,0)),0)*'Financial inputs'!$D$11</f>
        <v>51104.41376736691</v>
      </c>
      <c r="O44" s="40">
        <f>IFERROR(INDEX('LV &amp; HV augex'!$D$10:$P$18,MATCH($C44,'LV &amp; HV augex'!$C$10:$C$18,0),MATCH(O$19,'LV &amp; HV augex'!$D$9:$P$9,0))*INDEX('LV &amp; HV augex'!$D$28:$J$52,MATCH($B44,'LV &amp; HV augex'!$L$28:$L$52,0),MATCH($C44,'LV &amp; HV augex'!$D$27:$J$27,0)),0)*'Financial inputs'!$D$11</f>
        <v>51104.41376736691</v>
      </c>
      <c r="P44" s="40">
        <f>IFERROR(INDEX('LV &amp; HV augex'!$D$10:$P$18,MATCH($C44,'LV &amp; HV augex'!$C$10:$C$18,0),MATCH(P$19,'LV &amp; HV augex'!$D$9:$P$9,0))*INDEX('LV &amp; HV augex'!$D$28:$J$52,MATCH($B44,'LV &amp; HV augex'!$L$28:$L$52,0),MATCH($C44,'LV &amp; HV augex'!$D$27:$J$27,0)),0)*'Financial inputs'!$D$11</f>
        <v>51104.41376736691</v>
      </c>
    </row>
    <row r="45" spans="1:16" customFormat="1" ht="15.5">
      <c r="A45" s="1"/>
      <c r="B45" s="2" t="str">
        <v>System wide</v>
      </c>
      <c r="C45" s="35" t="str" cm="1">
        <f t="array" ref="C45">INDEX(augex_categories,COUNTIFS($B$20:$B45,$B$20))</f>
        <v>LV Distribution Centre Capacity</v>
      </c>
      <c r="D45" s="35" t="str">
        <f>IF(COUNTIF('LV &amp; HV augex'!$C$10:$C$13,C45), "LV", IF(COUNTIF('LV &amp; HV augex'!$C$15:$C$17, C45), "HV", "Error"))</f>
        <v>LV</v>
      </c>
      <c r="E45" s="35" t="str">
        <f>INDEX('Growing &amp; falling'!$D$14:$D$39,MATCH($B45,'Growing &amp; falling'!$B$14:$B$39,0))</f>
        <v>System wide</v>
      </c>
      <c r="F45" s="35" t="str">
        <f t="shared" si="4"/>
        <v>$2024 real</v>
      </c>
      <c r="G45" s="40">
        <f>IFERROR(INDEX('LV &amp; HV augex'!$D$10:$P$18,MATCH($C45,'LV &amp; HV augex'!$C$10:$C$18,0),MATCH(G$19,'LV &amp; HV augex'!$D$9:$P$9,0))*INDEX('LV &amp; HV augex'!$D$28:$J$52,MATCH($B45,'LV &amp; HV augex'!$L$28:$L$52,0),MATCH($C45,'LV &amp; HV augex'!$D$27:$J$27,0)),0)*'Financial inputs'!$D$11</f>
        <v>0</v>
      </c>
      <c r="H45" s="40">
        <f>IFERROR(INDEX('LV &amp; HV augex'!$D$10:$P$18,MATCH($C45,'LV &amp; HV augex'!$C$10:$C$18,0),MATCH(H$19,'LV &amp; HV augex'!$D$9:$P$9,0))*INDEX('LV &amp; HV augex'!$D$28:$J$52,MATCH($B45,'LV &amp; HV augex'!$L$28:$L$52,0),MATCH($C45,'LV &amp; HV augex'!$D$27:$J$27,0)),0)*'Financial inputs'!$D$11</f>
        <v>0</v>
      </c>
      <c r="I45" s="40">
        <f>IFERROR(INDEX('LV &amp; HV augex'!$D$10:$P$18,MATCH($C45,'LV &amp; HV augex'!$C$10:$C$18,0),MATCH(I$19,'LV &amp; HV augex'!$D$9:$P$9,0))*INDEX('LV &amp; HV augex'!$D$28:$J$52,MATCH($B45,'LV &amp; HV augex'!$L$28:$L$52,0),MATCH($C45,'LV &amp; HV augex'!$D$27:$J$27,0)),0)*'Financial inputs'!$D$11</f>
        <v>0</v>
      </c>
      <c r="J45" s="40">
        <f>IFERROR(INDEX('LV &amp; HV augex'!$D$10:$P$18,MATCH($C45,'LV &amp; HV augex'!$C$10:$C$18,0),MATCH(J$19,'LV &amp; HV augex'!$D$9:$P$9,0))*INDEX('LV &amp; HV augex'!$D$28:$J$52,MATCH($B45,'LV &amp; HV augex'!$L$28:$L$52,0),MATCH($C45,'LV &amp; HV augex'!$D$27:$J$27,0)),0)*'Financial inputs'!$D$11</f>
        <v>0</v>
      </c>
      <c r="K45" s="40">
        <f>IFERROR(INDEX('LV &amp; HV augex'!$D$10:$P$18,MATCH($C45,'LV &amp; HV augex'!$C$10:$C$18,0),MATCH(K$19,'LV &amp; HV augex'!$D$9:$P$9,0))*INDEX('LV &amp; HV augex'!$D$28:$J$52,MATCH($B45,'LV &amp; HV augex'!$L$28:$L$52,0),MATCH($C45,'LV &amp; HV augex'!$D$27:$J$27,0)),0)*'Financial inputs'!$D$11</f>
        <v>0</v>
      </c>
      <c r="L45" s="40">
        <f>IFERROR(INDEX('LV &amp; HV augex'!$D$10:$P$18,MATCH($C45,'LV &amp; HV augex'!$C$10:$C$18,0),MATCH(L$19,'LV &amp; HV augex'!$D$9:$P$9,0))*INDEX('LV &amp; HV augex'!$D$28:$J$52,MATCH($B45,'LV &amp; HV augex'!$L$28:$L$52,0),MATCH($C45,'LV &amp; HV augex'!$D$27:$J$27,0)),0)*'Financial inputs'!$D$11</f>
        <v>0</v>
      </c>
      <c r="M45" s="40">
        <f>IFERROR(INDEX('LV &amp; HV augex'!$D$10:$P$18,MATCH($C45,'LV &amp; HV augex'!$C$10:$C$18,0),MATCH(M$19,'LV &amp; HV augex'!$D$9:$P$9,0))*INDEX('LV &amp; HV augex'!$D$28:$J$52,MATCH($B45,'LV &amp; HV augex'!$L$28:$L$52,0),MATCH($C45,'LV &amp; HV augex'!$D$27:$J$27,0)),0)*'Financial inputs'!$D$11</f>
        <v>0</v>
      </c>
      <c r="N45" s="40">
        <f>IFERROR(INDEX('LV &amp; HV augex'!$D$10:$P$18,MATCH($C45,'LV &amp; HV augex'!$C$10:$C$18,0),MATCH(N$19,'LV &amp; HV augex'!$D$9:$P$9,0))*INDEX('LV &amp; HV augex'!$D$28:$J$52,MATCH($B45,'LV &amp; HV augex'!$L$28:$L$52,0),MATCH($C45,'LV &amp; HV augex'!$D$27:$J$27,0)),0)*'Financial inputs'!$D$11</f>
        <v>0</v>
      </c>
      <c r="O45" s="40">
        <f>IFERROR(INDEX('LV &amp; HV augex'!$D$10:$P$18,MATCH($C45,'LV &amp; HV augex'!$C$10:$C$18,0),MATCH(O$19,'LV &amp; HV augex'!$D$9:$P$9,0))*INDEX('LV &amp; HV augex'!$D$28:$J$52,MATCH($B45,'LV &amp; HV augex'!$L$28:$L$52,0),MATCH($C45,'LV &amp; HV augex'!$D$27:$J$27,0)),0)*'Financial inputs'!$D$11</f>
        <v>0</v>
      </c>
      <c r="P45" s="40">
        <f>IFERROR(INDEX('LV &amp; HV augex'!$D$10:$P$18,MATCH($C45,'LV &amp; HV augex'!$C$10:$C$18,0),MATCH(P$19,'LV &amp; HV augex'!$D$9:$P$9,0))*INDEX('LV &amp; HV augex'!$D$28:$J$52,MATCH($B45,'LV &amp; HV augex'!$L$28:$L$52,0),MATCH($C45,'LV &amp; HV augex'!$D$27:$J$27,0)),0)*'Financial inputs'!$D$11</f>
        <v>0</v>
      </c>
    </row>
    <row r="46" spans="1:16" customFormat="1" ht="15.5">
      <c r="A46" s="1"/>
      <c r="B46" s="2" t="str">
        <f>B20</f>
        <v>Auburn / Homebush</v>
      </c>
      <c r="C46" s="35" t="str" cm="1">
        <f t="array" ref="C46">INDEX(augex_categories,COUNTIFS($B$20:$B46,$B$20))</f>
        <v>Voltage Management Tap Change</v>
      </c>
      <c r="D46" s="35" t="str">
        <f>IF(COUNTIF('LV &amp; HV augex'!$C$10:$C$13,C46), "LV", IF(COUNTIF('LV &amp; HV augex'!$C$15:$C$17, C46), "HV", "Error"))</f>
        <v>LV</v>
      </c>
      <c r="E46" s="35" t="str">
        <f>INDEX('Growing &amp; falling'!$D$14:$D$39,MATCH($B46,'Growing &amp; falling'!$B$14:$B$39,0))</f>
        <v>Growth</v>
      </c>
      <c r="F46" s="35" t="str">
        <f t="shared" si="4"/>
        <v>$2024 real</v>
      </c>
      <c r="G46" s="40">
        <f>IFERROR(INDEX('LV &amp; HV augex'!$D$10:$P$18,MATCH($C46,'LV &amp; HV augex'!$C$10:$C$18,0),MATCH(G$19,'LV &amp; HV augex'!$D$9:$P$9,0))*INDEX('LV &amp; HV augex'!$D$28:$J$52,MATCH($B46,'LV &amp; HV augex'!$L$28:$L$52,0),MATCH($C46,'LV &amp; HV augex'!$D$27:$J$27,0)),0)*'Financial inputs'!$D$11</f>
        <v>4416.3029861622208</v>
      </c>
      <c r="H46" s="40">
        <f>IFERROR(INDEX('LV &amp; HV augex'!$D$10:$P$18,MATCH($C46,'LV &amp; HV augex'!$C$10:$C$18,0),MATCH(H$19,'LV &amp; HV augex'!$D$9:$P$9,0))*INDEX('LV &amp; HV augex'!$D$28:$J$52,MATCH($B46,'LV &amp; HV augex'!$L$28:$L$52,0),MATCH($C46,'LV &amp; HV augex'!$D$27:$J$27,0)),0)*'Financial inputs'!$D$11</f>
        <v>4416.3029861622208</v>
      </c>
      <c r="I46" s="40">
        <f>IFERROR(INDEX('LV &amp; HV augex'!$D$10:$P$18,MATCH($C46,'LV &amp; HV augex'!$C$10:$C$18,0),MATCH(I$19,'LV &amp; HV augex'!$D$9:$P$9,0))*INDEX('LV &amp; HV augex'!$D$28:$J$52,MATCH($B46,'LV &amp; HV augex'!$L$28:$L$52,0),MATCH($C46,'LV &amp; HV augex'!$D$27:$J$27,0)),0)*'Financial inputs'!$D$11</f>
        <v>4416.3029861622208</v>
      </c>
      <c r="J46" s="40">
        <f>IFERROR(INDEX('LV &amp; HV augex'!$D$10:$P$18,MATCH($C46,'LV &amp; HV augex'!$C$10:$C$18,0),MATCH(J$19,'LV &amp; HV augex'!$D$9:$P$9,0))*INDEX('LV &amp; HV augex'!$D$28:$J$52,MATCH($B46,'LV &amp; HV augex'!$L$28:$L$52,0),MATCH($C46,'LV &amp; HV augex'!$D$27:$J$27,0)),0)*'Financial inputs'!$D$11</f>
        <v>4416.3029861622208</v>
      </c>
      <c r="K46" s="40">
        <f>IFERROR(INDEX('LV &amp; HV augex'!$D$10:$P$18,MATCH($C46,'LV &amp; HV augex'!$C$10:$C$18,0),MATCH(K$19,'LV &amp; HV augex'!$D$9:$P$9,0))*INDEX('LV &amp; HV augex'!$D$28:$J$52,MATCH($B46,'LV &amp; HV augex'!$L$28:$L$52,0),MATCH($C46,'LV &amp; HV augex'!$D$27:$J$27,0)),0)*'Financial inputs'!$D$11</f>
        <v>4416.3029861622208</v>
      </c>
      <c r="L46" s="40">
        <f>IFERROR(INDEX('LV &amp; HV augex'!$D$10:$P$18,MATCH($C46,'LV &amp; HV augex'!$C$10:$C$18,0),MATCH(L$19,'LV &amp; HV augex'!$D$9:$P$9,0))*INDEX('LV &amp; HV augex'!$D$28:$J$52,MATCH($B46,'LV &amp; HV augex'!$L$28:$L$52,0),MATCH($C46,'LV &amp; HV augex'!$D$27:$J$27,0)),0)*'Financial inputs'!$D$11</f>
        <v>4416.3029861622208</v>
      </c>
      <c r="M46" s="40">
        <f>IFERROR(INDEX('LV &amp; HV augex'!$D$10:$P$18,MATCH($C46,'LV &amp; HV augex'!$C$10:$C$18,0),MATCH(M$19,'LV &amp; HV augex'!$D$9:$P$9,0))*INDEX('LV &amp; HV augex'!$D$28:$J$52,MATCH($B46,'LV &amp; HV augex'!$L$28:$L$52,0),MATCH($C46,'LV &amp; HV augex'!$D$27:$J$27,0)),0)*'Financial inputs'!$D$11</f>
        <v>4416.3029861622208</v>
      </c>
      <c r="N46" s="40">
        <f>IFERROR(INDEX('LV &amp; HV augex'!$D$10:$P$18,MATCH($C46,'LV &amp; HV augex'!$C$10:$C$18,0),MATCH(N$19,'LV &amp; HV augex'!$D$9:$P$9,0))*INDEX('LV &amp; HV augex'!$D$28:$J$52,MATCH($B46,'LV &amp; HV augex'!$L$28:$L$52,0),MATCH($C46,'LV &amp; HV augex'!$D$27:$J$27,0)),0)*'Financial inputs'!$D$11</f>
        <v>4416.3029861622208</v>
      </c>
      <c r="O46" s="40">
        <f>IFERROR(INDEX('LV &amp; HV augex'!$D$10:$P$18,MATCH($C46,'LV &amp; HV augex'!$C$10:$C$18,0),MATCH(O$19,'LV &amp; HV augex'!$D$9:$P$9,0))*INDEX('LV &amp; HV augex'!$D$28:$J$52,MATCH($B46,'LV &amp; HV augex'!$L$28:$L$52,0),MATCH($C46,'LV &amp; HV augex'!$D$27:$J$27,0)),0)*'Financial inputs'!$D$11</f>
        <v>4416.3029861622208</v>
      </c>
      <c r="P46" s="40">
        <f>IFERROR(INDEX('LV &amp; HV augex'!$D$10:$P$18,MATCH($C46,'LV &amp; HV augex'!$C$10:$C$18,0),MATCH(P$19,'LV &amp; HV augex'!$D$9:$P$9,0))*INDEX('LV &amp; HV augex'!$D$28:$J$52,MATCH($B46,'LV &amp; HV augex'!$L$28:$L$52,0),MATCH($C46,'LV &amp; HV augex'!$D$27:$J$27,0)),0)*'Financial inputs'!$D$11</f>
        <v>4416.3029861622208</v>
      </c>
    </row>
    <row r="47" spans="1:16" ht="15.5">
      <c r="B47" s="2" t="str">
        <f t="shared" ref="B47:B110" si="5">B21</f>
        <v>Camperdown &amp; Blackwattle Bay</v>
      </c>
      <c r="C47" s="35" t="str" cm="1">
        <f t="array" ref="C47">INDEX(augex_categories,COUNTIFS($B$20:$B47,$B$20))</f>
        <v>Voltage Management Tap Change</v>
      </c>
      <c r="D47" s="35" t="str">
        <f>IF(COUNTIF('LV &amp; HV augex'!$C$10:$C$13,C47), "LV", IF(COUNTIF('LV &amp; HV augex'!$C$15:$C$17, C47), "HV", "Error"))</f>
        <v>LV</v>
      </c>
      <c r="E47" s="35" t="str">
        <f>INDEX('Growing &amp; falling'!$D$14:$D$39,MATCH($B47,'Growing &amp; falling'!$B$14:$B$39,0))</f>
        <v>Growth</v>
      </c>
      <c r="F47" s="35" t="str">
        <f t="shared" si="4"/>
        <v>$2024 real</v>
      </c>
      <c r="G47" s="40">
        <f>IFERROR(INDEX('LV &amp; HV augex'!$D$10:$P$18,MATCH($C47,'LV &amp; HV augex'!$C$10:$C$18,0),MATCH(G$19,'LV &amp; HV augex'!$D$9:$P$9,0))*INDEX('LV &amp; HV augex'!$D$28:$J$52,MATCH($B47,'LV &amp; HV augex'!$L$28:$L$52,0),MATCH($C47,'LV &amp; HV augex'!$D$27:$J$27,0)),0)*'Financial inputs'!$D$11</f>
        <v>4416.3029861622208</v>
      </c>
      <c r="H47" s="40">
        <f>IFERROR(INDEX('LV &amp; HV augex'!$D$10:$P$18,MATCH($C47,'LV &amp; HV augex'!$C$10:$C$18,0),MATCH(H$19,'LV &amp; HV augex'!$D$9:$P$9,0))*INDEX('LV &amp; HV augex'!$D$28:$J$52,MATCH($B47,'LV &amp; HV augex'!$L$28:$L$52,0),MATCH($C47,'LV &amp; HV augex'!$D$27:$J$27,0)),0)*'Financial inputs'!$D$11</f>
        <v>4416.3029861622208</v>
      </c>
      <c r="I47" s="40">
        <f>IFERROR(INDEX('LV &amp; HV augex'!$D$10:$P$18,MATCH($C47,'LV &amp; HV augex'!$C$10:$C$18,0),MATCH(I$19,'LV &amp; HV augex'!$D$9:$P$9,0))*INDEX('LV &amp; HV augex'!$D$28:$J$52,MATCH($B47,'LV &amp; HV augex'!$L$28:$L$52,0),MATCH($C47,'LV &amp; HV augex'!$D$27:$J$27,0)),0)*'Financial inputs'!$D$11</f>
        <v>4416.3029861622208</v>
      </c>
      <c r="J47" s="40">
        <f>IFERROR(INDEX('LV &amp; HV augex'!$D$10:$P$18,MATCH($C47,'LV &amp; HV augex'!$C$10:$C$18,0),MATCH(J$19,'LV &amp; HV augex'!$D$9:$P$9,0))*INDEX('LV &amp; HV augex'!$D$28:$J$52,MATCH($B47,'LV &amp; HV augex'!$L$28:$L$52,0),MATCH($C47,'LV &amp; HV augex'!$D$27:$J$27,0)),0)*'Financial inputs'!$D$11</f>
        <v>4416.3029861622208</v>
      </c>
      <c r="K47" s="40">
        <f>IFERROR(INDEX('LV &amp; HV augex'!$D$10:$P$18,MATCH($C47,'LV &amp; HV augex'!$C$10:$C$18,0),MATCH(K$19,'LV &amp; HV augex'!$D$9:$P$9,0))*INDEX('LV &amp; HV augex'!$D$28:$J$52,MATCH($B47,'LV &amp; HV augex'!$L$28:$L$52,0),MATCH($C47,'LV &amp; HV augex'!$D$27:$J$27,0)),0)*'Financial inputs'!$D$11</f>
        <v>4416.3029861622208</v>
      </c>
      <c r="L47" s="40">
        <f>IFERROR(INDEX('LV &amp; HV augex'!$D$10:$P$18,MATCH($C47,'LV &amp; HV augex'!$C$10:$C$18,0),MATCH(L$19,'LV &amp; HV augex'!$D$9:$P$9,0))*INDEX('LV &amp; HV augex'!$D$28:$J$52,MATCH($B47,'LV &amp; HV augex'!$L$28:$L$52,0),MATCH($C47,'LV &amp; HV augex'!$D$27:$J$27,0)),0)*'Financial inputs'!$D$11</f>
        <v>4416.3029861622208</v>
      </c>
      <c r="M47" s="40">
        <f>IFERROR(INDEX('LV &amp; HV augex'!$D$10:$P$18,MATCH($C47,'LV &amp; HV augex'!$C$10:$C$18,0),MATCH(M$19,'LV &amp; HV augex'!$D$9:$P$9,0))*INDEX('LV &amp; HV augex'!$D$28:$J$52,MATCH($B47,'LV &amp; HV augex'!$L$28:$L$52,0),MATCH($C47,'LV &amp; HV augex'!$D$27:$J$27,0)),0)*'Financial inputs'!$D$11</f>
        <v>4416.3029861622208</v>
      </c>
      <c r="N47" s="40">
        <f>IFERROR(INDEX('LV &amp; HV augex'!$D$10:$P$18,MATCH($C47,'LV &amp; HV augex'!$C$10:$C$18,0),MATCH(N$19,'LV &amp; HV augex'!$D$9:$P$9,0))*INDEX('LV &amp; HV augex'!$D$28:$J$52,MATCH($B47,'LV &amp; HV augex'!$L$28:$L$52,0),MATCH($C47,'LV &amp; HV augex'!$D$27:$J$27,0)),0)*'Financial inputs'!$D$11</f>
        <v>4416.3029861622208</v>
      </c>
      <c r="O47" s="40">
        <f>IFERROR(INDEX('LV &amp; HV augex'!$D$10:$P$18,MATCH($C47,'LV &amp; HV augex'!$C$10:$C$18,0),MATCH(O$19,'LV &amp; HV augex'!$D$9:$P$9,0))*INDEX('LV &amp; HV augex'!$D$28:$J$52,MATCH($B47,'LV &amp; HV augex'!$L$28:$L$52,0),MATCH($C47,'LV &amp; HV augex'!$D$27:$J$27,0)),0)*'Financial inputs'!$D$11</f>
        <v>4416.3029861622208</v>
      </c>
      <c r="P47" s="40">
        <f>IFERROR(INDEX('LV &amp; HV augex'!$D$10:$P$18,MATCH($C47,'LV &amp; HV augex'!$C$10:$C$18,0),MATCH(P$19,'LV &amp; HV augex'!$D$9:$P$9,0))*INDEX('LV &amp; HV augex'!$D$28:$J$52,MATCH($B47,'LV &amp; HV augex'!$L$28:$L$52,0),MATCH($C47,'LV &amp; HV augex'!$D$27:$J$27,0)),0)*'Financial inputs'!$D$11</f>
        <v>4416.3029861622208</v>
      </c>
    </row>
    <row r="48" spans="1:16" ht="15.5">
      <c r="B48" s="2" t="str">
        <f t="shared" si="5"/>
        <v>Canterbury Bankstown</v>
      </c>
      <c r="C48" s="35" t="str" cm="1">
        <f t="array" ref="C48">INDEX(augex_categories,COUNTIFS($B$20:$B48,$B$20))</f>
        <v>Voltage Management Tap Change</v>
      </c>
      <c r="D48" s="35" t="str">
        <f>IF(COUNTIF('LV &amp; HV augex'!$C$10:$C$13,C48), "LV", IF(COUNTIF('LV &amp; HV augex'!$C$15:$C$17, C48), "HV", "Error"))</f>
        <v>LV</v>
      </c>
      <c r="E48" s="35" t="str">
        <f>INDEX('Growing &amp; falling'!$D$14:$D$39,MATCH($B48,'Growing &amp; falling'!$B$14:$B$39,0))</f>
        <v>Growth</v>
      </c>
      <c r="F48" s="35" t="str">
        <f t="shared" si="4"/>
        <v>$2024 real</v>
      </c>
      <c r="G48" s="40">
        <f>IFERROR(INDEX('LV &amp; HV augex'!$D$10:$P$18,MATCH($C48,'LV &amp; HV augex'!$C$10:$C$18,0),MATCH(G$19,'LV &amp; HV augex'!$D$9:$P$9,0))*INDEX('LV &amp; HV augex'!$D$28:$J$52,MATCH($B48,'LV &amp; HV augex'!$L$28:$L$52,0),MATCH($C48,'LV &amp; HV augex'!$D$27:$J$27,0)),0)*'Financial inputs'!$D$11</f>
        <v>4416.3029861622208</v>
      </c>
      <c r="H48" s="40">
        <f>IFERROR(INDEX('LV &amp; HV augex'!$D$10:$P$18,MATCH($C48,'LV &amp; HV augex'!$C$10:$C$18,0),MATCH(H$19,'LV &amp; HV augex'!$D$9:$P$9,0))*INDEX('LV &amp; HV augex'!$D$28:$J$52,MATCH($B48,'LV &amp; HV augex'!$L$28:$L$52,0),MATCH($C48,'LV &amp; HV augex'!$D$27:$J$27,0)),0)*'Financial inputs'!$D$11</f>
        <v>4416.3029861622208</v>
      </c>
      <c r="I48" s="40">
        <f>IFERROR(INDEX('LV &amp; HV augex'!$D$10:$P$18,MATCH($C48,'LV &amp; HV augex'!$C$10:$C$18,0),MATCH(I$19,'LV &amp; HV augex'!$D$9:$P$9,0))*INDEX('LV &amp; HV augex'!$D$28:$J$52,MATCH($B48,'LV &amp; HV augex'!$L$28:$L$52,0),MATCH($C48,'LV &amp; HV augex'!$D$27:$J$27,0)),0)*'Financial inputs'!$D$11</f>
        <v>4416.3029861622208</v>
      </c>
      <c r="J48" s="40">
        <f>IFERROR(INDEX('LV &amp; HV augex'!$D$10:$P$18,MATCH($C48,'LV &amp; HV augex'!$C$10:$C$18,0),MATCH(J$19,'LV &amp; HV augex'!$D$9:$P$9,0))*INDEX('LV &amp; HV augex'!$D$28:$J$52,MATCH($B48,'LV &amp; HV augex'!$L$28:$L$52,0),MATCH($C48,'LV &amp; HV augex'!$D$27:$J$27,0)),0)*'Financial inputs'!$D$11</f>
        <v>4416.3029861622208</v>
      </c>
      <c r="K48" s="40">
        <f>IFERROR(INDEX('LV &amp; HV augex'!$D$10:$P$18,MATCH($C48,'LV &amp; HV augex'!$C$10:$C$18,0),MATCH(K$19,'LV &amp; HV augex'!$D$9:$P$9,0))*INDEX('LV &amp; HV augex'!$D$28:$J$52,MATCH($B48,'LV &amp; HV augex'!$L$28:$L$52,0),MATCH($C48,'LV &amp; HV augex'!$D$27:$J$27,0)),0)*'Financial inputs'!$D$11</f>
        <v>4416.3029861622208</v>
      </c>
      <c r="L48" s="40">
        <f>IFERROR(INDEX('LV &amp; HV augex'!$D$10:$P$18,MATCH($C48,'LV &amp; HV augex'!$C$10:$C$18,0),MATCH(L$19,'LV &amp; HV augex'!$D$9:$P$9,0))*INDEX('LV &amp; HV augex'!$D$28:$J$52,MATCH($B48,'LV &amp; HV augex'!$L$28:$L$52,0),MATCH($C48,'LV &amp; HV augex'!$D$27:$J$27,0)),0)*'Financial inputs'!$D$11</f>
        <v>4416.3029861622208</v>
      </c>
      <c r="M48" s="40">
        <f>IFERROR(INDEX('LV &amp; HV augex'!$D$10:$P$18,MATCH($C48,'LV &amp; HV augex'!$C$10:$C$18,0),MATCH(M$19,'LV &amp; HV augex'!$D$9:$P$9,0))*INDEX('LV &amp; HV augex'!$D$28:$J$52,MATCH($B48,'LV &amp; HV augex'!$L$28:$L$52,0),MATCH($C48,'LV &amp; HV augex'!$D$27:$J$27,0)),0)*'Financial inputs'!$D$11</f>
        <v>4416.3029861622208</v>
      </c>
      <c r="N48" s="40">
        <f>IFERROR(INDEX('LV &amp; HV augex'!$D$10:$P$18,MATCH($C48,'LV &amp; HV augex'!$C$10:$C$18,0),MATCH(N$19,'LV &amp; HV augex'!$D$9:$P$9,0))*INDEX('LV &amp; HV augex'!$D$28:$J$52,MATCH($B48,'LV &amp; HV augex'!$L$28:$L$52,0),MATCH($C48,'LV &amp; HV augex'!$D$27:$J$27,0)),0)*'Financial inputs'!$D$11</f>
        <v>4416.3029861622208</v>
      </c>
      <c r="O48" s="40">
        <f>IFERROR(INDEX('LV &amp; HV augex'!$D$10:$P$18,MATCH($C48,'LV &amp; HV augex'!$C$10:$C$18,0),MATCH(O$19,'LV &amp; HV augex'!$D$9:$P$9,0))*INDEX('LV &amp; HV augex'!$D$28:$J$52,MATCH($B48,'LV &amp; HV augex'!$L$28:$L$52,0),MATCH($C48,'LV &amp; HV augex'!$D$27:$J$27,0)),0)*'Financial inputs'!$D$11</f>
        <v>4416.3029861622208</v>
      </c>
      <c r="P48" s="40">
        <f>IFERROR(INDEX('LV &amp; HV augex'!$D$10:$P$18,MATCH($C48,'LV &amp; HV augex'!$C$10:$C$18,0),MATCH(P$19,'LV &amp; HV augex'!$D$9:$P$9,0))*INDEX('LV &amp; HV augex'!$D$28:$J$52,MATCH($B48,'LV &amp; HV augex'!$L$28:$L$52,0),MATCH($C48,'LV &amp; HV augex'!$D$27:$J$27,0)),0)*'Financial inputs'!$D$11</f>
        <v>4416.3029861622208</v>
      </c>
    </row>
    <row r="49" spans="2:16" ht="15.5">
      <c r="B49" s="2" t="str">
        <f t="shared" si="5"/>
        <v>Carlingford</v>
      </c>
      <c r="C49" s="35" t="str" cm="1">
        <f t="array" ref="C49">INDEX(augex_categories,COUNTIFS($B$20:$B49,$B$20))</f>
        <v>Voltage Management Tap Change</v>
      </c>
      <c r="D49" s="35" t="str">
        <f>IF(COUNTIF('LV &amp; HV augex'!$C$10:$C$13,C49), "LV", IF(COUNTIF('LV &amp; HV augex'!$C$15:$C$17, C49), "HV", "Error"))</f>
        <v>LV</v>
      </c>
      <c r="E49" s="35" t="str">
        <f>INDEX('Growing &amp; falling'!$D$14:$D$39,MATCH($B49,'Growing &amp; falling'!$B$14:$B$39,0))</f>
        <v>Growth</v>
      </c>
      <c r="F49" s="35" t="str">
        <f t="shared" si="4"/>
        <v>$2024 real</v>
      </c>
      <c r="G49" s="40">
        <f>IFERROR(INDEX('LV &amp; HV augex'!$D$10:$P$18,MATCH($C49,'LV &amp; HV augex'!$C$10:$C$18,0),MATCH(G$19,'LV &amp; HV augex'!$D$9:$P$9,0))*INDEX('LV &amp; HV augex'!$D$28:$J$52,MATCH($B49,'LV &amp; HV augex'!$L$28:$L$52,0),MATCH($C49,'LV &amp; HV augex'!$D$27:$J$27,0)),0)*'Financial inputs'!$D$11</f>
        <v>4416.3029861622208</v>
      </c>
      <c r="H49" s="40">
        <f>IFERROR(INDEX('LV &amp; HV augex'!$D$10:$P$18,MATCH($C49,'LV &amp; HV augex'!$C$10:$C$18,0),MATCH(H$19,'LV &amp; HV augex'!$D$9:$P$9,0))*INDEX('LV &amp; HV augex'!$D$28:$J$52,MATCH($B49,'LV &amp; HV augex'!$L$28:$L$52,0),MATCH($C49,'LV &amp; HV augex'!$D$27:$J$27,0)),0)*'Financial inputs'!$D$11</f>
        <v>4416.3029861622208</v>
      </c>
      <c r="I49" s="40">
        <f>IFERROR(INDEX('LV &amp; HV augex'!$D$10:$P$18,MATCH($C49,'LV &amp; HV augex'!$C$10:$C$18,0),MATCH(I$19,'LV &amp; HV augex'!$D$9:$P$9,0))*INDEX('LV &amp; HV augex'!$D$28:$J$52,MATCH($B49,'LV &amp; HV augex'!$L$28:$L$52,0),MATCH($C49,'LV &amp; HV augex'!$D$27:$J$27,0)),0)*'Financial inputs'!$D$11</f>
        <v>4416.3029861622208</v>
      </c>
      <c r="J49" s="40">
        <f>IFERROR(INDEX('LV &amp; HV augex'!$D$10:$P$18,MATCH($C49,'LV &amp; HV augex'!$C$10:$C$18,0),MATCH(J$19,'LV &amp; HV augex'!$D$9:$P$9,0))*INDEX('LV &amp; HV augex'!$D$28:$J$52,MATCH($B49,'LV &amp; HV augex'!$L$28:$L$52,0),MATCH($C49,'LV &amp; HV augex'!$D$27:$J$27,0)),0)*'Financial inputs'!$D$11</f>
        <v>4416.3029861622208</v>
      </c>
      <c r="K49" s="40">
        <f>IFERROR(INDEX('LV &amp; HV augex'!$D$10:$P$18,MATCH($C49,'LV &amp; HV augex'!$C$10:$C$18,0),MATCH(K$19,'LV &amp; HV augex'!$D$9:$P$9,0))*INDEX('LV &amp; HV augex'!$D$28:$J$52,MATCH($B49,'LV &amp; HV augex'!$L$28:$L$52,0),MATCH($C49,'LV &amp; HV augex'!$D$27:$J$27,0)),0)*'Financial inputs'!$D$11</f>
        <v>4416.3029861622208</v>
      </c>
      <c r="L49" s="40">
        <f>IFERROR(INDEX('LV &amp; HV augex'!$D$10:$P$18,MATCH($C49,'LV &amp; HV augex'!$C$10:$C$18,0),MATCH(L$19,'LV &amp; HV augex'!$D$9:$P$9,0))*INDEX('LV &amp; HV augex'!$D$28:$J$52,MATCH($B49,'LV &amp; HV augex'!$L$28:$L$52,0),MATCH($C49,'LV &amp; HV augex'!$D$27:$J$27,0)),0)*'Financial inputs'!$D$11</f>
        <v>4416.3029861622208</v>
      </c>
      <c r="M49" s="40">
        <f>IFERROR(INDEX('LV &amp; HV augex'!$D$10:$P$18,MATCH($C49,'LV &amp; HV augex'!$C$10:$C$18,0),MATCH(M$19,'LV &amp; HV augex'!$D$9:$P$9,0))*INDEX('LV &amp; HV augex'!$D$28:$J$52,MATCH($B49,'LV &amp; HV augex'!$L$28:$L$52,0),MATCH($C49,'LV &amp; HV augex'!$D$27:$J$27,0)),0)*'Financial inputs'!$D$11</f>
        <v>4416.3029861622208</v>
      </c>
      <c r="N49" s="40">
        <f>IFERROR(INDEX('LV &amp; HV augex'!$D$10:$P$18,MATCH($C49,'LV &amp; HV augex'!$C$10:$C$18,0),MATCH(N$19,'LV &amp; HV augex'!$D$9:$P$9,0))*INDEX('LV &amp; HV augex'!$D$28:$J$52,MATCH($B49,'LV &amp; HV augex'!$L$28:$L$52,0),MATCH($C49,'LV &amp; HV augex'!$D$27:$J$27,0)),0)*'Financial inputs'!$D$11</f>
        <v>4416.3029861622208</v>
      </c>
      <c r="O49" s="40">
        <f>IFERROR(INDEX('LV &amp; HV augex'!$D$10:$P$18,MATCH($C49,'LV &amp; HV augex'!$C$10:$C$18,0),MATCH(O$19,'LV &amp; HV augex'!$D$9:$P$9,0))*INDEX('LV &amp; HV augex'!$D$28:$J$52,MATCH($B49,'LV &amp; HV augex'!$L$28:$L$52,0),MATCH($C49,'LV &amp; HV augex'!$D$27:$J$27,0)),0)*'Financial inputs'!$D$11</f>
        <v>4416.3029861622208</v>
      </c>
      <c r="P49" s="40">
        <f>IFERROR(INDEX('LV &amp; HV augex'!$D$10:$P$18,MATCH($C49,'LV &amp; HV augex'!$C$10:$C$18,0),MATCH(P$19,'LV &amp; HV augex'!$D$9:$P$9,0))*INDEX('LV &amp; HV augex'!$D$28:$J$52,MATCH($B49,'LV &amp; HV augex'!$L$28:$L$52,0),MATCH($C49,'LV &amp; HV augex'!$D$27:$J$27,0)),0)*'Financial inputs'!$D$11</f>
        <v>4416.3029861622208</v>
      </c>
    </row>
    <row r="50" spans="2:16" ht="15.5">
      <c r="B50" s="2" t="str">
        <f t="shared" si="5"/>
        <v>Eastern Suburbs</v>
      </c>
      <c r="C50" s="35" t="str" cm="1">
        <f t="array" ref="C50">INDEX(augex_categories,COUNTIFS($B$20:$B50,$B$20))</f>
        <v>Voltage Management Tap Change</v>
      </c>
      <c r="D50" s="35" t="str">
        <f>IF(COUNTIF('LV &amp; HV augex'!$C$10:$C$13,C50), "LV", IF(COUNTIF('LV &amp; HV augex'!$C$15:$C$17, C50), "HV", "Error"))</f>
        <v>LV</v>
      </c>
      <c r="E50" s="35" t="str">
        <f>INDEX('Growing &amp; falling'!$D$14:$D$39,MATCH($B50,'Growing &amp; falling'!$B$14:$B$39,0))</f>
        <v>Growth</v>
      </c>
      <c r="F50" s="35" t="str">
        <f t="shared" si="4"/>
        <v>$2024 real</v>
      </c>
      <c r="G50" s="40">
        <f>IFERROR(INDEX('LV &amp; HV augex'!$D$10:$P$18,MATCH($C50,'LV &amp; HV augex'!$C$10:$C$18,0),MATCH(G$19,'LV &amp; HV augex'!$D$9:$P$9,0))*INDEX('LV &amp; HV augex'!$D$28:$J$52,MATCH($B50,'LV &amp; HV augex'!$L$28:$L$52,0),MATCH($C50,'LV &amp; HV augex'!$D$27:$J$27,0)),0)*'Financial inputs'!$D$11</f>
        <v>4416.3029861622208</v>
      </c>
      <c r="H50" s="40">
        <f>IFERROR(INDEX('LV &amp; HV augex'!$D$10:$P$18,MATCH($C50,'LV &amp; HV augex'!$C$10:$C$18,0),MATCH(H$19,'LV &amp; HV augex'!$D$9:$P$9,0))*INDEX('LV &amp; HV augex'!$D$28:$J$52,MATCH($B50,'LV &amp; HV augex'!$L$28:$L$52,0),MATCH($C50,'LV &amp; HV augex'!$D$27:$J$27,0)),0)*'Financial inputs'!$D$11</f>
        <v>4416.3029861622208</v>
      </c>
      <c r="I50" s="40">
        <f>IFERROR(INDEX('LV &amp; HV augex'!$D$10:$P$18,MATCH($C50,'LV &amp; HV augex'!$C$10:$C$18,0),MATCH(I$19,'LV &amp; HV augex'!$D$9:$P$9,0))*INDEX('LV &amp; HV augex'!$D$28:$J$52,MATCH($B50,'LV &amp; HV augex'!$L$28:$L$52,0),MATCH($C50,'LV &amp; HV augex'!$D$27:$J$27,0)),0)*'Financial inputs'!$D$11</f>
        <v>4416.3029861622208</v>
      </c>
      <c r="J50" s="40">
        <f>IFERROR(INDEX('LV &amp; HV augex'!$D$10:$P$18,MATCH($C50,'LV &amp; HV augex'!$C$10:$C$18,0),MATCH(J$19,'LV &amp; HV augex'!$D$9:$P$9,0))*INDEX('LV &amp; HV augex'!$D$28:$J$52,MATCH($B50,'LV &amp; HV augex'!$L$28:$L$52,0),MATCH($C50,'LV &amp; HV augex'!$D$27:$J$27,0)),0)*'Financial inputs'!$D$11</f>
        <v>4416.3029861622208</v>
      </c>
      <c r="K50" s="40">
        <f>IFERROR(INDEX('LV &amp; HV augex'!$D$10:$P$18,MATCH($C50,'LV &amp; HV augex'!$C$10:$C$18,0),MATCH(K$19,'LV &amp; HV augex'!$D$9:$P$9,0))*INDEX('LV &amp; HV augex'!$D$28:$J$52,MATCH($B50,'LV &amp; HV augex'!$L$28:$L$52,0),MATCH($C50,'LV &amp; HV augex'!$D$27:$J$27,0)),0)*'Financial inputs'!$D$11</f>
        <v>4416.3029861622208</v>
      </c>
      <c r="L50" s="40">
        <f>IFERROR(INDEX('LV &amp; HV augex'!$D$10:$P$18,MATCH($C50,'LV &amp; HV augex'!$C$10:$C$18,0),MATCH(L$19,'LV &amp; HV augex'!$D$9:$P$9,0))*INDEX('LV &amp; HV augex'!$D$28:$J$52,MATCH($B50,'LV &amp; HV augex'!$L$28:$L$52,0),MATCH($C50,'LV &amp; HV augex'!$D$27:$J$27,0)),0)*'Financial inputs'!$D$11</f>
        <v>4416.3029861622208</v>
      </c>
      <c r="M50" s="40">
        <f>IFERROR(INDEX('LV &amp; HV augex'!$D$10:$P$18,MATCH($C50,'LV &amp; HV augex'!$C$10:$C$18,0),MATCH(M$19,'LV &amp; HV augex'!$D$9:$P$9,0))*INDEX('LV &amp; HV augex'!$D$28:$J$52,MATCH($B50,'LV &amp; HV augex'!$L$28:$L$52,0),MATCH($C50,'LV &amp; HV augex'!$D$27:$J$27,0)),0)*'Financial inputs'!$D$11</f>
        <v>4416.3029861622208</v>
      </c>
      <c r="N50" s="40">
        <f>IFERROR(INDEX('LV &amp; HV augex'!$D$10:$P$18,MATCH($C50,'LV &amp; HV augex'!$C$10:$C$18,0),MATCH(N$19,'LV &amp; HV augex'!$D$9:$P$9,0))*INDEX('LV &amp; HV augex'!$D$28:$J$52,MATCH($B50,'LV &amp; HV augex'!$L$28:$L$52,0),MATCH($C50,'LV &amp; HV augex'!$D$27:$J$27,0)),0)*'Financial inputs'!$D$11</f>
        <v>4416.3029861622208</v>
      </c>
      <c r="O50" s="40">
        <f>IFERROR(INDEX('LV &amp; HV augex'!$D$10:$P$18,MATCH($C50,'LV &amp; HV augex'!$C$10:$C$18,0),MATCH(O$19,'LV &amp; HV augex'!$D$9:$P$9,0))*INDEX('LV &amp; HV augex'!$D$28:$J$52,MATCH($B50,'LV &amp; HV augex'!$L$28:$L$52,0),MATCH($C50,'LV &amp; HV augex'!$D$27:$J$27,0)),0)*'Financial inputs'!$D$11</f>
        <v>4416.3029861622208</v>
      </c>
      <c r="P50" s="40">
        <f>IFERROR(INDEX('LV &amp; HV augex'!$D$10:$P$18,MATCH($C50,'LV &amp; HV augex'!$C$10:$C$18,0),MATCH(P$19,'LV &amp; HV augex'!$D$9:$P$9,0))*INDEX('LV &amp; HV augex'!$D$28:$J$52,MATCH($B50,'LV &amp; HV augex'!$L$28:$L$52,0),MATCH($C50,'LV &amp; HV augex'!$D$27:$J$27,0)),0)*'Financial inputs'!$D$11</f>
        <v>4416.3029861622208</v>
      </c>
    </row>
    <row r="51" spans="2:16" ht="15.5">
      <c r="B51" s="2" t="str">
        <f t="shared" si="5"/>
        <v>Greater Cessnock</v>
      </c>
      <c r="C51" s="35" t="str" cm="1">
        <f t="array" ref="C51">INDEX(augex_categories,COUNTIFS($B$20:$B51,$B$20))</f>
        <v>Voltage Management Tap Change</v>
      </c>
      <c r="D51" s="35" t="str">
        <f>IF(COUNTIF('LV &amp; HV augex'!$C$10:$C$13,C51), "LV", IF(COUNTIF('LV &amp; HV augex'!$C$15:$C$17, C51), "HV", "Error"))</f>
        <v>LV</v>
      </c>
      <c r="E51" s="35" t="str">
        <f>INDEX('Growing &amp; falling'!$D$14:$D$39,MATCH($B51,'Growing &amp; falling'!$B$14:$B$39,0))</f>
        <v>Growth</v>
      </c>
      <c r="F51" s="35" t="str">
        <f t="shared" si="4"/>
        <v>$2024 real</v>
      </c>
      <c r="G51" s="40">
        <f>IFERROR(INDEX('LV &amp; HV augex'!$D$10:$P$18,MATCH($C51,'LV &amp; HV augex'!$C$10:$C$18,0),MATCH(G$19,'LV &amp; HV augex'!$D$9:$P$9,0))*INDEX('LV &amp; HV augex'!$D$28:$J$52,MATCH($B51,'LV &amp; HV augex'!$L$28:$L$52,0),MATCH($C51,'LV &amp; HV augex'!$D$27:$J$27,0)),0)*'Financial inputs'!$D$11</f>
        <v>4416.3029861622208</v>
      </c>
      <c r="H51" s="40">
        <f>IFERROR(INDEX('LV &amp; HV augex'!$D$10:$P$18,MATCH($C51,'LV &amp; HV augex'!$C$10:$C$18,0),MATCH(H$19,'LV &amp; HV augex'!$D$9:$P$9,0))*INDEX('LV &amp; HV augex'!$D$28:$J$52,MATCH($B51,'LV &amp; HV augex'!$L$28:$L$52,0),MATCH($C51,'LV &amp; HV augex'!$D$27:$J$27,0)),0)*'Financial inputs'!$D$11</f>
        <v>4416.3029861622208</v>
      </c>
      <c r="I51" s="40">
        <f>IFERROR(INDEX('LV &amp; HV augex'!$D$10:$P$18,MATCH($C51,'LV &amp; HV augex'!$C$10:$C$18,0),MATCH(I$19,'LV &amp; HV augex'!$D$9:$P$9,0))*INDEX('LV &amp; HV augex'!$D$28:$J$52,MATCH($B51,'LV &amp; HV augex'!$L$28:$L$52,0),MATCH($C51,'LV &amp; HV augex'!$D$27:$J$27,0)),0)*'Financial inputs'!$D$11</f>
        <v>4416.3029861622208</v>
      </c>
      <c r="J51" s="40">
        <f>IFERROR(INDEX('LV &amp; HV augex'!$D$10:$P$18,MATCH($C51,'LV &amp; HV augex'!$C$10:$C$18,0),MATCH(J$19,'LV &amp; HV augex'!$D$9:$P$9,0))*INDEX('LV &amp; HV augex'!$D$28:$J$52,MATCH($B51,'LV &amp; HV augex'!$L$28:$L$52,0),MATCH($C51,'LV &amp; HV augex'!$D$27:$J$27,0)),0)*'Financial inputs'!$D$11</f>
        <v>4416.3029861622208</v>
      </c>
      <c r="K51" s="40">
        <f>IFERROR(INDEX('LV &amp; HV augex'!$D$10:$P$18,MATCH($C51,'LV &amp; HV augex'!$C$10:$C$18,0),MATCH(K$19,'LV &amp; HV augex'!$D$9:$P$9,0))*INDEX('LV &amp; HV augex'!$D$28:$J$52,MATCH($B51,'LV &amp; HV augex'!$L$28:$L$52,0),MATCH($C51,'LV &amp; HV augex'!$D$27:$J$27,0)),0)*'Financial inputs'!$D$11</f>
        <v>4416.3029861622208</v>
      </c>
      <c r="L51" s="40">
        <f>IFERROR(INDEX('LV &amp; HV augex'!$D$10:$P$18,MATCH($C51,'LV &amp; HV augex'!$C$10:$C$18,0),MATCH(L$19,'LV &amp; HV augex'!$D$9:$P$9,0))*INDEX('LV &amp; HV augex'!$D$28:$J$52,MATCH($B51,'LV &amp; HV augex'!$L$28:$L$52,0),MATCH($C51,'LV &amp; HV augex'!$D$27:$J$27,0)),0)*'Financial inputs'!$D$11</f>
        <v>4416.3029861622208</v>
      </c>
      <c r="M51" s="40">
        <f>IFERROR(INDEX('LV &amp; HV augex'!$D$10:$P$18,MATCH($C51,'LV &amp; HV augex'!$C$10:$C$18,0),MATCH(M$19,'LV &amp; HV augex'!$D$9:$P$9,0))*INDEX('LV &amp; HV augex'!$D$28:$J$52,MATCH($B51,'LV &amp; HV augex'!$L$28:$L$52,0),MATCH($C51,'LV &amp; HV augex'!$D$27:$J$27,0)),0)*'Financial inputs'!$D$11</f>
        <v>4416.3029861622208</v>
      </c>
      <c r="N51" s="40">
        <f>IFERROR(INDEX('LV &amp; HV augex'!$D$10:$P$18,MATCH($C51,'LV &amp; HV augex'!$C$10:$C$18,0),MATCH(N$19,'LV &amp; HV augex'!$D$9:$P$9,0))*INDEX('LV &amp; HV augex'!$D$28:$J$52,MATCH($B51,'LV &amp; HV augex'!$L$28:$L$52,0),MATCH($C51,'LV &amp; HV augex'!$D$27:$J$27,0)),0)*'Financial inputs'!$D$11</f>
        <v>4416.3029861622208</v>
      </c>
      <c r="O51" s="40">
        <f>IFERROR(INDEX('LV &amp; HV augex'!$D$10:$P$18,MATCH($C51,'LV &amp; HV augex'!$C$10:$C$18,0),MATCH(O$19,'LV &amp; HV augex'!$D$9:$P$9,0))*INDEX('LV &amp; HV augex'!$D$28:$J$52,MATCH($B51,'LV &amp; HV augex'!$L$28:$L$52,0),MATCH($C51,'LV &amp; HV augex'!$D$27:$J$27,0)),0)*'Financial inputs'!$D$11</f>
        <v>4416.3029861622208</v>
      </c>
      <c r="P51" s="40">
        <f>IFERROR(INDEX('LV &amp; HV augex'!$D$10:$P$18,MATCH($C51,'LV &amp; HV augex'!$C$10:$C$18,0),MATCH(P$19,'LV &amp; HV augex'!$D$9:$P$9,0))*INDEX('LV &amp; HV augex'!$D$28:$J$52,MATCH($B51,'LV &amp; HV augex'!$L$28:$L$52,0),MATCH($C51,'LV &amp; HV augex'!$D$27:$J$27,0)),0)*'Financial inputs'!$D$11</f>
        <v>4416.3029861622208</v>
      </c>
    </row>
    <row r="52" spans="2:16" ht="15.5">
      <c r="B52" s="2" t="str">
        <f t="shared" si="5"/>
        <v>Lower Central Coast</v>
      </c>
      <c r="C52" s="35" t="str" cm="1">
        <f t="array" ref="C52">INDEX(augex_categories,COUNTIFS($B$20:$B52,$B$20))</f>
        <v>Voltage Management Tap Change</v>
      </c>
      <c r="D52" s="35" t="str">
        <f>IF(COUNTIF('LV &amp; HV augex'!$C$10:$C$13,C52), "LV", IF(COUNTIF('LV &amp; HV augex'!$C$15:$C$17, C52), "HV", "Error"))</f>
        <v>LV</v>
      </c>
      <c r="E52" s="35" t="str">
        <f>INDEX('Growing &amp; falling'!$D$14:$D$39,MATCH($B52,'Growing &amp; falling'!$B$14:$B$39,0))</f>
        <v>Growth</v>
      </c>
      <c r="F52" s="35" t="str">
        <f t="shared" si="4"/>
        <v>$2024 real</v>
      </c>
      <c r="G52" s="40">
        <f>IFERROR(INDEX('LV &amp; HV augex'!$D$10:$P$18,MATCH($C52,'LV &amp; HV augex'!$C$10:$C$18,0),MATCH(G$19,'LV &amp; HV augex'!$D$9:$P$9,0))*INDEX('LV &amp; HV augex'!$D$28:$J$52,MATCH($B52,'LV &amp; HV augex'!$L$28:$L$52,0),MATCH($C52,'LV &amp; HV augex'!$D$27:$J$27,0)),0)*'Financial inputs'!$D$11</f>
        <v>3680.2524884685167</v>
      </c>
      <c r="H52" s="40">
        <f>IFERROR(INDEX('LV &amp; HV augex'!$D$10:$P$18,MATCH($C52,'LV &amp; HV augex'!$C$10:$C$18,0),MATCH(H$19,'LV &amp; HV augex'!$D$9:$P$9,0))*INDEX('LV &amp; HV augex'!$D$28:$J$52,MATCH($B52,'LV &amp; HV augex'!$L$28:$L$52,0),MATCH($C52,'LV &amp; HV augex'!$D$27:$J$27,0)),0)*'Financial inputs'!$D$11</f>
        <v>3680.2524884685167</v>
      </c>
      <c r="I52" s="40">
        <f>IFERROR(INDEX('LV &amp; HV augex'!$D$10:$P$18,MATCH($C52,'LV &amp; HV augex'!$C$10:$C$18,0),MATCH(I$19,'LV &amp; HV augex'!$D$9:$P$9,0))*INDEX('LV &amp; HV augex'!$D$28:$J$52,MATCH($B52,'LV &amp; HV augex'!$L$28:$L$52,0),MATCH($C52,'LV &amp; HV augex'!$D$27:$J$27,0)),0)*'Financial inputs'!$D$11</f>
        <v>3680.2524884685167</v>
      </c>
      <c r="J52" s="40">
        <f>IFERROR(INDEX('LV &amp; HV augex'!$D$10:$P$18,MATCH($C52,'LV &amp; HV augex'!$C$10:$C$18,0),MATCH(J$19,'LV &amp; HV augex'!$D$9:$P$9,0))*INDEX('LV &amp; HV augex'!$D$28:$J$52,MATCH($B52,'LV &amp; HV augex'!$L$28:$L$52,0),MATCH($C52,'LV &amp; HV augex'!$D$27:$J$27,0)),0)*'Financial inputs'!$D$11</f>
        <v>3680.2524884685167</v>
      </c>
      <c r="K52" s="40">
        <f>IFERROR(INDEX('LV &amp; HV augex'!$D$10:$P$18,MATCH($C52,'LV &amp; HV augex'!$C$10:$C$18,0),MATCH(K$19,'LV &amp; HV augex'!$D$9:$P$9,0))*INDEX('LV &amp; HV augex'!$D$28:$J$52,MATCH($B52,'LV &amp; HV augex'!$L$28:$L$52,0),MATCH($C52,'LV &amp; HV augex'!$D$27:$J$27,0)),0)*'Financial inputs'!$D$11</f>
        <v>3680.2524884685167</v>
      </c>
      <c r="L52" s="40">
        <f>IFERROR(INDEX('LV &amp; HV augex'!$D$10:$P$18,MATCH($C52,'LV &amp; HV augex'!$C$10:$C$18,0),MATCH(L$19,'LV &amp; HV augex'!$D$9:$P$9,0))*INDEX('LV &amp; HV augex'!$D$28:$J$52,MATCH($B52,'LV &amp; HV augex'!$L$28:$L$52,0),MATCH($C52,'LV &amp; HV augex'!$D$27:$J$27,0)),0)*'Financial inputs'!$D$11</f>
        <v>3680.2524884685167</v>
      </c>
      <c r="M52" s="40">
        <f>IFERROR(INDEX('LV &amp; HV augex'!$D$10:$P$18,MATCH($C52,'LV &amp; HV augex'!$C$10:$C$18,0),MATCH(M$19,'LV &amp; HV augex'!$D$9:$P$9,0))*INDEX('LV &amp; HV augex'!$D$28:$J$52,MATCH($B52,'LV &amp; HV augex'!$L$28:$L$52,0),MATCH($C52,'LV &amp; HV augex'!$D$27:$J$27,0)),0)*'Financial inputs'!$D$11</f>
        <v>3680.2524884685167</v>
      </c>
      <c r="N52" s="40">
        <f>IFERROR(INDEX('LV &amp; HV augex'!$D$10:$P$18,MATCH($C52,'LV &amp; HV augex'!$C$10:$C$18,0),MATCH(N$19,'LV &amp; HV augex'!$D$9:$P$9,0))*INDEX('LV &amp; HV augex'!$D$28:$J$52,MATCH($B52,'LV &amp; HV augex'!$L$28:$L$52,0),MATCH($C52,'LV &amp; HV augex'!$D$27:$J$27,0)),0)*'Financial inputs'!$D$11</f>
        <v>3680.2524884685167</v>
      </c>
      <c r="O52" s="40">
        <f>IFERROR(INDEX('LV &amp; HV augex'!$D$10:$P$18,MATCH($C52,'LV &amp; HV augex'!$C$10:$C$18,0),MATCH(O$19,'LV &amp; HV augex'!$D$9:$P$9,0))*INDEX('LV &amp; HV augex'!$D$28:$J$52,MATCH($B52,'LV &amp; HV augex'!$L$28:$L$52,0),MATCH($C52,'LV &amp; HV augex'!$D$27:$J$27,0)),0)*'Financial inputs'!$D$11</f>
        <v>3680.2524884685167</v>
      </c>
      <c r="P52" s="40">
        <f>IFERROR(INDEX('LV &amp; HV augex'!$D$10:$P$18,MATCH($C52,'LV &amp; HV augex'!$C$10:$C$18,0),MATCH(P$19,'LV &amp; HV augex'!$D$9:$P$9,0))*INDEX('LV &amp; HV augex'!$D$28:$J$52,MATCH($B52,'LV &amp; HV augex'!$L$28:$L$52,0),MATCH($C52,'LV &amp; HV augex'!$D$27:$J$27,0)),0)*'Financial inputs'!$D$11</f>
        <v>3680.2524884685167</v>
      </c>
    </row>
    <row r="53" spans="2:16" ht="15.5">
      <c r="B53" s="2" t="str">
        <f t="shared" si="5"/>
        <v>Lower North Shore</v>
      </c>
      <c r="C53" s="35" t="str" cm="1">
        <f t="array" ref="C53">INDEX(augex_categories,COUNTIFS($B$20:$B53,$B$20))</f>
        <v>Voltage Management Tap Change</v>
      </c>
      <c r="D53" s="35" t="str">
        <f>IF(COUNTIF('LV &amp; HV augex'!$C$10:$C$13,C53), "LV", IF(COUNTIF('LV &amp; HV augex'!$C$15:$C$17, C53), "HV", "Error"))</f>
        <v>LV</v>
      </c>
      <c r="E53" s="35" t="str">
        <f>INDEX('Growing &amp; falling'!$D$14:$D$39,MATCH($B53,'Growing &amp; falling'!$B$14:$B$39,0))</f>
        <v>Growth</v>
      </c>
      <c r="F53" s="35" t="str">
        <f t="shared" si="4"/>
        <v>$2024 real</v>
      </c>
      <c r="G53" s="40">
        <f>IFERROR(INDEX('LV &amp; HV augex'!$D$10:$P$18,MATCH($C53,'LV &amp; HV augex'!$C$10:$C$18,0),MATCH(G$19,'LV &amp; HV augex'!$D$9:$P$9,0))*INDEX('LV &amp; HV augex'!$D$28:$J$52,MATCH($B53,'LV &amp; HV augex'!$L$28:$L$52,0),MATCH($C53,'LV &amp; HV augex'!$D$27:$J$27,0)),0)*'Financial inputs'!$D$11</f>
        <v>3680.2524884685167</v>
      </c>
      <c r="H53" s="40">
        <f>IFERROR(INDEX('LV &amp; HV augex'!$D$10:$P$18,MATCH($C53,'LV &amp; HV augex'!$C$10:$C$18,0),MATCH(H$19,'LV &amp; HV augex'!$D$9:$P$9,0))*INDEX('LV &amp; HV augex'!$D$28:$J$52,MATCH($B53,'LV &amp; HV augex'!$L$28:$L$52,0),MATCH($C53,'LV &amp; HV augex'!$D$27:$J$27,0)),0)*'Financial inputs'!$D$11</f>
        <v>3680.2524884685167</v>
      </c>
      <c r="I53" s="40">
        <f>IFERROR(INDEX('LV &amp; HV augex'!$D$10:$P$18,MATCH($C53,'LV &amp; HV augex'!$C$10:$C$18,0),MATCH(I$19,'LV &amp; HV augex'!$D$9:$P$9,0))*INDEX('LV &amp; HV augex'!$D$28:$J$52,MATCH($B53,'LV &amp; HV augex'!$L$28:$L$52,0),MATCH($C53,'LV &amp; HV augex'!$D$27:$J$27,0)),0)*'Financial inputs'!$D$11</f>
        <v>3680.2524884685167</v>
      </c>
      <c r="J53" s="40">
        <f>IFERROR(INDEX('LV &amp; HV augex'!$D$10:$P$18,MATCH($C53,'LV &amp; HV augex'!$C$10:$C$18,0),MATCH(J$19,'LV &amp; HV augex'!$D$9:$P$9,0))*INDEX('LV &amp; HV augex'!$D$28:$J$52,MATCH($B53,'LV &amp; HV augex'!$L$28:$L$52,0),MATCH($C53,'LV &amp; HV augex'!$D$27:$J$27,0)),0)*'Financial inputs'!$D$11</f>
        <v>3680.2524884685167</v>
      </c>
      <c r="K53" s="40">
        <f>IFERROR(INDEX('LV &amp; HV augex'!$D$10:$P$18,MATCH($C53,'LV &amp; HV augex'!$C$10:$C$18,0),MATCH(K$19,'LV &amp; HV augex'!$D$9:$P$9,0))*INDEX('LV &amp; HV augex'!$D$28:$J$52,MATCH($B53,'LV &amp; HV augex'!$L$28:$L$52,0),MATCH($C53,'LV &amp; HV augex'!$D$27:$J$27,0)),0)*'Financial inputs'!$D$11</f>
        <v>3680.2524884685167</v>
      </c>
      <c r="L53" s="40">
        <f>IFERROR(INDEX('LV &amp; HV augex'!$D$10:$P$18,MATCH($C53,'LV &amp; HV augex'!$C$10:$C$18,0),MATCH(L$19,'LV &amp; HV augex'!$D$9:$P$9,0))*INDEX('LV &amp; HV augex'!$D$28:$J$52,MATCH($B53,'LV &amp; HV augex'!$L$28:$L$52,0),MATCH($C53,'LV &amp; HV augex'!$D$27:$J$27,0)),0)*'Financial inputs'!$D$11</f>
        <v>3680.2524884685167</v>
      </c>
      <c r="M53" s="40">
        <f>IFERROR(INDEX('LV &amp; HV augex'!$D$10:$P$18,MATCH($C53,'LV &amp; HV augex'!$C$10:$C$18,0),MATCH(M$19,'LV &amp; HV augex'!$D$9:$P$9,0))*INDEX('LV &amp; HV augex'!$D$28:$J$52,MATCH($B53,'LV &amp; HV augex'!$L$28:$L$52,0),MATCH($C53,'LV &amp; HV augex'!$D$27:$J$27,0)),0)*'Financial inputs'!$D$11</f>
        <v>3680.2524884685167</v>
      </c>
      <c r="N53" s="40">
        <f>IFERROR(INDEX('LV &amp; HV augex'!$D$10:$P$18,MATCH($C53,'LV &amp; HV augex'!$C$10:$C$18,0),MATCH(N$19,'LV &amp; HV augex'!$D$9:$P$9,0))*INDEX('LV &amp; HV augex'!$D$28:$J$52,MATCH($B53,'LV &amp; HV augex'!$L$28:$L$52,0),MATCH($C53,'LV &amp; HV augex'!$D$27:$J$27,0)),0)*'Financial inputs'!$D$11</f>
        <v>3680.2524884685167</v>
      </c>
      <c r="O53" s="40">
        <f>IFERROR(INDEX('LV &amp; HV augex'!$D$10:$P$18,MATCH($C53,'LV &amp; HV augex'!$C$10:$C$18,0),MATCH(O$19,'LV &amp; HV augex'!$D$9:$P$9,0))*INDEX('LV &amp; HV augex'!$D$28:$J$52,MATCH($B53,'LV &amp; HV augex'!$L$28:$L$52,0),MATCH($C53,'LV &amp; HV augex'!$D$27:$J$27,0)),0)*'Financial inputs'!$D$11</f>
        <v>3680.2524884685167</v>
      </c>
      <c r="P53" s="40">
        <f>IFERROR(INDEX('LV &amp; HV augex'!$D$10:$P$18,MATCH($C53,'LV &amp; HV augex'!$C$10:$C$18,0),MATCH(P$19,'LV &amp; HV augex'!$D$9:$P$9,0))*INDEX('LV &amp; HV augex'!$D$28:$J$52,MATCH($B53,'LV &amp; HV augex'!$L$28:$L$52,0),MATCH($C53,'LV &amp; HV augex'!$D$27:$J$27,0)),0)*'Financial inputs'!$D$11</f>
        <v>3680.2524884685167</v>
      </c>
    </row>
    <row r="54" spans="2:16" ht="15.5">
      <c r="B54" s="2" t="str">
        <f t="shared" si="5"/>
        <v>Maitland</v>
      </c>
      <c r="C54" s="35" t="str" cm="1">
        <f t="array" ref="C54">INDEX(augex_categories,COUNTIFS($B$20:$B54,$B$20))</f>
        <v>Voltage Management Tap Change</v>
      </c>
      <c r="D54" s="35" t="str">
        <f>IF(COUNTIF('LV &amp; HV augex'!$C$10:$C$13,C54), "LV", IF(COUNTIF('LV &amp; HV augex'!$C$15:$C$17, C54), "HV", "Error"))</f>
        <v>LV</v>
      </c>
      <c r="E54" s="35" t="str">
        <f>INDEX('Growing &amp; falling'!$D$14:$D$39,MATCH($B54,'Growing &amp; falling'!$B$14:$B$39,0))</f>
        <v>Growth</v>
      </c>
      <c r="F54" s="35" t="str">
        <f t="shared" si="4"/>
        <v>$2024 real</v>
      </c>
      <c r="G54" s="40">
        <f>IFERROR(INDEX('LV &amp; HV augex'!$D$10:$P$18,MATCH($C54,'LV &amp; HV augex'!$C$10:$C$18,0),MATCH(G$19,'LV &amp; HV augex'!$D$9:$P$9,0))*INDEX('LV &amp; HV augex'!$D$28:$J$52,MATCH($B54,'LV &amp; HV augex'!$L$28:$L$52,0),MATCH($C54,'LV &amp; HV augex'!$D$27:$J$27,0)),0)*'Financial inputs'!$D$11</f>
        <v>4416.3029861622208</v>
      </c>
      <c r="H54" s="40">
        <f>IFERROR(INDEX('LV &amp; HV augex'!$D$10:$P$18,MATCH($C54,'LV &amp; HV augex'!$C$10:$C$18,0),MATCH(H$19,'LV &amp; HV augex'!$D$9:$P$9,0))*INDEX('LV &amp; HV augex'!$D$28:$J$52,MATCH($B54,'LV &amp; HV augex'!$L$28:$L$52,0),MATCH($C54,'LV &amp; HV augex'!$D$27:$J$27,0)),0)*'Financial inputs'!$D$11</f>
        <v>4416.3029861622208</v>
      </c>
      <c r="I54" s="40">
        <f>IFERROR(INDEX('LV &amp; HV augex'!$D$10:$P$18,MATCH($C54,'LV &amp; HV augex'!$C$10:$C$18,0),MATCH(I$19,'LV &amp; HV augex'!$D$9:$P$9,0))*INDEX('LV &amp; HV augex'!$D$28:$J$52,MATCH($B54,'LV &amp; HV augex'!$L$28:$L$52,0),MATCH($C54,'LV &amp; HV augex'!$D$27:$J$27,0)),0)*'Financial inputs'!$D$11</f>
        <v>4416.3029861622208</v>
      </c>
      <c r="J54" s="40">
        <f>IFERROR(INDEX('LV &amp; HV augex'!$D$10:$P$18,MATCH($C54,'LV &amp; HV augex'!$C$10:$C$18,0),MATCH(J$19,'LV &amp; HV augex'!$D$9:$P$9,0))*INDEX('LV &amp; HV augex'!$D$28:$J$52,MATCH($B54,'LV &amp; HV augex'!$L$28:$L$52,0),MATCH($C54,'LV &amp; HV augex'!$D$27:$J$27,0)),0)*'Financial inputs'!$D$11</f>
        <v>4416.3029861622208</v>
      </c>
      <c r="K54" s="40">
        <f>IFERROR(INDEX('LV &amp; HV augex'!$D$10:$P$18,MATCH($C54,'LV &amp; HV augex'!$C$10:$C$18,0),MATCH(K$19,'LV &amp; HV augex'!$D$9:$P$9,0))*INDEX('LV &amp; HV augex'!$D$28:$J$52,MATCH($B54,'LV &amp; HV augex'!$L$28:$L$52,0),MATCH($C54,'LV &amp; HV augex'!$D$27:$J$27,0)),0)*'Financial inputs'!$D$11</f>
        <v>4416.3029861622208</v>
      </c>
      <c r="L54" s="40">
        <f>IFERROR(INDEX('LV &amp; HV augex'!$D$10:$P$18,MATCH($C54,'LV &amp; HV augex'!$C$10:$C$18,0),MATCH(L$19,'LV &amp; HV augex'!$D$9:$P$9,0))*INDEX('LV &amp; HV augex'!$D$28:$J$52,MATCH($B54,'LV &amp; HV augex'!$L$28:$L$52,0),MATCH($C54,'LV &amp; HV augex'!$D$27:$J$27,0)),0)*'Financial inputs'!$D$11</f>
        <v>4416.3029861622208</v>
      </c>
      <c r="M54" s="40">
        <f>IFERROR(INDEX('LV &amp; HV augex'!$D$10:$P$18,MATCH($C54,'LV &amp; HV augex'!$C$10:$C$18,0),MATCH(M$19,'LV &amp; HV augex'!$D$9:$P$9,0))*INDEX('LV &amp; HV augex'!$D$28:$J$52,MATCH($B54,'LV &amp; HV augex'!$L$28:$L$52,0),MATCH($C54,'LV &amp; HV augex'!$D$27:$J$27,0)),0)*'Financial inputs'!$D$11</f>
        <v>4416.3029861622208</v>
      </c>
      <c r="N54" s="40">
        <f>IFERROR(INDEX('LV &amp; HV augex'!$D$10:$P$18,MATCH($C54,'LV &amp; HV augex'!$C$10:$C$18,0),MATCH(N$19,'LV &amp; HV augex'!$D$9:$P$9,0))*INDEX('LV &amp; HV augex'!$D$28:$J$52,MATCH($B54,'LV &amp; HV augex'!$L$28:$L$52,0),MATCH($C54,'LV &amp; HV augex'!$D$27:$J$27,0)),0)*'Financial inputs'!$D$11</f>
        <v>4416.3029861622208</v>
      </c>
      <c r="O54" s="40">
        <f>IFERROR(INDEX('LV &amp; HV augex'!$D$10:$P$18,MATCH($C54,'LV &amp; HV augex'!$C$10:$C$18,0),MATCH(O$19,'LV &amp; HV augex'!$D$9:$P$9,0))*INDEX('LV &amp; HV augex'!$D$28:$J$52,MATCH($B54,'LV &amp; HV augex'!$L$28:$L$52,0),MATCH($C54,'LV &amp; HV augex'!$D$27:$J$27,0)),0)*'Financial inputs'!$D$11</f>
        <v>4416.3029861622208</v>
      </c>
      <c r="P54" s="40">
        <f>IFERROR(INDEX('LV &amp; HV augex'!$D$10:$P$18,MATCH($C54,'LV &amp; HV augex'!$C$10:$C$18,0),MATCH(P$19,'LV &amp; HV augex'!$D$9:$P$9,0))*INDEX('LV &amp; HV augex'!$D$28:$J$52,MATCH($B54,'LV &amp; HV augex'!$L$28:$L$52,0),MATCH($C54,'LV &amp; HV augex'!$D$27:$J$27,0)),0)*'Financial inputs'!$D$11</f>
        <v>4416.3029861622208</v>
      </c>
    </row>
    <row r="55" spans="2:16" ht="15.5">
      <c r="B55" s="2" t="str">
        <f t="shared" si="5"/>
        <v>Manly Warringah</v>
      </c>
      <c r="C55" s="35" t="str" cm="1">
        <f t="array" ref="C55">INDEX(augex_categories,COUNTIFS($B$20:$B55,$B$20))</f>
        <v>Voltage Management Tap Change</v>
      </c>
      <c r="D55" s="35" t="str">
        <f>IF(COUNTIF('LV &amp; HV augex'!$C$10:$C$13,C55), "LV", IF(COUNTIF('LV &amp; HV augex'!$C$15:$C$17, C55), "HV", "Error"))</f>
        <v>LV</v>
      </c>
      <c r="E55" s="35" t="str">
        <f>INDEX('Growing &amp; falling'!$D$14:$D$39,MATCH($B55,'Growing &amp; falling'!$B$14:$B$39,0))</f>
        <v>Growth</v>
      </c>
      <c r="F55" s="35" t="str">
        <f t="shared" si="4"/>
        <v>$2024 real</v>
      </c>
      <c r="G55" s="40">
        <f>IFERROR(INDEX('LV &amp; HV augex'!$D$10:$P$18,MATCH($C55,'LV &amp; HV augex'!$C$10:$C$18,0),MATCH(G$19,'LV &amp; HV augex'!$D$9:$P$9,0))*INDEX('LV &amp; HV augex'!$D$28:$J$52,MATCH($B55,'LV &amp; HV augex'!$L$28:$L$52,0),MATCH($C55,'LV &amp; HV augex'!$D$27:$J$27,0)),0)*'Financial inputs'!$D$11</f>
        <v>3680.2524884685167</v>
      </c>
      <c r="H55" s="40">
        <f>IFERROR(INDEX('LV &amp; HV augex'!$D$10:$P$18,MATCH($C55,'LV &amp; HV augex'!$C$10:$C$18,0),MATCH(H$19,'LV &amp; HV augex'!$D$9:$P$9,0))*INDEX('LV &amp; HV augex'!$D$28:$J$52,MATCH($B55,'LV &amp; HV augex'!$L$28:$L$52,0),MATCH($C55,'LV &amp; HV augex'!$D$27:$J$27,0)),0)*'Financial inputs'!$D$11</f>
        <v>3680.2524884685167</v>
      </c>
      <c r="I55" s="40">
        <f>IFERROR(INDEX('LV &amp; HV augex'!$D$10:$P$18,MATCH($C55,'LV &amp; HV augex'!$C$10:$C$18,0),MATCH(I$19,'LV &amp; HV augex'!$D$9:$P$9,0))*INDEX('LV &amp; HV augex'!$D$28:$J$52,MATCH($B55,'LV &amp; HV augex'!$L$28:$L$52,0),MATCH($C55,'LV &amp; HV augex'!$D$27:$J$27,0)),0)*'Financial inputs'!$D$11</f>
        <v>3680.2524884685167</v>
      </c>
      <c r="J55" s="40">
        <f>IFERROR(INDEX('LV &amp; HV augex'!$D$10:$P$18,MATCH($C55,'LV &amp; HV augex'!$C$10:$C$18,0),MATCH(J$19,'LV &amp; HV augex'!$D$9:$P$9,0))*INDEX('LV &amp; HV augex'!$D$28:$J$52,MATCH($B55,'LV &amp; HV augex'!$L$28:$L$52,0),MATCH($C55,'LV &amp; HV augex'!$D$27:$J$27,0)),0)*'Financial inputs'!$D$11</f>
        <v>3680.2524884685167</v>
      </c>
      <c r="K55" s="40">
        <f>IFERROR(INDEX('LV &amp; HV augex'!$D$10:$P$18,MATCH($C55,'LV &amp; HV augex'!$C$10:$C$18,0),MATCH(K$19,'LV &amp; HV augex'!$D$9:$P$9,0))*INDEX('LV &amp; HV augex'!$D$28:$J$52,MATCH($B55,'LV &amp; HV augex'!$L$28:$L$52,0),MATCH($C55,'LV &amp; HV augex'!$D$27:$J$27,0)),0)*'Financial inputs'!$D$11</f>
        <v>3680.2524884685167</v>
      </c>
      <c r="L55" s="40">
        <f>IFERROR(INDEX('LV &amp; HV augex'!$D$10:$P$18,MATCH($C55,'LV &amp; HV augex'!$C$10:$C$18,0),MATCH(L$19,'LV &amp; HV augex'!$D$9:$P$9,0))*INDEX('LV &amp; HV augex'!$D$28:$J$52,MATCH($B55,'LV &amp; HV augex'!$L$28:$L$52,0),MATCH($C55,'LV &amp; HV augex'!$D$27:$J$27,0)),0)*'Financial inputs'!$D$11</f>
        <v>3680.2524884685167</v>
      </c>
      <c r="M55" s="40">
        <f>IFERROR(INDEX('LV &amp; HV augex'!$D$10:$P$18,MATCH($C55,'LV &amp; HV augex'!$C$10:$C$18,0),MATCH(M$19,'LV &amp; HV augex'!$D$9:$P$9,0))*INDEX('LV &amp; HV augex'!$D$28:$J$52,MATCH($B55,'LV &amp; HV augex'!$L$28:$L$52,0),MATCH($C55,'LV &amp; HV augex'!$D$27:$J$27,0)),0)*'Financial inputs'!$D$11</f>
        <v>3680.2524884685167</v>
      </c>
      <c r="N55" s="40">
        <f>IFERROR(INDEX('LV &amp; HV augex'!$D$10:$P$18,MATCH($C55,'LV &amp; HV augex'!$C$10:$C$18,0),MATCH(N$19,'LV &amp; HV augex'!$D$9:$P$9,0))*INDEX('LV &amp; HV augex'!$D$28:$J$52,MATCH($B55,'LV &amp; HV augex'!$L$28:$L$52,0),MATCH($C55,'LV &amp; HV augex'!$D$27:$J$27,0)),0)*'Financial inputs'!$D$11</f>
        <v>3680.2524884685167</v>
      </c>
      <c r="O55" s="40">
        <f>IFERROR(INDEX('LV &amp; HV augex'!$D$10:$P$18,MATCH($C55,'LV &amp; HV augex'!$C$10:$C$18,0),MATCH(O$19,'LV &amp; HV augex'!$D$9:$P$9,0))*INDEX('LV &amp; HV augex'!$D$28:$J$52,MATCH($B55,'LV &amp; HV augex'!$L$28:$L$52,0),MATCH($C55,'LV &amp; HV augex'!$D$27:$J$27,0)),0)*'Financial inputs'!$D$11</f>
        <v>3680.2524884685167</v>
      </c>
      <c r="P55" s="40">
        <f>IFERROR(INDEX('LV &amp; HV augex'!$D$10:$P$18,MATCH($C55,'LV &amp; HV augex'!$C$10:$C$18,0),MATCH(P$19,'LV &amp; HV augex'!$D$9:$P$9,0))*INDEX('LV &amp; HV augex'!$D$28:$J$52,MATCH($B55,'LV &amp; HV augex'!$L$28:$L$52,0),MATCH($C55,'LV &amp; HV augex'!$D$27:$J$27,0)),0)*'Financial inputs'!$D$11</f>
        <v>3680.2524884685167</v>
      </c>
    </row>
    <row r="56" spans="2:16" ht="15.5">
      <c r="B56" s="2" t="str">
        <f t="shared" si="5"/>
        <v>Newcastle Inner City</v>
      </c>
      <c r="C56" s="35" t="str" cm="1">
        <f t="array" ref="C56">INDEX(augex_categories,COUNTIFS($B$20:$B56,$B$20))</f>
        <v>Voltage Management Tap Change</v>
      </c>
      <c r="D56" s="35" t="str">
        <f>IF(COUNTIF('LV &amp; HV augex'!$C$10:$C$13,C56), "LV", IF(COUNTIF('LV &amp; HV augex'!$C$15:$C$17, C56), "HV", "Error"))</f>
        <v>LV</v>
      </c>
      <c r="E56" s="35" t="str">
        <f>INDEX('Growing &amp; falling'!$D$14:$D$39,MATCH($B56,'Growing &amp; falling'!$B$14:$B$39,0))</f>
        <v>Decline</v>
      </c>
      <c r="F56" s="35" t="str">
        <f t="shared" si="4"/>
        <v>$2024 real</v>
      </c>
      <c r="G56" s="40">
        <f>IFERROR(INDEX('LV &amp; HV augex'!$D$10:$P$18,MATCH($C56,'LV &amp; HV augex'!$C$10:$C$18,0),MATCH(G$19,'LV &amp; HV augex'!$D$9:$P$9,0))*INDEX('LV &amp; HV augex'!$D$28:$J$52,MATCH($B56,'LV &amp; HV augex'!$L$28:$L$52,0),MATCH($C56,'LV &amp; HV augex'!$D$27:$J$27,0)),0)*'Financial inputs'!$D$11</f>
        <v>3680.2524884685167</v>
      </c>
      <c r="H56" s="40">
        <f>IFERROR(INDEX('LV &amp; HV augex'!$D$10:$P$18,MATCH($C56,'LV &amp; HV augex'!$C$10:$C$18,0),MATCH(H$19,'LV &amp; HV augex'!$D$9:$P$9,0))*INDEX('LV &amp; HV augex'!$D$28:$J$52,MATCH($B56,'LV &amp; HV augex'!$L$28:$L$52,0),MATCH($C56,'LV &amp; HV augex'!$D$27:$J$27,0)),0)*'Financial inputs'!$D$11</f>
        <v>3680.2524884685167</v>
      </c>
      <c r="I56" s="40">
        <f>IFERROR(INDEX('LV &amp; HV augex'!$D$10:$P$18,MATCH($C56,'LV &amp; HV augex'!$C$10:$C$18,0),MATCH(I$19,'LV &amp; HV augex'!$D$9:$P$9,0))*INDEX('LV &amp; HV augex'!$D$28:$J$52,MATCH($B56,'LV &amp; HV augex'!$L$28:$L$52,0),MATCH($C56,'LV &amp; HV augex'!$D$27:$J$27,0)),0)*'Financial inputs'!$D$11</f>
        <v>3680.2524884685167</v>
      </c>
      <c r="J56" s="40">
        <f>IFERROR(INDEX('LV &amp; HV augex'!$D$10:$P$18,MATCH($C56,'LV &amp; HV augex'!$C$10:$C$18,0),MATCH(J$19,'LV &amp; HV augex'!$D$9:$P$9,0))*INDEX('LV &amp; HV augex'!$D$28:$J$52,MATCH($B56,'LV &amp; HV augex'!$L$28:$L$52,0),MATCH($C56,'LV &amp; HV augex'!$D$27:$J$27,0)),0)*'Financial inputs'!$D$11</f>
        <v>3680.2524884685167</v>
      </c>
      <c r="K56" s="40">
        <f>IFERROR(INDEX('LV &amp; HV augex'!$D$10:$P$18,MATCH($C56,'LV &amp; HV augex'!$C$10:$C$18,0),MATCH(K$19,'LV &amp; HV augex'!$D$9:$P$9,0))*INDEX('LV &amp; HV augex'!$D$28:$J$52,MATCH($B56,'LV &amp; HV augex'!$L$28:$L$52,0),MATCH($C56,'LV &amp; HV augex'!$D$27:$J$27,0)),0)*'Financial inputs'!$D$11</f>
        <v>3680.2524884685167</v>
      </c>
      <c r="L56" s="40">
        <f>IFERROR(INDEX('LV &amp; HV augex'!$D$10:$P$18,MATCH($C56,'LV &amp; HV augex'!$C$10:$C$18,0),MATCH(L$19,'LV &amp; HV augex'!$D$9:$P$9,0))*INDEX('LV &amp; HV augex'!$D$28:$J$52,MATCH($B56,'LV &amp; HV augex'!$L$28:$L$52,0),MATCH($C56,'LV &amp; HV augex'!$D$27:$J$27,0)),0)*'Financial inputs'!$D$11</f>
        <v>3680.2524884685167</v>
      </c>
      <c r="M56" s="40">
        <f>IFERROR(INDEX('LV &amp; HV augex'!$D$10:$P$18,MATCH($C56,'LV &amp; HV augex'!$C$10:$C$18,0),MATCH(M$19,'LV &amp; HV augex'!$D$9:$P$9,0))*INDEX('LV &amp; HV augex'!$D$28:$J$52,MATCH($B56,'LV &amp; HV augex'!$L$28:$L$52,0),MATCH($C56,'LV &amp; HV augex'!$D$27:$J$27,0)),0)*'Financial inputs'!$D$11</f>
        <v>3680.2524884685167</v>
      </c>
      <c r="N56" s="40">
        <f>IFERROR(INDEX('LV &amp; HV augex'!$D$10:$P$18,MATCH($C56,'LV &amp; HV augex'!$C$10:$C$18,0),MATCH(N$19,'LV &amp; HV augex'!$D$9:$P$9,0))*INDEX('LV &amp; HV augex'!$D$28:$J$52,MATCH($B56,'LV &amp; HV augex'!$L$28:$L$52,0),MATCH($C56,'LV &amp; HV augex'!$D$27:$J$27,0)),0)*'Financial inputs'!$D$11</f>
        <v>3680.2524884685167</v>
      </c>
      <c r="O56" s="40">
        <f>IFERROR(INDEX('LV &amp; HV augex'!$D$10:$P$18,MATCH($C56,'LV &amp; HV augex'!$C$10:$C$18,0),MATCH(O$19,'LV &amp; HV augex'!$D$9:$P$9,0))*INDEX('LV &amp; HV augex'!$D$28:$J$52,MATCH($B56,'LV &amp; HV augex'!$L$28:$L$52,0),MATCH($C56,'LV &amp; HV augex'!$D$27:$J$27,0)),0)*'Financial inputs'!$D$11</f>
        <v>3680.2524884685167</v>
      </c>
      <c r="P56" s="40">
        <f>IFERROR(INDEX('LV &amp; HV augex'!$D$10:$P$18,MATCH($C56,'LV &amp; HV augex'!$C$10:$C$18,0),MATCH(P$19,'LV &amp; HV augex'!$D$9:$P$9,0))*INDEX('LV &amp; HV augex'!$D$28:$J$52,MATCH($B56,'LV &amp; HV augex'!$L$28:$L$52,0),MATCH($C56,'LV &amp; HV augex'!$D$27:$J$27,0)),0)*'Financial inputs'!$D$11</f>
        <v>3680.2524884685167</v>
      </c>
    </row>
    <row r="57" spans="2:16" ht="15.5">
      <c r="B57" s="2" t="str">
        <f t="shared" si="5"/>
        <v>Newcastle Port</v>
      </c>
      <c r="C57" s="35" t="str" cm="1">
        <f t="array" ref="C57">INDEX(augex_categories,COUNTIFS($B$20:$B57,$B$20))</f>
        <v>Voltage Management Tap Change</v>
      </c>
      <c r="D57" s="35" t="str">
        <f>IF(COUNTIF('LV &amp; HV augex'!$C$10:$C$13,C57), "LV", IF(COUNTIF('LV &amp; HV augex'!$C$15:$C$17, C57), "HV", "Error"))</f>
        <v>LV</v>
      </c>
      <c r="E57" s="35" t="str">
        <f>INDEX('Growing &amp; falling'!$D$14:$D$39,MATCH($B57,'Growing &amp; falling'!$B$14:$B$39,0))</f>
        <v>Growth</v>
      </c>
      <c r="F57" s="35" t="str">
        <f t="shared" si="4"/>
        <v>$2024 real</v>
      </c>
      <c r="G57" s="40">
        <f>IFERROR(INDEX('LV &amp; HV augex'!$D$10:$P$18,MATCH($C57,'LV &amp; HV augex'!$C$10:$C$18,0),MATCH(G$19,'LV &amp; HV augex'!$D$9:$P$9,0))*INDEX('LV &amp; HV augex'!$D$28:$J$52,MATCH($B57,'LV &amp; HV augex'!$L$28:$L$52,0),MATCH($C57,'LV &amp; HV augex'!$D$27:$J$27,0)),0)*'Financial inputs'!$D$11</f>
        <v>1104.0757465405552</v>
      </c>
      <c r="H57" s="40">
        <f>IFERROR(INDEX('LV &amp; HV augex'!$D$10:$P$18,MATCH($C57,'LV &amp; HV augex'!$C$10:$C$18,0),MATCH(H$19,'LV &amp; HV augex'!$D$9:$P$9,0))*INDEX('LV &amp; HV augex'!$D$28:$J$52,MATCH($B57,'LV &amp; HV augex'!$L$28:$L$52,0),MATCH($C57,'LV &amp; HV augex'!$D$27:$J$27,0)),0)*'Financial inputs'!$D$11</f>
        <v>1104.0757465405552</v>
      </c>
      <c r="I57" s="40">
        <f>IFERROR(INDEX('LV &amp; HV augex'!$D$10:$P$18,MATCH($C57,'LV &amp; HV augex'!$C$10:$C$18,0),MATCH(I$19,'LV &amp; HV augex'!$D$9:$P$9,0))*INDEX('LV &amp; HV augex'!$D$28:$J$52,MATCH($B57,'LV &amp; HV augex'!$L$28:$L$52,0),MATCH($C57,'LV &amp; HV augex'!$D$27:$J$27,0)),0)*'Financial inputs'!$D$11</f>
        <v>1104.0757465405552</v>
      </c>
      <c r="J57" s="40">
        <f>IFERROR(INDEX('LV &amp; HV augex'!$D$10:$P$18,MATCH($C57,'LV &amp; HV augex'!$C$10:$C$18,0),MATCH(J$19,'LV &amp; HV augex'!$D$9:$P$9,0))*INDEX('LV &amp; HV augex'!$D$28:$J$52,MATCH($B57,'LV &amp; HV augex'!$L$28:$L$52,0),MATCH($C57,'LV &amp; HV augex'!$D$27:$J$27,0)),0)*'Financial inputs'!$D$11</f>
        <v>1104.0757465405552</v>
      </c>
      <c r="K57" s="40">
        <f>IFERROR(INDEX('LV &amp; HV augex'!$D$10:$P$18,MATCH($C57,'LV &amp; HV augex'!$C$10:$C$18,0),MATCH(K$19,'LV &amp; HV augex'!$D$9:$P$9,0))*INDEX('LV &amp; HV augex'!$D$28:$J$52,MATCH($B57,'LV &amp; HV augex'!$L$28:$L$52,0),MATCH($C57,'LV &amp; HV augex'!$D$27:$J$27,0)),0)*'Financial inputs'!$D$11</f>
        <v>1104.0757465405552</v>
      </c>
      <c r="L57" s="40">
        <f>IFERROR(INDEX('LV &amp; HV augex'!$D$10:$P$18,MATCH($C57,'LV &amp; HV augex'!$C$10:$C$18,0),MATCH(L$19,'LV &amp; HV augex'!$D$9:$P$9,0))*INDEX('LV &amp; HV augex'!$D$28:$J$52,MATCH($B57,'LV &amp; HV augex'!$L$28:$L$52,0),MATCH($C57,'LV &amp; HV augex'!$D$27:$J$27,0)),0)*'Financial inputs'!$D$11</f>
        <v>1104.0757465405552</v>
      </c>
      <c r="M57" s="40">
        <f>IFERROR(INDEX('LV &amp; HV augex'!$D$10:$P$18,MATCH($C57,'LV &amp; HV augex'!$C$10:$C$18,0),MATCH(M$19,'LV &amp; HV augex'!$D$9:$P$9,0))*INDEX('LV &amp; HV augex'!$D$28:$J$52,MATCH($B57,'LV &amp; HV augex'!$L$28:$L$52,0),MATCH($C57,'LV &amp; HV augex'!$D$27:$J$27,0)),0)*'Financial inputs'!$D$11</f>
        <v>1104.0757465405552</v>
      </c>
      <c r="N57" s="40">
        <f>IFERROR(INDEX('LV &amp; HV augex'!$D$10:$P$18,MATCH($C57,'LV &amp; HV augex'!$C$10:$C$18,0),MATCH(N$19,'LV &amp; HV augex'!$D$9:$P$9,0))*INDEX('LV &amp; HV augex'!$D$28:$J$52,MATCH($B57,'LV &amp; HV augex'!$L$28:$L$52,0),MATCH($C57,'LV &amp; HV augex'!$D$27:$J$27,0)),0)*'Financial inputs'!$D$11</f>
        <v>1104.0757465405552</v>
      </c>
      <c r="O57" s="40">
        <f>IFERROR(INDEX('LV &amp; HV augex'!$D$10:$P$18,MATCH($C57,'LV &amp; HV augex'!$C$10:$C$18,0),MATCH(O$19,'LV &amp; HV augex'!$D$9:$P$9,0))*INDEX('LV &amp; HV augex'!$D$28:$J$52,MATCH($B57,'LV &amp; HV augex'!$L$28:$L$52,0),MATCH($C57,'LV &amp; HV augex'!$D$27:$J$27,0)),0)*'Financial inputs'!$D$11</f>
        <v>1104.0757465405552</v>
      </c>
      <c r="P57" s="40">
        <f>IFERROR(INDEX('LV &amp; HV augex'!$D$10:$P$18,MATCH($C57,'LV &amp; HV augex'!$C$10:$C$18,0),MATCH(P$19,'LV &amp; HV augex'!$D$9:$P$9,0))*INDEX('LV &amp; HV augex'!$D$28:$J$52,MATCH($B57,'LV &amp; HV augex'!$L$28:$L$52,0),MATCH($C57,'LV &amp; HV augex'!$D$27:$J$27,0)),0)*'Financial inputs'!$D$11</f>
        <v>1104.0757465405552</v>
      </c>
    </row>
    <row r="58" spans="2:16" ht="15.5">
      <c r="B58" s="2" t="str">
        <f t="shared" si="5"/>
        <v>Newcastle Western Corridor</v>
      </c>
      <c r="C58" s="35" t="str" cm="1">
        <f t="array" ref="C58">INDEX(augex_categories,COUNTIFS($B$20:$B58,$B$20))</f>
        <v>Voltage Management Tap Change</v>
      </c>
      <c r="D58" s="35" t="str">
        <f>IF(COUNTIF('LV &amp; HV augex'!$C$10:$C$13,C58), "LV", IF(COUNTIF('LV &amp; HV augex'!$C$15:$C$17, C58), "HV", "Error"))</f>
        <v>LV</v>
      </c>
      <c r="E58" s="35" t="str">
        <f>INDEX('Growing &amp; falling'!$D$14:$D$39,MATCH($B58,'Growing &amp; falling'!$B$14:$B$39,0))</f>
        <v>Decline</v>
      </c>
      <c r="F58" s="35" t="str">
        <f t="shared" si="4"/>
        <v>$2024 real</v>
      </c>
      <c r="G58" s="40">
        <f>IFERROR(INDEX('LV &amp; HV augex'!$D$10:$P$18,MATCH($C58,'LV &amp; HV augex'!$C$10:$C$18,0),MATCH(G$19,'LV &amp; HV augex'!$D$9:$P$9,0))*INDEX('LV &amp; HV augex'!$D$28:$J$52,MATCH($B58,'LV &amp; HV augex'!$L$28:$L$52,0),MATCH($C58,'LV &amp; HV augex'!$D$27:$J$27,0)),0)*'Financial inputs'!$D$11</f>
        <v>3680.2524884685167</v>
      </c>
      <c r="H58" s="40">
        <f>IFERROR(INDEX('LV &amp; HV augex'!$D$10:$P$18,MATCH($C58,'LV &amp; HV augex'!$C$10:$C$18,0),MATCH(H$19,'LV &amp; HV augex'!$D$9:$P$9,0))*INDEX('LV &amp; HV augex'!$D$28:$J$52,MATCH($B58,'LV &amp; HV augex'!$L$28:$L$52,0),MATCH($C58,'LV &amp; HV augex'!$D$27:$J$27,0)),0)*'Financial inputs'!$D$11</f>
        <v>3680.2524884685167</v>
      </c>
      <c r="I58" s="40">
        <f>IFERROR(INDEX('LV &amp; HV augex'!$D$10:$P$18,MATCH($C58,'LV &amp; HV augex'!$C$10:$C$18,0),MATCH(I$19,'LV &amp; HV augex'!$D$9:$P$9,0))*INDEX('LV &amp; HV augex'!$D$28:$J$52,MATCH($B58,'LV &amp; HV augex'!$L$28:$L$52,0),MATCH($C58,'LV &amp; HV augex'!$D$27:$J$27,0)),0)*'Financial inputs'!$D$11</f>
        <v>3680.2524884685167</v>
      </c>
      <c r="J58" s="40">
        <f>IFERROR(INDEX('LV &amp; HV augex'!$D$10:$P$18,MATCH($C58,'LV &amp; HV augex'!$C$10:$C$18,0),MATCH(J$19,'LV &amp; HV augex'!$D$9:$P$9,0))*INDEX('LV &amp; HV augex'!$D$28:$J$52,MATCH($B58,'LV &amp; HV augex'!$L$28:$L$52,0),MATCH($C58,'LV &amp; HV augex'!$D$27:$J$27,0)),0)*'Financial inputs'!$D$11</f>
        <v>3680.2524884685167</v>
      </c>
      <c r="K58" s="40">
        <f>IFERROR(INDEX('LV &amp; HV augex'!$D$10:$P$18,MATCH($C58,'LV &amp; HV augex'!$C$10:$C$18,0),MATCH(K$19,'LV &amp; HV augex'!$D$9:$P$9,0))*INDEX('LV &amp; HV augex'!$D$28:$J$52,MATCH($B58,'LV &amp; HV augex'!$L$28:$L$52,0),MATCH($C58,'LV &amp; HV augex'!$D$27:$J$27,0)),0)*'Financial inputs'!$D$11</f>
        <v>3680.2524884685167</v>
      </c>
      <c r="L58" s="40">
        <f>IFERROR(INDEX('LV &amp; HV augex'!$D$10:$P$18,MATCH($C58,'LV &amp; HV augex'!$C$10:$C$18,0),MATCH(L$19,'LV &amp; HV augex'!$D$9:$P$9,0))*INDEX('LV &amp; HV augex'!$D$28:$J$52,MATCH($B58,'LV &amp; HV augex'!$L$28:$L$52,0),MATCH($C58,'LV &amp; HV augex'!$D$27:$J$27,0)),0)*'Financial inputs'!$D$11</f>
        <v>3680.2524884685167</v>
      </c>
      <c r="M58" s="40">
        <f>IFERROR(INDEX('LV &amp; HV augex'!$D$10:$P$18,MATCH($C58,'LV &amp; HV augex'!$C$10:$C$18,0),MATCH(M$19,'LV &amp; HV augex'!$D$9:$P$9,0))*INDEX('LV &amp; HV augex'!$D$28:$J$52,MATCH($B58,'LV &amp; HV augex'!$L$28:$L$52,0),MATCH($C58,'LV &amp; HV augex'!$D$27:$J$27,0)),0)*'Financial inputs'!$D$11</f>
        <v>3680.2524884685167</v>
      </c>
      <c r="N58" s="40">
        <f>IFERROR(INDEX('LV &amp; HV augex'!$D$10:$P$18,MATCH($C58,'LV &amp; HV augex'!$C$10:$C$18,0),MATCH(N$19,'LV &amp; HV augex'!$D$9:$P$9,0))*INDEX('LV &amp; HV augex'!$D$28:$J$52,MATCH($B58,'LV &amp; HV augex'!$L$28:$L$52,0),MATCH($C58,'LV &amp; HV augex'!$D$27:$J$27,0)),0)*'Financial inputs'!$D$11</f>
        <v>3680.2524884685167</v>
      </c>
      <c r="O58" s="40">
        <f>IFERROR(INDEX('LV &amp; HV augex'!$D$10:$P$18,MATCH($C58,'LV &amp; HV augex'!$C$10:$C$18,0),MATCH(O$19,'LV &amp; HV augex'!$D$9:$P$9,0))*INDEX('LV &amp; HV augex'!$D$28:$J$52,MATCH($B58,'LV &amp; HV augex'!$L$28:$L$52,0),MATCH($C58,'LV &amp; HV augex'!$D$27:$J$27,0)),0)*'Financial inputs'!$D$11</f>
        <v>3680.2524884685167</v>
      </c>
      <c r="P58" s="40">
        <f>IFERROR(INDEX('LV &amp; HV augex'!$D$10:$P$18,MATCH($C58,'LV &amp; HV augex'!$C$10:$C$18,0),MATCH(P$19,'LV &amp; HV augex'!$D$9:$P$9,0))*INDEX('LV &amp; HV augex'!$D$28:$J$52,MATCH($B58,'LV &amp; HV augex'!$L$28:$L$52,0),MATCH($C58,'LV &amp; HV augex'!$D$27:$J$27,0)),0)*'Financial inputs'!$D$11</f>
        <v>3680.2524884685167</v>
      </c>
    </row>
    <row r="59" spans="2:16" ht="15.5">
      <c r="B59" s="2" t="str">
        <f t="shared" si="5"/>
        <v>North East Lake Macquarie</v>
      </c>
      <c r="C59" s="35" t="str" cm="1">
        <f t="array" ref="C59">INDEX(augex_categories,COUNTIFS($B$20:$B59,$B$20))</f>
        <v>Voltage Management Tap Change</v>
      </c>
      <c r="D59" s="35" t="str">
        <f>IF(COUNTIF('LV &amp; HV augex'!$C$10:$C$13,C59), "LV", IF(COUNTIF('LV &amp; HV augex'!$C$15:$C$17, C59), "HV", "Error"))</f>
        <v>LV</v>
      </c>
      <c r="E59" s="35" t="str">
        <f>INDEX('Growing &amp; falling'!$D$14:$D$39,MATCH($B59,'Growing &amp; falling'!$B$14:$B$39,0))</f>
        <v>Decline</v>
      </c>
      <c r="F59" s="35" t="str">
        <f t="shared" si="4"/>
        <v>$2024 real</v>
      </c>
      <c r="G59" s="40">
        <f>IFERROR(INDEX('LV &amp; HV augex'!$D$10:$P$18,MATCH($C59,'LV &amp; HV augex'!$C$10:$C$18,0),MATCH(G$19,'LV &amp; HV augex'!$D$9:$P$9,0))*INDEX('LV &amp; HV augex'!$D$28:$J$52,MATCH($B59,'LV &amp; HV augex'!$L$28:$L$52,0),MATCH($C59,'LV &amp; HV augex'!$D$27:$J$27,0)),0)*'Financial inputs'!$D$11</f>
        <v>3680.2524884685167</v>
      </c>
      <c r="H59" s="40">
        <f>IFERROR(INDEX('LV &amp; HV augex'!$D$10:$P$18,MATCH($C59,'LV &amp; HV augex'!$C$10:$C$18,0),MATCH(H$19,'LV &amp; HV augex'!$D$9:$P$9,0))*INDEX('LV &amp; HV augex'!$D$28:$J$52,MATCH($B59,'LV &amp; HV augex'!$L$28:$L$52,0),MATCH($C59,'LV &amp; HV augex'!$D$27:$J$27,0)),0)*'Financial inputs'!$D$11</f>
        <v>3680.2524884685167</v>
      </c>
      <c r="I59" s="40">
        <f>IFERROR(INDEX('LV &amp; HV augex'!$D$10:$P$18,MATCH($C59,'LV &amp; HV augex'!$C$10:$C$18,0),MATCH(I$19,'LV &amp; HV augex'!$D$9:$P$9,0))*INDEX('LV &amp; HV augex'!$D$28:$J$52,MATCH($B59,'LV &amp; HV augex'!$L$28:$L$52,0),MATCH($C59,'LV &amp; HV augex'!$D$27:$J$27,0)),0)*'Financial inputs'!$D$11</f>
        <v>3680.2524884685167</v>
      </c>
      <c r="J59" s="40">
        <f>IFERROR(INDEX('LV &amp; HV augex'!$D$10:$P$18,MATCH($C59,'LV &amp; HV augex'!$C$10:$C$18,0),MATCH(J$19,'LV &amp; HV augex'!$D$9:$P$9,0))*INDEX('LV &amp; HV augex'!$D$28:$J$52,MATCH($B59,'LV &amp; HV augex'!$L$28:$L$52,0),MATCH($C59,'LV &amp; HV augex'!$D$27:$J$27,0)),0)*'Financial inputs'!$D$11</f>
        <v>3680.2524884685167</v>
      </c>
      <c r="K59" s="40">
        <f>IFERROR(INDEX('LV &amp; HV augex'!$D$10:$P$18,MATCH($C59,'LV &amp; HV augex'!$C$10:$C$18,0),MATCH(K$19,'LV &amp; HV augex'!$D$9:$P$9,0))*INDEX('LV &amp; HV augex'!$D$28:$J$52,MATCH($B59,'LV &amp; HV augex'!$L$28:$L$52,0),MATCH($C59,'LV &amp; HV augex'!$D$27:$J$27,0)),0)*'Financial inputs'!$D$11</f>
        <v>3680.2524884685167</v>
      </c>
      <c r="L59" s="40">
        <f>IFERROR(INDEX('LV &amp; HV augex'!$D$10:$P$18,MATCH($C59,'LV &amp; HV augex'!$C$10:$C$18,0),MATCH(L$19,'LV &amp; HV augex'!$D$9:$P$9,0))*INDEX('LV &amp; HV augex'!$D$28:$J$52,MATCH($B59,'LV &amp; HV augex'!$L$28:$L$52,0),MATCH($C59,'LV &amp; HV augex'!$D$27:$J$27,0)),0)*'Financial inputs'!$D$11</f>
        <v>3680.2524884685167</v>
      </c>
      <c r="M59" s="40">
        <f>IFERROR(INDEX('LV &amp; HV augex'!$D$10:$P$18,MATCH($C59,'LV &amp; HV augex'!$C$10:$C$18,0),MATCH(M$19,'LV &amp; HV augex'!$D$9:$P$9,0))*INDEX('LV &amp; HV augex'!$D$28:$J$52,MATCH($B59,'LV &amp; HV augex'!$L$28:$L$52,0),MATCH($C59,'LV &amp; HV augex'!$D$27:$J$27,0)),0)*'Financial inputs'!$D$11</f>
        <v>3680.2524884685167</v>
      </c>
      <c r="N59" s="40">
        <f>IFERROR(INDEX('LV &amp; HV augex'!$D$10:$P$18,MATCH($C59,'LV &amp; HV augex'!$C$10:$C$18,0),MATCH(N$19,'LV &amp; HV augex'!$D$9:$P$9,0))*INDEX('LV &amp; HV augex'!$D$28:$J$52,MATCH($B59,'LV &amp; HV augex'!$L$28:$L$52,0),MATCH($C59,'LV &amp; HV augex'!$D$27:$J$27,0)),0)*'Financial inputs'!$D$11</f>
        <v>3680.2524884685167</v>
      </c>
      <c r="O59" s="40">
        <f>IFERROR(INDEX('LV &amp; HV augex'!$D$10:$P$18,MATCH($C59,'LV &amp; HV augex'!$C$10:$C$18,0),MATCH(O$19,'LV &amp; HV augex'!$D$9:$P$9,0))*INDEX('LV &amp; HV augex'!$D$28:$J$52,MATCH($B59,'LV &amp; HV augex'!$L$28:$L$52,0),MATCH($C59,'LV &amp; HV augex'!$D$27:$J$27,0)),0)*'Financial inputs'!$D$11</f>
        <v>3680.2524884685167</v>
      </c>
      <c r="P59" s="40">
        <f>IFERROR(INDEX('LV &amp; HV augex'!$D$10:$P$18,MATCH($C59,'LV &amp; HV augex'!$C$10:$C$18,0),MATCH(P$19,'LV &amp; HV augex'!$D$9:$P$9,0))*INDEX('LV &amp; HV augex'!$D$28:$J$52,MATCH($B59,'LV &amp; HV augex'!$L$28:$L$52,0),MATCH($C59,'LV &amp; HV augex'!$D$27:$J$27,0)),0)*'Financial inputs'!$D$11</f>
        <v>3680.2524884685167</v>
      </c>
    </row>
    <row r="60" spans="2:16" ht="15.5">
      <c r="B60" s="2" t="str">
        <f t="shared" si="5"/>
        <v>North West</v>
      </c>
      <c r="C60" s="35" t="str" cm="1">
        <f t="array" ref="C60">INDEX(augex_categories,COUNTIFS($B$20:$B60,$B$20))</f>
        <v>Voltage Management Tap Change</v>
      </c>
      <c r="D60" s="35" t="str">
        <f>IF(COUNTIF('LV &amp; HV augex'!$C$10:$C$13,C60), "LV", IF(COUNTIF('LV &amp; HV augex'!$C$15:$C$17, C60), "HV", "Error"))</f>
        <v>LV</v>
      </c>
      <c r="E60" s="35" t="str">
        <f>INDEX('Growing &amp; falling'!$D$14:$D$39,MATCH($B60,'Growing &amp; falling'!$B$14:$B$39,0))</f>
        <v>Growth</v>
      </c>
      <c r="F60" s="35" t="str">
        <f t="shared" si="4"/>
        <v>$2024 real</v>
      </c>
      <c r="G60" s="40">
        <f>IFERROR(INDEX('LV &amp; HV augex'!$D$10:$P$18,MATCH($C60,'LV &amp; HV augex'!$C$10:$C$18,0),MATCH(G$19,'LV &amp; HV augex'!$D$9:$P$9,0))*INDEX('LV &amp; HV augex'!$D$28:$J$52,MATCH($B60,'LV &amp; HV augex'!$L$28:$L$52,0),MATCH($C60,'LV &amp; HV augex'!$D$27:$J$27,0)),0)*'Financial inputs'!$D$11</f>
        <v>3680.2524884685167</v>
      </c>
      <c r="H60" s="40">
        <f>IFERROR(INDEX('LV &amp; HV augex'!$D$10:$P$18,MATCH($C60,'LV &amp; HV augex'!$C$10:$C$18,0),MATCH(H$19,'LV &amp; HV augex'!$D$9:$P$9,0))*INDEX('LV &amp; HV augex'!$D$28:$J$52,MATCH($B60,'LV &amp; HV augex'!$L$28:$L$52,0),MATCH($C60,'LV &amp; HV augex'!$D$27:$J$27,0)),0)*'Financial inputs'!$D$11</f>
        <v>3680.2524884685167</v>
      </c>
      <c r="I60" s="40">
        <f>IFERROR(INDEX('LV &amp; HV augex'!$D$10:$P$18,MATCH($C60,'LV &amp; HV augex'!$C$10:$C$18,0),MATCH(I$19,'LV &amp; HV augex'!$D$9:$P$9,0))*INDEX('LV &amp; HV augex'!$D$28:$J$52,MATCH($B60,'LV &amp; HV augex'!$L$28:$L$52,0),MATCH($C60,'LV &amp; HV augex'!$D$27:$J$27,0)),0)*'Financial inputs'!$D$11</f>
        <v>3680.2524884685167</v>
      </c>
      <c r="J60" s="40">
        <f>IFERROR(INDEX('LV &amp; HV augex'!$D$10:$P$18,MATCH($C60,'LV &amp; HV augex'!$C$10:$C$18,0),MATCH(J$19,'LV &amp; HV augex'!$D$9:$P$9,0))*INDEX('LV &amp; HV augex'!$D$28:$J$52,MATCH($B60,'LV &amp; HV augex'!$L$28:$L$52,0),MATCH($C60,'LV &amp; HV augex'!$D$27:$J$27,0)),0)*'Financial inputs'!$D$11</f>
        <v>3680.2524884685167</v>
      </c>
      <c r="K60" s="40">
        <f>IFERROR(INDEX('LV &amp; HV augex'!$D$10:$P$18,MATCH($C60,'LV &amp; HV augex'!$C$10:$C$18,0),MATCH(K$19,'LV &amp; HV augex'!$D$9:$P$9,0))*INDEX('LV &amp; HV augex'!$D$28:$J$52,MATCH($B60,'LV &amp; HV augex'!$L$28:$L$52,0),MATCH($C60,'LV &amp; HV augex'!$D$27:$J$27,0)),0)*'Financial inputs'!$D$11</f>
        <v>3680.2524884685167</v>
      </c>
      <c r="L60" s="40">
        <f>IFERROR(INDEX('LV &amp; HV augex'!$D$10:$P$18,MATCH($C60,'LV &amp; HV augex'!$C$10:$C$18,0),MATCH(L$19,'LV &amp; HV augex'!$D$9:$P$9,0))*INDEX('LV &amp; HV augex'!$D$28:$J$52,MATCH($B60,'LV &amp; HV augex'!$L$28:$L$52,0),MATCH($C60,'LV &amp; HV augex'!$D$27:$J$27,0)),0)*'Financial inputs'!$D$11</f>
        <v>3680.2524884685167</v>
      </c>
      <c r="M60" s="40">
        <f>IFERROR(INDEX('LV &amp; HV augex'!$D$10:$P$18,MATCH($C60,'LV &amp; HV augex'!$C$10:$C$18,0),MATCH(M$19,'LV &amp; HV augex'!$D$9:$P$9,0))*INDEX('LV &amp; HV augex'!$D$28:$J$52,MATCH($B60,'LV &amp; HV augex'!$L$28:$L$52,0),MATCH($C60,'LV &amp; HV augex'!$D$27:$J$27,0)),0)*'Financial inputs'!$D$11</f>
        <v>3680.2524884685167</v>
      </c>
      <c r="N60" s="40">
        <f>IFERROR(INDEX('LV &amp; HV augex'!$D$10:$P$18,MATCH($C60,'LV &amp; HV augex'!$C$10:$C$18,0),MATCH(N$19,'LV &amp; HV augex'!$D$9:$P$9,0))*INDEX('LV &amp; HV augex'!$D$28:$J$52,MATCH($B60,'LV &amp; HV augex'!$L$28:$L$52,0),MATCH($C60,'LV &amp; HV augex'!$D$27:$J$27,0)),0)*'Financial inputs'!$D$11</f>
        <v>3680.2524884685167</v>
      </c>
      <c r="O60" s="40">
        <f>IFERROR(INDEX('LV &amp; HV augex'!$D$10:$P$18,MATCH($C60,'LV &amp; HV augex'!$C$10:$C$18,0),MATCH(O$19,'LV &amp; HV augex'!$D$9:$P$9,0))*INDEX('LV &amp; HV augex'!$D$28:$J$52,MATCH($B60,'LV &amp; HV augex'!$L$28:$L$52,0),MATCH($C60,'LV &amp; HV augex'!$D$27:$J$27,0)),0)*'Financial inputs'!$D$11</f>
        <v>3680.2524884685167</v>
      </c>
      <c r="P60" s="40">
        <f>IFERROR(INDEX('LV &amp; HV augex'!$D$10:$P$18,MATCH($C60,'LV &amp; HV augex'!$C$10:$C$18,0),MATCH(P$19,'LV &amp; HV augex'!$D$9:$P$9,0))*INDEX('LV &amp; HV augex'!$D$28:$J$52,MATCH($B60,'LV &amp; HV augex'!$L$28:$L$52,0),MATCH($C60,'LV &amp; HV augex'!$D$27:$J$27,0)),0)*'Financial inputs'!$D$11</f>
        <v>3680.2524884685167</v>
      </c>
    </row>
    <row r="61" spans="2:16" ht="15.5">
      <c r="B61" s="2" t="str">
        <f t="shared" si="5"/>
        <v>Pittwater &amp; Terrey Hills</v>
      </c>
      <c r="C61" s="35" t="str" cm="1">
        <f t="array" ref="C61">INDEX(augex_categories,COUNTIFS($B$20:$B61,$B$20))</f>
        <v>Voltage Management Tap Change</v>
      </c>
      <c r="D61" s="35" t="str">
        <f>IF(COUNTIF('LV &amp; HV augex'!$C$10:$C$13,C61), "LV", IF(COUNTIF('LV &amp; HV augex'!$C$15:$C$17, C61), "HV", "Error"))</f>
        <v>LV</v>
      </c>
      <c r="E61" s="35" t="str">
        <f>INDEX('Growing &amp; falling'!$D$14:$D$39,MATCH($B61,'Growing &amp; falling'!$B$14:$B$39,0))</f>
        <v>Decline</v>
      </c>
      <c r="F61" s="35" t="str">
        <f t="shared" si="4"/>
        <v>$2024 real</v>
      </c>
      <c r="G61" s="40">
        <f>IFERROR(INDEX('LV &amp; HV augex'!$D$10:$P$18,MATCH($C61,'LV &amp; HV augex'!$C$10:$C$18,0),MATCH(G$19,'LV &amp; HV augex'!$D$9:$P$9,0))*INDEX('LV &amp; HV augex'!$D$28:$J$52,MATCH($B61,'LV &amp; HV augex'!$L$28:$L$52,0),MATCH($C61,'LV &amp; HV augex'!$D$27:$J$27,0)),0)*'Financial inputs'!$D$11</f>
        <v>3680.2524884685167</v>
      </c>
      <c r="H61" s="40">
        <f>IFERROR(INDEX('LV &amp; HV augex'!$D$10:$P$18,MATCH($C61,'LV &amp; HV augex'!$C$10:$C$18,0),MATCH(H$19,'LV &amp; HV augex'!$D$9:$P$9,0))*INDEX('LV &amp; HV augex'!$D$28:$J$52,MATCH($B61,'LV &amp; HV augex'!$L$28:$L$52,0),MATCH($C61,'LV &amp; HV augex'!$D$27:$J$27,0)),0)*'Financial inputs'!$D$11</f>
        <v>3680.2524884685167</v>
      </c>
      <c r="I61" s="40">
        <f>IFERROR(INDEX('LV &amp; HV augex'!$D$10:$P$18,MATCH($C61,'LV &amp; HV augex'!$C$10:$C$18,0),MATCH(I$19,'LV &amp; HV augex'!$D$9:$P$9,0))*INDEX('LV &amp; HV augex'!$D$28:$J$52,MATCH($B61,'LV &amp; HV augex'!$L$28:$L$52,0),MATCH($C61,'LV &amp; HV augex'!$D$27:$J$27,0)),0)*'Financial inputs'!$D$11</f>
        <v>3680.2524884685167</v>
      </c>
      <c r="J61" s="40">
        <f>IFERROR(INDEX('LV &amp; HV augex'!$D$10:$P$18,MATCH($C61,'LV &amp; HV augex'!$C$10:$C$18,0),MATCH(J$19,'LV &amp; HV augex'!$D$9:$P$9,0))*INDEX('LV &amp; HV augex'!$D$28:$J$52,MATCH($B61,'LV &amp; HV augex'!$L$28:$L$52,0),MATCH($C61,'LV &amp; HV augex'!$D$27:$J$27,0)),0)*'Financial inputs'!$D$11</f>
        <v>3680.2524884685167</v>
      </c>
      <c r="K61" s="40">
        <f>IFERROR(INDEX('LV &amp; HV augex'!$D$10:$P$18,MATCH($C61,'LV &amp; HV augex'!$C$10:$C$18,0),MATCH(K$19,'LV &amp; HV augex'!$D$9:$P$9,0))*INDEX('LV &amp; HV augex'!$D$28:$J$52,MATCH($B61,'LV &amp; HV augex'!$L$28:$L$52,0),MATCH($C61,'LV &amp; HV augex'!$D$27:$J$27,0)),0)*'Financial inputs'!$D$11</f>
        <v>3680.2524884685167</v>
      </c>
      <c r="L61" s="40">
        <f>IFERROR(INDEX('LV &amp; HV augex'!$D$10:$P$18,MATCH($C61,'LV &amp; HV augex'!$C$10:$C$18,0),MATCH(L$19,'LV &amp; HV augex'!$D$9:$P$9,0))*INDEX('LV &amp; HV augex'!$D$28:$J$52,MATCH($B61,'LV &amp; HV augex'!$L$28:$L$52,0),MATCH($C61,'LV &amp; HV augex'!$D$27:$J$27,0)),0)*'Financial inputs'!$D$11</f>
        <v>3680.2524884685167</v>
      </c>
      <c r="M61" s="40">
        <f>IFERROR(INDEX('LV &amp; HV augex'!$D$10:$P$18,MATCH($C61,'LV &amp; HV augex'!$C$10:$C$18,0),MATCH(M$19,'LV &amp; HV augex'!$D$9:$P$9,0))*INDEX('LV &amp; HV augex'!$D$28:$J$52,MATCH($B61,'LV &amp; HV augex'!$L$28:$L$52,0),MATCH($C61,'LV &amp; HV augex'!$D$27:$J$27,0)),0)*'Financial inputs'!$D$11</f>
        <v>3680.2524884685167</v>
      </c>
      <c r="N61" s="40">
        <f>IFERROR(INDEX('LV &amp; HV augex'!$D$10:$P$18,MATCH($C61,'LV &amp; HV augex'!$C$10:$C$18,0),MATCH(N$19,'LV &amp; HV augex'!$D$9:$P$9,0))*INDEX('LV &amp; HV augex'!$D$28:$J$52,MATCH($B61,'LV &amp; HV augex'!$L$28:$L$52,0),MATCH($C61,'LV &amp; HV augex'!$D$27:$J$27,0)),0)*'Financial inputs'!$D$11</f>
        <v>3680.2524884685167</v>
      </c>
      <c r="O61" s="40">
        <f>IFERROR(INDEX('LV &amp; HV augex'!$D$10:$P$18,MATCH($C61,'LV &amp; HV augex'!$C$10:$C$18,0),MATCH(O$19,'LV &amp; HV augex'!$D$9:$P$9,0))*INDEX('LV &amp; HV augex'!$D$28:$J$52,MATCH($B61,'LV &amp; HV augex'!$L$28:$L$52,0),MATCH($C61,'LV &amp; HV augex'!$D$27:$J$27,0)),0)*'Financial inputs'!$D$11</f>
        <v>3680.2524884685167</v>
      </c>
      <c r="P61" s="40">
        <f>IFERROR(INDEX('LV &amp; HV augex'!$D$10:$P$18,MATCH($C61,'LV &amp; HV augex'!$C$10:$C$18,0),MATCH(P$19,'LV &amp; HV augex'!$D$9:$P$9,0))*INDEX('LV &amp; HV augex'!$D$28:$J$52,MATCH($B61,'LV &amp; HV augex'!$L$28:$L$52,0),MATCH($C61,'LV &amp; HV augex'!$D$27:$J$27,0)),0)*'Financial inputs'!$D$11</f>
        <v>3680.2524884685167</v>
      </c>
    </row>
    <row r="62" spans="2:16" ht="15.5">
      <c r="B62" s="2" t="str">
        <f t="shared" si="5"/>
        <v>Port Stephens</v>
      </c>
      <c r="C62" s="35" t="str" cm="1">
        <f t="array" ref="C62">INDEX(augex_categories,COUNTIFS($B$20:$B62,$B$20))</f>
        <v>Voltage Management Tap Change</v>
      </c>
      <c r="D62" s="35" t="str">
        <f>IF(COUNTIF('LV &amp; HV augex'!$C$10:$C$13,C62), "LV", IF(COUNTIF('LV &amp; HV augex'!$C$15:$C$17, C62), "HV", "Error"))</f>
        <v>LV</v>
      </c>
      <c r="E62" s="35" t="str">
        <f>INDEX('Growing &amp; falling'!$D$14:$D$39,MATCH($B62,'Growing &amp; falling'!$B$14:$B$39,0))</f>
        <v>Decline</v>
      </c>
      <c r="F62" s="35" t="str">
        <f t="shared" si="4"/>
        <v>$2024 real</v>
      </c>
      <c r="G62" s="40">
        <f>IFERROR(INDEX('LV &amp; HV augex'!$D$10:$P$18,MATCH($C62,'LV &amp; HV augex'!$C$10:$C$18,0),MATCH(G$19,'LV &amp; HV augex'!$D$9:$P$9,0))*INDEX('LV &amp; HV augex'!$D$28:$J$52,MATCH($B62,'LV &amp; HV augex'!$L$28:$L$52,0),MATCH($C62,'LV &amp; HV augex'!$D$27:$J$27,0)),0)*'Financial inputs'!$D$11</f>
        <v>4416.3029861622208</v>
      </c>
      <c r="H62" s="40">
        <f>IFERROR(INDEX('LV &amp; HV augex'!$D$10:$P$18,MATCH($C62,'LV &amp; HV augex'!$C$10:$C$18,0),MATCH(H$19,'LV &amp; HV augex'!$D$9:$P$9,0))*INDEX('LV &amp; HV augex'!$D$28:$J$52,MATCH($B62,'LV &amp; HV augex'!$L$28:$L$52,0),MATCH($C62,'LV &amp; HV augex'!$D$27:$J$27,0)),0)*'Financial inputs'!$D$11</f>
        <v>4416.3029861622208</v>
      </c>
      <c r="I62" s="40">
        <f>IFERROR(INDEX('LV &amp; HV augex'!$D$10:$P$18,MATCH($C62,'LV &amp; HV augex'!$C$10:$C$18,0),MATCH(I$19,'LV &amp; HV augex'!$D$9:$P$9,0))*INDEX('LV &amp; HV augex'!$D$28:$J$52,MATCH($B62,'LV &amp; HV augex'!$L$28:$L$52,0),MATCH($C62,'LV &amp; HV augex'!$D$27:$J$27,0)),0)*'Financial inputs'!$D$11</f>
        <v>4416.3029861622208</v>
      </c>
      <c r="J62" s="40">
        <f>IFERROR(INDEX('LV &amp; HV augex'!$D$10:$P$18,MATCH($C62,'LV &amp; HV augex'!$C$10:$C$18,0),MATCH(J$19,'LV &amp; HV augex'!$D$9:$P$9,0))*INDEX('LV &amp; HV augex'!$D$28:$J$52,MATCH($B62,'LV &amp; HV augex'!$L$28:$L$52,0),MATCH($C62,'LV &amp; HV augex'!$D$27:$J$27,0)),0)*'Financial inputs'!$D$11</f>
        <v>4416.3029861622208</v>
      </c>
      <c r="K62" s="40">
        <f>IFERROR(INDEX('LV &amp; HV augex'!$D$10:$P$18,MATCH($C62,'LV &amp; HV augex'!$C$10:$C$18,0),MATCH(K$19,'LV &amp; HV augex'!$D$9:$P$9,0))*INDEX('LV &amp; HV augex'!$D$28:$J$52,MATCH($B62,'LV &amp; HV augex'!$L$28:$L$52,0),MATCH($C62,'LV &amp; HV augex'!$D$27:$J$27,0)),0)*'Financial inputs'!$D$11</f>
        <v>4416.3029861622208</v>
      </c>
      <c r="L62" s="40">
        <f>IFERROR(INDEX('LV &amp; HV augex'!$D$10:$P$18,MATCH($C62,'LV &amp; HV augex'!$C$10:$C$18,0),MATCH(L$19,'LV &amp; HV augex'!$D$9:$P$9,0))*INDEX('LV &amp; HV augex'!$D$28:$J$52,MATCH($B62,'LV &amp; HV augex'!$L$28:$L$52,0),MATCH($C62,'LV &amp; HV augex'!$D$27:$J$27,0)),0)*'Financial inputs'!$D$11</f>
        <v>4416.3029861622208</v>
      </c>
      <c r="M62" s="40">
        <f>IFERROR(INDEX('LV &amp; HV augex'!$D$10:$P$18,MATCH($C62,'LV &amp; HV augex'!$C$10:$C$18,0),MATCH(M$19,'LV &amp; HV augex'!$D$9:$P$9,0))*INDEX('LV &amp; HV augex'!$D$28:$J$52,MATCH($B62,'LV &amp; HV augex'!$L$28:$L$52,0),MATCH($C62,'LV &amp; HV augex'!$D$27:$J$27,0)),0)*'Financial inputs'!$D$11</f>
        <v>4416.3029861622208</v>
      </c>
      <c r="N62" s="40">
        <f>IFERROR(INDEX('LV &amp; HV augex'!$D$10:$P$18,MATCH($C62,'LV &amp; HV augex'!$C$10:$C$18,0),MATCH(N$19,'LV &amp; HV augex'!$D$9:$P$9,0))*INDEX('LV &amp; HV augex'!$D$28:$J$52,MATCH($B62,'LV &amp; HV augex'!$L$28:$L$52,0),MATCH($C62,'LV &amp; HV augex'!$D$27:$J$27,0)),0)*'Financial inputs'!$D$11</f>
        <v>4416.3029861622208</v>
      </c>
      <c r="O62" s="40">
        <f>IFERROR(INDEX('LV &amp; HV augex'!$D$10:$P$18,MATCH($C62,'LV &amp; HV augex'!$C$10:$C$18,0),MATCH(O$19,'LV &amp; HV augex'!$D$9:$P$9,0))*INDEX('LV &amp; HV augex'!$D$28:$J$52,MATCH($B62,'LV &amp; HV augex'!$L$28:$L$52,0),MATCH($C62,'LV &amp; HV augex'!$D$27:$J$27,0)),0)*'Financial inputs'!$D$11</f>
        <v>4416.3029861622208</v>
      </c>
      <c r="P62" s="40">
        <f>IFERROR(INDEX('LV &amp; HV augex'!$D$10:$P$18,MATCH($C62,'LV &amp; HV augex'!$C$10:$C$18,0),MATCH(P$19,'LV &amp; HV augex'!$D$9:$P$9,0))*INDEX('LV &amp; HV augex'!$D$28:$J$52,MATCH($B62,'LV &amp; HV augex'!$L$28:$L$52,0),MATCH($C62,'LV &amp; HV augex'!$D$27:$J$27,0)),0)*'Financial inputs'!$D$11</f>
        <v>4416.3029861622208</v>
      </c>
    </row>
    <row r="63" spans="2:16" ht="15.5">
      <c r="B63" s="2" t="str">
        <f t="shared" si="5"/>
        <v>Singleton</v>
      </c>
      <c r="C63" s="35" t="str" cm="1">
        <f t="array" ref="C63">INDEX(augex_categories,COUNTIFS($B$20:$B63,$B$20))</f>
        <v>Voltage Management Tap Change</v>
      </c>
      <c r="D63" s="35" t="str">
        <f>IF(COUNTIF('LV &amp; HV augex'!$C$10:$C$13,C63), "LV", IF(COUNTIF('LV &amp; HV augex'!$C$15:$C$17, C63), "HV", "Error"))</f>
        <v>LV</v>
      </c>
      <c r="E63" s="35" t="str">
        <f>INDEX('Growing &amp; falling'!$D$14:$D$39,MATCH($B63,'Growing &amp; falling'!$B$14:$B$39,0))</f>
        <v>Decline</v>
      </c>
      <c r="F63" s="35" t="str">
        <f t="shared" si="4"/>
        <v>$2024 real</v>
      </c>
      <c r="G63" s="40">
        <f>IFERROR(INDEX('LV &amp; HV augex'!$D$10:$P$18,MATCH($C63,'LV &amp; HV augex'!$C$10:$C$18,0),MATCH(G$19,'LV &amp; HV augex'!$D$9:$P$9,0))*INDEX('LV &amp; HV augex'!$D$28:$J$52,MATCH($B63,'LV &amp; HV augex'!$L$28:$L$52,0),MATCH($C63,'LV &amp; HV augex'!$D$27:$J$27,0)),0)*'Financial inputs'!$D$11</f>
        <v>1104.0757465405552</v>
      </c>
      <c r="H63" s="40">
        <f>IFERROR(INDEX('LV &amp; HV augex'!$D$10:$P$18,MATCH($C63,'LV &amp; HV augex'!$C$10:$C$18,0),MATCH(H$19,'LV &amp; HV augex'!$D$9:$P$9,0))*INDEX('LV &amp; HV augex'!$D$28:$J$52,MATCH($B63,'LV &amp; HV augex'!$L$28:$L$52,0),MATCH($C63,'LV &amp; HV augex'!$D$27:$J$27,0)),0)*'Financial inputs'!$D$11</f>
        <v>1104.0757465405552</v>
      </c>
      <c r="I63" s="40">
        <f>IFERROR(INDEX('LV &amp; HV augex'!$D$10:$P$18,MATCH($C63,'LV &amp; HV augex'!$C$10:$C$18,0),MATCH(I$19,'LV &amp; HV augex'!$D$9:$P$9,0))*INDEX('LV &amp; HV augex'!$D$28:$J$52,MATCH($B63,'LV &amp; HV augex'!$L$28:$L$52,0),MATCH($C63,'LV &amp; HV augex'!$D$27:$J$27,0)),0)*'Financial inputs'!$D$11</f>
        <v>1104.0757465405552</v>
      </c>
      <c r="J63" s="40">
        <f>IFERROR(INDEX('LV &amp; HV augex'!$D$10:$P$18,MATCH($C63,'LV &amp; HV augex'!$C$10:$C$18,0),MATCH(J$19,'LV &amp; HV augex'!$D$9:$P$9,0))*INDEX('LV &amp; HV augex'!$D$28:$J$52,MATCH($B63,'LV &amp; HV augex'!$L$28:$L$52,0),MATCH($C63,'LV &amp; HV augex'!$D$27:$J$27,0)),0)*'Financial inputs'!$D$11</f>
        <v>1104.0757465405552</v>
      </c>
      <c r="K63" s="40">
        <f>IFERROR(INDEX('LV &amp; HV augex'!$D$10:$P$18,MATCH($C63,'LV &amp; HV augex'!$C$10:$C$18,0),MATCH(K$19,'LV &amp; HV augex'!$D$9:$P$9,0))*INDEX('LV &amp; HV augex'!$D$28:$J$52,MATCH($B63,'LV &amp; HV augex'!$L$28:$L$52,0),MATCH($C63,'LV &amp; HV augex'!$D$27:$J$27,0)),0)*'Financial inputs'!$D$11</f>
        <v>1104.0757465405552</v>
      </c>
      <c r="L63" s="40">
        <f>IFERROR(INDEX('LV &amp; HV augex'!$D$10:$P$18,MATCH($C63,'LV &amp; HV augex'!$C$10:$C$18,0),MATCH(L$19,'LV &amp; HV augex'!$D$9:$P$9,0))*INDEX('LV &amp; HV augex'!$D$28:$J$52,MATCH($B63,'LV &amp; HV augex'!$L$28:$L$52,0),MATCH($C63,'LV &amp; HV augex'!$D$27:$J$27,0)),0)*'Financial inputs'!$D$11</f>
        <v>1104.0757465405552</v>
      </c>
      <c r="M63" s="40">
        <f>IFERROR(INDEX('LV &amp; HV augex'!$D$10:$P$18,MATCH($C63,'LV &amp; HV augex'!$C$10:$C$18,0),MATCH(M$19,'LV &amp; HV augex'!$D$9:$P$9,0))*INDEX('LV &amp; HV augex'!$D$28:$J$52,MATCH($B63,'LV &amp; HV augex'!$L$28:$L$52,0),MATCH($C63,'LV &amp; HV augex'!$D$27:$J$27,0)),0)*'Financial inputs'!$D$11</f>
        <v>1104.0757465405552</v>
      </c>
      <c r="N63" s="40">
        <f>IFERROR(INDEX('LV &amp; HV augex'!$D$10:$P$18,MATCH($C63,'LV &amp; HV augex'!$C$10:$C$18,0),MATCH(N$19,'LV &amp; HV augex'!$D$9:$P$9,0))*INDEX('LV &amp; HV augex'!$D$28:$J$52,MATCH($B63,'LV &amp; HV augex'!$L$28:$L$52,0),MATCH($C63,'LV &amp; HV augex'!$D$27:$J$27,0)),0)*'Financial inputs'!$D$11</f>
        <v>1104.0757465405552</v>
      </c>
      <c r="O63" s="40">
        <f>IFERROR(INDEX('LV &amp; HV augex'!$D$10:$P$18,MATCH($C63,'LV &amp; HV augex'!$C$10:$C$18,0),MATCH(O$19,'LV &amp; HV augex'!$D$9:$P$9,0))*INDEX('LV &amp; HV augex'!$D$28:$J$52,MATCH($B63,'LV &amp; HV augex'!$L$28:$L$52,0),MATCH($C63,'LV &amp; HV augex'!$D$27:$J$27,0)),0)*'Financial inputs'!$D$11</f>
        <v>1104.0757465405552</v>
      </c>
      <c r="P63" s="40">
        <f>IFERROR(INDEX('LV &amp; HV augex'!$D$10:$P$18,MATCH($C63,'LV &amp; HV augex'!$C$10:$C$18,0),MATCH(P$19,'LV &amp; HV augex'!$D$9:$P$9,0))*INDEX('LV &amp; HV augex'!$D$28:$J$52,MATCH($B63,'LV &amp; HV augex'!$L$28:$L$52,0),MATCH($C63,'LV &amp; HV augex'!$D$27:$J$27,0)),0)*'Financial inputs'!$D$11</f>
        <v>1104.0757465405552</v>
      </c>
    </row>
    <row r="64" spans="2:16" ht="15.5">
      <c r="B64" s="2" t="str">
        <f t="shared" si="5"/>
        <v>St George</v>
      </c>
      <c r="C64" s="35" t="str" cm="1">
        <f t="array" ref="C64">INDEX(augex_categories,COUNTIFS($B$20:$B64,$B$20))</f>
        <v>Voltage Management Tap Change</v>
      </c>
      <c r="D64" s="35" t="str">
        <f>IF(COUNTIF('LV &amp; HV augex'!$C$10:$C$13,C64), "LV", IF(COUNTIF('LV &amp; HV augex'!$C$15:$C$17, C64), "HV", "Error"))</f>
        <v>LV</v>
      </c>
      <c r="E64" s="35" t="str">
        <f>INDEX('Growing &amp; falling'!$D$14:$D$39,MATCH($B64,'Growing &amp; falling'!$B$14:$B$39,0))</f>
        <v>Decline</v>
      </c>
      <c r="F64" s="35" t="str">
        <f t="shared" si="4"/>
        <v>$2024 real</v>
      </c>
      <c r="G64" s="40">
        <f>IFERROR(INDEX('LV &amp; HV augex'!$D$10:$P$18,MATCH($C64,'LV &amp; HV augex'!$C$10:$C$18,0),MATCH(G$19,'LV &amp; HV augex'!$D$9:$P$9,0))*INDEX('LV &amp; HV augex'!$D$28:$J$52,MATCH($B64,'LV &amp; HV augex'!$L$28:$L$52,0),MATCH($C64,'LV &amp; HV augex'!$D$27:$J$27,0)),0)*'Financial inputs'!$D$11</f>
        <v>4416.3029861622208</v>
      </c>
      <c r="H64" s="40">
        <f>IFERROR(INDEX('LV &amp; HV augex'!$D$10:$P$18,MATCH($C64,'LV &amp; HV augex'!$C$10:$C$18,0),MATCH(H$19,'LV &amp; HV augex'!$D$9:$P$9,0))*INDEX('LV &amp; HV augex'!$D$28:$J$52,MATCH($B64,'LV &amp; HV augex'!$L$28:$L$52,0),MATCH($C64,'LV &amp; HV augex'!$D$27:$J$27,0)),0)*'Financial inputs'!$D$11</f>
        <v>4416.3029861622208</v>
      </c>
      <c r="I64" s="40">
        <f>IFERROR(INDEX('LV &amp; HV augex'!$D$10:$P$18,MATCH($C64,'LV &amp; HV augex'!$C$10:$C$18,0),MATCH(I$19,'LV &amp; HV augex'!$D$9:$P$9,0))*INDEX('LV &amp; HV augex'!$D$28:$J$52,MATCH($B64,'LV &amp; HV augex'!$L$28:$L$52,0),MATCH($C64,'LV &amp; HV augex'!$D$27:$J$27,0)),0)*'Financial inputs'!$D$11</f>
        <v>4416.3029861622208</v>
      </c>
      <c r="J64" s="40">
        <f>IFERROR(INDEX('LV &amp; HV augex'!$D$10:$P$18,MATCH($C64,'LV &amp; HV augex'!$C$10:$C$18,0),MATCH(J$19,'LV &amp; HV augex'!$D$9:$P$9,0))*INDEX('LV &amp; HV augex'!$D$28:$J$52,MATCH($B64,'LV &amp; HV augex'!$L$28:$L$52,0),MATCH($C64,'LV &amp; HV augex'!$D$27:$J$27,0)),0)*'Financial inputs'!$D$11</f>
        <v>4416.3029861622208</v>
      </c>
      <c r="K64" s="40">
        <f>IFERROR(INDEX('LV &amp; HV augex'!$D$10:$P$18,MATCH($C64,'LV &amp; HV augex'!$C$10:$C$18,0),MATCH(K$19,'LV &amp; HV augex'!$D$9:$P$9,0))*INDEX('LV &amp; HV augex'!$D$28:$J$52,MATCH($B64,'LV &amp; HV augex'!$L$28:$L$52,0),MATCH($C64,'LV &amp; HV augex'!$D$27:$J$27,0)),0)*'Financial inputs'!$D$11</f>
        <v>4416.3029861622208</v>
      </c>
      <c r="L64" s="40">
        <f>IFERROR(INDEX('LV &amp; HV augex'!$D$10:$P$18,MATCH($C64,'LV &amp; HV augex'!$C$10:$C$18,0),MATCH(L$19,'LV &amp; HV augex'!$D$9:$P$9,0))*INDEX('LV &amp; HV augex'!$D$28:$J$52,MATCH($B64,'LV &amp; HV augex'!$L$28:$L$52,0),MATCH($C64,'LV &amp; HV augex'!$D$27:$J$27,0)),0)*'Financial inputs'!$D$11</f>
        <v>4416.3029861622208</v>
      </c>
      <c r="M64" s="40">
        <f>IFERROR(INDEX('LV &amp; HV augex'!$D$10:$P$18,MATCH($C64,'LV &amp; HV augex'!$C$10:$C$18,0),MATCH(M$19,'LV &amp; HV augex'!$D$9:$P$9,0))*INDEX('LV &amp; HV augex'!$D$28:$J$52,MATCH($B64,'LV &amp; HV augex'!$L$28:$L$52,0),MATCH($C64,'LV &amp; HV augex'!$D$27:$J$27,0)),0)*'Financial inputs'!$D$11</f>
        <v>4416.3029861622208</v>
      </c>
      <c r="N64" s="40">
        <f>IFERROR(INDEX('LV &amp; HV augex'!$D$10:$P$18,MATCH($C64,'LV &amp; HV augex'!$C$10:$C$18,0),MATCH(N$19,'LV &amp; HV augex'!$D$9:$P$9,0))*INDEX('LV &amp; HV augex'!$D$28:$J$52,MATCH($B64,'LV &amp; HV augex'!$L$28:$L$52,0),MATCH($C64,'LV &amp; HV augex'!$D$27:$J$27,0)),0)*'Financial inputs'!$D$11</f>
        <v>4416.3029861622208</v>
      </c>
      <c r="O64" s="40">
        <f>IFERROR(INDEX('LV &amp; HV augex'!$D$10:$P$18,MATCH($C64,'LV &amp; HV augex'!$C$10:$C$18,0),MATCH(O$19,'LV &amp; HV augex'!$D$9:$P$9,0))*INDEX('LV &amp; HV augex'!$D$28:$J$52,MATCH($B64,'LV &amp; HV augex'!$L$28:$L$52,0),MATCH($C64,'LV &amp; HV augex'!$D$27:$J$27,0)),0)*'Financial inputs'!$D$11</f>
        <v>4416.3029861622208</v>
      </c>
      <c r="P64" s="40">
        <f>IFERROR(INDEX('LV &amp; HV augex'!$D$10:$P$18,MATCH($C64,'LV &amp; HV augex'!$C$10:$C$18,0),MATCH(P$19,'LV &amp; HV augex'!$D$9:$P$9,0))*INDEX('LV &amp; HV augex'!$D$28:$J$52,MATCH($B64,'LV &amp; HV augex'!$L$28:$L$52,0),MATCH($C64,'LV &amp; HV augex'!$D$27:$J$27,0)),0)*'Financial inputs'!$D$11</f>
        <v>4416.3029861622208</v>
      </c>
    </row>
    <row r="65" spans="2:16" ht="15.5">
      <c r="B65" s="2" t="str">
        <f t="shared" si="5"/>
        <v>Sutherland</v>
      </c>
      <c r="C65" s="35" t="str" cm="1">
        <f t="array" ref="C65">INDEX(augex_categories,COUNTIFS($B$20:$B65,$B$20))</f>
        <v>Voltage Management Tap Change</v>
      </c>
      <c r="D65" s="35" t="str">
        <f>IF(COUNTIF('LV &amp; HV augex'!$C$10:$C$13,C65), "LV", IF(COUNTIF('LV &amp; HV augex'!$C$15:$C$17, C65), "HV", "Error"))</f>
        <v>LV</v>
      </c>
      <c r="E65" s="35" t="str">
        <f>INDEX('Growing &amp; falling'!$D$14:$D$39,MATCH($B65,'Growing &amp; falling'!$B$14:$B$39,0))</f>
        <v>Decline</v>
      </c>
      <c r="F65" s="35" t="str">
        <f t="shared" si="4"/>
        <v>$2024 real</v>
      </c>
      <c r="G65" s="40">
        <f>IFERROR(INDEX('LV &amp; HV augex'!$D$10:$P$18,MATCH($C65,'LV &amp; HV augex'!$C$10:$C$18,0),MATCH(G$19,'LV &amp; HV augex'!$D$9:$P$9,0))*INDEX('LV &amp; HV augex'!$D$28:$J$52,MATCH($B65,'LV &amp; HV augex'!$L$28:$L$52,0),MATCH($C65,'LV &amp; HV augex'!$D$27:$J$27,0)),0)*'Financial inputs'!$D$11</f>
        <v>4416.3029861622208</v>
      </c>
      <c r="H65" s="40">
        <f>IFERROR(INDEX('LV &amp; HV augex'!$D$10:$P$18,MATCH($C65,'LV &amp; HV augex'!$C$10:$C$18,0),MATCH(H$19,'LV &amp; HV augex'!$D$9:$P$9,0))*INDEX('LV &amp; HV augex'!$D$28:$J$52,MATCH($B65,'LV &amp; HV augex'!$L$28:$L$52,0),MATCH($C65,'LV &amp; HV augex'!$D$27:$J$27,0)),0)*'Financial inputs'!$D$11</f>
        <v>4416.3029861622208</v>
      </c>
      <c r="I65" s="40">
        <f>IFERROR(INDEX('LV &amp; HV augex'!$D$10:$P$18,MATCH($C65,'LV &amp; HV augex'!$C$10:$C$18,0),MATCH(I$19,'LV &amp; HV augex'!$D$9:$P$9,0))*INDEX('LV &amp; HV augex'!$D$28:$J$52,MATCH($B65,'LV &amp; HV augex'!$L$28:$L$52,0),MATCH($C65,'LV &amp; HV augex'!$D$27:$J$27,0)),0)*'Financial inputs'!$D$11</f>
        <v>4416.3029861622208</v>
      </c>
      <c r="J65" s="40">
        <f>IFERROR(INDEX('LV &amp; HV augex'!$D$10:$P$18,MATCH($C65,'LV &amp; HV augex'!$C$10:$C$18,0),MATCH(J$19,'LV &amp; HV augex'!$D$9:$P$9,0))*INDEX('LV &amp; HV augex'!$D$28:$J$52,MATCH($B65,'LV &amp; HV augex'!$L$28:$L$52,0),MATCH($C65,'LV &amp; HV augex'!$D$27:$J$27,0)),0)*'Financial inputs'!$D$11</f>
        <v>4416.3029861622208</v>
      </c>
      <c r="K65" s="40">
        <f>IFERROR(INDEX('LV &amp; HV augex'!$D$10:$P$18,MATCH($C65,'LV &amp; HV augex'!$C$10:$C$18,0),MATCH(K$19,'LV &amp; HV augex'!$D$9:$P$9,0))*INDEX('LV &amp; HV augex'!$D$28:$J$52,MATCH($B65,'LV &amp; HV augex'!$L$28:$L$52,0),MATCH($C65,'LV &amp; HV augex'!$D$27:$J$27,0)),0)*'Financial inputs'!$D$11</f>
        <v>4416.3029861622208</v>
      </c>
      <c r="L65" s="40">
        <f>IFERROR(INDEX('LV &amp; HV augex'!$D$10:$P$18,MATCH($C65,'LV &amp; HV augex'!$C$10:$C$18,0),MATCH(L$19,'LV &amp; HV augex'!$D$9:$P$9,0))*INDEX('LV &amp; HV augex'!$D$28:$J$52,MATCH($B65,'LV &amp; HV augex'!$L$28:$L$52,0),MATCH($C65,'LV &amp; HV augex'!$D$27:$J$27,0)),0)*'Financial inputs'!$D$11</f>
        <v>4416.3029861622208</v>
      </c>
      <c r="M65" s="40">
        <f>IFERROR(INDEX('LV &amp; HV augex'!$D$10:$P$18,MATCH($C65,'LV &amp; HV augex'!$C$10:$C$18,0),MATCH(M$19,'LV &amp; HV augex'!$D$9:$P$9,0))*INDEX('LV &amp; HV augex'!$D$28:$J$52,MATCH($B65,'LV &amp; HV augex'!$L$28:$L$52,0),MATCH($C65,'LV &amp; HV augex'!$D$27:$J$27,0)),0)*'Financial inputs'!$D$11</f>
        <v>4416.3029861622208</v>
      </c>
      <c r="N65" s="40">
        <f>IFERROR(INDEX('LV &amp; HV augex'!$D$10:$P$18,MATCH($C65,'LV &amp; HV augex'!$C$10:$C$18,0),MATCH(N$19,'LV &amp; HV augex'!$D$9:$P$9,0))*INDEX('LV &amp; HV augex'!$D$28:$J$52,MATCH($B65,'LV &amp; HV augex'!$L$28:$L$52,0),MATCH($C65,'LV &amp; HV augex'!$D$27:$J$27,0)),0)*'Financial inputs'!$D$11</f>
        <v>4416.3029861622208</v>
      </c>
      <c r="O65" s="40">
        <f>IFERROR(INDEX('LV &amp; HV augex'!$D$10:$P$18,MATCH($C65,'LV &amp; HV augex'!$C$10:$C$18,0),MATCH(O$19,'LV &amp; HV augex'!$D$9:$P$9,0))*INDEX('LV &amp; HV augex'!$D$28:$J$52,MATCH($B65,'LV &amp; HV augex'!$L$28:$L$52,0),MATCH($C65,'LV &amp; HV augex'!$D$27:$J$27,0)),0)*'Financial inputs'!$D$11</f>
        <v>4416.3029861622208</v>
      </c>
      <c r="P65" s="40">
        <f>IFERROR(INDEX('LV &amp; HV augex'!$D$10:$P$18,MATCH($C65,'LV &amp; HV augex'!$C$10:$C$18,0),MATCH(P$19,'LV &amp; HV augex'!$D$9:$P$9,0))*INDEX('LV &amp; HV augex'!$D$28:$J$52,MATCH($B65,'LV &amp; HV augex'!$L$28:$L$52,0),MATCH($C65,'LV &amp; HV augex'!$D$27:$J$27,0)),0)*'Financial inputs'!$D$11</f>
        <v>4416.3029861622208</v>
      </c>
    </row>
    <row r="66" spans="2:16" ht="15.5">
      <c r="B66" s="2" t="str">
        <f t="shared" si="5"/>
        <v>Sydney CBD</v>
      </c>
      <c r="C66" s="35" t="str" cm="1">
        <f t="array" ref="C66">INDEX(augex_categories,COUNTIFS($B$20:$B66,$B$20))</f>
        <v>Voltage Management Tap Change</v>
      </c>
      <c r="D66" s="35" t="str">
        <f>IF(COUNTIF('LV &amp; HV augex'!$C$10:$C$13,C66), "LV", IF(COUNTIF('LV &amp; HV augex'!$C$15:$C$17, C66), "HV", "Error"))</f>
        <v>LV</v>
      </c>
      <c r="E66" s="35" t="str">
        <f>INDEX('Growing &amp; falling'!$D$14:$D$39,MATCH($B66,'Growing &amp; falling'!$B$14:$B$39,0))</f>
        <v>Growth</v>
      </c>
      <c r="F66" s="35" t="str">
        <f t="shared" si="4"/>
        <v>$2024 real</v>
      </c>
      <c r="G66" s="40">
        <f>IFERROR(INDEX('LV &amp; HV augex'!$D$10:$P$18,MATCH($C66,'LV &amp; HV augex'!$C$10:$C$18,0),MATCH(G$19,'LV &amp; HV augex'!$D$9:$P$9,0))*INDEX('LV &amp; HV augex'!$D$28:$J$52,MATCH($B66,'LV &amp; HV augex'!$L$28:$L$52,0),MATCH($C66,'LV &amp; HV augex'!$D$27:$J$27,0)),0)*'Financial inputs'!$D$11</f>
        <v>4416.3029861622208</v>
      </c>
      <c r="H66" s="40">
        <f>IFERROR(INDEX('LV &amp; HV augex'!$D$10:$P$18,MATCH($C66,'LV &amp; HV augex'!$C$10:$C$18,0),MATCH(H$19,'LV &amp; HV augex'!$D$9:$P$9,0))*INDEX('LV &amp; HV augex'!$D$28:$J$52,MATCH($B66,'LV &amp; HV augex'!$L$28:$L$52,0),MATCH($C66,'LV &amp; HV augex'!$D$27:$J$27,0)),0)*'Financial inputs'!$D$11</f>
        <v>4416.3029861622208</v>
      </c>
      <c r="I66" s="40">
        <f>IFERROR(INDEX('LV &amp; HV augex'!$D$10:$P$18,MATCH($C66,'LV &amp; HV augex'!$C$10:$C$18,0),MATCH(I$19,'LV &amp; HV augex'!$D$9:$P$9,0))*INDEX('LV &amp; HV augex'!$D$28:$J$52,MATCH($B66,'LV &amp; HV augex'!$L$28:$L$52,0),MATCH($C66,'LV &amp; HV augex'!$D$27:$J$27,0)),0)*'Financial inputs'!$D$11</f>
        <v>4416.3029861622208</v>
      </c>
      <c r="J66" s="40">
        <f>IFERROR(INDEX('LV &amp; HV augex'!$D$10:$P$18,MATCH($C66,'LV &amp; HV augex'!$C$10:$C$18,0),MATCH(J$19,'LV &amp; HV augex'!$D$9:$P$9,0))*INDEX('LV &amp; HV augex'!$D$28:$J$52,MATCH($B66,'LV &amp; HV augex'!$L$28:$L$52,0),MATCH($C66,'LV &amp; HV augex'!$D$27:$J$27,0)),0)*'Financial inputs'!$D$11</f>
        <v>4416.3029861622208</v>
      </c>
      <c r="K66" s="40">
        <f>IFERROR(INDEX('LV &amp; HV augex'!$D$10:$P$18,MATCH($C66,'LV &amp; HV augex'!$C$10:$C$18,0),MATCH(K$19,'LV &amp; HV augex'!$D$9:$P$9,0))*INDEX('LV &amp; HV augex'!$D$28:$J$52,MATCH($B66,'LV &amp; HV augex'!$L$28:$L$52,0),MATCH($C66,'LV &amp; HV augex'!$D$27:$J$27,0)),0)*'Financial inputs'!$D$11</f>
        <v>4416.3029861622208</v>
      </c>
      <c r="L66" s="40">
        <f>IFERROR(INDEX('LV &amp; HV augex'!$D$10:$P$18,MATCH($C66,'LV &amp; HV augex'!$C$10:$C$18,0),MATCH(L$19,'LV &amp; HV augex'!$D$9:$P$9,0))*INDEX('LV &amp; HV augex'!$D$28:$J$52,MATCH($B66,'LV &amp; HV augex'!$L$28:$L$52,0),MATCH($C66,'LV &amp; HV augex'!$D$27:$J$27,0)),0)*'Financial inputs'!$D$11</f>
        <v>4416.3029861622208</v>
      </c>
      <c r="M66" s="40">
        <f>IFERROR(INDEX('LV &amp; HV augex'!$D$10:$P$18,MATCH($C66,'LV &amp; HV augex'!$C$10:$C$18,0),MATCH(M$19,'LV &amp; HV augex'!$D$9:$P$9,0))*INDEX('LV &amp; HV augex'!$D$28:$J$52,MATCH($B66,'LV &amp; HV augex'!$L$28:$L$52,0),MATCH($C66,'LV &amp; HV augex'!$D$27:$J$27,0)),0)*'Financial inputs'!$D$11</f>
        <v>4416.3029861622208</v>
      </c>
      <c r="N66" s="40">
        <f>IFERROR(INDEX('LV &amp; HV augex'!$D$10:$P$18,MATCH($C66,'LV &amp; HV augex'!$C$10:$C$18,0),MATCH(N$19,'LV &amp; HV augex'!$D$9:$P$9,0))*INDEX('LV &amp; HV augex'!$D$28:$J$52,MATCH($B66,'LV &amp; HV augex'!$L$28:$L$52,0),MATCH($C66,'LV &amp; HV augex'!$D$27:$J$27,0)),0)*'Financial inputs'!$D$11</f>
        <v>4416.3029861622208</v>
      </c>
      <c r="O66" s="40">
        <f>IFERROR(INDEX('LV &amp; HV augex'!$D$10:$P$18,MATCH($C66,'LV &amp; HV augex'!$C$10:$C$18,0),MATCH(O$19,'LV &amp; HV augex'!$D$9:$P$9,0))*INDEX('LV &amp; HV augex'!$D$28:$J$52,MATCH($B66,'LV &amp; HV augex'!$L$28:$L$52,0),MATCH($C66,'LV &amp; HV augex'!$D$27:$J$27,0)),0)*'Financial inputs'!$D$11</f>
        <v>4416.3029861622208</v>
      </c>
      <c r="P66" s="40">
        <f>IFERROR(INDEX('LV &amp; HV augex'!$D$10:$P$18,MATCH($C66,'LV &amp; HV augex'!$C$10:$C$18,0),MATCH(P$19,'LV &amp; HV augex'!$D$9:$P$9,0))*INDEX('LV &amp; HV augex'!$D$28:$J$52,MATCH($B66,'LV &amp; HV augex'!$L$28:$L$52,0),MATCH($C66,'LV &amp; HV augex'!$D$27:$J$27,0)),0)*'Financial inputs'!$D$11</f>
        <v>4416.3029861622208</v>
      </c>
    </row>
    <row r="67" spans="2:16" ht="15.5">
      <c r="B67" s="2" t="str">
        <f t="shared" si="5"/>
        <v>Upper Central Coast</v>
      </c>
      <c r="C67" s="35" t="str" cm="1">
        <f t="array" ref="C67">INDEX(augex_categories,COUNTIFS($B$20:$B67,$B$20))</f>
        <v>Voltage Management Tap Change</v>
      </c>
      <c r="D67" s="35" t="str">
        <f>IF(COUNTIF('LV &amp; HV augex'!$C$10:$C$13,C67), "LV", IF(COUNTIF('LV &amp; HV augex'!$C$15:$C$17, C67), "HV", "Error"))</f>
        <v>LV</v>
      </c>
      <c r="E67" s="35" t="str">
        <f>INDEX('Growing &amp; falling'!$D$14:$D$39,MATCH($B67,'Growing &amp; falling'!$B$14:$B$39,0))</f>
        <v>Growth</v>
      </c>
      <c r="F67" s="35" t="str">
        <f t="shared" si="4"/>
        <v>$2024 real</v>
      </c>
      <c r="G67" s="40">
        <f>IFERROR(INDEX('LV &amp; HV augex'!$D$10:$P$18,MATCH($C67,'LV &amp; HV augex'!$C$10:$C$18,0),MATCH(G$19,'LV &amp; HV augex'!$D$9:$P$9,0))*INDEX('LV &amp; HV augex'!$D$28:$J$52,MATCH($B67,'LV &amp; HV augex'!$L$28:$L$52,0),MATCH($C67,'LV &amp; HV augex'!$D$27:$J$27,0)),0)*'Financial inputs'!$D$11</f>
        <v>3680.2524884685167</v>
      </c>
      <c r="H67" s="40">
        <f>IFERROR(INDEX('LV &amp; HV augex'!$D$10:$P$18,MATCH($C67,'LV &amp; HV augex'!$C$10:$C$18,0),MATCH(H$19,'LV &amp; HV augex'!$D$9:$P$9,0))*INDEX('LV &amp; HV augex'!$D$28:$J$52,MATCH($B67,'LV &amp; HV augex'!$L$28:$L$52,0),MATCH($C67,'LV &amp; HV augex'!$D$27:$J$27,0)),0)*'Financial inputs'!$D$11</f>
        <v>3680.2524884685167</v>
      </c>
      <c r="I67" s="40">
        <f>IFERROR(INDEX('LV &amp; HV augex'!$D$10:$P$18,MATCH($C67,'LV &amp; HV augex'!$C$10:$C$18,0),MATCH(I$19,'LV &amp; HV augex'!$D$9:$P$9,0))*INDEX('LV &amp; HV augex'!$D$28:$J$52,MATCH($B67,'LV &amp; HV augex'!$L$28:$L$52,0),MATCH($C67,'LV &amp; HV augex'!$D$27:$J$27,0)),0)*'Financial inputs'!$D$11</f>
        <v>3680.2524884685167</v>
      </c>
      <c r="J67" s="40">
        <f>IFERROR(INDEX('LV &amp; HV augex'!$D$10:$P$18,MATCH($C67,'LV &amp; HV augex'!$C$10:$C$18,0),MATCH(J$19,'LV &amp; HV augex'!$D$9:$P$9,0))*INDEX('LV &amp; HV augex'!$D$28:$J$52,MATCH($B67,'LV &amp; HV augex'!$L$28:$L$52,0),MATCH($C67,'LV &amp; HV augex'!$D$27:$J$27,0)),0)*'Financial inputs'!$D$11</f>
        <v>3680.2524884685167</v>
      </c>
      <c r="K67" s="40">
        <f>IFERROR(INDEX('LV &amp; HV augex'!$D$10:$P$18,MATCH($C67,'LV &amp; HV augex'!$C$10:$C$18,0),MATCH(K$19,'LV &amp; HV augex'!$D$9:$P$9,0))*INDEX('LV &amp; HV augex'!$D$28:$J$52,MATCH($B67,'LV &amp; HV augex'!$L$28:$L$52,0),MATCH($C67,'LV &amp; HV augex'!$D$27:$J$27,0)),0)*'Financial inputs'!$D$11</f>
        <v>3680.2524884685167</v>
      </c>
      <c r="L67" s="40">
        <f>IFERROR(INDEX('LV &amp; HV augex'!$D$10:$P$18,MATCH($C67,'LV &amp; HV augex'!$C$10:$C$18,0),MATCH(L$19,'LV &amp; HV augex'!$D$9:$P$9,0))*INDEX('LV &amp; HV augex'!$D$28:$J$52,MATCH($B67,'LV &amp; HV augex'!$L$28:$L$52,0),MATCH($C67,'LV &amp; HV augex'!$D$27:$J$27,0)),0)*'Financial inputs'!$D$11</f>
        <v>3680.2524884685167</v>
      </c>
      <c r="M67" s="40">
        <f>IFERROR(INDEX('LV &amp; HV augex'!$D$10:$P$18,MATCH($C67,'LV &amp; HV augex'!$C$10:$C$18,0),MATCH(M$19,'LV &amp; HV augex'!$D$9:$P$9,0))*INDEX('LV &amp; HV augex'!$D$28:$J$52,MATCH($B67,'LV &amp; HV augex'!$L$28:$L$52,0),MATCH($C67,'LV &amp; HV augex'!$D$27:$J$27,0)),0)*'Financial inputs'!$D$11</f>
        <v>3680.2524884685167</v>
      </c>
      <c r="N67" s="40">
        <f>IFERROR(INDEX('LV &amp; HV augex'!$D$10:$P$18,MATCH($C67,'LV &amp; HV augex'!$C$10:$C$18,0),MATCH(N$19,'LV &amp; HV augex'!$D$9:$P$9,0))*INDEX('LV &amp; HV augex'!$D$28:$J$52,MATCH($B67,'LV &amp; HV augex'!$L$28:$L$52,0),MATCH($C67,'LV &amp; HV augex'!$D$27:$J$27,0)),0)*'Financial inputs'!$D$11</f>
        <v>3680.2524884685167</v>
      </c>
      <c r="O67" s="40">
        <f>IFERROR(INDEX('LV &amp; HV augex'!$D$10:$P$18,MATCH($C67,'LV &amp; HV augex'!$C$10:$C$18,0),MATCH(O$19,'LV &amp; HV augex'!$D$9:$P$9,0))*INDEX('LV &amp; HV augex'!$D$28:$J$52,MATCH($B67,'LV &amp; HV augex'!$L$28:$L$52,0),MATCH($C67,'LV &amp; HV augex'!$D$27:$J$27,0)),0)*'Financial inputs'!$D$11</f>
        <v>3680.2524884685167</v>
      </c>
      <c r="P67" s="40">
        <f>IFERROR(INDEX('LV &amp; HV augex'!$D$10:$P$18,MATCH($C67,'LV &amp; HV augex'!$C$10:$C$18,0),MATCH(P$19,'LV &amp; HV augex'!$D$9:$P$9,0))*INDEX('LV &amp; HV augex'!$D$28:$J$52,MATCH($B67,'LV &amp; HV augex'!$L$28:$L$52,0),MATCH($C67,'LV &amp; HV augex'!$D$27:$J$27,0)),0)*'Financial inputs'!$D$11</f>
        <v>3680.2524884685167</v>
      </c>
    </row>
    <row r="68" spans="2:16" ht="15.5">
      <c r="B68" s="2" t="str">
        <f t="shared" si="5"/>
        <v>Upper Hunter</v>
      </c>
      <c r="C68" s="35" t="str" cm="1">
        <f t="array" ref="C68">INDEX(augex_categories,COUNTIFS($B$20:$B68,$B$20))</f>
        <v>Voltage Management Tap Change</v>
      </c>
      <c r="D68" s="35" t="str">
        <f>IF(COUNTIF('LV &amp; HV augex'!$C$10:$C$13,C68), "LV", IF(COUNTIF('LV &amp; HV augex'!$C$15:$C$17, C68), "HV", "Error"))</f>
        <v>LV</v>
      </c>
      <c r="E68" s="35" t="str">
        <f>INDEX('Growing &amp; falling'!$D$14:$D$39,MATCH($B68,'Growing &amp; falling'!$B$14:$B$39,0))</f>
        <v>Decline</v>
      </c>
      <c r="F68" s="35" t="str">
        <f t="shared" si="4"/>
        <v>$2024 real</v>
      </c>
      <c r="G68" s="40">
        <f>IFERROR(INDEX('LV &amp; HV augex'!$D$10:$P$18,MATCH($C68,'LV &amp; HV augex'!$C$10:$C$18,0),MATCH(G$19,'LV &amp; HV augex'!$D$9:$P$9,0))*INDEX('LV &amp; HV augex'!$D$28:$J$52,MATCH($B68,'LV &amp; HV augex'!$L$28:$L$52,0),MATCH($C68,'LV &amp; HV augex'!$D$27:$J$27,0)),0)*'Financial inputs'!$D$11</f>
        <v>1104.0757465405552</v>
      </c>
      <c r="H68" s="40">
        <f>IFERROR(INDEX('LV &amp; HV augex'!$D$10:$P$18,MATCH($C68,'LV &amp; HV augex'!$C$10:$C$18,0),MATCH(H$19,'LV &amp; HV augex'!$D$9:$P$9,0))*INDEX('LV &amp; HV augex'!$D$28:$J$52,MATCH($B68,'LV &amp; HV augex'!$L$28:$L$52,0),MATCH($C68,'LV &amp; HV augex'!$D$27:$J$27,0)),0)*'Financial inputs'!$D$11</f>
        <v>1104.0757465405552</v>
      </c>
      <c r="I68" s="40">
        <f>IFERROR(INDEX('LV &amp; HV augex'!$D$10:$P$18,MATCH($C68,'LV &amp; HV augex'!$C$10:$C$18,0),MATCH(I$19,'LV &amp; HV augex'!$D$9:$P$9,0))*INDEX('LV &amp; HV augex'!$D$28:$J$52,MATCH($B68,'LV &amp; HV augex'!$L$28:$L$52,0),MATCH($C68,'LV &amp; HV augex'!$D$27:$J$27,0)),0)*'Financial inputs'!$D$11</f>
        <v>1104.0757465405552</v>
      </c>
      <c r="J68" s="40">
        <f>IFERROR(INDEX('LV &amp; HV augex'!$D$10:$P$18,MATCH($C68,'LV &amp; HV augex'!$C$10:$C$18,0),MATCH(J$19,'LV &amp; HV augex'!$D$9:$P$9,0))*INDEX('LV &amp; HV augex'!$D$28:$J$52,MATCH($B68,'LV &amp; HV augex'!$L$28:$L$52,0),MATCH($C68,'LV &amp; HV augex'!$D$27:$J$27,0)),0)*'Financial inputs'!$D$11</f>
        <v>1104.0757465405552</v>
      </c>
      <c r="K68" s="40">
        <f>IFERROR(INDEX('LV &amp; HV augex'!$D$10:$P$18,MATCH($C68,'LV &amp; HV augex'!$C$10:$C$18,0),MATCH(K$19,'LV &amp; HV augex'!$D$9:$P$9,0))*INDEX('LV &amp; HV augex'!$D$28:$J$52,MATCH($B68,'LV &amp; HV augex'!$L$28:$L$52,0),MATCH($C68,'LV &amp; HV augex'!$D$27:$J$27,0)),0)*'Financial inputs'!$D$11</f>
        <v>1104.0757465405552</v>
      </c>
      <c r="L68" s="40">
        <f>IFERROR(INDEX('LV &amp; HV augex'!$D$10:$P$18,MATCH($C68,'LV &amp; HV augex'!$C$10:$C$18,0),MATCH(L$19,'LV &amp; HV augex'!$D$9:$P$9,0))*INDEX('LV &amp; HV augex'!$D$28:$J$52,MATCH($B68,'LV &amp; HV augex'!$L$28:$L$52,0),MATCH($C68,'LV &amp; HV augex'!$D$27:$J$27,0)),0)*'Financial inputs'!$D$11</f>
        <v>1104.0757465405552</v>
      </c>
      <c r="M68" s="40">
        <f>IFERROR(INDEX('LV &amp; HV augex'!$D$10:$P$18,MATCH($C68,'LV &amp; HV augex'!$C$10:$C$18,0),MATCH(M$19,'LV &amp; HV augex'!$D$9:$P$9,0))*INDEX('LV &amp; HV augex'!$D$28:$J$52,MATCH($B68,'LV &amp; HV augex'!$L$28:$L$52,0),MATCH($C68,'LV &amp; HV augex'!$D$27:$J$27,0)),0)*'Financial inputs'!$D$11</f>
        <v>1104.0757465405552</v>
      </c>
      <c r="N68" s="40">
        <f>IFERROR(INDEX('LV &amp; HV augex'!$D$10:$P$18,MATCH($C68,'LV &amp; HV augex'!$C$10:$C$18,0),MATCH(N$19,'LV &amp; HV augex'!$D$9:$P$9,0))*INDEX('LV &amp; HV augex'!$D$28:$J$52,MATCH($B68,'LV &amp; HV augex'!$L$28:$L$52,0),MATCH($C68,'LV &amp; HV augex'!$D$27:$J$27,0)),0)*'Financial inputs'!$D$11</f>
        <v>1104.0757465405552</v>
      </c>
      <c r="O68" s="40">
        <f>IFERROR(INDEX('LV &amp; HV augex'!$D$10:$P$18,MATCH($C68,'LV &amp; HV augex'!$C$10:$C$18,0),MATCH(O$19,'LV &amp; HV augex'!$D$9:$P$9,0))*INDEX('LV &amp; HV augex'!$D$28:$J$52,MATCH($B68,'LV &amp; HV augex'!$L$28:$L$52,0),MATCH($C68,'LV &amp; HV augex'!$D$27:$J$27,0)),0)*'Financial inputs'!$D$11</f>
        <v>1104.0757465405552</v>
      </c>
      <c r="P68" s="40">
        <f>IFERROR(INDEX('LV &amp; HV augex'!$D$10:$P$18,MATCH($C68,'LV &amp; HV augex'!$C$10:$C$18,0),MATCH(P$19,'LV &amp; HV augex'!$D$9:$P$9,0))*INDEX('LV &amp; HV augex'!$D$28:$J$52,MATCH($B68,'LV &amp; HV augex'!$L$28:$L$52,0),MATCH($C68,'LV &amp; HV augex'!$D$27:$J$27,0)),0)*'Financial inputs'!$D$11</f>
        <v>1104.0757465405552</v>
      </c>
    </row>
    <row r="69" spans="2:16" ht="15.5">
      <c r="B69" s="2" t="str">
        <f t="shared" si="5"/>
        <v>Upper North Shore</v>
      </c>
      <c r="C69" s="35" t="str" cm="1">
        <f t="array" ref="C69">INDEX(augex_categories,COUNTIFS($B$20:$B69,$B$20))</f>
        <v>Voltage Management Tap Change</v>
      </c>
      <c r="D69" s="35" t="str">
        <f>IF(COUNTIF('LV &amp; HV augex'!$C$10:$C$13,C69), "LV", IF(COUNTIF('LV &amp; HV augex'!$C$15:$C$17, C69), "HV", "Error"))</f>
        <v>LV</v>
      </c>
      <c r="E69" s="35" t="str">
        <f>INDEX('Growing &amp; falling'!$D$14:$D$39,MATCH($B69,'Growing &amp; falling'!$B$14:$B$39,0))</f>
        <v>Decline</v>
      </c>
      <c r="F69" s="35" t="str">
        <f t="shared" si="4"/>
        <v>$2024 real</v>
      </c>
      <c r="G69" s="40">
        <f>IFERROR(INDEX('LV &amp; HV augex'!$D$10:$P$18,MATCH($C69,'LV &amp; HV augex'!$C$10:$C$18,0),MATCH(G$19,'LV &amp; HV augex'!$D$9:$P$9,0))*INDEX('LV &amp; HV augex'!$D$28:$J$52,MATCH($B69,'LV &amp; HV augex'!$L$28:$L$52,0),MATCH($C69,'LV &amp; HV augex'!$D$27:$J$27,0)),0)*'Financial inputs'!$D$11</f>
        <v>3680.2524884685167</v>
      </c>
      <c r="H69" s="40">
        <f>IFERROR(INDEX('LV &amp; HV augex'!$D$10:$P$18,MATCH($C69,'LV &amp; HV augex'!$C$10:$C$18,0),MATCH(H$19,'LV &amp; HV augex'!$D$9:$P$9,0))*INDEX('LV &amp; HV augex'!$D$28:$J$52,MATCH($B69,'LV &amp; HV augex'!$L$28:$L$52,0),MATCH($C69,'LV &amp; HV augex'!$D$27:$J$27,0)),0)*'Financial inputs'!$D$11</f>
        <v>3680.2524884685167</v>
      </c>
      <c r="I69" s="40">
        <f>IFERROR(INDEX('LV &amp; HV augex'!$D$10:$P$18,MATCH($C69,'LV &amp; HV augex'!$C$10:$C$18,0),MATCH(I$19,'LV &amp; HV augex'!$D$9:$P$9,0))*INDEX('LV &amp; HV augex'!$D$28:$J$52,MATCH($B69,'LV &amp; HV augex'!$L$28:$L$52,0),MATCH($C69,'LV &amp; HV augex'!$D$27:$J$27,0)),0)*'Financial inputs'!$D$11</f>
        <v>3680.2524884685167</v>
      </c>
      <c r="J69" s="40">
        <f>IFERROR(INDEX('LV &amp; HV augex'!$D$10:$P$18,MATCH($C69,'LV &amp; HV augex'!$C$10:$C$18,0),MATCH(J$19,'LV &amp; HV augex'!$D$9:$P$9,0))*INDEX('LV &amp; HV augex'!$D$28:$J$52,MATCH($B69,'LV &amp; HV augex'!$L$28:$L$52,0),MATCH($C69,'LV &amp; HV augex'!$D$27:$J$27,0)),0)*'Financial inputs'!$D$11</f>
        <v>3680.2524884685167</v>
      </c>
      <c r="K69" s="40">
        <f>IFERROR(INDEX('LV &amp; HV augex'!$D$10:$P$18,MATCH($C69,'LV &amp; HV augex'!$C$10:$C$18,0),MATCH(K$19,'LV &amp; HV augex'!$D$9:$P$9,0))*INDEX('LV &amp; HV augex'!$D$28:$J$52,MATCH($B69,'LV &amp; HV augex'!$L$28:$L$52,0),MATCH($C69,'LV &amp; HV augex'!$D$27:$J$27,0)),0)*'Financial inputs'!$D$11</f>
        <v>3680.2524884685167</v>
      </c>
      <c r="L69" s="40">
        <f>IFERROR(INDEX('LV &amp; HV augex'!$D$10:$P$18,MATCH($C69,'LV &amp; HV augex'!$C$10:$C$18,0),MATCH(L$19,'LV &amp; HV augex'!$D$9:$P$9,0))*INDEX('LV &amp; HV augex'!$D$28:$J$52,MATCH($B69,'LV &amp; HV augex'!$L$28:$L$52,0),MATCH($C69,'LV &amp; HV augex'!$D$27:$J$27,0)),0)*'Financial inputs'!$D$11</f>
        <v>3680.2524884685167</v>
      </c>
      <c r="M69" s="40">
        <f>IFERROR(INDEX('LV &amp; HV augex'!$D$10:$P$18,MATCH($C69,'LV &amp; HV augex'!$C$10:$C$18,0),MATCH(M$19,'LV &amp; HV augex'!$D$9:$P$9,0))*INDEX('LV &amp; HV augex'!$D$28:$J$52,MATCH($B69,'LV &amp; HV augex'!$L$28:$L$52,0),MATCH($C69,'LV &amp; HV augex'!$D$27:$J$27,0)),0)*'Financial inputs'!$D$11</f>
        <v>3680.2524884685167</v>
      </c>
      <c r="N69" s="40">
        <f>IFERROR(INDEX('LV &amp; HV augex'!$D$10:$P$18,MATCH($C69,'LV &amp; HV augex'!$C$10:$C$18,0),MATCH(N$19,'LV &amp; HV augex'!$D$9:$P$9,0))*INDEX('LV &amp; HV augex'!$D$28:$J$52,MATCH($B69,'LV &amp; HV augex'!$L$28:$L$52,0),MATCH($C69,'LV &amp; HV augex'!$D$27:$J$27,0)),0)*'Financial inputs'!$D$11</f>
        <v>3680.2524884685167</v>
      </c>
      <c r="O69" s="40">
        <f>IFERROR(INDEX('LV &amp; HV augex'!$D$10:$P$18,MATCH($C69,'LV &amp; HV augex'!$C$10:$C$18,0),MATCH(O$19,'LV &amp; HV augex'!$D$9:$P$9,0))*INDEX('LV &amp; HV augex'!$D$28:$J$52,MATCH($B69,'LV &amp; HV augex'!$L$28:$L$52,0),MATCH($C69,'LV &amp; HV augex'!$D$27:$J$27,0)),0)*'Financial inputs'!$D$11</f>
        <v>3680.2524884685167</v>
      </c>
      <c r="P69" s="40">
        <f>IFERROR(INDEX('LV &amp; HV augex'!$D$10:$P$18,MATCH($C69,'LV &amp; HV augex'!$C$10:$C$18,0),MATCH(P$19,'LV &amp; HV augex'!$D$9:$P$9,0))*INDEX('LV &amp; HV augex'!$D$28:$J$52,MATCH($B69,'LV &amp; HV augex'!$L$28:$L$52,0),MATCH($C69,'LV &amp; HV augex'!$D$27:$J$27,0)),0)*'Financial inputs'!$D$11</f>
        <v>3680.2524884685167</v>
      </c>
    </row>
    <row r="70" spans="2:16" ht="15.5">
      <c r="B70" s="2" t="str">
        <f t="shared" si="5"/>
        <v>West Lake Macquarie</v>
      </c>
      <c r="C70" s="35" t="str" cm="1">
        <f t="array" ref="C70">INDEX(augex_categories,COUNTIFS($B$20:$B70,$B$20))</f>
        <v>Voltage Management Tap Change</v>
      </c>
      <c r="D70" s="35" t="str">
        <f>IF(COUNTIF('LV &amp; HV augex'!$C$10:$C$13,C70), "LV", IF(COUNTIF('LV &amp; HV augex'!$C$15:$C$17, C70), "HV", "Error"))</f>
        <v>LV</v>
      </c>
      <c r="E70" s="35" t="str">
        <f>INDEX('Growing &amp; falling'!$D$14:$D$39,MATCH($B70,'Growing &amp; falling'!$B$14:$B$39,0))</f>
        <v>Decline</v>
      </c>
      <c r="F70" s="35" t="str">
        <f t="shared" si="4"/>
        <v>$2024 real</v>
      </c>
      <c r="G70" s="40">
        <f>IFERROR(INDEX('LV &amp; HV augex'!$D$10:$P$18,MATCH($C70,'LV &amp; HV augex'!$C$10:$C$18,0),MATCH(G$19,'LV &amp; HV augex'!$D$9:$P$9,0))*INDEX('LV &amp; HV augex'!$D$28:$J$52,MATCH($B70,'LV &amp; HV augex'!$L$28:$L$52,0),MATCH($C70,'LV &amp; HV augex'!$D$27:$J$27,0)),0)*'Financial inputs'!$D$11</f>
        <v>3680.2524884685167</v>
      </c>
      <c r="H70" s="40">
        <f>IFERROR(INDEX('LV &amp; HV augex'!$D$10:$P$18,MATCH($C70,'LV &amp; HV augex'!$C$10:$C$18,0),MATCH(H$19,'LV &amp; HV augex'!$D$9:$P$9,0))*INDEX('LV &amp; HV augex'!$D$28:$J$52,MATCH($B70,'LV &amp; HV augex'!$L$28:$L$52,0),MATCH($C70,'LV &amp; HV augex'!$D$27:$J$27,0)),0)*'Financial inputs'!$D$11</f>
        <v>3680.2524884685167</v>
      </c>
      <c r="I70" s="40">
        <f>IFERROR(INDEX('LV &amp; HV augex'!$D$10:$P$18,MATCH($C70,'LV &amp; HV augex'!$C$10:$C$18,0),MATCH(I$19,'LV &amp; HV augex'!$D$9:$P$9,0))*INDEX('LV &amp; HV augex'!$D$28:$J$52,MATCH($B70,'LV &amp; HV augex'!$L$28:$L$52,0),MATCH($C70,'LV &amp; HV augex'!$D$27:$J$27,0)),0)*'Financial inputs'!$D$11</f>
        <v>3680.2524884685167</v>
      </c>
      <c r="J70" s="40">
        <f>IFERROR(INDEX('LV &amp; HV augex'!$D$10:$P$18,MATCH($C70,'LV &amp; HV augex'!$C$10:$C$18,0),MATCH(J$19,'LV &amp; HV augex'!$D$9:$P$9,0))*INDEX('LV &amp; HV augex'!$D$28:$J$52,MATCH($B70,'LV &amp; HV augex'!$L$28:$L$52,0),MATCH($C70,'LV &amp; HV augex'!$D$27:$J$27,0)),0)*'Financial inputs'!$D$11</f>
        <v>3680.2524884685167</v>
      </c>
      <c r="K70" s="40">
        <f>IFERROR(INDEX('LV &amp; HV augex'!$D$10:$P$18,MATCH($C70,'LV &amp; HV augex'!$C$10:$C$18,0),MATCH(K$19,'LV &amp; HV augex'!$D$9:$P$9,0))*INDEX('LV &amp; HV augex'!$D$28:$J$52,MATCH($B70,'LV &amp; HV augex'!$L$28:$L$52,0),MATCH($C70,'LV &amp; HV augex'!$D$27:$J$27,0)),0)*'Financial inputs'!$D$11</f>
        <v>3680.2524884685167</v>
      </c>
      <c r="L70" s="40">
        <f>IFERROR(INDEX('LV &amp; HV augex'!$D$10:$P$18,MATCH($C70,'LV &amp; HV augex'!$C$10:$C$18,0),MATCH(L$19,'LV &amp; HV augex'!$D$9:$P$9,0))*INDEX('LV &amp; HV augex'!$D$28:$J$52,MATCH($B70,'LV &amp; HV augex'!$L$28:$L$52,0),MATCH($C70,'LV &amp; HV augex'!$D$27:$J$27,0)),0)*'Financial inputs'!$D$11</f>
        <v>3680.2524884685167</v>
      </c>
      <c r="M70" s="40">
        <f>IFERROR(INDEX('LV &amp; HV augex'!$D$10:$P$18,MATCH($C70,'LV &amp; HV augex'!$C$10:$C$18,0),MATCH(M$19,'LV &amp; HV augex'!$D$9:$P$9,0))*INDEX('LV &amp; HV augex'!$D$28:$J$52,MATCH($B70,'LV &amp; HV augex'!$L$28:$L$52,0),MATCH($C70,'LV &amp; HV augex'!$D$27:$J$27,0)),0)*'Financial inputs'!$D$11</f>
        <v>3680.2524884685167</v>
      </c>
      <c r="N70" s="40">
        <f>IFERROR(INDEX('LV &amp; HV augex'!$D$10:$P$18,MATCH($C70,'LV &amp; HV augex'!$C$10:$C$18,0),MATCH(N$19,'LV &amp; HV augex'!$D$9:$P$9,0))*INDEX('LV &amp; HV augex'!$D$28:$J$52,MATCH($B70,'LV &amp; HV augex'!$L$28:$L$52,0),MATCH($C70,'LV &amp; HV augex'!$D$27:$J$27,0)),0)*'Financial inputs'!$D$11</f>
        <v>3680.2524884685167</v>
      </c>
      <c r="O70" s="40">
        <f>IFERROR(INDEX('LV &amp; HV augex'!$D$10:$P$18,MATCH($C70,'LV &amp; HV augex'!$C$10:$C$18,0),MATCH(O$19,'LV &amp; HV augex'!$D$9:$P$9,0))*INDEX('LV &amp; HV augex'!$D$28:$J$52,MATCH($B70,'LV &amp; HV augex'!$L$28:$L$52,0),MATCH($C70,'LV &amp; HV augex'!$D$27:$J$27,0)),0)*'Financial inputs'!$D$11</f>
        <v>3680.2524884685167</v>
      </c>
      <c r="P70" s="40">
        <f>IFERROR(INDEX('LV &amp; HV augex'!$D$10:$P$18,MATCH($C70,'LV &amp; HV augex'!$C$10:$C$18,0),MATCH(P$19,'LV &amp; HV augex'!$D$9:$P$9,0))*INDEX('LV &amp; HV augex'!$D$28:$J$52,MATCH($B70,'LV &amp; HV augex'!$L$28:$L$52,0),MATCH($C70,'LV &amp; HV augex'!$D$27:$J$27,0)),0)*'Financial inputs'!$D$11</f>
        <v>3680.2524884685167</v>
      </c>
    </row>
    <row r="71" spans="2:16" ht="15.5">
      <c r="B71" s="2" t="str">
        <f t="shared" si="5"/>
        <v>System wide</v>
      </c>
      <c r="C71" s="35" t="str" cm="1">
        <f t="array" ref="C71">INDEX(augex_categories,COUNTIFS($B$20:$B71,$B$20))</f>
        <v>Voltage Management Tap Change</v>
      </c>
      <c r="D71" s="35" t="str">
        <f>IF(COUNTIF('LV &amp; HV augex'!$C$10:$C$13,C71), "LV", IF(COUNTIF('LV &amp; HV augex'!$C$15:$C$17, C71), "HV", "Error"))</f>
        <v>LV</v>
      </c>
      <c r="E71" s="35" t="str">
        <f>INDEX('Growing &amp; falling'!$D$14:$D$39,MATCH($B71,'Growing &amp; falling'!$B$14:$B$39,0))</f>
        <v>System wide</v>
      </c>
      <c r="F71" s="35" t="str">
        <f t="shared" si="4"/>
        <v>$2024 real</v>
      </c>
      <c r="G71" s="40">
        <f>IFERROR(INDEX('LV &amp; HV augex'!$D$10:$P$18,MATCH($C71,'LV &amp; HV augex'!$C$10:$C$18,0),MATCH(G$19,'LV &amp; HV augex'!$D$9:$P$9,0))*INDEX('LV &amp; HV augex'!$D$28:$J$52,MATCH($B71,'LV &amp; HV augex'!$L$28:$L$52,0),MATCH($C71,'LV &amp; HV augex'!$D$27:$J$27,0)),0)*'Financial inputs'!$D$11</f>
        <v>0</v>
      </c>
      <c r="H71" s="40">
        <f>IFERROR(INDEX('LV &amp; HV augex'!$D$10:$P$18,MATCH($C71,'LV &amp; HV augex'!$C$10:$C$18,0),MATCH(H$19,'LV &amp; HV augex'!$D$9:$P$9,0))*INDEX('LV &amp; HV augex'!$D$28:$J$52,MATCH($B71,'LV &amp; HV augex'!$L$28:$L$52,0),MATCH($C71,'LV &amp; HV augex'!$D$27:$J$27,0)),0)*'Financial inputs'!$D$11</f>
        <v>0</v>
      </c>
      <c r="I71" s="40">
        <f>IFERROR(INDEX('LV &amp; HV augex'!$D$10:$P$18,MATCH($C71,'LV &amp; HV augex'!$C$10:$C$18,0),MATCH(I$19,'LV &amp; HV augex'!$D$9:$P$9,0))*INDEX('LV &amp; HV augex'!$D$28:$J$52,MATCH($B71,'LV &amp; HV augex'!$L$28:$L$52,0),MATCH($C71,'LV &amp; HV augex'!$D$27:$J$27,0)),0)*'Financial inputs'!$D$11</f>
        <v>0</v>
      </c>
      <c r="J71" s="40">
        <f>IFERROR(INDEX('LV &amp; HV augex'!$D$10:$P$18,MATCH($C71,'LV &amp; HV augex'!$C$10:$C$18,0),MATCH(J$19,'LV &amp; HV augex'!$D$9:$P$9,0))*INDEX('LV &amp; HV augex'!$D$28:$J$52,MATCH($B71,'LV &amp; HV augex'!$L$28:$L$52,0),MATCH($C71,'LV &amp; HV augex'!$D$27:$J$27,0)),0)*'Financial inputs'!$D$11</f>
        <v>0</v>
      </c>
      <c r="K71" s="40">
        <f>IFERROR(INDEX('LV &amp; HV augex'!$D$10:$P$18,MATCH($C71,'LV &amp; HV augex'!$C$10:$C$18,0),MATCH(K$19,'LV &amp; HV augex'!$D$9:$P$9,0))*INDEX('LV &amp; HV augex'!$D$28:$J$52,MATCH($B71,'LV &amp; HV augex'!$L$28:$L$52,0),MATCH($C71,'LV &amp; HV augex'!$D$27:$J$27,0)),0)*'Financial inputs'!$D$11</f>
        <v>0</v>
      </c>
      <c r="L71" s="40">
        <f>IFERROR(INDEX('LV &amp; HV augex'!$D$10:$P$18,MATCH($C71,'LV &amp; HV augex'!$C$10:$C$18,0),MATCH(L$19,'LV &amp; HV augex'!$D$9:$P$9,0))*INDEX('LV &amp; HV augex'!$D$28:$J$52,MATCH($B71,'LV &amp; HV augex'!$L$28:$L$52,0),MATCH($C71,'LV &amp; HV augex'!$D$27:$J$27,0)),0)*'Financial inputs'!$D$11</f>
        <v>0</v>
      </c>
      <c r="M71" s="40">
        <f>IFERROR(INDEX('LV &amp; HV augex'!$D$10:$P$18,MATCH($C71,'LV &amp; HV augex'!$C$10:$C$18,0),MATCH(M$19,'LV &amp; HV augex'!$D$9:$P$9,0))*INDEX('LV &amp; HV augex'!$D$28:$J$52,MATCH($B71,'LV &amp; HV augex'!$L$28:$L$52,0),MATCH($C71,'LV &amp; HV augex'!$D$27:$J$27,0)),0)*'Financial inputs'!$D$11</f>
        <v>0</v>
      </c>
      <c r="N71" s="40">
        <f>IFERROR(INDEX('LV &amp; HV augex'!$D$10:$P$18,MATCH($C71,'LV &amp; HV augex'!$C$10:$C$18,0),MATCH(N$19,'LV &amp; HV augex'!$D$9:$P$9,0))*INDEX('LV &amp; HV augex'!$D$28:$J$52,MATCH($B71,'LV &amp; HV augex'!$L$28:$L$52,0),MATCH($C71,'LV &amp; HV augex'!$D$27:$J$27,0)),0)*'Financial inputs'!$D$11</f>
        <v>0</v>
      </c>
      <c r="O71" s="40">
        <f>IFERROR(INDEX('LV &amp; HV augex'!$D$10:$P$18,MATCH($C71,'LV &amp; HV augex'!$C$10:$C$18,0),MATCH(O$19,'LV &amp; HV augex'!$D$9:$P$9,0))*INDEX('LV &amp; HV augex'!$D$28:$J$52,MATCH($B71,'LV &amp; HV augex'!$L$28:$L$52,0),MATCH($C71,'LV &amp; HV augex'!$D$27:$J$27,0)),0)*'Financial inputs'!$D$11</f>
        <v>0</v>
      </c>
      <c r="P71" s="40">
        <f>IFERROR(INDEX('LV &amp; HV augex'!$D$10:$P$18,MATCH($C71,'LV &amp; HV augex'!$C$10:$C$18,0),MATCH(P$19,'LV &amp; HV augex'!$D$9:$P$9,0))*INDEX('LV &amp; HV augex'!$D$28:$J$52,MATCH($B71,'LV &amp; HV augex'!$L$28:$L$52,0),MATCH($C71,'LV &amp; HV augex'!$D$27:$J$27,0)),0)*'Financial inputs'!$D$11</f>
        <v>0</v>
      </c>
    </row>
    <row r="72" spans="2:16" ht="15.5">
      <c r="B72" s="2" t="str">
        <f t="shared" si="5"/>
        <v>Auburn / Homebush</v>
      </c>
      <c r="C72" s="35" t="str" cm="1">
        <f t="array" ref="C72">INDEX(augex_categories,COUNTIFS($B$20:$B72,$B$20))</f>
        <v>LV Distributor Capacity</v>
      </c>
      <c r="D72" s="35" t="str">
        <f>IF(COUNTIF('LV &amp; HV augex'!$C$10:$C$13,C72), "LV", IF(COUNTIF('LV &amp; HV augex'!$C$15:$C$17, C72), "HV", "Error"))</f>
        <v>LV</v>
      </c>
      <c r="E72" s="35" t="str">
        <f>INDEX('Growing &amp; falling'!$D$14:$D$39,MATCH($B72,'Growing &amp; falling'!$B$14:$B$39,0))</f>
        <v>Growth</v>
      </c>
      <c r="F72" s="35" t="str">
        <f t="shared" si="4"/>
        <v>$2024 real</v>
      </c>
      <c r="G72" s="40">
        <f>IFERROR(INDEX('LV &amp; HV augex'!$D$10:$P$18,MATCH($C72,'LV &amp; HV augex'!$C$10:$C$18,0),MATCH(G$19,'LV &amp; HV augex'!$D$9:$P$9,0))*INDEX('LV &amp; HV augex'!$D$28:$J$52,MATCH($B72,'LV &amp; HV augex'!$L$28:$L$52,0),MATCH($C72,'LV &amp; HV augex'!$D$27:$J$27,0)),0)*'Financial inputs'!$D$11</f>
        <v>213184.56524922696</v>
      </c>
      <c r="H72" s="40">
        <f>IFERROR(INDEX('LV &amp; HV augex'!$D$10:$P$18,MATCH($C72,'LV &amp; HV augex'!$C$10:$C$18,0),MATCH(H$19,'LV &amp; HV augex'!$D$9:$P$9,0))*INDEX('LV &amp; HV augex'!$D$28:$J$52,MATCH($B72,'LV &amp; HV augex'!$L$28:$L$52,0),MATCH($C72,'LV &amp; HV augex'!$D$27:$J$27,0)),0)*'Financial inputs'!$D$11</f>
        <v>213184.56524922696</v>
      </c>
      <c r="I72" s="40">
        <f>IFERROR(INDEX('LV &amp; HV augex'!$D$10:$P$18,MATCH($C72,'LV &amp; HV augex'!$C$10:$C$18,0),MATCH(I$19,'LV &amp; HV augex'!$D$9:$P$9,0))*INDEX('LV &amp; HV augex'!$D$28:$J$52,MATCH($B72,'LV &amp; HV augex'!$L$28:$L$52,0),MATCH($C72,'LV &amp; HV augex'!$D$27:$J$27,0)),0)*'Financial inputs'!$D$11</f>
        <v>213184.56524922696</v>
      </c>
      <c r="J72" s="40">
        <f>IFERROR(INDEX('LV &amp; HV augex'!$D$10:$P$18,MATCH($C72,'LV &amp; HV augex'!$C$10:$C$18,0),MATCH(J$19,'LV &amp; HV augex'!$D$9:$P$9,0))*INDEX('LV &amp; HV augex'!$D$28:$J$52,MATCH($B72,'LV &amp; HV augex'!$L$28:$L$52,0),MATCH($C72,'LV &amp; HV augex'!$D$27:$J$27,0)),0)*'Financial inputs'!$D$11</f>
        <v>213184.56524922696</v>
      </c>
      <c r="K72" s="40">
        <f>IFERROR(INDEX('LV &amp; HV augex'!$D$10:$P$18,MATCH($C72,'LV &amp; HV augex'!$C$10:$C$18,0),MATCH(K$19,'LV &amp; HV augex'!$D$9:$P$9,0))*INDEX('LV &amp; HV augex'!$D$28:$J$52,MATCH($B72,'LV &amp; HV augex'!$L$28:$L$52,0),MATCH($C72,'LV &amp; HV augex'!$D$27:$J$27,0)),0)*'Financial inputs'!$D$11</f>
        <v>213184.56524922696</v>
      </c>
      <c r="L72" s="40">
        <f>IFERROR(INDEX('LV &amp; HV augex'!$D$10:$P$18,MATCH($C72,'LV &amp; HV augex'!$C$10:$C$18,0),MATCH(L$19,'LV &amp; HV augex'!$D$9:$P$9,0))*INDEX('LV &amp; HV augex'!$D$28:$J$52,MATCH($B72,'LV &amp; HV augex'!$L$28:$L$52,0),MATCH($C72,'LV &amp; HV augex'!$D$27:$J$27,0)),0)*'Financial inputs'!$D$11</f>
        <v>213184.56524922696</v>
      </c>
      <c r="M72" s="40">
        <f>IFERROR(INDEX('LV &amp; HV augex'!$D$10:$P$18,MATCH($C72,'LV &amp; HV augex'!$C$10:$C$18,0),MATCH(M$19,'LV &amp; HV augex'!$D$9:$P$9,0))*INDEX('LV &amp; HV augex'!$D$28:$J$52,MATCH($B72,'LV &amp; HV augex'!$L$28:$L$52,0),MATCH($C72,'LV &amp; HV augex'!$D$27:$J$27,0)),0)*'Financial inputs'!$D$11</f>
        <v>213184.56524922696</v>
      </c>
      <c r="N72" s="40">
        <f>IFERROR(INDEX('LV &amp; HV augex'!$D$10:$P$18,MATCH($C72,'LV &amp; HV augex'!$C$10:$C$18,0),MATCH(N$19,'LV &amp; HV augex'!$D$9:$P$9,0))*INDEX('LV &amp; HV augex'!$D$28:$J$52,MATCH($B72,'LV &amp; HV augex'!$L$28:$L$52,0),MATCH($C72,'LV &amp; HV augex'!$D$27:$J$27,0)),0)*'Financial inputs'!$D$11</f>
        <v>213184.56524922696</v>
      </c>
      <c r="O72" s="40">
        <f>IFERROR(INDEX('LV &amp; HV augex'!$D$10:$P$18,MATCH($C72,'LV &amp; HV augex'!$C$10:$C$18,0),MATCH(O$19,'LV &amp; HV augex'!$D$9:$P$9,0))*INDEX('LV &amp; HV augex'!$D$28:$J$52,MATCH($B72,'LV &amp; HV augex'!$L$28:$L$52,0),MATCH($C72,'LV &amp; HV augex'!$D$27:$J$27,0)),0)*'Financial inputs'!$D$11</f>
        <v>213184.56524922696</v>
      </c>
      <c r="P72" s="40">
        <f>IFERROR(INDEX('LV &amp; HV augex'!$D$10:$P$18,MATCH($C72,'LV &amp; HV augex'!$C$10:$C$18,0),MATCH(P$19,'LV &amp; HV augex'!$D$9:$P$9,0))*INDEX('LV &amp; HV augex'!$D$28:$J$52,MATCH($B72,'LV &amp; HV augex'!$L$28:$L$52,0),MATCH($C72,'LV &amp; HV augex'!$D$27:$J$27,0)),0)*'Financial inputs'!$D$11</f>
        <v>213184.56524922696</v>
      </c>
    </row>
    <row r="73" spans="2:16" ht="15.5">
      <c r="B73" s="2" t="str">
        <f t="shared" si="5"/>
        <v>Camperdown &amp; Blackwattle Bay</v>
      </c>
      <c r="C73" s="35" t="str" cm="1">
        <f t="array" ref="C73">INDEX(augex_categories,COUNTIFS($B$20:$B73,$B$20))</f>
        <v>LV Distributor Capacity</v>
      </c>
      <c r="D73" s="35" t="str">
        <f>IF(COUNTIF('LV &amp; HV augex'!$C$10:$C$13,C73), "LV", IF(COUNTIF('LV &amp; HV augex'!$C$15:$C$17, C73), "HV", "Error"))</f>
        <v>LV</v>
      </c>
      <c r="E73" s="35" t="str">
        <f>INDEX('Growing &amp; falling'!$D$14:$D$39,MATCH($B73,'Growing &amp; falling'!$B$14:$B$39,0))</f>
        <v>Growth</v>
      </c>
      <c r="F73" s="35" t="str">
        <f t="shared" si="4"/>
        <v>$2024 real</v>
      </c>
      <c r="G73" s="40">
        <f>IFERROR(INDEX('LV &amp; HV augex'!$D$10:$P$18,MATCH($C73,'LV &amp; HV augex'!$C$10:$C$18,0),MATCH(G$19,'LV &amp; HV augex'!$D$9:$P$9,0))*INDEX('LV &amp; HV augex'!$D$28:$J$52,MATCH($B73,'LV &amp; HV augex'!$L$28:$L$52,0),MATCH($C73,'LV &amp; HV augex'!$D$27:$J$27,0)),0)*'Financial inputs'!$D$11</f>
        <v>41231.300531718618</v>
      </c>
      <c r="H73" s="40">
        <f>IFERROR(INDEX('LV &amp; HV augex'!$D$10:$P$18,MATCH($C73,'LV &amp; HV augex'!$C$10:$C$18,0),MATCH(H$19,'LV &amp; HV augex'!$D$9:$P$9,0))*INDEX('LV &amp; HV augex'!$D$28:$J$52,MATCH($B73,'LV &amp; HV augex'!$L$28:$L$52,0),MATCH($C73,'LV &amp; HV augex'!$D$27:$J$27,0)),0)*'Financial inputs'!$D$11</f>
        <v>41231.300531718618</v>
      </c>
      <c r="I73" s="40">
        <f>IFERROR(INDEX('LV &amp; HV augex'!$D$10:$P$18,MATCH($C73,'LV &amp; HV augex'!$C$10:$C$18,0),MATCH(I$19,'LV &amp; HV augex'!$D$9:$P$9,0))*INDEX('LV &amp; HV augex'!$D$28:$J$52,MATCH($B73,'LV &amp; HV augex'!$L$28:$L$52,0),MATCH($C73,'LV &amp; HV augex'!$D$27:$J$27,0)),0)*'Financial inputs'!$D$11</f>
        <v>41231.300531718618</v>
      </c>
      <c r="J73" s="40">
        <f>IFERROR(INDEX('LV &amp; HV augex'!$D$10:$P$18,MATCH($C73,'LV &amp; HV augex'!$C$10:$C$18,0),MATCH(J$19,'LV &amp; HV augex'!$D$9:$P$9,0))*INDEX('LV &amp; HV augex'!$D$28:$J$52,MATCH($B73,'LV &amp; HV augex'!$L$28:$L$52,0),MATCH($C73,'LV &amp; HV augex'!$D$27:$J$27,0)),0)*'Financial inputs'!$D$11</f>
        <v>41231.300531718618</v>
      </c>
      <c r="K73" s="40">
        <f>IFERROR(INDEX('LV &amp; HV augex'!$D$10:$P$18,MATCH($C73,'LV &amp; HV augex'!$C$10:$C$18,0),MATCH(K$19,'LV &amp; HV augex'!$D$9:$P$9,0))*INDEX('LV &amp; HV augex'!$D$28:$J$52,MATCH($B73,'LV &amp; HV augex'!$L$28:$L$52,0),MATCH($C73,'LV &amp; HV augex'!$D$27:$J$27,0)),0)*'Financial inputs'!$D$11</f>
        <v>41231.300531718618</v>
      </c>
      <c r="L73" s="40">
        <f>IFERROR(INDEX('LV &amp; HV augex'!$D$10:$P$18,MATCH($C73,'LV &amp; HV augex'!$C$10:$C$18,0),MATCH(L$19,'LV &amp; HV augex'!$D$9:$P$9,0))*INDEX('LV &amp; HV augex'!$D$28:$J$52,MATCH($B73,'LV &amp; HV augex'!$L$28:$L$52,0),MATCH($C73,'LV &amp; HV augex'!$D$27:$J$27,0)),0)*'Financial inputs'!$D$11</f>
        <v>41231.300531718618</v>
      </c>
      <c r="M73" s="40">
        <f>IFERROR(INDEX('LV &amp; HV augex'!$D$10:$P$18,MATCH($C73,'LV &amp; HV augex'!$C$10:$C$18,0),MATCH(M$19,'LV &amp; HV augex'!$D$9:$P$9,0))*INDEX('LV &amp; HV augex'!$D$28:$J$52,MATCH($B73,'LV &amp; HV augex'!$L$28:$L$52,0),MATCH($C73,'LV &amp; HV augex'!$D$27:$J$27,0)),0)*'Financial inputs'!$D$11</f>
        <v>41231.300531718618</v>
      </c>
      <c r="N73" s="40">
        <f>IFERROR(INDEX('LV &amp; HV augex'!$D$10:$P$18,MATCH($C73,'LV &amp; HV augex'!$C$10:$C$18,0),MATCH(N$19,'LV &amp; HV augex'!$D$9:$P$9,0))*INDEX('LV &amp; HV augex'!$D$28:$J$52,MATCH($B73,'LV &amp; HV augex'!$L$28:$L$52,0),MATCH($C73,'LV &amp; HV augex'!$D$27:$J$27,0)),0)*'Financial inputs'!$D$11</f>
        <v>41231.300531718618</v>
      </c>
      <c r="O73" s="40">
        <f>IFERROR(INDEX('LV &amp; HV augex'!$D$10:$P$18,MATCH($C73,'LV &amp; HV augex'!$C$10:$C$18,0),MATCH(O$19,'LV &amp; HV augex'!$D$9:$P$9,0))*INDEX('LV &amp; HV augex'!$D$28:$J$52,MATCH($B73,'LV &amp; HV augex'!$L$28:$L$52,0),MATCH($C73,'LV &amp; HV augex'!$D$27:$J$27,0)),0)*'Financial inputs'!$D$11</f>
        <v>41231.300531718618</v>
      </c>
      <c r="P73" s="40">
        <f>IFERROR(INDEX('LV &amp; HV augex'!$D$10:$P$18,MATCH($C73,'LV &amp; HV augex'!$C$10:$C$18,0),MATCH(P$19,'LV &amp; HV augex'!$D$9:$P$9,0))*INDEX('LV &amp; HV augex'!$D$28:$J$52,MATCH($B73,'LV &amp; HV augex'!$L$28:$L$52,0),MATCH($C73,'LV &amp; HV augex'!$D$27:$J$27,0)),0)*'Financial inputs'!$D$11</f>
        <v>41231.300531718618</v>
      </c>
    </row>
    <row r="74" spans="2:16" ht="15.5">
      <c r="B74" s="2" t="str">
        <f t="shared" si="5"/>
        <v>Canterbury Bankstown</v>
      </c>
      <c r="C74" s="35" t="str" cm="1">
        <f t="array" ref="C74">INDEX(augex_categories,COUNTIFS($B$20:$B74,$B$20))</f>
        <v>LV Distributor Capacity</v>
      </c>
      <c r="D74" s="35" t="str">
        <f>IF(COUNTIF('LV &amp; HV augex'!$C$10:$C$13,C74), "LV", IF(COUNTIF('LV &amp; HV augex'!$C$15:$C$17, C74), "HV", "Error"))</f>
        <v>LV</v>
      </c>
      <c r="E74" s="35" t="str">
        <f>INDEX('Growing &amp; falling'!$D$14:$D$39,MATCH($B74,'Growing &amp; falling'!$B$14:$B$39,0))</f>
        <v>Growth</v>
      </c>
      <c r="F74" s="35" t="str">
        <f t="shared" si="4"/>
        <v>$2024 real</v>
      </c>
      <c r="G74" s="40">
        <f>IFERROR(INDEX('LV &amp; HV augex'!$D$10:$P$18,MATCH($C74,'LV &amp; HV augex'!$C$10:$C$18,0),MATCH(G$19,'LV &amp; HV augex'!$D$9:$P$9,0))*INDEX('LV &amp; HV augex'!$D$28:$J$52,MATCH($B74,'LV &amp; HV augex'!$L$28:$L$52,0),MATCH($C74,'LV &amp; HV augex'!$D$27:$J$27,0)),0)*'Financial inputs'!$D$11</f>
        <v>427774.74301658059</v>
      </c>
      <c r="H74" s="40">
        <f>IFERROR(INDEX('LV &amp; HV augex'!$D$10:$P$18,MATCH($C74,'LV &amp; HV augex'!$C$10:$C$18,0),MATCH(H$19,'LV &amp; HV augex'!$D$9:$P$9,0))*INDEX('LV &amp; HV augex'!$D$28:$J$52,MATCH($B74,'LV &amp; HV augex'!$L$28:$L$52,0),MATCH($C74,'LV &amp; HV augex'!$D$27:$J$27,0)),0)*'Financial inputs'!$D$11</f>
        <v>427774.74301658059</v>
      </c>
      <c r="I74" s="40">
        <f>IFERROR(INDEX('LV &amp; HV augex'!$D$10:$P$18,MATCH($C74,'LV &amp; HV augex'!$C$10:$C$18,0),MATCH(I$19,'LV &amp; HV augex'!$D$9:$P$9,0))*INDEX('LV &amp; HV augex'!$D$28:$J$52,MATCH($B74,'LV &amp; HV augex'!$L$28:$L$52,0),MATCH($C74,'LV &amp; HV augex'!$D$27:$J$27,0)),0)*'Financial inputs'!$D$11</f>
        <v>427774.74301658059</v>
      </c>
      <c r="J74" s="40">
        <f>IFERROR(INDEX('LV &amp; HV augex'!$D$10:$P$18,MATCH($C74,'LV &amp; HV augex'!$C$10:$C$18,0),MATCH(J$19,'LV &amp; HV augex'!$D$9:$P$9,0))*INDEX('LV &amp; HV augex'!$D$28:$J$52,MATCH($B74,'LV &amp; HV augex'!$L$28:$L$52,0),MATCH($C74,'LV &amp; HV augex'!$D$27:$J$27,0)),0)*'Financial inputs'!$D$11</f>
        <v>427774.74301658059</v>
      </c>
      <c r="K74" s="40">
        <f>IFERROR(INDEX('LV &amp; HV augex'!$D$10:$P$18,MATCH($C74,'LV &amp; HV augex'!$C$10:$C$18,0),MATCH(K$19,'LV &amp; HV augex'!$D$9:$P$9,0))*INDEX('LV &amp; HV augex'!$D$28:$J$52,MATCH($B74,'LV &amp; HV augex'!$L$28:$L$52,0),MATCH($C74,'LV &amp; HV augex'!$D$27:$J$27,0)),0)*'Financial inputs'!$D$11</f>
        <v>427774.74301658059</v>
      </c>
      <c r="L74" s="40">
        <f>IFERROR(INDEX('LV &amp; HV augex'!$D$10:$P$18,MATCH($C74,'LV &amp; HV augex'!$C$10:$C$18,0),MATCH(L$19,'LV &amp; HV augex'!$D$9:$P$9,0))*INDEX('LV &amp; HV augex'!$D$28:$J$52,MATCH($B74,'LV &amp; HV augex'!$L$28:$L$52,0),MATCH($C74,'LV &amp; HV augex'!$D$27:$J$27,0)),0)*'Financial inputs'!$D$11</f>
        <v>427774.74301658059</v>
      </c>
      <c r="M74" s="40">
        <f>IFERROR(INDEX('LV &amp; HV augex'!$D$10:$P$18,MATCH($C74,'LV &amp; HV augex'!$C$10:$C$18,0),MATCH(M$19,'LV &amp; HV augex'!$D$9:$P$9,0))*INDEX('LV &amp; HV augex'!$D$28:$J$52,MATCH($B74,'LV &amp; HV augex'!$L$28:$L$52,0),MATCH($C74,'LV &amp; HV augex'!$D$27:$J$27,0)),0)*'Financial inputs'!$D$11</f>
        <v>427774.74301658059</v>
      </c>
      <c r="N74" s="40">
        <f>IFERROR(INDEX('LV &amp; HV augex'!$D$10:$P$18,MATCH($C74,'LV &amp; HV augex'!$C$10:$C$18,0),MATCH(N$19,'LV &amp; HV augex'!$D$9:$P$9,0))*INDEX('LV &amp; HV augex'!$D$28:$J$52,MATCH($B74,'LV &amp; HV augex'!$L$28:$L$52,0),MATCH($C74,'LV &amp; HV augex'!$D$27:$J$27,0)),0)*'Financial inputs'!$D$11</f>
        <v>427774.74301658059</v>
      </c>
      <c r="O74" s="40">
        <f>IFERROR(INDEX('LV &amp; HV augex'!$D$10:$P$18,MATCH($C74,'LV &amp; HV augex'!$C$10:$C$18,0),MATCH(O$19,'LV &amp; HV augex'!$D$9:$P$9,0))*INDEX('LV &amp; HV augex'!$D$28:$J$52,MATCH($B74,'LV &amp; HV augex'!$L$28:$L$52,0),MATCH($C74,'LV &amp; HV augex'!$D$27:$J$27,0)),0)*'Financial inputs'!$D$11</f>
        <v>427774.74301658059</v>
      </c>
      <c r="P74" s="40">
        <f>IFERROR(INDEX('LV &amp; HV augex'!$D$10:$P$18,MATCH($C74,'LV &amp; HV augex'!$C$10:$C$18,0),MATCH(P$19,'LV &amp; HV augex'!$D$9:$P$9,0))*INDEX('LV &amp; HV augex'!$D$28:$J$52,MATCH($B74,'LV &amp; HV augex'!$L$28:$L$52,0),MATCH($C74,'LV &amp; HV augex'!$D$27:$J$27,0)),0)*'Financial inputs'!$D$11</f>
        <v>427774.74301658059</v>
      </c>
    </row>
    <row r="75" spans="2:16" ht="15.5">
      <c r="B75" s="2" t="str">
        <f t="shared" si="5"/>
        <v>Carlingford</v>
      </c>
      <c r="C75" s="35" t="str" cm="1">
        <f t="array" ref="C75">INDEX(augex_categories,COUNTIFS($B$20:$B75,$B$20))</f>
        <v>LV Distributor Capacity</v>
      </c>
      <c r="D75" s="35" t="str">
        <f>IF(COUNTIF('LV &amp; HV augex'!$C$10:$C$13,C75), "LV", IF(COUNTIF('LV &amp; HV augex'!$C$15:$C$17, C75), "HV", "Error"))</f>
        <v>LV</v>
      </c>
      <c r="E75" s="35" t="str">
        <f>INDEX('Growing &amp; falling'!$D$14:$D$39,MATCH($B75,'Growing &amp; falling'!$B$14:$B$39,0))</f>
        <v>Growth</v>
      </c>
      <c r="F75" s="35" t="str">
        <f t="shared" si="4"/>
        <v>$2024 real</v>
      </c>
      <c r="G75" s="40">
        <f>IFERROR(INDEX('LV &amp; HV augex'!$D$10:$P$18,MATCH($C75,'LV &amp; HV augex'!$C$10:$C$18,0),MATCH(G$19,'LV &amp; HV augex'!$D$9:$P$9,0))*INDEX('LV &amp; HV augex'!$D$28:$J$52,MATCH($B75,'LV &amp; HV augex'!$L$28:$L$52,0),MATCH($C75,'LV &amp; HV augex'!$D$27:$J$27,0)),0)*'Financial inputs'!$D$11</f>
        <v>331358.0350807067</v>
      </c>
      <c r="H75" s="40">
        <f>IFERROR(INDEX('LV &amp; HV augex'!$D$10:$P$18,MATCH($C75,'LV &amp; HV augex'!$C$10:$C$18,0),MATCH(H$19,'LV &amp; HV augex'!$D$9:$P$9,0))*INDEX('LV &amp; HV augex'!$D$28:$J$52,MATCH($B75,'LV &amp; HV augex'!$L$28:$L$52,0),MATCH($C75,'LV &amp; HV augex'!$D$27:$J$27,0)),0)*'Financial inputs'!$D$11</f>
        <v>331358.0350807067</v>
      </c>
      <c r="I75" s="40">
        <f>IFERROR(INDEX('LV &amp; HV augex'!$D$10:$P$18,MATCH($C75,'LV &amp; HV augex'!$C$10:$C$18,0),MATCH(I$19,'LV &amp; HV augex'!$D$9:$P$9,0))*INDEX('LV &amp; HV augex'!$D$28:$J$52,MATCH($B75,'LV &amp; HV augex'!$L$28:$L$52,0),MATCH($C75,'LV &amp; HV augex'!$D$27:$J$27,0)),0)*'Financial inputs'!$D$11</f>
        <v>331358.0350807067</v>
      </c>
      <c r="J75" s="40">
        <f>IFERROR(INDEX('LV &amp; HV augex'!$D$10:$P$18,MATCH($C75,'LV &amp; HV augex'!$C$10:$C$18,0),MATCH(J$19,'LV &amp; HV augex'!$D$9:$P$9,0))*INDEX('LV &amp; HV augex'!$D$28:$J$52,MATCH($B75,'LV &amp; HV augex'!$L$28:$L$52,0),MATCH($C75,'LV &amp; HV augex'!$D$27:$J$27,0)),0)*'Financial inputs'!$D$11</f>
        <v>331358.0350807067</v>
      </c>
      <c r="K75" s="40">
        <f>IFERROR(INDEX('LV &amp; HV augex'!$D$10:$P$18,MATCH($C75,'LV &amp; HV augex'!$C$10:$C$18,0),MATCH(K$19,'LV &amp; HV augex'!$D$9:$P$9,0))*INDEX('LV &amp; HV augex'!$D$28:$J$52,MATCH($B75,'LV &amp; HV augex'!$L$28:$L$52,0),MATCH($C75,'LV &amp; HV augex'!$D$27:$J$27,0)),0)*'Financial inputs'!$D$11</f>
        <v>331358.0350807067</v>
      </c>
      <c r="L75" s="40">
        <f>IFERROR(INDEX('LV &amp; HV augex'!$D$10:$P$18,MATCH($C75,'LV &amp; HV augex'!$C$10:$C$18,0),MATCH(L$19,'LV &amp; HV augex'!$D$9:$P$9,0))*INDEX('LV &amp; HV augex'!$D$28:$J$52,MATCH($B75,'LV &amp; HV augex'!$L$28:$L$52,0),MATCH($C75,'LV &amp; HV augex'!$D$27:$J$27,0)),0)*'Financial inputs'!$D$11</f>
        <v>331358.0350807067</v>
      </c>
      <c r="M75" s="40">
        <f>IFERROR(INDEX('LV &amp; HV augex'!$D$10:$P$18,MATCH($C75,'LV &amp; HV augex'!$C$10:$C$18,0),MATCH(M$19,'LV &amp; HV augex'!$D$9:$P$9,0))*INDEX('LV &amp; HV augex'!$D$28:$J$52,MATCH($B75,'LV &amp; HV augex'!$L$28:$L$52,0),MATCH($C75,'LV &amp; HV augex'!$D$27:$J$27,0)),0)*'Financial inputs'!$D$11</f>
        <v>331358.0350807067</v>
      </c>
      <c r="N75" s="40">
        <f>IFERROR(INDEX('LV &amp; HV augex'!$D$10:$P$18,MATCH($C75,'LV &amp; HV augex'!$C$10:$C$18,0),MATCH(N$19,'LV &amp; HV augex'!$D$9:$P$9,0))*INDEX('LV &amp; HV augex'!$D$28:$J$52,MATCH($B75,'LV &amp; HV augex'!$L$28:$L$52,0),MATCH($C75,'LV &amp; HV augex'!$D$27:$J$27,0)),0)*'Financial inputs'!$D$11</f>
        <v>331358.0350807067</v>
      </c>
      <c r="O75" s="40">
        <f>IFERROR(INDEX('LV &amp; HV augex'!$D$10:$P$18,MATCH($C75,'LV &amp; HV augex'!$C$10:$C$18,0),MATCH(O$19,'LV &amp; HV augex'!$D$9:$P$9,0))*INDEX('LV &amp; HV augex'!$D$28:$J$52,MATCH($B75,'LV &amp; HV augex'!$L$28:$L$52,0),MATCH($C75,'LV &amp; HV augex'!$D$27:$J$27,0)),0)*'Financial inputs'!$D$11</f>
        <v>331358.0350807067</v>
      </c>
      <c r="P75" s="40">
        <f>IFERROR(INDEX('LV &amp; HV augex'!$D$10:$P$18,MATCH($C75,'LV &amp; HV augex'!$C$10:$C$18,0),MATCH(P$19,'LV &amp; HV augex'!$D$9:$P$9,0))*INDEX('LV &amp; HV augex'!$D$28:$J$52,MATCH($B75,'LV &amp; HV augex'!$L$28:$L$52,0),MATCH($C75,'LV &amp; HV augex'!$D$27:$J$27,0)),0)*'Financial inputs'!$D$11</f>
        <v>331358.0350807067</v>
      </c>
    </row>
    <row r="76" spans="2:16" ht="15.5">
      <c r="B76" s="2" t="str">
        <f t="shared" si="5"/>
        <v>Eastern Suburbs</v>
      </c>
      <c r="C76" s="35" t="str" cm="1">
        <f t="array" ref="C76">INDEX(augex_categories,COUNTIFS($B$20:$B76,$B$20))</f>
        <v>LV Distributor Capacity</v>
      </c>
      <c r="D76" s="35" t="str">
        <f>IF(COUNTIF('LV &amp; HV augex'!$C$10:$C$13,C76), "LV", IF(COUNTIF('LV &amp; HV augex'!$C$15:$C$17, C76), "HV", "Error"))</f>
        <v>LV</v>
      </c>
      <c r="E76" s="35" t="str">
        <f>INDEX('Growing &amp; falling'!$D$14:$D$39,MATCH($B76,'Growing &amp; falling'!$B$14:$B$39,0))</f>
        <v>Growth</v>
      </c>
      <c r="F76" s="35" t="str">
        <f t="shared" si="4"/>
        <v>$2024 real</v>
      </c>
      <c r="G76" s="40">
        <f>IFERROR(INDEX('LV &amp; HV augex'!$D$10:$P$18,MATCH($C76,'LV &amp; HV augex'!$C$10:$C$18,0),MATCH(G$19,'LV &amp; HV augex'!$D$9:$P$9,0))*INDEX('LV &amp; HV augex'!$D$28:$J$52,MATCH($B76,'LV &amp; HV augex'!$L$28:$L$52,0),MATCH($C76,'LV &amp; HV augex'!$D$27:$J$27,0)),0)*'Financial inputs'!$D$11</f>
        <v>557091.09468424367</v>
      </c>
      <c r="H76" s="40">
        <f>IFERROR(INDEX('LV &amp; HV augex'!$D$10:$P$18,MATCH($C76,'LV &amp; HV augex'!$C$10:$C$18,0),MATCH(H$19,'LV &amp; HV augex'!$D$9:$P$9,0))*INDEX('LV &amp; HV augex'!$D$28:$J$52,MATCH($B76,'LV &amp; HV augex'!$L$28:$L$52,0),MATCH($C76,'LV &amp; HV augex'!$D$27:$J$27,0)),0)*'Financial inputs'!$D$11</f>
        <v>557091.09468424367</v>
      </c>
      <c r="I76" s="40">
        <f>IFERROR(INDEX('LV &amp; HV augex'!$D$10:$P$18,MATCH($C76,'LV &amp; HV augex'!$C$10:$C$18,0),MATCH(I$19,'LV &amp; HV augex'!$D$9:$P$9,0))*INDEX('LV &amp; HV augex'!$D$28:$J$52,MATCH($B76,'LV &amp; HV augex'!$L$28:$L$52,0),MATCH($C76,'LV &amp; HV augex'!$D$27:$J$27,0)),0)*'Financial inputs'!$D$11</f>
        <v>557091.09468424367</v>
      </c>
      <c r="J76" s="40">
        <f>IFERROR(INDEX('LV &amp; HV augex'!$D$10:$P$18,MATCH($C76,'LV &amp; HV augex'!$C$10:$C$18,0),MATCH(J$19,'LV &amp; HV augex'!$D$9:$P$9,0))*INDEX('LV &amp; HV augex'!$D$28:$J$52,MATCH($B76,'LV &amp; HV augex'!$L$28:$L$52,0),MATCH($C76,'LV &amp; HV augex'!$D$27:$J$27,0)),0)*'Financial inputs'!$D$11</f>
        <v>557091.09468424367</v>
      </c>
      <c r="K76" s="40">
        <f>IFERROR(INDEX('LV &amp; HV augex'!$D$10:$P$18,MATCH($C76,'LV &amp; HV augex'!$C$10:$C$18,0),MATCH(K$19,'LV &amp; HV augex'!$D$9:$P$9,0))*INDEX('LV &amp; HV augex'!$D$28:$J$52,MATCH($B76,'LV &amp; HV augex'!$L$28:$L$52,0),MATCH($C76,'LV &amp; HV augex'!$D$27:$J$27,0)),0)*'Financial inputs'!$D$11</f>
        <v>557091.09468424367</v>
      </c>
      <c r="L76" s="40">
        <f>IFERROR(INDEX('LV &amp; HV augex'!$D$10:$P$18,MATCH($C76,'LV &amp; HV augex'!$C$10:$C$18,0),MATCH(L$19,'LV &amp; HV augex'!$D$9:$P$9,0))*INDEX('LV &amp; HV augex'!$D$28:$J$52,MATCH($B76,'LV &amp; HV augex'!$L$28:$L$52,0),MATCH($C76,'LV &amp; HV augex'!$D$27:$J$27,0)),0)*'Financial inputs'!$D$11</f>
        <v>557091.09468424367</v>
      </c>
      <c r="M76" s="40">
        <f>IFERROR(INDEX('LV &amp; HV augex'!$D$10:$P$18,MATCH($C76,'LV &amp; HV augex'!$C$10:$C$18,0),MATCH(M$19,'LV &amp; HV augex'!$D$9:$P$9,0))*INDEX('LV &amp; HV augex'!$D$28:$J$52,MATCH($B76,'LV &amp; HV augex'!$L$28:$L$52,0),MATCH($C76,'LV &amp; HV augex'!$D$27:$J$27,0)),0)*'Financial inputs'!$D$11</f>
        <v>557091.09468424367</v>
      </c>
      <c r="N76" s="40">
        <f>IFERROR(INDEX('LV &amp; HV augex'!$D$10:$P$18,MATCH($C76,'LV &amp; HV augex'!$C$10:$C$18,0),MATCH(N$19,'LV &amp; HV augex'!$D$9:$P$9,0))*INDEX('LV &amp; HV augex'!$D$28:$J$52,MATCH($B76,'LV &amp; HV augex'!$L$28:$L$52,0),MATCH($C76,'LV &amp; HV augex'!$D$27:$J$27,0)),0)*'Financial inputs'!$D$11</f>
        <v>557091.09468424367</v>
      </c>
      <c r="O76" s="40">
        <f>IFERROR(INDEX('LV &amp; HV augex'!$D$10:$P$18,MATCH($C76,'LV &amp; HV augex'!$C$10:$C$18,0),MATCH(O$19,'LV &amp; HV augex'!$D$9:$P$9,0))*INDEX('LV &amp; HV augex'!$D$28:$J$52,MATCH($B76,'LV &amp; HV augex'!$L$28:$L$52,0),MATCH($C76,'LV &amp; HV augex'!$D$27:$J$27,0)),0)*'Financial inputs'!$D$11</f>
        <v>557091.09468424367</v>
      </c>
      <c r="P76" s="40">
        <f>IFERROR(INDEX('LV &amp; HV augex'!$D$10:$P$18,MATCH($C76,'LV &amp; HV augex'!$C$10:$C$18,0),MATCH(P$19,'LV &amp; HV augex'!$D$9:$P$9,0))*INDEX('LV &amp; HV augex'!$D$28:$J$52,MATCH($B76,'LV &amp; HV augex'!$L$28:$L$52,0),MATCH($C76,'LV &amp; HV augex'!$D$27:$J$27,0)),0)*'Financial inputs'!$D$11</f>
        <v>557091.09468424367</v>
      </c>
    </row>
    <row r="77" spans="2:16" ht="15.5">
      <c r="B77" s="2" t="str">
        <f t="shared" si="5"/>
        <v>Greater Cessnock</v>
      </c>
      <c r="C77" s="35" t="str" cm="1">
        <f t="array" ref="C77">INDEX(augex_categories,COUNTIFS($B$20:$B77,$B$20))</f>
        <v>LV Distributor Capacity</v>
      </c>
      <c r="D77" s="35" t="str">
        <f>IF(COUNTIF('LV &amp; HV augex'!$C$10:$C$13,C77), "LV", IF(COUNTIF('LV &amp; HV augex'!$C$15:$C$17, C77), "HV", "Error"))</f>
        <v>LV</v>
      </c>
      <c r="E77" s="35" t="str">
        <f>INDEX('Growing &amp; falling'!$D$14:$D$39,MATCH($B77,'Growing &amp; falling'!$B$14:$B$39,0))</f>
        <v>Growth</v>
      </c>
      <c r="F77" s="35" t="str">
        <f t="shared" si="4"/>
        <v>$2024 real</v>
      </c>
      <c r="G77" s="40">
        <f>IFERROR(INDEX('LV &amp; HV augex'!$D$10:$P$18,MATCH($C77,'LV &amp; HV augex'!$C$10:$C$18,0),MATCH(G$19,'LV &amp; HV augex'!$D$9:$P$9,0))*INDEX('LV &amp; HV augex'!$D$28:$J$52,MATCH($B77,'LV &amp; HV augex'!$L$28:$L$52,0),MATCH($C77,'LV &amp; HV augex'!$D$27:$J$27,0)),0)*'Financial inputs'!$D$11</f>
        <v>108341.03684642205</v>
      </c>
      <c r="H77" s="40">
        <f>IFERROR(INDEX('LV &amp; HV augex'!$D$10:$P$18,MATCH($C77,'LV &amp; HV augex'!$C$10:$C$18,0),MATCH(H$19,'LV &amp; HV augex'!$D$9:$P$9,0))*INDEX('LV &amp; HV augex'!$D$28:$J$52,MATCH($B77,'LV &amp; HV augex'!$L$28:$L$52,0),MATCH($C77,'LV &amp; HV augex'!$D$27:$J$27,0)),0)*'Financial inputs'!$D$11</f>
        <v>108341.03684642205</v>
      </c>
      <c r="I77" s="40">
        <f>IFERROR(INDEX('LV &amp; HV augex'!$D$10:$P$18,MATCH($C77,'LV &amp; HV augex'!$C$10:$C$18,0),MATCH(I$19,'LV &amp; HV augex'!$D$9:$P$9,0))*INDEX('LV &amp; HV augex'!$D$28:$J$52,MATCH($B77,'LV &amp; HV augex'!$L$28:$L$52,0),MATCH($C77,'LV &amp; HV augex'!$D$27:$J$27,0)),0)*'Financial inputs'!$D$11</f>
        <v>108341.03684642205</v>
      </c>
      <c r="J77" s="40">
        <f>IFERROR(INDEX('LV &amp; HV augex'!$D$10:$P$18,MATCH($C77,'LV &amp; HV augex'!$C$10:$C$18,0),MATCH(J$19,'LV &amp; HV augex'!$D$9:$P$9,0))*INDEX('LV &amp; HV augex'!$D$28:$J$52,MATCH($B77,'LV &amp; HV augex'!$L$28:$L$52,0),MATCH($C77,'LV &amp; HV augex'!$D$27:$J$27,0)),0)*'Financial inputs'!$D$11</f>
        <v>108341.03684642205</v>
      </c>
      <c r="K77" s="40">
        <f>IFERROR(INDEX('LV &amp; HV augex'!$D$10:$P$18,MATCH($C77,'LV &amp; HV augex'!$C$10:$C$18,0),MATCH(K$19,'LV &amp; HV augex'!$D$9:$P$9,0))*INDEX('LV &amp; HV augex'!$D$28:$J$52,MATCH($B77,'LV &amp; HV augex'!$L$28:$L$52,0),MATCH($C77,'LV &amp; HV augex'!$D$27:$J$27,0)),0)*'Financial inputs'!$D$11</f>
        <v>108341.03684642205</v>
      </c>
      <c r="L77" s="40">
        <f>IFERROR(INDEX('LV &amp; HV augex'!$D$10:$P$18,MATCH($C77,'LV &amp; HV augex'!$C$10:$C$18,0),MATCH(L$19,'LV &amp; HV augex'!$D$9:$P$9,0))*INDEX('LV &amp; HV augex'!$D$28:$J$52,MATCH($B77,'LV &amp; HV augex'!$L$28:$L$52,0),MATCH($C77,'LV &amp; HV augex'!$D$27:$J$27,0)),0)*'Financial inputs'!$D$11</f>
        <v>108341.03684642205</v>
      </c>
      <c r="M77" s="40">
        <f>IFERROR(INDEX('LV &amp; HV augex'!$D$10:$P$18,MATCH($C77,'LV &amp; HV augex'!$C$10:$C$18,0),MATCH(M$19,'LV &amp; HV augex'!$D$9:$P$9,0))*INDEX('LV &amp; HV augex'!$D$28:$J$52,MATCH($B77,'LV &amp; HV augex'!$L$28:$L$52,0),MATCH($C77,'LV &amp; HV augex'!$D$27:$J$27,0)),0)*'Financial inputs'!$D$11</f>
        <v>108341.03684642205</v>
      </c>
      <c r="N77" s="40">
        <f>IFERROR(INDEX('LV &amp; HV augex'!$D$10:$P$18,MATCH($C77,'LV &amp; HV augex'!$C$10:$C$18,0),MATCH(N$19,'LV &amp; HV augex'!$D$9:$P$9,0))*INDEX('LV &amp; HV augex'!$D$28:$J$52,MATCH($B77,'LV &amp; HV augex'!$L$28:$L$52,0),MATCH($C77,'LV &amp; HV augex'!$D$27:$J$27,0)),0)*'Financial inputs'!$D$11</f>
        <v>108341.03684642205</v>
      </c>
      <c r="O77" s="40">
        <f>IFERROR(INDEX('LV &amp; HV augex'!$D$10:$P$18,MATCH($C77,'LV &amp; HV augex'!$C$10:$C$18,0),MATCH(O$19,'LV &amp; HV augex'!$D$9:$P$9,0))*INDEX('LV &amp; HV augex'!$D$28:$J$52,MATCH($B77,'LV &amp; HV augex'!$L$28:$L$52,0),MATCH($C77,'LV &amp; HV augex'!$D$27:$J$27,0)),0)*'Financial inputs'!$D$11</f>
        <v>108341.03684642205</v>
      </c>
      <c r="P77" s="40">
        <f>IFERROR(INDEX('LV &amp; HV augex'!$D$10:$P$18,MATCH($C77,'LV &amp; HV augex'!$C$10:$C$18,0),MATCH(P$19,'LV &amp; HV augex'!$D$9:$P$9,0))*INDEX('LV &amp; HV augex'!$D$28:$J$52,MATCH($B77,'LV &amp; HV augex'!$L$28:$L$52,0),MATCH($C77,'LV &amp; HV augex'!$D$27:$J$27,0)),0)*'Financial inputs'!$D$11</f>
        <v>108341.03684642205</v>
      </c>
    </row>
    <row r="78" spans="2:16" ht="15.5">
      <c r="B78" s="2" t="str">
        <f t="shared" si="5"/>
        <v>Lower Central Coast</v>
      </c>
      <c r="C78" s="35" t="str" cm="1">
        <f t="array" ref="C78">INDEX(augex_categories,COUNTIFS($B$20:$B78,$B$20))</f>
        <v>LV Distributor Capacity</v>
      </c>
      <c r="D78" s="35" t="str">
        <f>IF(COUNTIF('LV &amp; HV augex'!$C$10:$C$13,C78), "LV", IF(COUNTIF('LV &amp; HV augex'!$C$15:$C$17, C78), "HV", "Error"))</f>
        <v>LV</v>
      </c>
      <c r="E78" s="35" t="str">
        <f>INDEX('Growing &amp; falling'!$D$14:$D$39,MATCH($B78,'Growing &amp; falling'!$B$14:$B$39,0))</f>
        <v>Growth</v>
      </c>
      <c r="F78" s="35" t="str">
        <f t="shared" si="4"/>
        <v>$2024 real</v>
      </c>
      <c r="G78" s="40">
        <f>IFERROR(INDEX('LV &amp; HV augex'!$D$10:$P$18,MATCH($C78,'LV &amp; HV augex'!$C$10:$C$18,0),MATCH(G$19,'LV &amp; HV augex'!$D$9:$P$9,0))*INDEX('LV &amp; HV augex'!$D$28:$J$52,MATCH($B78,'LV &amp; HV augex'!$L$28:$L$52,0),MATCH($C78,'LV &amp; HV augex'!$D$27:$J$27,0)),0)*'Financial inputs'!$D$11</f>
        <v>283114.33648658096</v>
      </c>
      <c r="H78" s="40">
        <f>IFERROR(INDEX('LV &amp; HV augex'!$D$10:$P$18,MATCH($C78,'LV &amp; HV augex'!$C$10:$C$18,0),MATCH(H$19,'LV &amp; HV augex'!$D$9:$P$9,0))*INDEX('LV &amp; HV augex'!$D$28:$J$52,MATCH($B78,'LV &amp; HV augex'!$L$28:$L$52,0),MATCH($C78,'LV &amp; HV augex'!$D$27:$J$27,0)),0)*'Financial inputs'!$D$11</f>
        <v>283114.33648658096</v>
      </c>
      <c r="I78" s="40">
        <f>IFERROR(INDEX('LV &amp; HV augex'!$D$10:$P$18,MATCH($C78,'LV &amp; HV augex'!$C$10:$C$18,0),MATCH(I$19,'LV &amp; HV augex'!$D$9:$P$9,0))*INDEX('LV &amp; HV augex'!$D$28:$J$52,MATCH($B78,'LV &amp; HV augex'!$L$28:$L$52,0),MATCH($C78,'LV &amp; HV augex'!$D$27:$J$27,0)),0)*'Financial inputs'!$D$11</f>
        <v>283114.33648658096</v>
      </c>
      <c r="J78" s="40">
        <f>IFERROR(INDEX('LV &amp; HV augex'!$D$10:$P$18,MATCH($C78,'LV &amp; HV augex'!$C$10:$C$18,0),MATCH(J$19,'LV &amp; HV augex'!$D$9:$P$9,0))*INDEX('LV &amp; HV augex'!$D$28:$J$52,MATCH($B78,'LV &amp; HV augex'!$L$28:$L$52,0),MATCH($C78,'LV &amp; HV augex'!$D$27:$J$27,0)),0)*'Financial inputs'!$D$11</f>
        <v>283114.33648658096</v>
      </c>
      <c r="K78" s="40">
        <f>IFERROR(INDEX('LV &amp; HV augex'!$D$10:$P$18,MATCH($C78,'LV &amp; HV augex'!$C$10:$C$18,0),MATCH(K$19,'LV &amp; HV augex'!$D$9:$P$9,0))*INDEX('LV &amp; HV augex'!$D$28:$J$52,MATCH($B78,'LV &amp; HV augex'!$L$28:$L$52,0),MATCH($C78,'LV &amp; HV augex'!$D$27:$J$27,0)),0)*'Financial inputs'!$D$11</f>
        <v>283114.33648658096</v>
      </c>
      <c r="L78" s="40">
        <f>IFERROR(INDEX('LV &amp; HV augex'!$D$10:$P$18,MATCH($C78,'LV &amp; HV augex'!$C$10:$C$18,0),MATCH(L$19,'LV &amp; HV augex'!$D$9:$P$9,0))*INDEX('LV &amp; HV augex'!$D$28:$J$52,MATCH($B78,'LV &amp; HV augex'!$L$28:$L$52,0),MATCH($C78,'LV &amp; HV augex'!$D$27:$J$27,0)),0)*'Financial inputs'!$D$11</f>
        <v>283114.33648658096</v>
      </c>
      <c r="M78" s="40">
        <f>IFERROR(INDEX('LV &amp; HV augex'!$D$10:$P$18,MATCH($C78,'LV &amp; HV augex'!$C$10:$C$18,0),MATCH(M$19,'LV &amp; HV augex'!$D$9:$P$9,0))*INDEX('LV &amp; HV augex'!$D$28:$J$52,MATCH($B78,'LV &amp; HV augex'!$L$28:$L$52,0),MATCH($C78,'LV &amp; HV augex'!$D$27:$J$27,0)),0)*'Financial inputs'!$D$11</f>
        <v>283114.33648658096</v>
      </c>
      <c r="N78" s="40">
        <f>IFERROR(INDEX('LV &amp; HV augex'!$D$10:$P$18,MATCH($C78,'LV &amp; HV augex'!$C$10:$C$18,0),MATCH(N$19,'LV &amp; HV augex'!$D$9:$P$9,0))*INDEX('LV &amp; HV augex'!$D$28:$J$52,MATCH($B78,'LV &amp; HV augex'!$L$28:$L$52,0),MATCH($C78,'LV &amp; HV augex'!$D$27:$J$27,0)),0)*'Financial inputs'!$D$11</f>
        <v>283114.33648658096</v>
      </c>
      <c r="O78" s="40">
        <f>IFERROR(INDEX('LV &amp; HV augex'!$D$10:$P$18,MATCH($C78,'LV &amp; HV augex'!$C$10:$C$18,0),MATCH(O$19,'LV &amp; HV augex'!$D$9:$P$9,0))*INDEX('LV &amp; HV augex'!$D$28:$J$52,MATCH($B78,'LV &amp; HV augex'!$L$28:$L$52,0),MATCH($C78,'LV &amp; HV augex'!$D$27:$J$27,0)),0)*'Financial inputs'!$D$11</f>
        <v>283114.33648658096</v>
      </c>
      <c r="P78" s="40">
        <f>IFERROR(INDEX('LV &amp; HV augex'!$D$10:$P$18,MATCH($C78,'LV &amp; HV augex'!$C$10:$C$18,0),MATCH(P$19,'LV &amp; HV augex'!$D$9:$P$9,0))*INDEX('LV &amp; HV augex'!$D$28:$J$52,MATCH($B78,'LV &amp; HV augex'!$L$28:$L$52,0),MATCH($C78,'LV &amp; HV augex'!$D$27:$J$27,0)),0)*'Financial inputs'!$D$11</f>
        <v>283114.33648658096</v>
      </c>
    </row>
    <row r="79" spans="2:16" ht="15.5">
      <c r="B79" s="2" t="str">
        <f t="shared" si="5"/>
        <v>Lower North Shore</v>
      </c>
      <c r="C79" s="35" t="str" cm="1">
        <f t="array" ref="C79">INDEX(augex_categories,COUNTIFS($B$20:$B79,$B$20))</f>
        <v>LV Distributor Capacity</v>
      </c>
      <c r="D79" s="35" t="str">
        <f>IF(COUNTIF('LV &amp; HV augex'!$C$10:$C$13,C79), "LV", IF(COUNTIF('LV &amp; HV augex'!$C$15:$C$17, C79), "HV", "Error"))</f>
        <v>LV</v>
      </c>
      <c r="E79" s="35" t="str">
        <f>INDEX('Growing &amp; falling'!$D$14:$D$39,MATCH($B79,'Growing &amp; falling'!$B$14:$B$39,0))</f>
        <v>Growth</v>
      </c>
      <c r="F79" s="35" t="str">
        <f t="shared" si="4"/>
        <v>$2024 real</v>
      </c>
      <c r="G79" s="40">
        <f>IFERROR(INDEX('LV &amp; HV augex'!$D$10:$P$18,MATCH($C79,'LV &amp; HV augex'!$C$10:$C$18,0),MATCH(G$19,'LV &amp; HV augex'!$D$9:$P$9,0))*INDEX('LV &amp; HV augex'!$D$28:$J$52,MATCH($B79,'LV &amp; HV augex'!$L$28:$L$52,0),MATCH($C79,'LV &amp; HV augex'!$D$27:$J$27,0)),0)*'Financial inputs'!$D$11</f>
        <v>294540.47562729497</v>
      </c>
      <c r="H79" s="40">
        <f>IFERROR(INDEX('LV &amp; HV augex'!$D$10:$P$18,MATCH($C79,'LV &amp; HV augex'!$C$10:$C$18,0),MATCH(H$19,'LV &amp; HV augex'!$D$9:$P$9,0))*INDEX('LV &amp; HV augex'!$D$28:$J$52,MATCH($B79,'LV &amp; HV augex'!$L$28:$L$52,0),MATCH($C79,'LV &amp; HV augex'!$D$27:$J$27,0)),0)*'Financial inputs'!$D$11</f>
        <v>294540.47562729497</v>
      </c>
      <c r="I79" s="40">
        <f>IFERROR(INDEX('LV &amp; HV augex'!$D$10:$P$18,MATCH($C79,'LV &amp; HV augex'!$C$10:$C$18,0),MATCH(I$19,'LV &amp; HV augex'!$D$9:$P$9,0))*INDEX('LV &amp; HV augex'!$D$28:$J$52,MATCH($B79,'LV &amp; HV augex'!$L$28:$L$52,0),MATCH($C79,'LV &amp; HV augex'!$D$27:$J$27,0)),0)*'Financial inputs'!$D$11</f>
        <v>294540.47562729497</v>
      </c>
      <c r="J79" s="40">
        <f>IFERROR(INDEX('LV &amp; HV augex'!$D$10:$P$18,MATCH($C79,'LV &amp; HV augex'!$C$10:$C$18,0),MATCH(J$19,'LV &amp; HV augex'!$D$9:$P$9,0))*INDEX('LV &amp; HV augex'!$D$28:$J$52,MATCH($B79,'LV &amp; HV augex'!$L$28:$L$52,0),MATCH($C79,'LV &amp; HV augex'!$D$27:$J$27,0)),0)*'Financial inputs'!$D$11</f>
        <v>294540.47562729497</v>
      </c>
      <c r="K79" s="40">
        <f>IFERROR(INDEX('LV &amp; HV augex'!$D$10:$P$18,MATCH($C79,'LV &amp; HV augex'!$C$10:$C$18,0),MATCH(K$19,'LV &amp; HV augex'!$D$9:$P$9,0))*INDEX('LV &amp; HV augex'!$D$28:$J$52,MATCH($B79,'LV &amp; HV augex'!$L$28:$L$52,0),MATCH($C79,'LV &amp; HV augex'!$D$27:$J$27,0)),0)*'Financial inputs'!$D$11</f>
        <v>294540.47562729497</v>
      </c>
      <c r="L79" s="40">
        <f>IFERROR(INDEX('LV &amp; HV augex'!$D$10:$P$18,MATCH($C79,'LV &amp; HV augex'!$C$10:$C$18,0),MATCH(L$19,'LV &amp; HV augex'!$D$9:$P$9,0))*INDEX('LV &amp; HV augex'!$D$28:$J$52,MATCH($B79,'LV &amp; HV augex'!$L$28:$L$52,0),MATCH($C79,'LV &amp; HV augex'!$D$27:$J$27,0)),0)*'Financial inputs'!$D$11</f>
        <v>294540.47562729497</v>
      </c>
      <c r="M79" s="40">
        <f>IFERROR(INDEX('LV &amp; HV augex'!$D$10:$P$18,MATCH($C79,'LV &amp; HV augex'!$C$10:$C$18,0),MATCH(M$19,'LV &amp; HV augex'!$D$9:$P$9,0))*INDEX('LV &amp; HV augex'!$D$28:$J$52,MATCH($B79,'LV &amp; HV augex'!$L$28:$L$52,0),MATCH($C79,'LV &amp; HV augex'!$D$27:$J$27,0)),0)*'Financial inputs'!$D$11</f>
        <v>294540.47562729497</v>
      </c>
      <c r="N79" s="40">
        <f>IFERROR(INDEX('LV &amp; HV augex'!$D$10:$P$18,MATCH($C79,'LV &amp; HV augex'!$C$10:$C$18,0),MATCH(N$19,'LV &amp; HV augex'!$D$9:$P$9,0))*INDEX('LV &amp; HV augex'!$D$28:$J$52,MATCH($B79,'LV &amp; HV augex'!$L$28:$L$52,0),MATCH($C79,'LV &amp; HV augex'!$D$27:$J$27,0)),0)*'Financial inputs'!$D$11</f>
        <v>294540.47562729497</v>
      </c>
      <c r="O79" s="40">
        <f>IFERROR(INDEX('LV &amp; HV augex'!$D$10:$P$18,MATCH($C79,'LV &amp; HV augex'!$C$10:$C$18,0),MATCH(O$19,'LV &amp; HV augex'!$D$9:$P$9,0))*INDEX('LV &amp; HV augex'!$D$28:$J$52,MATCH($B79,'LV &amp; HV augex'!$L$28:$L$52,0),MATCH($C79,'LV &amp; HV augex'!$D$27:$J$27,0)),0)*'Financial inputs'!$D$11</f>
        <v>294540.47562729497</v>
      </c>
      <c r="P79" s="40">
        <f>IFERROR(INDEX('LV &amp; HV augex'!$D$10:$P$18,MATCH($C79,'LV &amp; HV augex'!$C$10:$C$18,0),MATCH(P$19,'LV &amp; HV augex'!$D$9:$P$9,0))*INDEX('LV &amp; HV augex'!$D$28:$J$52,MATCH($B79,'LV &amp; HV augex'!$L$28:$L$52,0),MATCH($C79,'LV &amp; HV augex'!$D$27:$J$27,0)),0)*'Financial inputs'!$D$11</f>
        <v>294540.47562729497</v>
      </c>
    </row>
    <row r="80" spans="2:16" ht="15.5">
      <c r="B80" s="2" t="str">
        <f t="shared" si="5"/>
        <v>Maitland</v>
      </c>
      <c r="C80" s="35" t="str" cm="1">
        <f t="array" ref="C80">INDEX(augex_categories,COUNTIFS($B$20:$B80,$B$20))</f>
        <v>LV Distributor Capacity</v>
      </c>
      <c r="D80" s="35" t="str">
        <f>IF(COUNTIF('LV &amp; HV augex'!$C$10:$C$13,C80), "LV", IF(COUNTIF('LV &amp; HV augex'!$C$15:$C$17, C80), "HV", "Error"))</f>
        <v>LV</v>
      </c>
      <c r="E80" s="35" t="str">
        <f>INDEX('Growing &amp; falling'!$D$14:$D$39,MATCH($B80,'Growing &amp; falling'!$B$14:$B$39,0))</f>
        <v>Growth</v>
      </c>
      <c r="F80" s="35" t="str">
        <f t="shared" si="4"/>
        <v>$2024 real</v>
      </c>
      <c r="G80" s="40">
        <f>IFERROR(INDEX('LV &amp; HV augex'!$D$10:$P$18,MATCH($C80,'LV &amp; HV augex'!$C$10:$C$18,0),MATCH(G$19,'LV &amp; HV augex'!$D$9:$P$9,0))*INDEX('LV &amp; HV augex'!$D$28:$J$52,MATCH($B80,'LV &amp; HV augex'!$L$28:$L$52,0),MATCH($C80,'LV &amp; HV augex'!$D$27:$J$27,0)),0)*'Financial inputs'!$D$11</f>
        <v>106186.52759095342</v>
      </c>
      <c r="H80" s="40">
        <f>IFERROR(INDEX('LV &amp; HV augex'!$D$10:$P$18,MATCH($C80,'LV &amp; HV augex'!$C$10:$C$18,0),MATCH(H$19,'LV &amp; HV augex'!$D$9:$P$9,0))*INDEX('LV &amp; HV augex'!$D$28:$J$52,MATCH($B80,'LV &amp; HV augex'!$L$28:$L$52,0),MATCH($C80,'LV &amp; HV augex'!$D$27:$J$27,0)),0)*'Financial inputs'!$D$11</f>
        <v>106186.52759095342</v>
      </c>
      <c r="I80" s="40">
        <f>IFERROR(INDEX('LV &amp; HV augex'!$D$10:$P$18,MATCH($C80,'LV &amp; HV augex'!$C$10:$C$18,0),MATCH(I$19,'LV &amp; HV augex'!$D$9:$P$9,0))*INDEX('LV &amp; HV augex'!$D$28:$J$52,MATCH($B80,'LV &amp; HV augex'!$L$28:$L$52,0),MATCH($C80,'LV &amp; HV augex'!$D$27:$J$27,0)),0)*'Financial inputs'!$D$11</f>
        <v>106186.52759095342</v>
      </c>
      <c r="J80" s="40">
        <f>IFERROR(INDEX('LV &amp; HV augex'!$D$10:$P$18,MATCH($C80,'LV &amp; HV augex'!$C$10:$C$18,0),MATCH(J$19,'LV &amp; HV augex'!$D$9:$P$9,0))*INDEX('LV &amp; HV augex'!$D$28:$J$52,MATCH($B80,'LV &amp; HV augex'!$L$28:$L$52,0),MATCH($C80,'LV &amp; HV augex'!$D$27:$J$27,0)),0)*'Financial inputs'!$D$11</f>
        <v>106186.52759095342</v>
      </c>
      <c r="K80" s="40">
        <f>IFERROR(INDEX('LV &amp; HV augex'!$D$10:$P$18,MATCH($C80,'LV &amp; HV augex'!$C$10:$C$18,0),MATCH(K$19,'LV &amp; HV augex'!$D$9:$P$9,0))*INDEX('LV &amp; HV augex'!$D$28:$J$52,MATCH($B80,'LV &amp; HV augex'!$L$28:$L$52,0),MATCH($C80,'LV &amp; HV augex'!$D$27:$J$27,0)),0)*'Financial inputs'!$D$11</f>
        <v>106186.52759095342</v>
      </c>
      <c r="L80" s="40">
        <f>IFERROR(INDEX('LV &amp; HV augex'!$D$10:$P$18,MATCH($C80,'LV &amp; HV augex'!$C$10:$C$18,0),MATCH(L$19,'LV &amp; HV augex'!$D$9:$P$9,0))*INDEX('LV &amp; HV augex'!$D$28:$J$52,MATCH($B80,'LV &amp; HV augex'!$L$28:$L$52,0),MATCH($C80,'LV &amp; HV augex'!$D$27:$J$27,0)),0)*'Financial inputs'!$D$11</f>
        <v>106186.52759095342</v>
      </c>
      <c r="M80" s="40">
        <f>IFERROR(INDEX('LV &amp; HV augex'!$D$10:$P$18,MATCH($C80,'LV &amp; HV augex'!$C$10:$C$18,0),MATCH(M$19,'LV &amp; HV augex'!$D$9:$P$9,0))*INDEX('LV &amp; HV augex'!$D$28:$J$52,MATCH($B80,'LV &amp; HV augex'!$L$28:$L$52,0),MATCH($C80,'LV &amp; HV augex'!$D$27:$J$27,0)),0)*'Financial inputs'!$D$11</f>
        <v>106186.52759095342</v>
      </c>
      <c r="N80" s="40">
        <f>IFERROR(INDEX('LV &amp; HV augex'!$D$10:$P$18,MATCH($C80,'LV &amp; HV augex'!$C$10:$C$18,0),MATCH(N$19,'LV &amp; HV augex'!$D$9:$P$9,0))*INDEX('LV &amp; HV augex'!$D$28:$J$52,MATCH($B80,'LV &amp; HV augex'!$L$28:$L$52,0),MATCH($C80,'LV &amp; HV augex'!$D$27:$J$27,0)),0)*'Financial inputs'!$D$11</f>
        <v>106186.52759095342</v>
      </c>
      <c r="O80" s="40">
        <f>IFERROR(INDEX('LV &amp; HV augex'!$D$10:$P$18,MATCH($C80,'LV &amp; HV augex'!$C$10:$C$18,0),MATCH(O$19,'LV &amp; HV augex'!$D$9:$P$9,0))*INDEX('LV &amp; HV augex'!$D$28:$J$52,MATCH($B80,'LV &amp; HV augex'!$L$28:$L$52,0),MATCH($C80,'LV &amp; HV augex'!$D$27:$J$27,0)),0)*'Financial inputs'!$D$11</f>
        <v>106186.52759095342</v>
      </c>
      <c r="P80" s="40">
        <f>IFERROR(INDEX('LV &amp; HV augex'!$D$10:$P$18,MATCH($C80,'LV &amp; HV augex'!$C$10:$C$18,0),MATCH(P$19,'LV &amp; HV augex'!$D$9:$P$9,0))*INDEX('LV &amp; HV augex'!$D$28:$J$52,MATCH($B80,'LV &amp; HV augex'!$L$28:$L$52,0),MATCH($C80,'LV &amp; HV augex'!$D$27:$J$27,0)),0)*'Financial inputs'!$D$11</f>
        <v>106186.52759095342</v>
      </c>
    </row>
    <row r="81" spans="2:16" ht="15.5">
      <c r="B81" s="2" t="str">
        <f t="shared" si="5"/>
        <v>Manly Warringah</v>
      </c>
      <c r="C81" s="35" t="str" cm="1">
        <f t="array" ref="C81">INDEX(augex_categories,COUNTIFS($B$20:$B81,$B$20))</f>
        <v>LV Distributor Capacity</v>
      </c>
      <c r="D81" s="35" t="str">
        <f>IF(COUNTIF('LV &amp; HV augex'!$C$10:$C$13,C81), "LV", IF(COUNTIF('LV &amp; HV augex'!$C$15:$C$17, C81), "HV", "Error"))</f>
        <v>LV</v>
      </c>
      <c r="E81" s="35" t="str">
        <f>INDEX('Growing &amp; falling'!$D$14:$D$39,MATCH($B81,'Growing &amp; falling'!$B$14:$B$39,0))</f>
        <v>Growth</v>
      </c>
      <c r="F81" s="35" t="str">
        <f t="shared" si="4"/>
        <v>$2024 real</v>
      </c>
      <c r="G81" s="40">
        <f>IFERROR(INDEX('LV &amp; HV augex'!$D$10:$P$18,MATCH($C81,'LV &amp; HV augex'!$C$10:$C$18,0),MATCH(G$19,'LV &amp; HV augex'!$D$9:$P$9,0))*INDEX('LV &amp; HV augex'!$D$28:$J$52,MATCH($B81,'LV &amp; HV augex'!$L$28:$L$52,0),MATCH($C81,'LV &amp; HV augex'!$D$27:$J$27,0)),0)*'Financial inputs'!$D$11</f>
        <v>328184.10754161951</v>
      </c>
      <c r="H81" s="40">
        <f>IFERROR(INDEX('LV &amp; HV augex'!$D$10:$P$18,MATCH($C81,'LV &amp; HV augex'!$C$10:$C$18,0),MATCH(H$19,'LV &amp; HV augex'!$D$9:$P$9,0))*INDEX('LV &amp; HV augex'!$D$28:$J$52,MATCH($B81,'LV &amp; HV augex'!$L$28:$L$52,0),MATCH($C81,'LV &amp; HV augex'!$D$27:$J$27,0)),0)*'Financial inputs'!$D$11</f>
        <v>328184.10754161951</v>
      </c>
      <c r="I81" s="40">
        <f>IFERROR(INDEX('LV &amp; HV augex'!$D$10:$P$18,MATCH($C81,'LV &amp; HV augex'!$C$10:$C$18,0),MATCH(I$19,'LV &amp; HV augex'!$D$9:$P$9,0))*INDEX('LV &amp; HV augex'!$D$28:$J$52,MATCH($B81,'LV &amp; HV augex'!$L$28:$L$52,0),MATCH($C81,'LV &amp; HV augex'!$D$27:$J$27,0)),0)*'Financial inputs'!$D$11</f>
        <v>328184.10754161951</v>
      </c>
      <c r="J81" s="40">
        <f>IFERROR(INDEX('LV &amp; HV augex'!$D$10:$P$18,MATCH($C81,'LV &amp; HV augex'!$C$10:$C$18,0),MATCH(J$19,'LV &amp; HV augex'!$D$9:$P$9,0))*INDEX('LV &amp; HV augex'!$D$28:$J$52,MATCH($B81,'LV &amp; HV augex'!$L$28:$L$52,0),MATCH($C81,'LV &amp; HV augex'!$D$27:$J$27,0)),0)*'Financial inputs'!$D$11</f>
        <v>328184.10754161951</v>
      </c>
      <c r="K81" s="40">
        <f>IFERROR(INDEX('LV &amp; HV augex'!$D$10:$P$18,MATCH($C81,'LV &amp; HV augex'!$C$10:$C$18,0),MATCH(K$19,'LV &amp; HV augex'!$D$9:$P$9,0))*INDEX('LV &amp; HV augex'!$D$28:$J$52,MATCH($B81,'LV &amp; HV augex'!$L$28:$L$52,0),MATCH($C81,'LV &amp; HV augex'!$D$27:$J$27,0)),0)*'Financial inputs'!$D$11</f>
        <v>328184.10754161951</v>
      </c>
      <c r="L81" s="40">
        <f>IFERROR(INDEX('LV &amp; HV augex'!$D$10:$P$18,MATCH($C81,'LV &amp; HV augex'!$C$10:$C$18,0),MATCH(L$19,'LV &amp; HV augex'!$D$9:$P$9,0))*INDEX('LV &amp; HV augex'!$D$28:$J$52,MATCH($B81,'LV &amp; HV augex'!$L$28:$L$52,0),MATCH($C81,'LV &amp; HV augex'!$D$27:$J$27,0)),0)*'Financial inputs'!$D$11</f>
        <v>328184.10754161951</v>
      </c>
      <c r="M81" s="40">
        <f>IFERROR(INDEX('LV &amp; HV augex'!$D$10:$P$18,MATCH($C81,'LV &amp; HV augex'!$C$10:$C$18,0),MATCH(M$19,'LV &amp; HV augex'!$D$9:$P$9,0))*INDEX('LV &amp; HV augex'!$D$28:$J$52,MATCH($B81,'LV &amp; HV augex'!$L$28:$L$52,0),MATCH($C81,'LV &amp; HV augex'!$D$27:$J$27,0)),0)*'Financial inputs'!$D$11</f>
        <v>328184.10754161951</v>
      </c>
      <c r="N81" s="40">
        <f>IFERROR(INDEX('LV &amp; HV augex'!$D$10:$P$18,MATCH($C81,'LV &amp; HV augex'!$C$10:$C$18,0),MATCH(N$19,'LV &amp; HV augex'!$D$9:$P$9,0))*INDEX('LV &amp; HV augex'!$D$28:$J$52,MATCH($B81,'LV &amp; HV augex'!$L$28:$L$52,0),MATCH($C81,'LV &amp; HV augex'!$D$27:$J$27,0)),0)*'Financial inputs'!$D$11</f>
        <v>328184.10754161951</v>
      </c>
      <c r="O81" s="40">
        <f>IFERROR(INDEX('LV &amp; HV augex'!$D$10:$P$18,MATCH($C81,'LV &amp; HV augex'!$C$10:$C$18,0),MATCH(O$19,'LV &amp; HV augex'!$D$9:$P$9,0))*INDEX('LV &amp; HV augex'!$D$28:$J$52,MATCH($B81,'LV &amp; HV augex'!$L$28:$L$52,0),MATCH($C81,'LV &amp; HV augex'!$D$27:$J$27,0)),0)*'Financial inputs'!$D$11</f>
        <v>328184.10754161951</v>
      </c>
      <c r="P81" s="40">
        <f>IFERROR(INDEX('LV &amp; HV augex'!$D$10:$P$18,MATCH($C81,'LV &amp; HV augex'!$C$10:$C$18,0),MATCH(P$19,'LV &amp; HV augex'!$D$9:$P$9,0))*INDEX('LV &amp; HV augex'!$D$28:$J$52,MATCH($B81,'LV &amp; HV augex'!$L$28:$L$52,0),MATCH($C81,'LV &amp; HV augex'!$D$27:$J$27,0)),0)*'Financial inputs'!$D$11</f>
        <v>328184.10754161951</v>
      </c>
    </row>
    <row r="82" spans="2:16" ht="15.5">
      <c r="B82" s="2" t="str">
        <f t="shared" si="5"/>
        <v>Newcastle Inner City</v>
      </c>
      <c r="C82" s="35" t="str" cm="1">
        <f t="array" ref="C82">INDEX(augex_categories,COUNTIFS($B$20:$B82,$B$20))</f>
        <v>LV Distributor Capacity</v>
      </c>
      <c r="D82" s="35" t="str">
        <f>IF(COUNTIF('LV &amp; HV augex'!$C$10:$C$13,C82), "LV", IF(COUNTIF('LV &amp; HV augex'!$C$15:$C$17, C82), "HV", "Error"))</f>
        <v>LV</v>
      </c>
      <c r="E82" s="35" t="str">
        <f>INDEX('Growing &amp; falling'!$D$14:$D$39,MATCH($B82,'Growing &amp; falling'!$B$14:$B$39,0))</f>
        <v>Decline</v>
      </c>
      <c r="F82" s="35" t="str">
        <f t="shared" si="4"/>
        <v>$2024 real</v>
      </c>
      <c r="G82" s="40">
        <f>IFERROR(INDEX('LV &amp; HV augex'!$D$10:$P$18,MATCH($C82,'LV &amp; HV augex'!$C$10:$C$18,0),MATCH(G$19,'LV &amp; HV augex'!$D$9:$P$9,0))*INDEX('LV &amp; HV augex'!$D$28:$J$52,MATCH($B82,'LV &amp; HV augex'!$L$28:$L$52,0),MATCH($C82,'LV &amp; HV augex'!$D$27:$J$27,0)),0)*'Financial inputs'!$D$11</f>
        <v>216682.0736928441</v>
      </c>
      <c r="H82" s="40">
        <f>IFERROR(INDEX('LV &amp; HV augex'!$D$10:$P$18,MATCH($C82,'LV &amp; HV augex'!$C$10:$C$18,0),MATCH(H$19,'LV &amp; HV augex'!$D$9:$P$9,0))*INDEX('LV &amp; HV augex'!$D$28:$J$52,MATCH($B82,'LV &amp; HV augex'!$L$28:$L$52,0),MATCH($C82,'LV &amp; HV augex'!$D$27:$J$27,0)),0)*'Financial inputs'!$D$11</f>
        <v>216682.0736928441</v>
      </c>
      <c r="I82" s="40">
        <f>IFERROR(INDEX('LV &amp; HV augex'!$D$10:$P$18,MATCH($C82,'LV &amp; HV augex'!$C$10:$C$18,0),MATCH(I$19,'LV &amp; HV augex'!$D$9:$P$9,0))*INDEX('LV &amp; HV augex'!$D$28:$J$52,MATCH($B82,'LV &amp; HV augex'!$L$28:$L$52,0),MATCH($C82,'LV &amp; HV augex'!$D$27:$J$27,0)),0)*'Financial inputs'!$D$11</f>
        <v>216682.0736928441</v>
      </c>
      <c r="J82" s="40">
        <f>IFERROR(INDEX('LV &amp; HV augex'!$D$10:$P$18,MATCH($C82,'LV &amp; HV augex'!$C$10:$C$18,0),MATCH(J$19,'LV &amp; HV augex'!$D$9:$P$9,0))*INDEX('LV &amp; HV augex'!$D$28:$J$52,MATCH($B82,'LV &amp; HV augex'!$L$28:$L$52,0),MATCH($C82,'LV &amp; HV augex'!$D$27:$J$27,0)),0)*'Financial inputs'!$D$11</f>
        <v>216682.0736928441</v>
      </c>
      <c r="K82" s="40">
        <f>IFERROR(INDEX('LV &amp; HV augex'!$D$10:$P$18,MATCH($C82,'LV &amp; HV augex'!$C$10:$C$18,0),MATCH(K$19,'LV &amp; HV augex'!$D$9:$P$9,0))*INDEX('LV &amp; HV augex'!$D$28:$J$52,MATCH($B82,'LV &amp; HV augex'!$L$28:$L$52,0),MATCH($C82,'LV &amp; HV augex'!$D$27:$J$27,0)),0)*'Financial inputs'!$D$11</f>
        <v>216682.0736928441</v>
      </c>
      <c r="L82" s="40">
        <f>IFERROR(INDEX('LV &amp; HV augex'!$D$10:$P$18,MATCH($C82,'LV &amp; HV augex'!$C$10:$C$18,0),MATCH(L$19,'LV &amp; HV augex'!$D$9:$P$9,0))*INDEX('LV &amp; HV augex'!$D$28:$J$52,MATCH($B82,'LV &amp; HV augex'!$L$28:$L$52,0),MATCH($C82,'LV &amp; HV augex'!$D$27:$J$27,0)),0)*'Financial inputs'!$D$11</f>
        <v>216682.0736928441</v>
      </c>
      <c r="M82" s="40">
        <f>IFERROR(INDEX('LV &amp; HV augex'!$D$10:$P$18,MATCH($C82,'LV &amp; HV augex'!$C$10:$C$18,0),MATCH(M$19,'LV &amp; HV augex'!$D$9:$P$9,0))*INDEX('LV &amp; HV augex'!$D$28:$J$52,MATCH($B82,'LV &amp; HV augex'!$L$28:$L$52,0),MATCH($C82,'LV &amp; HV augex'!$D$27:$J$27,0)),0)*'Financial inputs'!$D$11</f>
        <v>216682.0736928441</v>
      </c>
      <c r="N82" s="40">
        <f>IFERROR(INDEX('LV &amp; HV augex'!$D$10:$P$18,MATCH($C82,'LV &amp; HV augex'!$C$10:$C$18,0),MATCH(N$19,'LV &amp; HV augex'!$D$9:$P$9,0))*INDEX('LV &amp; HV augex'!$D$28:$J$52,MATCH($B82,'LV &amp; HV augex'!$L$28:$L$52,0),MATCH($C82,'LV &amp; HV augex'!$D$27:$J$27,0)),0)*'Financial inputs'!$D$11</f>
        <v>216682.0736928441</v>
      </c>
      <c r="O82" s="40">
        <f>IFERROR(INDEX('LV &amp; HV augex'!$D$10:$P$18,MATCH($C82,'LV &amp; HV augex'!$C$10:$C$18,0),MATCH(O$19,'LV &amp; HV augex'!$D$9:$P$9,0))*INDEX('LV &amp; HV augex'!$D$28:$J$52,MATCH($B82,'LV &amp; HV augex'!$L$28:$L$52,0),MATCH($C82,'LV &amp; HV augex'!$D$27:$J$27,0)),0)*'Financial inputs'!$D$11</f>
        <v>216682.0736928441</v>
      </c>
      <c r="P82" s="40">
        <f>IFERROR(INDEX('LV &amp; HV augex'!$D$10:$P$18,MATCH($C82,'LV &amp; HV augex'!$C$10:$C$18,0),MATCH(P$19,'LV &amp; HV augex'!$D$9:$P$9,0))*INDEX('LV &amp; HV augex'!$D$28:$J$52,MATCH($B82,'LV &amp; HV augex'!$L$28:$L$52,0),MATCH($C82,'LV &amp; HV augex'!$D$27:$J$27,0)),0)*'Financial inputs'!$D$11</f>
        <v>216682.0736928441</v>
      </c>
    </row>
    <row r="83" spans="2:16" ht="15.5">
      <c r="B83" s="2" t="str">
        <f t="shared" si="5"/>
        <v>Newcastle Port</v>
      </c>
      <c r="C83" s="35" t="str" cm="1">
        <f t="array" ref="C83">INDEX(augex_categories,COUNTIFS($B$20:$B83,$B$20))</f>
        <v>LV Distributor Capacity</v>
      </c>
      <c r="D83" s="35" t="str">
        <f>IF(COUNTIF('LV &amp; HV augex'!$C$10:$C$13,C83), "LV", IF(COUNTIF('LV &amp; HV augex'!$C$15:$C$17, C83), "HV", "Error"))</f>
        <v>LV</v>
      </c>
      <c r="E83" s="35" t="str">
        <f>INDEX('Growing &amp; falling'!$D$14:$D$39,MATCH($B83,'Growing &amp; falling'!$B$14:$B$39,0))</f>
        <v>Growth</v>
      </c>
      <c r="F83" s="35" t="str">
        <f t="shared" si="4"/>
        <v>$2024 real</v>
      </c>
      <c r="G83" s="40">
        <f>IFERROR(INDEX('LV &amp; HV augex'!$D$10:$P$18,MATCH($C83,'LV &amp; HV augex'!$C$10:$C$18,0),MATCH(G$19,'LV &amp; HV augex'!$D$9:$P$9,0))*INDEX('LV &amp; HV augex'!$D$28:$J$52,MATCH($B83,'LV &amp; HV augex'!$L$28:$L$52,0),MATCH($C83,'LV &amp; HV augex'!$D$27:$J$27,0)),0)*'Financial inputs'!$D$11</f>
        <v>27085.259211605513</v>
      </c>
      <c r="H83" s="40">
        <f>IFERROR(INDEX('LV &amp; HV augex'!$D$10:$P$18,MATCH($C83,'LV &amp; HV augex'!$C$10:$C$18,0),MATCH(H$19,'LV &amp; HV augex'!$D$9:$P$9,0))*INDEX('LV &amp; HV augex'!$D$28:$J$52,MATCH($B83,'LV &amp; HV augex'!$L$28:$L$52,0),MATCH($C83,'LV &amp; HV augex'!$D$27:$J$27,0)),0)*'Financial inputs'!$D$11</f>
        <v>27085.259211605513</v>
      </c>
      <c r="I83" s="40">
        <f>IFERROR(INDEX('LV &amp; HV augex'!$D$10:$P$18,MATCH($C83,'LV &amp; HV augex'!$C$10:$C$18,0),MATCH(I$19,'LV &amp; HV augex'!$D$9:$P$9,0))*INDEX('LV &amp; HV augex'!$D$28:$J$52,MATCH($B83,'LV &amp; HV augex'!$L$28:$L$52,0),MATCH($C83,'LV &amp; HV augex'!$D$27:$J$27,0)),0)*'Financial inputs'!$D$11</f>
        <v>27085.259211605513</v>
      </c>
      <c r="J83" s="40">
        <f>IFERROR(INDEX('LV &amp; HV augex'!$D$10:$P$18,MATCH($C83,'LV &amp; HV augex'!$C$10:$C$18,0),MATCH(J$19,'LV &amp; HV augex'!$D$9:$P$9,0))*INDEX('LV &amp; HV augex'!$D$28:$J$52,MATCH($B83,'LV &amp; HV augex'!$L$28:$L$52,0),MATCH($C83,'LV &amp; HV augex'!$D$27:$J$27,0)),0)*'Financial inputs'!$D$11</f>
        <v>27085.259211605513</v>
      </c>
      <c r="K83" s="40">
        <f>IFERROR(INDEX('LV &amp; HV augex'!$D$10:$P$18,MATCH($C83,'LV &amp; HV augex'!$C$10:$C$18,0),MATCH(K$19,'LV &amp; HV augex'!$D$9:$P$9,0))*INDEX('LV &amp; HV augex'!$D$28:$J$52,MATCH($B83,'LV &amp; HV augex'!$L$28:$L$52,0),MATCH($C83,'LV &amp; HV augex'!$D$27:$J$27,0)),0)*'Financial inputs'!$D$11</f>
        <v>27085.259211605513</v>
      </c>
      <c r="L83" s="40">
        <f>IFERROR(INDEX('LV &amp; HV augex'!$D$10:$P$18,MATCH($C83,'LV &amp; HV augex'!$C$10:$C$18,0),MATCH(L$19,'LV &amp; HV augex'!$D$9:$P$9,0))*INDEX('LV &amp; HV augex'!$D$28:$J$52,MATCH($B83,'LV &amp; HV augex'!$L$28:$L$52,0),MATCH($C83,'LV &amp; HV augex'!$D$27:$J$27,0)),0)*'Financial inputs'!$D$11</f>
        <v>27085.259211605513</v>
      </c>
      <c r="M83" s="40">
        <f>IFERROR(INDEX('LV &amp; HV augex'!$D$10:$P$18,MATCH($C83,'LV &amp; HV augex'!$C$10:$C$18,0),MATCH(M$19,'LV &amp; HV augex'!$D$9:$P$9,0))*INDEX('LV &amp; HV augex'!$D$28:$J$52,MATCH($B83,'LV &amp; HV augex'!$L$28:$L$52,0),MATCH($C83,'LV &amp; HV augex'!$D$27:$J$27,0)),0)*'Financial inputs'!$D$11</f>
        <v>27085.259211605513</v>
      </c>
      <c r="N83" s="40">
        <f>IFERROR(INDEX('LV &amp; HV augex'!$D$10:$P$18,MATCH($C83,'LV &amp; HV augex'!$C$10:$C$18,0),MATCH(N$19,'LV &amp; HV augex'!$D$9:$P$9,0))*INDEX('LV &amp; HV augex'!$D$28:$J$52,MATCH($B83,'LV &amp; HV augex'!$L$28:$L$52,0),MATCH($C83,'LV &amp; HV augex'!$D$27:$J$27,0)),0)*'Financial inputs'!$D$11</f>
        <v>27085.259211605513</v>
      </c>
      <c r="O83" s="40">
        <f>IFERROR(INDEX('LV &amp; HV augex'!$D$10:$P$18,MATCH($C83,'LV &amp; HV augex'!$C$10:$C$18,0),MATCH(O$19,'LV &amp; HV augex'!$D$9:$P$9,0))*INDEX('LV &amp; HV augex'!$D$28:$J$52,MATCH($B83,'LV &amp; HV augex'!$L$28:$L$52,0),MATCH($C83,'LV &amp; HV augex'!$D$27:$J$27,0)),0)*'Financial inputs'!$D$11</f>
        <v>27085.259211605513</v>
      </c>
      <c r="P83" s="40">
        <f>IFERROR(INDEX('LV &amp; HV augex'!$D$10:$P$18,MATCH($C83,'LV &amp; HV augex'!$C$10:$C$18,0),MATCH(P$19,'LV &amp; HV augex'!$D$9:$P$9,0))*INDEX('LV &amp; HV augex'!$D$28:$J$52,MATCH($B83,'LV &amp; HV augex'!$L$28:$L$52,0),MATCH($C83,'LV &amp; HV augex'!$D$27:$J$27,0)),0)*'Financial inputs'!$D$11</f>
        <v>27085.259211605513</v>
      </c>
    </row>
    <row r="84" spans="2:16" ht="15.5">
      <c r="B84" s="2" t="str">
        <f t="shared" si="5"/>
        <v>Newcastle Western Corridor</v>
      </c>
      <c r="C84" s="35" t="str" cm="1">
        <f t="array" ref="C84">INDEX(augex_categories,COUNTIFS($B$20:$B84,$B$20))</f>
        <v>LV Distributor Capacity</v>
      </c>
      <c r="D84" s="35" t="str">
        <f>IF(COUNTIF('LV &amp; HV augex'!$C$10:$C$13,C84), "LV", IF(COUNTIF('LV &amp; HV augex'!$C$15:$C$17, C84), "HV", "Error"))</f>
        <v>LV</v>
      </c>
      <c r="E84" s="35" t="str">
        <f>INDEX('Growing &amp; falling'!$D$14:$D$39,MATCH($B84,'Growing &amp; falling'!$B$14:$B$39,0))</f>
        <v>Decline</v>
      </c>
      <c r="F84" s="35" t="str">
        <f t="shared" si="4"/>
        <v>$2024 real</v>
      </c>
      <c r="G84" s="40">
        <f>IFERROR(INDEX('LV &amp; HV augex'!$D$10:$P$18,MATCH($C84,'LV &amp; HV augex'!$C$10:$C$18,0),MATCH(G$19,'LV &amp; HV augex'!$D$9:$P$9,0))*INDEX('LV &amp; HV augex'!$D$28:$J$52,MATCH($B84,'LV &amp; HV augex'!$L$28:$L$52,0),MATCH($C84,'LV &amp; HV augex'!$D$27:$J$27,0)),0)*'Financial inputs'!$D$11</f>
        <v>136657.44420400969</v>
      </c>
      <c r="H84" s="40">
        <f>IFERROR(INDEX('LV &amp; HV augex'!$D$10:$P$18,MATCH($C84,'LV &amp; HV augex'!$C$10:$C$18,0),MATCH(H$19,'LV &amp; HV augex'!$D$9:$P$9,0))*INDEX('LV &amp; HV augex'!$D$28:$J$52,MATCH($B84,'LV &amp; HV augex'!$L$28:$L$52,0),MATCH($C84,'LV &amp; HV augex'!$D$27:$J$27,0)),0)*'Financial inputs'!$D$11</f>
        <v>136657.44420400969</v>
      </c>
      <c r="I84" s="40">
        <f>IFERROR(INDEX('LV &amp; HV augex'!$D$10:$P$18,MATCH($C84,'LV &amp; HV augex'!$C$10:$C$18,0),MATCH(I$19,'LV &amp; HV augex'!$D$9:$P$9,0))*INDEX('LV &amp; HV augex'!$D$28:$J$52,MATCH($B84,'LV &amp; HV augex'!$L$28:$L$52,0),MATCH($C84,'LV &amp; HV augex'!$D$27:$J$27,0)),0)*'Financial inputs'!$D$11</f>
        <v>136657.44420400969</v>
      </c>
      <c r="J84" s="40">
        <f>IFERROR(INDEX('LV &amp; HV augex'!$D$10:$P$18,MATCH($C84,'LV &amp; HV augex'!$C$10:$C$18,0),MATCH(J$19,'LV &amp; HV augex'!$D$9:$P$9,0))*INDEX('LV &amp; HV augex'!$D$28:$J$52,MATCH($B84,'LV &amp; HV augex'!$L$28:$L$52,0),MATCH($C84,'LV &amp; HV augex'!$D$27:$J$27,0)),0)*'Financial inputs'!$D$11</f>
        <v>136657.44420400969</v>
      </c>
      <c r="K84" s="40">
        <f>IFERROR(INDEX('LV &amp; HV augex'!$D$10:$P$18,MATCH($C84,'LV &amp; HV augex'!$C$10:$C$18,0),MATCH(K$19,'LV &amp; HV augex'!$D$9:$P$9,0))*INDEX('LV &amp; HV augex'!$D$28:$J$52,MATCH($B84,'LV &amp; HV augex'!$L$28:$L$52,0),MATCH($C84,'LV &amp; HV augex'!$D$27:$J$27,0)),0)*'Financial inputs'!$D$11</f>
        <v>136657.44420400969</v>
      </c>
      <c r="L84" s="40">
        <f>IFERROR(INDEX('LV &amp; HV augex'!$D$10:$P$18,MATCH($C84,'LV &amp; HV augex'!$C$10:$C$18,0),MATCH(L$19,'LV &amp; HV augex'!$D$9:$P$9,0))*INDEX('LV &amp; HV augex'!$D$28:$J$52,MATCH($B84,'LV &amp; HV augex'!$L$28:$L$52,0),MATCH($C84,'LV &amp; HV augex'!$D$27:$J$27,0)),0)*'Financial inputs'!$D$11</f>
        <v>136657.44420400969</v>
      </c>
      <c r="M84" s="40">
        <f>IFERROR(INDEX('LV &amp; HV augex'!$D$10:$P$18,MATCH($C84,'LV &amp; HV augex'!$C$10:$C$18,0),MATCH(M$19,'LV &amp; HV augex'!$D$9:$P$9,0))*INDEX('LV &amp; HV augex'!$D$28:$J$52,MATCH($B84,'LV &amp; HV augex'!$L$28:$L$52,0),MATCH($C84,'LV &amp; HV augex'!$D$27:$J$27,0)),0)*'Financial inputs'!$D$11</f>
        <v>136657.44420400969</v>
      </c>
      <c r="N84" s="40">
        <f>IFERROR(INDEX('LV &amp; HV augex'!$D$10:$P$18,MATCH($C84,'LV &amp; HV augex'!$C$10:$C$18,0),MATCH(N$19,'LV &amp; HV augex'!$D$9:$P$9,0))*INDEX('LV &amp; HV augex'!$D$28:$J$52,MATCH($B84,'LV &amp; HV augex'!$L$28:$L$52,0),MATCH($C84,'LV &amp; HV augex'!$D$27:$J$27,0)),0)*'Financial inputs'!$D$11</f>
        <v>136657.44420400969</v>
      </c>
      <c r="O84" s="40">
        <f>IFERROR(INDEX('LV &amp; HV augex'!$D$10:$P$18,MATCH($C84,'LV &amp; HV augex'!$C$10:$C$18,0),MATCH(O$19,'LV &amp; HV augex'!$D$9:$P$9,0))*INDEX('LV &amp; HV augex'!$D$28:$J$52,MATCH($B84,'LV &amp; HV augex'!$L$28:$L$52,0),MATCH($C84,'LV &amp; HV augex'!$D$27:$J$27,0)),0)*'Financial inputs'!$D$11</f>
        <v>136657.44420400969</v>
      </c>
      <c r="P84" s="40">
        <f>IFERROR(INDEX('LV &amp; HV augex'!$D$10:$P$18,MATCH($C84,'LV &amp; HV augex'!$C$10:$C$18,0),MATCH(P$19,'LV &amp; HV augex'!$D$9:$P$9,0))*INDEX('LV &amp; HV augex'!$D$28:$J$52,MATCH($B84,'LV &amp; HV augex'!$L$28:$L$52,0),MATCH($C84,'LV &amp; HV augex'!$D$27:$J$27,0)),0)*'Financial inputs'!$D$11</f>
        <v>136657.44420400969</v>
      </c>
    </row>
    <row r="85" spans="2:16" ht="15.5">
      <c r="B85" s="2" t="str">
        <f t="shared" si="5"/>
        <v>North East Lake Macquarie</v>
      </c>
      <c r="C85" s="35" t="str" cm="1">
        <f t="array" ref="C85">INDEX(augex_categories,COUNTIFS($B$20:$B85,$B$20))</f>
        <v>LV Distributor Capacity</v>
      </c>
      <c r="D85" s="35" t="str">
        <f>IF(COUNTIF('LV &amp; HV augex'!$C$10:$C$13,C85), "LV", IF(COUNTIF('LV &amp; HV augex'!$C$15:$C$17, C85), "HV", "Error"))</f>
        <v>LV</v>
      </c>
      <c r="E85" s="35" t="str">
        <f>INDEX('Growing &amp; falling'!$D$14:$D$39,MATCH($B85,'Growing &amp; falling'!$B$14:$B$39,0))</f>
        <v>Decline</v>
      </c>
      <c r="F85" s="35" t="str">
        <f t="shared" si="4"/>
        <v>$2024 real</v>
      </c>
      <c r="G85" s="40">
        <f>IFERROR(INDEX('LV &amp; HV augex'!$D$10:$P$18,MATCH($C85,'LV &amp; HV augex'!$C$10:$C$18,0),MATCH(G$19,'LV &amp; HV augex'!$D$9:$P$9,0))*INDEX('LV &amp; HV augex'!$D$28:$J$52,MATCH($B85,'LV &amp; HV augex'!$L$28:$L$52,0),MATCH($C85,'LV &amp; HV augex'!$D$27:$J$27,0)),0)*'Financial inputs'!$D$11</f>
        <v>227146.83293369174</v>
      </c>
      <c r="H85" s="40">
        <f>IFERROR(INDEX('LV &amp; HV augex'!$D$10:$P$18,MATCH($C85,'LV &amp; HV augex'!$C$10:$C$18,0),MATCH(H$19,'LV &amp; HV augex'!$D$9:$P$9,0))*INDEX('LV &amp; HV augex'!$D$28:$J$52,MATCH($B85,'LV &amp; HV augex'!$L$28:$L$52,0),MATCH($C85,'LV &amp; HV augex'!$D$27:$J$27,0)),0)*'Financial inputs'!$D$11</f>
        <v>227146.83293369174</v>
      </c>
      <c r="I85" s="40">
        <f>IFERROR(INDEX('LV &amp; HV augex'!$D$10:$P$18,MATCH($C85,'LV &amp; HV augex'!$C$10:$C$18,0),MATCH(I$19,'LV &amp; HV augex'!$D$9:$P$9,0))*INDEX('LV &amp; HV augex'!$D$28:$J$52,MATCH($B85,'LV &amp; HV augex'!$L$28:$L$52,0),MATCH($C85,'LV &amp; HV augex'!$D$27:$J$27,0)),0)*'Financial inputs'!$D$11</f>
        <v>227146.83293369174</v>
      </c>
      <c r="J85" s="40">
        <f>IFERROR(INDEX('LV &amp; HV augex'!$D$10:$P$18,MATCH($C85,'LV &amp; HV augex'!$C$10:$C$18,0),MATCH(J$19,'LV &amp; HV augex'!$D$9:$P$9,0))*INDEX('LV &amp; HV augex'!$D$28:$J$52,MATCH($B85,'LV &amp; HV augex'!$L$28:$L$52,0),MATCH($C85,'LV &amp; HV augex'!$D$27:$J$27,0)),0)*'Financial inputs'!$D$11</f>
        <v>227146.83293369174</v>
      </c>
      <c r="K85" s="40">
        <f>IFERROR(INDEX('LV &amp; HV augex'!$D$10:$P$18,MATCH($C85,'LV &amp; HV augex'!$C$10:$C$18,0),MATCH(K$19,'LV &amp; HV augex'!$D$9:$P$9,0))*INDEX('LV &amp; HV augex'!$D$28:$J$52,MATCH($B85,'LV &amp; HV augex'!$L$28:$L$52,0),MATCH($C85,'LV &amp; HV augex'!$D$27:$J$27,0)),0)*'Financial inputs'!$D$11</f>
        <v>227146.83293369174</v>
      </c>
      <c r="L85" s="40">
        <f>IFERROR(INDEX('LV &amp; HV augex'!$D$10:$P$18,MATCH($C85,'LV &amp; HV augex'!$C$10:$C$18,0),MATCH(L$19,'LV &amp; HV augex'!$D$9:$P$9,0))*INDEX('LV &amp; HV augex'!$D$28:$J$52,MATCH($B85,'LV &amp; HV augex'!$L$28:$L$52,0),MATCH($C85,'LV &amp; HV augex'!$D$27:$J$27,0)),0)*'Financial inputs'!$D$11</f>
        <v>227146.83293369174</v>
      </c>
      <c r="M85" s="40">
        <f>IFERROR(INDEX('LV &amp; HV augex'!$D$10:$P$18,MATCH($C85,'LV &amp; HV augex'!$C$10:$C$18,0),MATCH(M$19,'LV &amp; HV augex'!$D$9:$P$9,0))*INDEX('LV &amp; HV augex'!$D$28:$J$52,MATCH($B85,'LV &amp; HV augex'!$L$28:$L$52,0),MATCH($C85,'LV &amp; HV augex'!$D$27:$J$27,0)),0)*'Financial inputs'!$D$11</f>
        <v>227146.83293369174</v>
      </c>
      <c r="N85" s="40">
        <f>IFERROR(INDEX('LV &amp; HV augex'!$D$10:$P$18,MATCH($C85,'LV &amp; HV augex'!$C$10:$C$18,0),MATCH(N$19,'LV &amp; HV augex'!$D$9:$P$9,0))*INDEX('LV &amp; HV augex'!$D$28:$J$52,MATCH($B85,'LV &amp; HV augex'!$L$28:$L$52,0),MATCH($C85,'LV &amp; HV augex'!$D$27:$J$27,0)),0)*'Financial inputs'!$D$11</f>
        <v>227146.83293369174</v>
      </c>
      <c r="O85" s="40">
        <f>IFERROR(INDEX('LV &amp; HV augex'!$D$10:$P$18,MATCH($C85,'LV &amp; HV augex'!$C$10:$C$18,0),MATCH(O$19,'LV &amp; HV augex'!$D$9:$P$9,0))*INDEX('LV &amp; HV augex'!$D$28:$J$52,MATCH($B85,'LV &amp; HV augex'!$L$28:$L$52,0),MATCH($C85,'LV &amp; HV augex'!$D$27:$J$27,0)),0)*'Financial inputs'!$D$11</f>
        <v>227146.83293369174</v>
      </c>
      <c r="P85" s="40">
        <f>IFERROR(INDEX('LV &amp; HV augex'!$D$10:$P$18,MATCH($C85,'LV &amp; HV augex'!$C$10:$C$18,0),MATCH(P$19,'LV &amp; HV augex'!$D$9:$P$9,0))*INDEX('LV &amp; HV augex'!$D$28:$J$52,MATCH($B85,'LV &amp; HV augex'!$L$28:$L$52,0),MATCH($C85,'LV &amp; HV augex'!$D$27:$J$27,0)),0)*'Financial inputs'!$D$11</f>
        <v>227146.83293369174</v>
      </c>
    </row>
    <row r="86" spans="2:16" ht="15.5">
      <c r="B86" s="2" t="str">
        <f t="shared" si="5"/>
        <v>North West</v>
      </c>
      <c r="C86" s="35" t="str" cm="1">
        <f t="array" ref="C86">INDEX(augex_categories,COUNTIFS($B$20:$B86,$B$20))</f>
        <v>LV Distributor Capacity</v>
      </c>
      <c r="D86" s="35" t="str">
        <f>IF(COUNTIF('LV &amp; HV augex'!$C$10:$C$13,C86), "LV", IF(COUNTIF('LV &amp; HV augex'!$C$15:$C$17, C86), "HV", "Error"))</f>
        <v>LV</v>
      </c>
      <c r="E86" s="35" t="str">
        <f>INDEX('Growing &amp; falling'!$D$14:$D$39,MATCH($B86,'Growing &amp; falling'!$B$14:$B$39,0))</f>
        <v>Growth</v>
      </c>
      <c r="F86" s="35" t="str">
        <f t="shared" ref="F86:F149" si="6">F85</f>
        <v>$2024 real</v>
      </c>
      <c r="G86" s="40">
        <f>IFERROR(INDEX('LV &amp; HV augex'!$D$10:$P$18,MATCH($C86,'LV &amp; HV augex'!$C$10:$C$18,0),MATCH(G$19,'LV &amp; HV augex'!$D$9:$P$9,0))*INDEX('LV &amp; HV augex'!$D$28:$J$52,MATCH($B86,'LV &amp; HV augex'!$L$28:$L$52,0),MATCH($C86,'LV &amp; HV augex'!$D$27:$J$27,0)),0)*'Financial inputs'!$D$11</f>
        <v>210748.78859539205</v>
      </c>
      <c r="H86" s="40">
        <f>IFERROR(INDEX('LV &amp; HV augex'!$D$10:$P$18,MATCH($C86,'LV &amp; HV augex'!$C$10:$C$18,0),MATCH(H$19,'LV &amp; HV augex'!$D$9:$P$9,0))*INDEX('LV &amp; HV augex'!$D$28:$J$52,MATCH($B86,'LV &amp; HV augex'!$L$28:$L$52,0),MATCH($C86,'LV &amp; HV augex'!$D$27:$J$27,0)),0)*'Financial inputs'!$D$11</f>
        <v>210748.78859539205</v>
      </c>
      <c r="I86" s="40">
        <f>IFERROR(INDEX('LV &amp; HV augex'!$D$10:$P$18,MATCH($C86,'LV &amp; HV augex'!$C$10:$C$18,0),MATCH(I$19,'LV &amp; HV augex'!$D$9:$P$9,0))*INDEX('LV &amp; HV augex'!$D$28:$J$52,MATCH($B86,'LV &amp; HV augex'!$L$28:$L$52,0),MATCH($C86,'LV &amp; HV augex'!$D$27:$J$27,0)),0)*'Financial inputs'!$D$11</f>
        <v>210748.78859539205</v>
      </c>
      <c r="J86" s="40">
        <f>IFERROR(INDEX('LV &amp; HV augex'!$D$10:$P$18,MATCH($C86,'LV &amp; HV augex'!$C$10:$C$18,0),MATCH(J$19,'LV &amp; HV augex'!$D$9:$P$9,0))*INDEX('LV &amp; HV augex'!$D$28:$J$52,MATCH($B86,'LV &amp; HV augex'!$L$28:$L$52,0),MATCH($C86,'LV &amp; HV augex'!$D$27:$J$27,0)),0)*'Financial inputs'!$D$11</f>
        <v>210748.78859539205</v>
      </c>
      <c r="K86" s="40">
        <f>IFERROR(INDEX('LV &amp; HV augex'!$D$10:$P$18,MATCH($C86,'LV &amp; HV augex'!$C$10:$C$18,0),MATCH(K$19,'LV &amp; HV augex'!$D$9:$P$9,0))*INDEX('LV &amp; HV augex'!$D$28:$J$52,MATCH($B86,'LV &amp; HV augex'!$L$28:$L$52,0),MATCH($C86,'LV &amp; HV augex'!$D$27:$J$27,0)),0)*'Financial inputs'!$D$11</f>
        <v>210748.78859539205</v>
      </c>
      <c r="L86" s="40">
        <f>IFERROR(INDEX('LV &amp; HV augex'!$D$10:$P$18,MATCH($C86,'LV &amp; HV augex'!$C$10:$C$18,0),MATCH(L$19,'LV &amp; HV augex'!$D$9:$P$9,0))*INDEX('LV &amp; HV augex'!$D$28:$J$52,MATCH($B86,'LV &amp; HV augex'!$L$28:$L$52,0),MATCH($C86,'LV &amp; HV augex'!$D$27:$J$27,0)),0)*'Financial inputs'!$D$11</f>
        <v>210748.78859539205</v>
      </c>
      <c r="M86" s="40">
        <f>IFERROR(INDEX('LV &amp; HV augex'!$D$10:$P$18,MATCH($C86,'LV &amp; HV augex'!$C$10:$C$18,0),MATCH(M$19,'LV &amp; HV augex'!$D$9:$P$9,0))*INDEX('LV &amp; HV augex'!$D$28:$J$52,MATCH($B86,'LV &amp; HV augex'!$L$28:$L$52,0),MATCH($C86,'LV &amp; HV augex'!$D$27:$J$27,0)),0)*'Financial inputs'!$D$11</f>
        <v>210748.78859539205</v>
      </c>
      <c r="N86" s="40">
        <f>IFERROR(INDEX('LV &amp; HV augex'!$D$10:$P$18,MATCH($C86,'LV &amp; HV augex'!$C$10:$C$18,0),MATCH(N$19,'LV &amp; HV augex'!$D$9:$P$9,0))*INDEX('LV &amp; HV augex'!$D$28:$J$52,MATCH($B86,'LV &amp; HV augex'!$L$28:$L$52,0),MATCH($C86,'LV &amp; HV augex'!$D$27:$J$27,0)),0)*'Financial inputs'!$D$11</f>
        <v>210748.78859539205</v>
      </c>
      <c r="O86" s="40">
        <f>IFERROR(INDEX('LV &amp; HV augex'!$D$10:$P$18,MATCH($C86,'LV &amp; HV augex'!$C$10:$C$18,0),MATCH(O$19,'LV &amp; HV augex'!$D$9:$P$9,0))*INDEX('LV &amp; HV augex'!$D$28:$J$52,MATCH($B86,'LV &amp; HV augex'!$L$28:$L$52,0),MATCH($C86,'LV &amp; HV augex'!$D$27:$J$27,0)),0)*'Financial inputs'!$D$11</f>
        <v>210748.78859539205</v>
      </c>
      <c r="P86" s="40">
        <f>IFERROR(INDEX('LV &amp; HV augex'!$D$10:$P$18,MATCH($C86,'LV &amp; HV augex'!$C$10:$C$18,0),MATCH(P$19,'LV &amp; HV augex'!$D$9:$P$9,0))*INDEX('LV &amp; HV augex'!$D$28:$J$52,MATCH($B86,'LV &amp; HV augex'!$L$28:$L$52,0),MATCH($C86,'LV &amp; HV augex'!$D$27:$J$27,0)),0)*'Financial inputs'!$D$11</f>
        <v>210748.78859539205</v>
      </c>
    </row>
    <row r="87" spans="2:16" ht="15.5">
      <c r="B87" s="2" t="str">
        <f t="shared" si="5"/>
        <v>Pittwater &amp; Terrey Hills</v>
      </c>
      <c r="C87" s="35" t="str" cm="1">
        <f t="array" ref="C87">INDEX(augex_categories,COUNTIFS($B$20:$B87,$B$20))</f>
        <v>LV Distributor Capacity</v>
      </c>
      <c r="D87" s="35" t="str">
        <f>IF(COUNTIF('LV &amp; HV augex'!$C$10:$C$13,C87), "LV", IF(COUNTIF('LV &amp; HV augex'!$C$15:$C$17, C87), "HV", "Error"))</f>
        <v>LV</v>
      </c>
      <c r="E87" s="35" t="str">
        <f>INDEX('Growing &amp; falling'!$D$14:$D$39,MATCH($B87,'Growing &amp; falling'!$B$14:$B$39,0))</f>
        <v>Decline</v>
      </c>
      <c r="F87" s="35" t="str">
        <f t="shared" si="6"/>
        <v>$2024 real</v>
      </c>
      <c r="G87" s="40">
        <f>IFERROR(INDEX('LV &amp; HV augex'!$D$10:$P$18,MATCH($C87,'LV &amp; HV augex'!$C$10:$C$18,0),MATCH(G$19,'LV &amp; HV augex'!$D$9:$P$9,0))*INDEX('LV &amp; HV augex'!$D$28:$J$52,MATCH($B87,'LV &amp; HV augex'!$L$28:$L$52,0),MATCH($C87,'LV &amp; HV augex'!$D$27:$J$27,0)),0)*'Financial inputs'!$D$11</f>
        <v>172026.87261852785</v>
      </c>
      <c r="H87" s="40">
        <f>IFERROR(INDEX('LV &amp; HV augex'!$D$10:$P$18,MATCH($C87,'LV &amp; HV augex'!$C$10:$C$18,0),MATCH(H$19,'LV &amp; HV augex'!$D$9:$P$9,0))*INDEX('LV &amp; HV augex'!$D$28:$J$52,MATCH($B87,'LV &amp; HV augex'!$L$28:$L$52,0),MATCH($C87,'LV &amp; HV augex'!$D$27:$J$27,0)),0)*'Financial inputs'!$D$11</f>
        <v>172026.87261852785</v>
      </c>
      <c r="I87" s="40">
        <f>IFERROR(INDEX('LV &amp; HV augex'!$D$10:$P$18,MATCH($C87,'LV &amp; HV augex'!$C$10:$C$18,0),MATCH(I$19,'LV &amp; HV augex'!$D$9:$P$9,0))*INDEX('LV &amp; HV augex'!$D$28:$J$52,MATCH($B87,'LV &amp; HV augex'!$L$28:$L$52,0),MATCH($C87,'LV &amp; HV augex'!$D$27:$J$27,0)),0)*'Financial inputs'!$D$11</f>
        <v>172026.87261852785</v>
      </c>
      <c r="J87" s="40">
        <f>IFERROR(INDEX('LV &amp; HV augex'!$D$10:$P$18,MATCH($C87,'LV &amp; HV augex'!$C$10:$C$18,0),MATCH(J$19,'LV &amp; HV augex'!$D$9:$P$9,0))*INDEX('LV &amp; HV augex'!$D$28:$J$52,MATCH($B87,'LV &amp; HV augex'!$L$28:$L$52,0),MATCH($C87,'LV &amp; HV augex'!$D$27:$J$27,0)),0)*'Financial inputs'!$D$11</f>
        <v>172026.87261852785</v>
      </c>
      <c r="K87" s="40">
        <f>IFERROR(INDEX('LV &amp; HV augex'!$D$10:$P$18,MATCH($C87,'LV &amp; HV augex'!$C$10:$C$18,0),MATCH(K$19,'LV &amp; HV augex'!$D$9:$P$9,0))*INDEX('LV &amp; HV augex'!$D$28:$J$52,MATCH($B87,'LV &amp; HV augex'!$L$28:$L$52,0),MATCH($C87,'LV &amp; HV augex'!$D$27:$J$27,0)),0)*'Financial inputs'!$D$11</f>
        <v>172026.87261852785</v>
      </c>
      <c r="L87" s="40">
        <f>IFERROR(INDEX('LV &amp; HV augex'!$D$10:$P$18,MATCH($C87,'LV &amp; HV augex'!$C$10:$C$18,0),MATCH(L$19,'LV &amp; HV augex'!$D$9:$P$9,0))*INDEX('LV &amp; HV augex'!$D$28:$J$52,MATCH($B87,'LV &amp; HV augex'!$L$28:$L$52,0),MATCH($C87,'LV &amp; HV augex'!$D$27:$J$27,0)),0)*'Financial inputs'!$D$11</f>
        <v>172026.87261852785</v>
      </c>
      <c r="M87" s="40">
        <f>IFERROR(INDEX('LV &amp; HV augex'!$D$10:$P$18,MATCH($C87,'LV &amp; HV augex'!$C$10:$C$18,0),MATCH(M$19,'LV &amp; HV augex'!$D$9:$P$9,0))*INDEX('LV &amp; HV augex'!$D$28:$J$52,MATCH($B87,'LV &amp; HV augex'!$L$28:$L$52,0),MATCH($C87,'LV &amp; HV augex'!$D$27:$J$27,0)),0)*'Financial inputs'!$D$11</f>
        <v>172026.87261852785</v>
      </c>
      <c r="N87" s="40">
        <f>IFERROR(INDEX('LV &amp; HV augex'!$D$10:$P$18,MATCH($C87,'LV &amp; HV augex'!$C$10:$C$18,0),MATCH(N$19,'LV &amp; HV augex'!$D$9:$P$9,0))*INDEX('LV &amp; HV augex'!$D$28:$J$52,MATCH($B87,'LV &amp; HV augex'!$L$28:$L$52,0),MATCH($C87,'LV &amp; HV augex'!$D$27:$J$27,0)),0)*'Financial inputs'!$D$11</f>
        <v>172026.87261852785</v>
      </c>
      <c r="O87" s="40">
        <f>IFERROR(INDEX('LV &amp; HV augex'!$D$10:$P$18,MATCH($C87,'LV &amp; HV augex'!$C$10:$C$18,0),MATCH(O$19,'LV &amp; HV augex'!$D$9:$P$9,0))*INDEX('LV &amp; HV augex'!$D$28:$J$52,MATCH($B87,'LV &amp; HV augex'!$L$28:$L$52,0),MATCH($C87,'LV &amp; HV augex'!$D$27:$J$27,0)),0)*'Financial inputs'!$D$11</f>
        <v>172026.87261852785</v>
      </c>
      <c r="P87" s="40">
        <f>IFERROR(INDEX('LV &amp; HV augex'!$D$10:$P$18,MATCH($C87,'LV &amp; HV augex'!$C$10:$C$18,0),MATCH(P$19,'LV &amp; HV augex'!$D$9:$P$9,0))*INDEX('LV &amp; HV augex'!$D$28:$J$52,MATCH($B87,'LV &amp; HV augex'!$L$28:$L$52,0),MATCH($C87,'LV &amp; HV augex'!$D$27:$J$27,0)),0)*'Financial inputs'!$D$11</f>
        <v>172026.87261852785</v>
      </c>
    </row>
    <row r="88" spans="2:16" ht="15.5">
      <c r="B88" s="2" t="str">
        <f t="shared" si="5"/>
        <v>Port Stephens</v>
      </c>
      <c r="C88" s="35" t="str" cm="1">
        <f t="array" ref="C88">INDEX(augex_categories,COUNTIFS($B$20:$B88,$B$20))</f>
        <v>LV Distributor Capacity</v>
      </c>
      <c r="D88" s="35" t="str">
        <f>IF(COUNTIF('LV &amp; HV augex'!$C$10:$C$13,C88), "LV", IF(COUNTIF('LV &amp; HV augex'!$C$15:$C$17, C88), "HV", "Error"))</f>
        <v>LV</v>
      </c>
      <c r="E88" s="35" t="str">
        <f>INDEX('Growing &amp; falling'!$D$14:$D$39,MATCH($B88,'Growing &amp; falling'!$B$14:$B$39,0))</f>
        <v>Decline</v>
      </c>
      <c r="F88" s="35" t="str">
        <f t="shared" si="6"/>
        <v>$2024 real</v>
      </c>
      <c r="G88" s="40">
        <f>IFERROR(INDEX('LV &amp; HV augex'!$D$10:$P$18,MATCH($C88,'LV &amp; HV augex'!$C$10:$C$18,0),MATCH(G$19,'LV &amp; HV augex'!$D$9:$P$9,0))*INDEX('LV &amp; HV augex'!$D$28:$J$52,MATCH($B88,'LV &amp; HV augex'!$L$28:$L$52,0),MATCH($C88,'LV &amp; HV augex'!$D$27:$J$27,0)),0)*'Financial inputs'!$D$11</f>
        <v>97876.277605574462</v>
      </c>
      <c r="H88" s="40">
        <f>IFERROR(INDEX('LV &amp; HV augex'!$D$10:$P$18,MATCH($C88,'LV &amp; HV augex'!$C$10:$C$18,0),MATCH(H$19,'LV &amp; HV augex'!$D$9:$P$9,0))*INDEX('LV &amp; HV augex'!$D$28:$J$52,MATCH($B88,'LV &amp; HV augex'!$L$28:$L$52,0),MATCH($C88,'LV &amp; HV augex'!$D$27:$J$27,0)),0)*'Financial inputs'!$D$11</f>
        <v>97876.277605574462</v>
      </c>
      <c r="I88" s="40">
        <f>IFERROR(INDEX('LV &amp; HV augex'!$D$10:$P$18,MATCH($C88,'LV &amp; HV augex'!$C$10:$C$18,0),MATCH(I$19,'LV &amp; HV augex'!$D$9:$P$9,0))*INDEX('LV &amp; HV augex'!$D$28:$J$52,MATCH($B88,'LV &amp; HV augex'!$L$28:$L$52,0),MATCH($C88,'LV &amp; HV augex'!$D$27:$J$27,0)),0)*'Financial inputs'!$D$11</f>
        <v>97876.277605574462</v>
      </c>
      <c r="J88" s="40">
        <f>IFERROR(INDEX('LV &amp; HV augex'!$D$10:$P$18,MATCH($C88,'LV &amp; HV augex'!$C$10:$C$18,0),MATCH(J$19,'LV &amp; HV augex'!$D$9:$P$9,0))*INDEX('LV &amp; HV augex'!$D$28:$J$52,MATCH($B88,'LV &amp; HV augex'!$L$28:$L$52,0),MATCH($C88,'LV &amp; HV augex'!$D$27:$J$27,0)),0)*'Financial inputs'!$D$11</f>
        <v>97876.277605574462</v>
      </c>
      <c r="K88" s="40">
        <f>IFERROR(INDEX('LV &amp; HV augex'!$D$10:$P$18,MATCH($C88,'LV &amp; HV augex'!$C$10:$C$18,0),MATCH(K$19,'LV &amp; HV augex'!$D$9:$P$9,0))*INDEX('LV &amp; HV augex'!$D$28:$J$52,MATCH($B88,'LV &amp; HV augex'!$L$28:$L$52,0),MATCH($C88,'LV &amp; HV augex'!$D$27:$J$27,0)),0)*'Financial inputs'!$D$11</f>
        <v>97876.277605574462</v>
      </c>
      <c r="L88" s="40">
        <f>IFERROR(INDEX('LV &amp; HV augex'!$D$10:$P$18,MATCH($C88,'LV &amp; HV augex'!$C$10:$C$18,0),MATCH(L$19,'LV &amp; HV augex'!$D$9:$P$9,0))*INDEX('LV &amp; HV augex'!$D$28:$J$52,MATCH($B88,'LV &amp; HV augex'!$L$28:$L$52,0),MATCH($C88,'LV &amp; HV augex'!$D$27:$J$27,0)),0)*'Financial inputs'!$D$11</f>
        <v>97876.277605574462</v>
      </c>
      <c r="M88" s="40">
        <f>IFERROR(INDEX('LV &amp; HV augex'!$D$10:$P$18,MATCH($C88,'LV &amp; HV augex'!$C$10:$C$18,0),MATCH(M$19,'LV &amp; HV augex'!$D$9:$P$9,0))*INDEX('LV &amp; HV augex'!$D$28:$J$52,MATCH($B88,'LV &amp; HV augex'!$L$28:$L$52,0),MATCH($C88,'LV &amp; HV augex'!$D$27:$J$27,0)),0)*'Financial inputs'!$D$11</f>
        <v>97876.277605574462</v>
      </c>
      <c r="N88" s="40">
        <f>IFERROR(INDEX('LV &amp; HV augex'!$D$10:$P$18,MATCH($C88,'LV &amp; HV augex'!$C$10:$C$18,0),MATCH(N$19,'LV &amp; HV augex'!$D$9:$P$9,0))*INDEX('LV &amp; HV augex'!$D$28:$J$52,MATCH($B88,'LV &amp; HV augex'!$L$28:$L$52,0),MATCH($C88,'LV &amp; HV augex'!$D$27:$J$27,0)),0)*'Financial inputs'!$D$11</f>
        <v>97876.277605574462</v>
      </c>
      <c r="O88" s="40">
        <f>IFERROR(INDEX('LV &amp; HV augex'!$D$10:$P$18,MATCH($C88,'LV &amp; HV augex'!$C$10:$C$18,0),MATCH(O$19,'LV &amp; HV augex'!$D$9:$P$9,0))*INDEX('LV &amp; HV augex'!$D$28:$J$52,MATCH($B88,'LV &amp; HV augex'!$L$28:$L$52,0),MATCH($C88,'LV &amp; HV augex'!$D$27:$J$27,0)),0)*'Financial inputs'!$D$11</f>
        <v>97876.277605574462</v>
      </c>
      <c r="P88" s="40">
        <f>IFERROR(INDEX('LV &amp; HV augex'!$D$10:$P$18,MATCH($C88,'LV &amp; HV augex'!$C$10:$C$18,0),MATCH(P$19,'LV &amp; HV augex'!$D$9:$P$9,0))*INDEX('LV &amp; HV augex'!$D$28:$J$52,MATCH($B88,'LV &amp; HV augex'!$L$28:$L$52,0),MATCH($C88,'LV &amp; HV augex'!$D$27:$J$27,0)),0)*'Financial inputs'!$D$11</f>
        <v>97876.277605574462</v>
      </c>
    </row>
    <row r="89" spans="2:16" ht="15.5">
      <c r="B89" s="2" t="str">
        <f t="shared" si="5"/>
        <v>Singleton</v>
      </c>
      <c r="C89" s="35" t="str" cm="1">
        <f t="array" ref="C89">INDEX(augex_categories,COUNTIFS($B$20:$B89,$B$20))</f>
        <v>LV Distributor Capacity</v>
      </c>
      <c r="D89" s="35" t="str">
        <f>IF(COUNTIF('LV &amp; HV augex'!$C$10:$C$13,C89), "LV", IF(COUNTIF('LV &amp; HV augex'!$C$15:$C$17, C89), "HV", "Error"))</f>
        <v>LV</v>
      </c>
      <c r="E89" s="35" t="str">
        <f>INDEX('Growing &amp; falling'!$D$14:$D$39,MATCH($B89,'Growing &amp; falling'!$B$14:$B$39,0))</f>
        <v>Decline</v>
      </c>
      <c r="F89" s="35" t="str">
        <f t="shared" si="6"/>
        <v>$2024 real</v>
      </c>
      <c r="G89" s="40">
        <f>IFERROR(INDEX('LV &amp; HV augex'!$D$10:$P$18,MATCH($C89,'LV &amp; HV augex'!$C$10:$C$18,0),MATCH(G$19,'LV &amp; HV augex'!$D$9:$P$9,0))*INDEX('LV &amp; HV augex'!$D$28:$J$52,MATCH($B89,'LV &amp; HV augex'!$L$28:$L$52,0),MATCH($C89,'LV &amp; HV augex'!$D$27:$J$27,0)),0)*'Financial inputs'!$D$11</f>
        <v>58171.749897652749</v>
      </c>
      <c r="H89" s="40">
        <f>IFERROR(INDEX('LV &amp; HV augex'!$D$10:$P$18,MATCH($C89,'LV &amp; HV augex'!$C$10:$C$18,0),MATCH(H$19,'LV &amp; HV augex'!$D$9:$P$9,0))*INDEX('LV &amp; HV augex'!$D$28:$J$52,MATCH($B89,'LV &amp; HV augex'!$L$28:$L$52,0),MATCH($C89,'LV &amp; HV augex'!$D$27:$J$27,0)),0)*'Financial inputs'!$D$11</f>
        <v>58171.749897652749</v>
      </c>
      <c r="I89" s="40">
        <f>IFERROR(INDEX('LV &amp; HV augex'!$D$10:$P$18,MATCH($C89,'LV &amp; HV augex'!$C$10:$C$18,0),MATCH(I$19,'LV &amp; HV augex'!$D$9:$P$9,0))*INDEX('LV &amp; HV augex'!$D$28:$J$52,MATCH($B89,'LV &amp; HV augex'!$L$28:$L$52,0),MATCH($C89,'LV &amp; HV augex'!$D$27:$J$27,0)),0)*'Financial inputs'!$D$11</f>
        <v>58171.749897652749</v>
      </c>
      <c r="J89" s="40">
        <f>IFERROR(INDEX('LV &amp; HV augex'!$D$10:$P$18,MATCH($C89,'LV &amp; HV augex'!$C$10:$C$18,0),MATCH(J$19,'LV &amp; HV augex'!$D$9:$P$9,0))*INDEX('LV &amp; HV augex'!$D$28:$J$52,MATCH($B89,'LV &amp; HV augex'!$L$28:$L$52,0),MATCH($C89,'LV &amp; HV augex'!$D$27:$J$27,0)),0)*'Financial inputs'!$D$11</f>
        <v>58171.749897652749</v>
      </c>
      <c r="K89" s="40">
        <f>IFERROR(INDEX('LV &amp; HV augex'!$D$10:$P$18,MATCH($C89,'LV &amp; HV augex'!$C$10:$C$18,0),MATCH(K$19,'LV &amp; HV augex'!$D$9:$P$9,0))*INDEX('LV &amp; HV augex'!$D$28:$J$52,MATCH($B89,'LV &amp; HV augex'!$L$28:$L$52,0),MATCH($C89,'LV &amp; HV augex'!$D$27:$J$27,0)),0)*'Financial inputs'!$D$11</f>
        <v>58171.749897652749</v>
      </c>
      <c r="L89" s="40">
        <f>IFERROR(INDEX('LV &amp; HV augex'!$D$10:$P$18,MATCH($C89,'LV &amp; HV augex'!$C$10:$C$18,0),MATCH(L$19,'LV &amp; HV augex'!$D$9:$P$9,0))*INDEX('LV &amp; HV augex'!$D$28:$J$52,MATCH($B89,'LV &amp; HV augex'!$L$28:$L$52,0),MATCH($C89,'LV &amp; HV augex'!$D$27:$J$27,0)),0)*'Financial inputs'!$D$11</f>
        <v>58171.749897652749</v>
      </c>
      <c r="M89" s="40">
        <f>IFERROR(INDEX('LV &amp; HV augex'!$D$10:$P$18,MATCH($C89,'LV &amp; HV augex'!$C$10:$C$18,0),MATCH(M$19,'LV &amp; HV augex'!$D$9:$P$9,0))*INDEX('LV &amp; HV augex'!$D$28:$J$52,MATCH($B89,'LV &amp; HV augex'!$L$28:$L$52,0),MATCH($C89,'LV &amp; HV augex'!$D$27:$J$27,0)),0)*'Financial inputs'!$D$11</f>
        <v>58171.749897652749</v>
      </c>
      <c r="N89" s="40">
        <f>IFERROR(INDEX('LV &amp; HV augex'!$D$10:$P$18,MATCH($C89,'LV &amp; HV augex'!$C$10:$C$18,0),MATCH(N$19,'LV &amp; HV augex'!$D$9:$P$9,0))*INDEX('LV &amp; HV augex'!$D$28:$J$52,MATCH($B89,'LV &amp; HV augex'!$L$28:$L$52,0),MATCH($C89,'LV &amp; HV augex'!$D$27:$J$27,0)),0)*'Financial inputs'!$D$11</f>
        <v>58171.749897652749</v>
      </c>
      <c r="O89" s="40">
        <f>IFERROR(INDEX('LV &amp; HV augex'!$D$10:$P$18,MATCH($C89,'LV &amp; HV augex'!$C$10:$C$18,0),MATCH(O$19,'LV &amp; HV augex'!$D$9:$P$9,0))*INDEX('LV &amp; HV augex'!$D$28:$J$52,MATCH($B89,'LV &amp; HV augex'!$L$28:$L$52,0),MATCH($C89,'LV &amp; HV augex'!$D$27:$J$27,0)),0)*'Financial inputs'!$D$11</f>
        <v>58171.749897652749</v>
      </c>
      <c r="P89" s="40">
        <f>IFERROR(INDEX('LV &amp; HV augex'!$D$10:$P$18,MATCH($C89,'LV &amp; HV augex'!$C$10:$C$18,0),MATCH(P$19,'LV &amp; HV augex'!$D$9:$P$9,0))*INDEX('LV &amp; HV augex'!$D$28:$J$52,MATCH($B89,'LV &amp; HV augex'!$L$28:$L$52,0),MATCH($C89,'LV &amp; HV augex'!$D$27:$J$27,0)),0)*'Financial inputs'!$D$11</f>
        <v>58171.749897652749</v>
      </c>
    </row>
    <row r="90" spans="2:16" ht="15.5">
      <c r="B90" s="2" t="str">
        <f t="shared" si="5"/>
        <v>St George</v>
      </c>
      <c r="C90" s="35" t="str" cm="1">
        <f t="array" ref="C90">INDEX(augex_categories,COUNTIFS($B$20:$B90,$B$20))</f>
        <v>LV Distributor Capacity</v>
      </c>
      <c r="D90" s="35" t="str">
        <f>IF(COUNTIF('LV &amp; HV augex'!$C$10:$C$13,C90), "LV", IF(COUNTIF('LV &amp; HV augex'!$C$15:$C$17, C90), "HV", "Error"))</f>
        <v>LV</v>
      </c>
      <c r="E90" s="35" t="str">
        <f>INDEX('Growing &amp; falling'!$D$14:$D$39,MATCH($B90,'Growing &amp; falling'!$B$14:$B$39,0))</f>
        <v>Decline</v>
      </c>
      <c r="F90" s="35" t="str">
        <f t="shared" si="6"/>
        <v>$2024 real</v>
      </c>
      <c r="G90" s="40">
        <f>IFERROR(INDEX('LV &amp; HV augex'!$D$10:$P$18,MATCH($C90,'LV &amp; HV augex'!$C$10:$C$18,0),MATCH(G$19,'LV &amp; HV augex'!$D$9:$P$9,0))*INDEX('LV &amp; HV augex'!$D$28:$J$52,MATCH($B90,'LV &amp; HV augex'!$L$28:$L$52,0),MATCH($C90,'LV &amp; HV augex'!$D$27:$J$27,0)),0)*'Financial inputs'!$D$11</f>
        <v>200065.51508004373</v>
      </c>
      <c r="H90" s="40">
        <f>IFERROR(INDEX('LV &amp; HV augex'!$D$10:$P$18,MATCH($C90,'LV &amp; HV augex'!$C$10:$C$18,0),MATCH(H$19,'LV &amp; HV augex'!$D$9:$P$9,0))*INDEX('LV &amp; HV augex'!$D$28:$J$52,MATCH($B90,'LV &amp; HV augex'!$L$28:$L$52,0),MATCH($C90,'LV &amp; HV augex'!$D$27:$J$27,0)),0)*'Financial inputs'!$D$11</f>
        <v>200065.51508004373</v>
      </c>
      <c r="I90" s="40">
        <f>IFERROR(INDEX('LV &amp; HV augex'!$D$10:$P$18,MATCH($C90,'LV &amp; HV augex'!$C$10:$C$18,0),MATCH(I$19,'LV &amp; HV augex'!$D$9:$P$9,0))*INDEX('LV &amp; HV augex'!$D$28:$J$52,MATCH($B90,'LV &amp; HV augex'!$L$28:$L$52,0),MATCH($C90,'LV &amp; HV augex'!$D$27:$J$27,0)),0)*'Financial inputs'!$D$11</f>
        <v>200065.51508004373</v>
      </c>
      <c r="J90" s="40">
        <f>IFERROR(INDEX('LV &amp; HV augex'!$D$10:$P$18,MATCH($C90,'LV &amp; HV augex'!$C$10:$C$18,0),MATCH(J$19,'LV &amp; HV augex'!$D$9:$P$9,0))*INDEX('LV &amp; HV augex'!$D$28:$J$52,MATCH($B90,'LV &amp; HV augex'!$L$28:$L$52,0),MATCH($C90,'LV &amp; HV augex'!$D$27:$J$27,0)),0)*'Financial inputs'!$D$11</f>
        <v>200065.51508004373</v>
      </c>
      <c r="K90" s="40">
        <f>IFERROR(INDEX('LV &amp; HV augex'!$D$10:$P$18,MATCH($C90,'LV &amp; HV augex'!$C$10:$C$18,0),MATCH(K$19,'LV &amp; HV augex'!$D$9:$P$9,0))*INDEX('LV &amp; HV augex'!$D$28:$J$52,MATCH($B90,'LV &amp; HV augex'!$L$28:$L$52,0),MATCH($C90,'LV &amp; HV augex'!$D$27:$J$27,0)),0)*'Financial inputs'!$D$11</f>
        <v>200065.51508004373</v>
      </c>
      <c r="L90" s="40">
        <f>IFERROR(INDEX('LV &amp; HV augex'!$D$10:$P$18,MATCH($C90,'LV &amp; HV augex'!$C$10:$C$18,0),MATCH(L$19,'LV &amp; HV augex'!$D$9:$P$9,0))*INDEX('LV &amp; HV augex'!$D$28:$J$52,MATCH($B90,'LV &amp; HV augex'!$L$28:$L$52,0),MATCH($C90,'LV &amp; HV augex'!$D$27:$J$27,0)),0)*'Financial inputs'!$D$11</f>
        <v>200065.51508004373</v>
      </c>
      <c r="M90" s="40">
        <f>IFERROR(INDEX('LV &amp; HV augex'!$D$10:$P$18,MATCH($C90,'LV &amp; HV augex'!$C$10:$C$18,0),MATCH(M$19,'LV &amp; HV augex'!$D$9:$P$9,0))*INDEX('LV &amp; HV augex'!$D$28:$J$52,MATCH($B90,'LV &amp; HV augex'!$L$28:$L$52,0),MATCH($C90,'LV &amp; HV augex'!$D$27:$J$27,0)),0)*'Financial inputs'!$D$11</f>
        <v>200065.51508004373</v>
      </c>
      <c r="N90" s="40">
        <f>IFERROR(INDEX('LV &amp; HV augex'!$D$10:$P$18,MATCH($C90,'LV &amp; HV augex'!$C$10:$C$18,0),MATCH(N$19,'LV &amp; HV augex'!$D$9:$P$9,0))*INDEX('LV &amp; HV augex'!$D$28:$J$52,MATCH($B90,'LV &amp; HV augex'!$L$28:$L$52,0),MATCH($C90,'LV &amp; HV augex'!$D$27:$J$27,0)),0)*'Financial inputs'!$D$11</f>
        <v>200065.51508004373</v>
      </c>
      <c r="O90" s="40">
        <f>IFERROR(INDEX('LV &amp; HV augex'!$D$10:$P$18,MATCH($C90,'LV &amp; HV augex'!$C$10:$C$18,0),MATCH(O$19,'LV &amp; HV augex'!$D$9:$P$9,0))*INDEX('LV &amp; HV augex'!$D$28:$J$52,MATCH($B90,'LV &amp; HV augex'!$L$28:$L$52,0),MATCH($C90,'LV &amp; HV augex'!$D$27:$J$27,0)),0)*'Financial inputs'!$D$11</f>
        <v>200065.51508004373</v>
      </c>
      <c r="P90" s="40">
        <f>IFERROR(INDEX('LV &amp; HV augex'!$D$10:$P$18,MATCH($C90,'LV &amp; HV augex'!$C$10:$C$18,0),MATCH(P$19,'LV &amp; HV augex'!$D$9:$P$9,0))*INDEX('LV &amp; HV augex'!$D$28:$J$52,MATCH($B90,'LV &amp; HV augex'!$L$28:$L$52,0),MATCH($C90,'LV &amp; HV augex'!$D$27:$J$27,0)),0)*'Financial inputs'!$D$11</f>
        <v>200065.51508004373</v>
      </c>
    </row>
    <row r="91" spans="2:16" ht="15.5">
      <c r="B91" s="2" t="str">
        <f t="shared" si="5"/>
        <v>Sutherland</v>
      </c>
      <c r="C91" s="35" t="str" cm="1">
        <f t="array" ref="C91">INDEX(augex_categories,COUNTIFS($B$20:$B91,$B$20))</f>
        <v>LV Distributor Capacity</v>
      </c>
      <c r="D91" s="35" t="str">
        <f>IF(COUNTIF('LV &amp; HV augex'!$C$10:$C$13,C91), "LV", IF(COUNTIF('LV &amp; HV augex'!$C$15:$C$17, C91), "HV", "Error"))</f>
        <v>LV</v>
      </c>
      <c r="E91" s="35" t="str">
        <f>INDEX('Growing &amp; falling'!$D$14:$D$39,MATCH($B91,'Growing &amp; falling'!$B$14:$B$39,0))</f>
        <v>Decline</v>
      </c>
      <c r="F91" s="35" t="str">
        <f t="shared" si="6"/>
        <v>$2024 real</v>
      </c>
      <c r="G91" s="40">
        <f>IFERROR(INDEX('LV &amp; HV augex'!$D$10:$P$18,MATCH($C91,'LV &amp; HV augex'!$C$10:$C$18,0),MATCH(G$19,'LV &amp; HV augex'!$D$9:$P$9,0))*INDEX('LV &amp; HV augex'!$D$28:$J$52,MATCH($B91,'LV &amp; HV augex'!$L$28:$L$52,0),MATCH($C91,'LV &amp; HV augex'!$D$27:$J$27,0)),0)*'Financial inputs'!$D$11</f>
        <v>236611.44055133977</v>
      </c>
      <c r="H91" s="40">
        <f>IFERROR(INDEX('LV &amp; HV augex'!$D$10:$P$18,MATCH($C91,'LV &amp; HV augex'!$C$10:$C$18,0),MATCH(H$19,'LV &amp; HV augex'!$D$9:$P$9,0))*INDEX('LV &amp; HV augex'!$D$28:$J$52,MATCH($B91,'LV &amp; HV augex'!$L$28:$L$52,0),MATCH($C91,'LV &amp; HV augex'!$D$27:$J$27,0)),0)*'Financial inputs'!$D$11</f>
        <v>236611.44055133977</v>
      </c>
      <c r="I91" s="40">
        <f>IFERROR(INDEX('LV &amp; HV augex'!$D$10:$P$18,MATCH($C91,'LV &amp; HV augex'!$C$10:$C$18,0),MATCH(I$19,'LV &amp; HV augex'!$D$9:$P$9,0))*INDEX('LV &amp; HV augex'!$D$28:$J$52,MATCH($B91,'LV &amp; HV augex'!$L$28:$L$52,0),MATCH($C91,'LV &amp; HV augex'!$D$27:$J$27,0)),0)*'Financial inputs'!$D$11</f>
        <v>236611.44055133977</v>
      </c>
      <c r="J91" s="40">
        <f>IFERROR(INDEX('LV &amp; HV augex'!$D$10:$P$18,MATCH($C91,'LV &amp; HV augex'!$C$10:$C$18,0),MATCH(J$19,'LV &amp; HV augex'!$D$9:$P$9,0))*INDEX('LV &amp; HV augex'!$D$28:$J$52,MATCH($B91,'LV &amp; HV augex'!$L$28:$L$52,0),MATCH($C91,'LV &amp; HV augex'!$D$27:$J$27,0)),0)*'Financial inputs'!$D$11</f>
        <v>236611.44055133977</v>
      </c>
      <c r="K91" s="40">
        <f>IFERROR(INDEX('LV &amp; HV augex'!$D$10:$P$18,MATCH($C91,'LV &amp; HV augex'!$C$10:$C$18,0),MATCH(K$19,'LV &amp; HV augex'!$D$9:$P$9,0))*INDEX('LV &amp; HV augex'!$D$28:$J$52,MATCH($B91,'LV &amp; HV augex'!$L$28:$L$52,0),MATCH($C91,'LV &amp; HV augex'!$D$27:$J$27,0)),0)*'Financial inputs'!$D$11</f>
        <v>236611.44055133977</v>
      </c>
      <c r="L91" s="40">
        <f>IFERROR(INDEX('LV &amp; HV augex'!$D$10:$P$18,MATCH($C91,'LV &amp; HV augex'!$C$10:$C$18,0),MATCH(L$19,'LV &amp; HV augex'!$D$9:$P$9,0))*INDEX('LV &amp; HV augex'!$D$28:$J$52,MATCH($B91,'LV &amp; HV augex'!$L$28:$L$52,0),MATCH($C91,'LV &amp; HV augex'!$D$27:$J$27,0)),0)*'Financial inputs'!$D$11</f>
        <v>236611.44055133977</v>
      </c>
      <c r="M91" s="40">
        <f>IFERROR(INDEX('LV &amp; HV augex'!$D$10:$P$18,MATCH($C91,'LV &amp; HV augex'!$C$10:$C$18,0),MATCH(M$19,'LV &amp; HV augex'!$D$9:$P$9,0))*INDEX('LV &amp; HV augex'!$D$28:$J$52,MATCH($B91,'LV &amp; HV augex'!$L$28:$L$52,0),MATCH($C91,'LV &amp; HV augex'!$D$27:$J$27,0)),0)*'Financial inputs'!$D$11</f>
        <v>236611.44055133977</v>
      </c>
      <c r="N91" s="40">
        <f>IFERROR(INDEX('LV &amp; HV augex'!$D$10:$P$18,MATCH($C91,'LV &amp; HV augex'!$C$10:$C$18,0),MATCH(N$19,'LV &amp; HV augex'!$D$9:$P$9,0))*INDEX('LV &amp; HV augex'!$D$28:$J$52,MATCH($B91,'LV &amp; HV augex'!$L$28:$L$52,0),MATCH($C91,'LV &amp; HV augex'!$D$27:$J$27,0)),0)*'Financial inputs'!$D$11</f>
        <v>236611.44055133977</v>
      </c>
      <c r="O91" s="40">
        <f>IFERROR(INDEX('LV &amp; HV augex'!$D$10:$P$18,MATCH($C91,'LV &amp; HV augex'!$C$10:$C$18,0),MATCH(O$19,'LV &amp; HV augex'!$D$9:$P$9,0))*INDEX('LV &amp; HV augex'!$D$28:$J$52,MATCH($B91,'LV &amp; HV augex'!$L$28:$L$52,0),MATCH($C91,'LV &amp; HV augex'!$D$27:$J$27,0)),0)*'Financial inputs'!$D$11</f>
        <v>236611.44055133977</v>
      </c>
      <c r="P91" s="40">
        <f>IFERROR(INDEX('LV &amp; HV augex'!$D$10:$P$18,MATCH($C91,'LV &amp; HV augex'!$C$10:$C$18,0),MATCH(P$19,'LV &amp; HV augex'!$D$9:$P$9,0))*INDEX('LV &amp; HV augex'!$D$28:$J$52,MATCH($B91,'LV &amp; HV augex'!$L$28:$L$52,0),MATCH($C91,'LV &amp; HV augex'!$D$27:$J$27,0)),0)*'Financial inputs'!$D$11</f>
        <v>236611.44055133977</v>
      </c>
    </row>
    <row r="92" spans="2:16" ht="15.5">
      <c r="B92" s="2" t="str">
        <f t="shared" si="5"/>
        <v>Sydney CBD</v>
      </c>
      <c r="C92" s="35" t="str" cm="1">
        <f t="array" ref="C92">INDEX(augex_categories,COUNTIFS($B$20:$B92,$B$20))</f>
        <v>LV Distributor Capacity</v>
      </c>
      <c r="D92" s="35" t="str">
        <f>IF(COUNTIF('LV &amp; HV augex'!$C$10:$C$13,C92), "LV", IF(COUNTIF('LV &amp; HV augex'!$C$15:$C$17, C92), "HV", "Error"))</f>
        <v>LV</v>
      </c>
      <c r="E92" s="35" t="str">
        <f>INDEX('Growing &amp; falling'!$D$14:$D$39,MATCH($B92,'Growing &amp; falling'!$B$14:$B$39,0))</f>
        <v>Growth</v>
      </c>
      <c r="F92" s="35" t="str">
        <f t="shared" si="6"/>
        <v>$2024 real</v>
      </c>
      <c r="G92" s="40">
        <f>IFERROR(INDEX('LV &amp; HV augex'!$D$10:$P$18,MATCH($C92,'LV &amp; HV augex'!$C$10:$C$18,0),MATCH(G$19,'LV &amp; HV augex'!$D$9:$P$9,0))*INDEX('LV &amp; HV augex'!$D$28:$J$52,MATCH($B92,'LV &amp; HV augex'!$L$28:$L$52,0),MATCH($C92,'LV &amp; HV augex'!$D$27:$J$27,0)),0)*'Financial inputs'!$D$11</f>
        <v>142903.93934288839</v>
      </c>
      <c r="H92" s="40">
        <f>IFERROR(INDEX('LV &amp; HV augex'!$D$10:$P$18,MATCH($C92,'LV &amp; HV augex'!$C$10:$C$18,0),MATCH(H$19,'LV &amp; HV augex'!$D$9:$P$9,0))*INDEX('LV &amp; HV augex'!$D$28:$J$52,MATCH($B92,'LV &amp; HV augex'!$L$28:$L$52,0),MATCH($C92,'LV &amp; HV augex'!$D$27:$J$27,0)),0)*'Financial inputs'!$D$11</f>
        <v>142903.93934288839</v>
      </c>
      <c r="I92" s="40">
        <f>IFERROR(INDEX('LV &amp; HV augex'!$D$10:$P$18,MATCH($C92,'LV &amp; HV augex'!$C$10:$C$18,0),MATCH(I$19,'LV &amp; HV augex'!$D$9:$P$9,0))*INDEX('LV &amp; HV augex'!$D$28:$J$52,MATCH($B92,'LV &amp; HV augex'!$L$28:$L$52,0),MATCH($C92,'LV &amp; HV augex'!$D$27:$J$27,0)),0)*'Financial inputs'!$D$11</f>
        <v>142903.93934288839</v>
      </c>
      <c r="J92" s="40">
        <f>IFERROR(INDEX('LV &amp; HV augex'!$D$10:$P$18,MATCH($C92,'LV &amp; HV augex'!$C$10:$C$18,0),MATCH(J$19,'LV &amp; HV augex'!$D$9:$P$9,0))*INDEX('LV &amp; HV augex'!$D$28:$J$52,MATCH($B92,'LV &amp; HV augex'!$L$28:$L$52,0),MATCH($C92,'LV &amp; HV augex'!$D$27:$J$27,0)),0)*'Financial inputs'!$D$11</f>
        <v>142903.93934288839</v>
      </c>
      <c r="K92" s="40">
        <f>IFERROR(INDEX('LV &amp; HV augex'!$D$10:$P$18,MATCH($C92,'LV &amp; HV augex'!$C$10:$C$18,0),MATCH(K$19,'LV &amp; HV augex'!$D$9:$P$9,0))*INDEX('LV &amp; HV augex'!$D$28:$J$52,MATCH($B92,'LV &amp; HV augex'!$L$28:$L$52,0),MATCH($C92,'LV &amp; HV augex'!$D$27:$J$27,0)),0)*'Financial inputs'!$D$11</f>
        <v>142903.93934288839</v>
      </c>
      <c r="L92" s="40">
        <f>IFERROR(INDEX('LV &amp; HV augex'!$D$10:$P$18,MATCH($C92,'LV &amp; HV augex'!$C$10:$C$18,0),MATCH(L$19,'LV &amp; HV augex'!$D$9:$P$9,0))*INDEX('LV &amp; HV augex'!$D$28:$J$52,MATCH($B92,'LV &amp; HV augex'!$L$28:$L$52,0),MATCH($C92,'LV &amp; HV augex'!$D$27:$J$27,0)),0)*'Financial inputs'!$D$11</f>
        <v>142903.93934288839</v>
      </c>
      <c r="M92" s="40">
        <f>IFERROR(INDEX('LV &amp; HV augex'!$D$10:$P$18,MATCH($C92,'LV &amp; HV augex'!$C$10:$C$18,0),MATCH(M$19,'LV &amp; HV augex'!$D$9:$P$9,0))*INDEX('LV &amp; HV augex'!$D$28:$J$52,MATCH($B92,'LV &amp; HV augex'!$L$28:$L$52,0),MATCH($C92,'LV &amp; HV augex'!$D$27:$J$27,0)),0)*'Financial inputs'!$D$11</f>
        <v>142903.93934288839</v>
      </c>
      <c r="N92" s="40">
        <f>IFERROR(INDEX('LV &amp; HV augex'!$D$10:$P$18,MATCH($C92,'LV &amp; HV augex'!$C$10:$C$18,0),MATCH(N$19,'LV &amp; HV augex'!$D$9:$P$9,0))*INDEX('LV &amp; HV augex'!$D$28:$J$52,MATCH($B92,'LV &amp; HV augex'!$L$28:$L$52,0),MATCH($C92,'LV &amp; HV augex'!$D$27:$J$27,0)),0)*'Financial inputs'!$D$11</f>
        <v>142903.93934288839</v>
      </c>
      <c r="O92" s="40">
        <f>IFERROR(INDEX('LV &amp; HV augex'!$D$10:$P$18,MATCH($C92,'LV &amp; HV augex'!$C$10:$C$18,0),MATCH(O$19,'LV &amp; HV augex'!$D$9:$P$9,0))*INDEX('LV &amp; HV augex'!$D$28:$J$52,MATCH($B92,'LV &amp; HV augex'!$L$28:$L$52,0),MATCH($C92,'LV &amp; HV augex'!$D$27:$J$27,0)),0)*'Financial inputs'!$D$11</f>
        <v>142903.93934288839</v>
      </c>
      <c r="P92" s="40">
        <f>IFERROR(INDEX('LV &amp; HV augex'!$D$10:$P$18,MATCH($C92,'LV &amp; HV augex'!$C$10:$C$18,0),MATCH(P$19,'LV &amp; HV augex'!$D$9:$P$9,0))*INDEX('LV &amp; HV augex'!$D$28:$J$52,MATCH($B92,'LV &amp; HV augex'!$L$28:$L$52,0),MATCH($C92,'LV &amp; HV augex'!$D$27:$J$27,0)),0)*'Financial inputs'!$D$11</f>
        <v>142903.93934288839</v>
      </c>
    </row>
    <row r="93" spans="2:16" ht="15.5">
      <c r="B93" s="2" t="str">
        <f t="shared" si="5"/>
        <v>Upper Central Coast</v>
      </c>
      <c r="C93" s="35" t="str" cm="1">
        <f t="array" ref="C93">INDEX(augex_categories,COUNTIFS($B$20:$B93,$B$20))</f>
        <v>LV Distributor Capacity</v>
      </c>
      <c r="D93" s="35" t="str">
        <f>IF(COUNTIF('LV &amp; HV augex'!$C$10:$C$13,C93), "LV", IF(COUNTIF('LV &amp; HV augex'!$C$15:$C$17, C93), "HV", "Error"))</f>
        <v>LV</v>
      </c>
      <c r="E93" s="35" t="str">
        <f>INDEX('Growing &amp; falling'!$D$14:$D$39,MATCH($B93,'Growing &amp; falling'!$B$14:$B$39,0))</f>
        <v>Growth</v>
      </c>
      <c r="F93" s="35" t="str">
        <f t="shared" si="6"/>
        <v>$2024 real</v>
      </c>
      <c r="G93" s="40">
        <f>IFERROR(INDEX('LV &amp; HV augex'!$D$10:$P$18,MATCH($C93,'LV &amp; HV augex'!$C$10:$C$18,0),MATCH(G$19,'LV &amp; HV augex'!$D$9:$P$9,0))*INDEX('LV &amp; HV augex'!$D$28:$J$52,MATCH($B93,'LV &amp; HV augex'!$L$28:$L$52,0),MATCH($C93,'LV &amp; HV augex'!$D$27:$J$27,0)),0)*'Financial inputs'!$D$11</f>
        <v>111087.46386805302</v>
      </c>
      <c r="H93" s="40">
        <f>IFERROR(INDEX('LV &amp; HV augex'!$D$10:$P$18,MATCH($C93,'LV &amp; HV augex'!$C$10:$C$18,0),MATCH(H$19,'LV &amp; HV augex'!$D$9:$P$9,0))*INDEX('LV &amp; HV augex'!$D$28:$J$52,MATCH($B93,'LV &amp; HV augex'!$L$28:$L$52,0),MATCH($C93,'LV &amp; HV augex'!$D$27:$J$27,0)),0)*'Financial inputs'!$D$11</f>
        <v>111087.46386805302</v>
      </c>
      <c r="I93" s="40">
        <f>IFERROR(INDEX('LV &amp; HV augex'!$D$10:$P$18,MATCH($C93,'LV &amp; HV augex'!$C$10:$C$18,0),MATCH(I$19,'LV &amp; HV augex'!$D$9:$P$9,0))*INDEX('LV &amp; HV augex'!$D$28:$J$52,MATCH($B93,'LV &amp; HV augex'!$L$28:$L$52,0),MATCH($C93,'LV &amp; HV augex'!$D$27:$J$27,0)),0)*'Financial inputs'!$D$11</f>
        <v>111087.46386805302</v>
      </c>
      <c r="J93" s="40">
        <f>IFERROR(INDEX('LV &amp; HV augex'!$D$10:$P$18,MATCH($C93,'LV &amp; HV augex'!$C$10:$C$18,0),MATCH(J$19,'LV &amp; HV augex'!$D$9:$P$9,0))*INDEX('LV &amp; HV augex'!$D$28:$J$52,MATCH($B93,'LV &amp; HV augex'!$L$28:$L$52,0),MATCH($C93,'LV &amp; HV augex'!$D$27:$J$27,0)),0)*'Financial inputs'!$D$11</f>
        <v>111087.46386805302</v>
      </c>
      <c r="K93" s="40">
        <f>IFERROR(INDEX('LV &amp; HV augex'!$D$10:$P$18,MATCH($C93,'LV &amp; HV augex'!$C$10:$C$18,0),MATCH(K$19,'LV &amp; HV augex'!$D$9:$P$9,0))*INDEX('LV &amp; HV augex'!$D$28:$J$52,MATCH($B93,'LV &amp; HV augex'!$L$28:$L$52,0),MATCH($C93,'LV &amp; HV augex'!$D$27:$J$27,0)),0)*'Financial inputs'!$D$11</f>
        <v>111087.46386805302</v>
      </c>
      <c r="L93" s="40">
        <f>IFERROR(INDEX('LV &amp; HV augex'!$D$10:$P$18,MATCH($C93,'LV &amp; HV augex'!$C$10:$C$18,0),MATCH(L$19,'LV &amp; HV augex'!$D$9:$P$9,0))*INDEX('LV &amp; HV augex'!$D$28:$J$52,MATCH($B93,'LV &amp; HV augex'!$L$28:$L$52,0),MATCH($C93,'LV &amp; HV augex'!$D$27:$J$27,0)),0)*'Financial inputs'!$D$11</f>
        <v>111087.46386805302</v>
      </c>
      <c r="M93" s="40">
        <f>IFERROR(INDEX('LV &amp; HV augex'!$D$10:$P$18,MATCH($C93,'LV &amp; HV augex'!$C$10:$C$18,0),MATCH(M$19,'LV &amp; HV augex'!$D$9:$P$9,0))*INDEX('LV &amp; HV augex'!$D$28:$J$52,MATCH($B93,'LV &amp; HV augex'!$L$28:$L$52,0),MATCH($C93,'LV &amp; HV augex'!$D$27:$J$27,0)),0)*'Financial inputs'!$D$11</f>
        <v>111087.46386805302</v>
      </c>
      <c r="N93" s="40">
        <f>IFERROR(INDEX('LV &amp; HV augex'!$D$10:$P$18,MATCH($C93,'LV &amp; HV augex'!$C$10:$C$18,0),MATCH(N$19,'LV &amp; HV augex'!$D$9:$P$9,0))*INDEX('LV &amp; HV augex'!$D$28:$J$52,MATCH($B93,'LV &amp; HV augex'!$L$28:$L$52,0),MATCH($C93,'LV &amp; HV augex'!$D$27:$J$27,0)),0)*'Financial inputs'!$D$11</f>
        <v>111087.46386805302</v>
      </c>
      <c r="O93" s="40">
        <f>IFERROR(INDEX('LV &amp; HV augex'!$D$10:$P$18,MATCH($C93,'LV &amp; HV augex'!$C$10:$C$18,0),MATCH(O$19,'LV &amp; HV augex'!$D$9:$P$9,0))*INDEX('LV &amp; HV augex'!$D$28:$J$52,MATCH($B93,'LV &amp; HV augex'!$L$28:$L$52,0),MATCH($C93,'LV &amp; HV augex'!$D$27:$J$27,0)),0)*'Financial inputs'!$D$11</f>
        <v>111087.46386805302</v>
      </c>
      <c r="P93" s="40">
        <f>IFERROR(INDEX('LV &amp; HV augex'!$D$10:$P$18,MATCH($C93,'LV &amp; HV augex'!$C$10:$C$18,0),MATCH(P$19,'LV &amp; HV augex'!$D$9:$P$9,0))*INDEX('LV &amp; HV augex'!$D$28:$J$52,MATCH($B93,'LV &amp; HV augex'!$L$28:$L$52,0),MATCH($C93,'LV &amp; HV augex'!$D$27:$J$27,0)),0)*'Financial inputs'!$D$11</f>
        <v>111087.46386805302</v>
      </c>
    </row>
    <row r="94" spans="2:16" ht="15.5">
      <c r="B94" s="2" t="str">
        <f t="shared" si="5"/>
        <v>Upper Hunter</v>
      </c>
      <c r="C94" s="35" t="str" cm="1">
        <f t="array" ref="C94">INDEX(augex_categories,COUNTIFS($B$20:$B94,$B$20))</f>
        <v>LV Distributor Capacity</v>
      </c>
      <c r="D94" s="35" t="str">
        <f>IF(COUNTIF('LV &amp; HV augex'!$C$10:$C$13,C94), "LV", IF(COUNTIF('LV &amp; HV augex'!$C$15:$C$17, C94), "HV", "Error"))</f>
        <v>LV</v>
      </c>
      <c r="E94" s="35" t="str">
        <f>INDEX('Growing &amp; falling'!$D$14:$D$39,MATCH($B94,'Growing &amp; falling'!$B$14:$B$39,0))</f>
        <v>Decline</v>
      </c>
      <c r="F94" s="35" t="str">
        <f t="shared" si="6"/>
        <v>$2024 real</v>
      </c>
      <c r="G94" s="40">
        <f>IFERROR(INDEX('LV &amp; HV augex'!$D$10:$P$18,MATCH($C94,'LV &amp; HV augex'!$C$10:$C$18,0),MATCH(G$19,'LV &amp; HV augex'!$D$9:$P$9,0))*INDEX('LV &amp; HV augex'!$D$28:$J$52,MATCH($B94,'LV &amp; HV augex'!$L$28:$L$52,0),MATCH($C94,'LV &amp; HV augex'!$D$27:$J$27,0)),0)*'Financial inputs'!$D$11</f>
        <v>45552.481401336547</v>
      </c>
      <c r="H94" s="40">
        <f>IFERROR(INDEX('LV &amp; HV augex'!$D$10:$P$18,MATCH($C94,'LV &amp; HV augex'!$C$10:$C$18,0),MATCH(H$19,'LV &amp; HV augex'!$D$9:$P$9,0))*INDEX('LV &amp; HV augex'!$D$28:$J$52,MATCH($B94,'LV &amp; HV augex'!$L$28:$L$52,0),MATCH($C94,'LV &amp; HV augex'!$D$27:$J$27,0)),0)*'Financial inputs'!$D$11</f>
        <v>45552.481401336547</v>
      </c>
      <c r="I94" s="40">
        <f>IFERROR(INDEX('LV &amp; HV augex'!$D$10:$P$18,MATCH($C94,'LV &amp; HV augex'!$C$10:$C$18,0),MATCH(I$19,'LV &amp; HV augex'!$D$9:$P$9,0))*INDEX('LV &amp; HV augex'!$D$28:$J$52,MATCH($B94,'LV &amp; HV augex'!$L$28:$L$52,0),MATCH($C94,'LV &amp; HV augex'!$D$27:$J$27,0)),0)*'Financial inputs'!$D$11</f>
        <v>45552.481401336547</v>
      </c>
      <c r="J94" s="40">
        <f>IFERROR(INDEX('LV &amp; HV augex'!$D$10:$P$18,MATCH($C94,'LV &amp; HV augex'!$C$10:$C$18,0),MATCH(J$19,'LV &amp; HV augex'!$D$9:$P$9,0))*INDEX('LV &amp; HV augex'!$D$28:$J$52,MATCH($B94,'LV &amp; HV augex'!$L$28:$L$52,0),MATCH($C94,'LV &amp; HV augex'!$D$27:$J$27,0)),0)*'Financial inputs'!$D$11</f>
        <v>45552.481401336547</v>
      </c>
      <c r="K94" s="40">
        <f>IFERROR(INDEX('LV &amp; HV augex'!$D$10:$P$18,MATCH($C94,'LV &amp; HV augex'!$C$10:$C$18,0),MATCH(K$19,'LV &amp; HV augex'!$D$9:$P$9,0))*INDEX('LV &amp; HV augex'!$D$28:$J$52,MATCH($B94,'LV &amp; HV augex'!$L$28:$L$52,0),MATCH($C94,'LV &amp; HV augex'!$D$27:$J$27,0)),0)*'Financial inputs'!$D$11</f>
        <v>45552.481401336547</v>
      </c>
      <c r="L94" s="40">
        <f>IFERROR(INDEX('LV &amp; HV augex'!$D$10:$P$18,MATCH($C94,'LV &amp; HV augex'!$C$10:$C$18,0),MATCH(L$19,'LV &amp; HV augex'!$D$9:$P$9,0))*INDEX('LV &amp; HV augex'!$D$28:$J$52,MATCH($B94,'LV &amp; HV augex'!$L$28:$L$52,0),MATCH($C94,'LV &amp; HV augex'!$D$27:$J$27,0)),0)*'Financial inputs'!$D$11</f>
        <v>45552.481401336547</v>
      </c>
      <c r="M94" s="40">
        <f>IFERROR(INDEX('LV &amp; HV augex'!$D$10:$P$18,MATCH($C94,'LV &amp; HV augex'!$C$10:$C$18,0),MATCH(M$19,'LV &amp; HV augex'!$D$9:$P$9,0))*INDEX('LV &amp; HV augex'!$D$28:$J$52,MATCH($B94,'LV &amp; HV augex'!$L$28:$L$52,0),MATCH($C94,'LV &amp; HV augex'!$D$27:$J$27,0)),0)*'Financial inputs'!$D$11</f>
        <v>45552.481401336547</v>
      </c>
      <c r="N94" s="40">
        <f>IFERROR(INDEX('LV &amp; HV augex'!$D$10:$P$18,MATCH($C94,'LV &amp; HV augex'!$C$10:$C$18,0),MATCH(N$19,'LV &amp; HV augex'!$D$9:$P$9,0))*INDEX('LV &amp; HV augex'!$D$28:$J$52,MATCH($B94,'LV &amp; HV augex'!$L$28:$L$52,0),MATCH($C94,'LV &amp; HV augex'!$D$27:$J$27,0)),0)*'Financial inputs'!$D$11</f>
        <v>45552.481401336547</v>
      </c>
      <c r="O94" s="40">
        <f>IFERROR(INDEX('LV &amp; HV augex'!$D$10:$P$18,MATCH($C94,'LV &amp; HV augex'!$C$10:$C$18,0),MATCH(O$19,'LV &amp; HV augex'!$D$9:$P$9,0))*INDEX('LV &amp; HV augex'!$D$28:$J$52,MATCH($B94,'LV &amp; HV augex'!$L$28:$L$52,0),MATCH($C94,'LV &amp; HV augex'!$D$27:$J$27,0)),0)*'Financial inputs'!$D$11</f>
        <v>45552.481401336547</v>
      </c>
      <c r="P94" s="40">
        <f>IFERROR(INDEX('LV &amp; HV augex'!$D$10:$P$18,MATCH($C94,'LV &amp; HV augex'!$C$10:$C$18,0),MATCH(P$19,'LV &amp; HV augex'!$D$9:$P$9,0))*INDEX('LV &amp; HV augex'!$D$28:$J$52,MATCH($B94,'LV &amp; HV augex'!$L$28:$L$52,0),MATCH($C94,'LV &amp; HV augex'!$D$27:$J$27,0)),0)*'Financial inputs'!$D$11</f>
        <v>45552.481401336547</v>
      </c>
    </row>
    <row r="95" spans="2:16" ht="15.5">
      <c r="B95" s="2" t="str">
        <f t="shared" si="5"/>
        <v>Upper North Shore</v>
      </c>
      <c r="C95" s="35" t="str" cm="1">
        <f t="array" ref="C95">INDEX(augex_categories,COUNTIFS($B$20:$B95,$B$20))</f>
        <v>LV Distributor Capacity</v>
      </c>
      <c r="D95" s="35" t="str">
        <f>IF(COUNTIF('LV &amp; HV augex'!$C$10:$C$13,C95), "LV", IF(COUNTIF('LV &amp; HV augex'!$C$15:$C$17, C95), "HV", "Error"))</f>
        <v>LV</v>
      </c>
      <c r="E95" s="35" t="str">
        <f>INDEX('Growing &amp; falling'!$D$14:$D$39,MATCH($B95,'Growing &amp; falling'!$B$14:$B$39,0))</f>
        <v>Decline</v>
      </c>
      <c r="F95" s="35" t="str">
        <f t="shared" si="6"/>
        <v>$2024 real</v>
      </c>
      <c r="G95" s="40">
        <f>IFERROR(INDEX('LV &amp; HV augex'!$D$10:$P$18,MATCH($C95,'LV &amp; HV augex'!$C$10:$C$18,0),MATCH(G$19,'LV &amp; HV augex'!$D$9:$P$9,0))*INDEX('LV &amp; HV augex'!$D$28:$J$52,MATCH($B95,'LV &amp; HV augex'!$L$28:$L$52,0),MATCH($C95,'LV &amp; HV augex'!$D$27:$J$27,0)),0)*'Financial inputs'!$D$11</f>
        <v>159965.94796999634</v>
      </c>
      <c r="H95" s="40">
        <f>IFERROR(INDEX('LV &amp; HV augex'!$D$10:$P$18,MATCH($C95,'LV &amp; HV augex'!$C$10:$C$18,0),MATCH(H$19,'LV &amp; HV augex'!$D$9:$P$9,0))*INDEX('LV &amp; HV augex'!$D$28:$J$52,MATCH($B95,'LV &amp; HV augex'!$L$28:$L$52,0),MATCH($C95,'LV &amp; HV augex'!$D$27:$J$27,0)),0)*'Financial inputs'!$D$11</f>
        <v>159965.94796999634</v>
      </c>
      <c r="I95" s="40">
        <f>IFERROR(INDEX('LV &amp; HV augex'!$D$10:$P$18,MATCH($C95,'LV &amp; HV augex'!$C$10:$C$18,0),MATCH(I$19,'LV &amp; HV augex'!$D$9:$P$9,0))*INDEX('LV &amp; HV augex'!$D$28:$J$52,MATCH($B95,'LV &amp; HV augex'!$L$28:$L$52,0),MATCH($C95,'LV &amp; HV augex'!$D$27:$J$27,0)),0)*'Financial inputs'!$D$11</f>
        <v>159965.94796999634</v>
      </c>
      <c r="J95" s="40">
        <f>IFERROR(INDEX('LV &amp; HV augex'!$D$10:$P$18,MATCH($C95,'LV &amp; HV augex'!$C$10:$C$18,0),MATCH(J$19,'LV &amp; HV augex'!$D$9:$P$9,0))*INDEX('LV &amp; HV augex'!$D$28:$J$52,MATCH($B95,'LV &amp; HV augex'!$L$28:$L$52,0),MATCH($C95,'LV &amp; HV augex'!$D$27:$J$27,0)),0)*'Financial inputs'!$D$11</f>
        <v>159965.94796999634</v>
      </c>
      <c r="K95" s="40">
        <f>IFERROR(INDEX('LV &amp; HV augex'!$D$10:$P$18,MATCH($C95,'LV &amp; HV augex'!$C$10:$C$18,0),MATCH(K$19,'LV &amp; HV augex'!$D$9:$P$9,0))*INDEX('LV &amp; HV augex'!$D$28:$J$52,MATCH($B95,'LV &amp; HV augex'!$L$28:$L$52,0),MATCH($C95,'LV &amp; HV augex'!$D$27:$J$27,0)),0)*'Financial inputs'!$D$11</f>
        <v>159965.94796999634</v>
      </c>
      <c r="L95" s="40">
        <f>IFERROR(INDEX('LV &amp; HV augex'!$D$10:$P$18,MATCH($C95,'LV &amp; HV augex'!$C$10:$C$18,0),MATCH(L$19,'LV &amp; HV augex'!$D$9:$P$9,0))*INDEX('LV &amp; HV augex'!$D$28:$J$52,MATCH($B95,'LV &amp; HV augex'!$L$28:$L$52,0),MATCH($C95,'LV &amp; HV augex'!$D$27:$J$27,0)),0)*'Financial inputs'!$D$11</f>
        <v>159965.94796999634</v>
      </c>
      <c r="M95" s="40">
        <f>IFERROR(INDEX('LV &amp; HV augex'!$D$10:$P$18,MATCH($C95,'LV &amp; HV augex'!$C$10:$C$18,0),MATCH(M$19,'LV &amp; HV augex'!$D$9:$P$9,0))*INDEX('LV &amp; HV augex'!$D$28:$J$52,MATCH($B95,'LV &amp; HV augex'!$L$28:$L$52,0),MATCH($C95,'LV &amp; HV augex'!$D$27:$J$27,0)),0)*'Financial inputs'!$D$11</f>
        <v>159965.94796999634</v>
      </c>
      <c r="N95" s="40">
        <f>IFERROR(INDEX('LV &amp; HV augex'!$D$10:$P$18,MATCH($C95,'LV &amp; HV augex'!$C$10:$C$18,0),MATCH(N$19,'LV &amp; HV augex'!$D$9:$P$9,0))*INDEX('LV &amp; HV augex'!$D$28:$J$52,MATCH($B95,'LV &amp; HV augex'!$L$28:$L$52,0),MATCH($C95,'LV &amp; HV augex'!$D$27:$J$27,0)),0)*'Financial inputs'!$D$11</f>
        <v>159965.94796999634</v>
      </c>
      <c r="O95" s="40">
        <f>IFERROR(INDEX('LV &amp; HV augex'!$D$10:$P$18,MATCH($C95,'LV &amp; HV augex'!$C$10:$C$18,0),MATCH(O$19,'LV &amp; HV augex'!$D$9:$P$9,0))*INDEX('LV &amp; HV augex'!$D$28:$J$52,MATCH($B95,'LV &amp; HV augex'!$L$28:$L$52,0),MATCH($C95,'LV &amp; HV augex'!$D$27:$J$27,0)),0)*'Financial inputs'!$D$11</f>
        <v>159965.94796999634</v>
      </c>
      <c r="P95" s="40">
        <f>IFERROR(INDEX('LV &amp; HV augex'!$D$10:$P$18,MATCH($C95,'LV &amp; HV augex'!$C$10:$C$18,0),MATCH(P$19,'LV &amp; HV augex'!$D$9:$P$9,0))*INDEX('LV &amp; HV augex'!$D$28:$J$52,MATCH($B95,'LV &amp; HV augex'!$L$28:$L$52,0),MATCH($C95,'LV &amp; HV augex'!$D$27:$J$27,0)),0)*'Financial inputs'!$D$11</f>
        <v>159965.94796999634</v>
      </c>
    </row>
    <row r="96" spans="2:16" ht="15.5">
      <c r="B96" s="2" t="str">
        <f t="shared" si="5"/>
        <v>West Lake Macquarie</v>
      </c>
      <c r="C96" s="35" t="str" cm="1">
        <f t="array" ref="C96">INDEX(augex_categories,COUNTIFS($B$20:$B96,$B$20))</f>
        <v>LV Distributor Capacity</v>
      </c>
      <c r="D96" s="35" t="str">
        <f>IF(COUNTIF('LV &amp; HV augex'!$C$10:$C$13,C96), "LV", IF(COUNTIF('LV &amp; HV augex'!$C$15:$C$17, C96), "HV", "Error"))</f>
        <v>LV</v>
      </c>
      <c r="E96" s="35" t="str">
        <f>INDEX('Growing &amp; falling'!$D$14:$D$39,MATCH($B96,'Growing &amp; falling'!$B$14:$B$39,0))</f>
        <v>Decline</v>
      </c>
      <c r="F96" s="35" t="str">
        <f t="shared" si="6"/>
        <v>$2024 real</v>
      </c>
      <c r="G96" s="40">
        <f>IFERROR(INDEX('LV &amp; HV augex'!$D$10:$P$18,MATCH($C96,'LV &amp; HV augex'!$C$10:$C$18,0),MATCH(G$19,'LV &amp; HV augex'!$D$9:$P$9,0))*INDEX('LV &amp; HV augex'!$D$28:$J$52,MATCH($B96,'LV &amp; HV augex'!$L$28:$L$52,0),MATCH($C96,'LV &amp; HV augex'!$D$27:$J$27,0)),0)*'Financial inputs'!$D$11</f>
        <v>117574.64794128758</v>
      </c>
      <c r="H96" s="40">
        <f>IFERROR(INDEX('LV &amp; HV augex'!$D$10:$P$18,MATCH($C96,'LV &amp; HV augex'!$C$10:$C$18,0),MATCH(H$19,'LV &amp; HV augex'!$D$9:$P$9,0))*INDEX('LV &amp; HV augex'!$D$28:$J$52,MATCH($B96,'LV &amp; HV augex'!$L$28:$L$52,0),MATCH($C96,'LV &amp; HV augex'!$D$27:$J$27,0)),0)*'Financial inputs'!$D$11</f>
        <v>117574.64794128758</v>
      </c>
      <c r="I96" s="40">
        <f>IFERROR(INDEX('LV &amp; HV augex'!$D$10:$P$18,MATCH($C96,'LV &amp; HV augex'!$C$10:$C$18,0),MATCH(I$19,'LV &amp; HV augex'!$D$9:$P$9,0))*INDEX('LV &amp; HV augex'!$D$28:$J$52,MATCH($B96,'LV &amp; HV augex'!$L$28:$L$52,0),MATCH($C96,'LV &amp; HV augex'!$D$27:$J$27,0)),0)*'Financial inputs'!$D$11</f>
        <v>117574.64794128758</v>
      </c>
      <c r="J96" s="40">
        <f>IFERROR(INDEX('LV &amp; HV augex'!$D$10:$P$18,MATCH($C96,'LV &amp; HV augex'!$C$10:$C$18,0),MATCH(J$19,'LV &amp; HV augex'!$D$9:$P$9,0))*INDEX('LV &amp; HV augex'!$D$28:$J$52,MATCH($B96,'LV &amp; HV augex'!$L$28:$L$52,0),MATCH($C96,'LV &amp; HV augex'!$D$27:$J$27,0)),0)*'Financial inputs'!$D$11</f>
        <v>117574.64794128758</v>
      </c>
      <c r="K96" s="40">
        <f>IFERROR(INDEX('LV &amp; HV augex'!$D$10:$P$18,MATCH($C96,'LV &amp; HV augex'!$C$10:$C$18,0),MATCH(K$19,'LV &amp; HV augex'!$D$9:$P$9,0))*INDEX('LV &amp; HV augex'!$D$28:$J$52,MATCH($B96,'LV &amp; HV augex'!$L$28:$L$52,0),MATCH($C96,'LV &amp; HV augex'!$D$27:$J$27,0)),0)*'Financial inputs'!$D$11</f>
        <v>117574.64794128758</v>
      </c>
      <c r="L96" s="40">
        <f>IFERROR(INDEX('LV &amp; HV augex'!$D$10:$P$18,MATCH($C96,'LV &amp; HV augex'!$C$10:$C$18,0),MATCH(L$19,'LV &amp; HV augex'!$D$9:$P$9,0))*INDEX('LV &amp; HV augex'!$D$28:$J$52,MATCH($B96,'LV &amp; HV augex'!$L$28:$L$52,0),MATCH($C96,'LV &amp; HV augex'!$D$27:$J$27,0)),0)*'Financial inputs'!$D$11</f>
        <v>117574.64794128758</v>
      </c>
      <c r="M96" s="40">
        <f>IFERROR(INDEX('LV &amp; HV augex'!$D$10:$P$18,MATCH($C96,'LV &amp; HV augex'!$C$10:$C$18,0),MATCH(M$19,'LV &amp; HV augex'!$D$9:$P$9,0))*INDEX('LV &amp; HV augex'!$D$28:$J$52,MATCH($B96,'LV &amp; HV augex'!$L$28:$L$52,0),MATCH($C96,'LV &amp; HV augex'!$D$27:$J$27,0)),0)*'Financial inputs'!$D$11</f>
        <v>117574.64794128758</v>
      </c>
      <c r="N96" s="40">
        <f>IFERROR(INDEX('LV &amp; HV augex'!$D$10:$P$18,MATCH($C96,'LV &amp; HV augex'!$C$10:$C$18,0),MATCH(N$19,'LV &amp; HV augex'!$D$9:$P$9,0))*INDEX('LV &amp; HV augex'!$D$28:$J$52,MATCH($B96,'LV &amp; HV augex'!$L$28:$L$52,0),MATCH($C96,'LV &amp; HV augex'!$D$27:$J$27,0)),0)*'Financial inputs'!$D$11</f>
        <v>117574.64794128758</v>
      </c>
      <c r="O96" s="40">
        <f>IFERROR(INDEX('LV &amp; HV augex'!$D$10:$P$18,MATCH($C96,'LV &amp; HV augex'!$C$10:$C$18,0),MATCH(O$19,'LV &amp; HV augex'!$D$9:$P$9,0))*INDEX('LV &amp; HV augex'!$D$28:$J$52,MATCH($B96,'LV &amp; HV augex'!$L$28:$L$52,0),MATCH($C96,'LV &amp; HV augex'!$D$27:$J$27,0)),0)*'Financial inputs'!$D$11</f>
        <v>117574.64794128758</v>
      </c>
      <c r="P96" s="40">
        <f>IFERROR(INDEX('LV &amp; HV augex'!$D$10:$P$18,MATCH($C96,'LV &amp; HV augex'!$C$10:$C$18,0),MATCH(P$19,'LV &amp; HV augex'!$D$9:$P$9,0))*INDEX('LV &amp; HV augex'!$D$28:$J$52,MATCH($B96,'LV &amp; HV augex'!$L$28:$L$52,0),MATCH($C96,'LV &amp; HV augex'!$D$27:$J$27,0)),0)*'Financial inputs'!$D$11</f>
        <v>117574.64794128758</v>
      </c>
    </row>
    <row r="97" spans="2:16" ht="15.5">
      <c r="B97" s="2" t="str">
        <f t="shared" si="5"/>
        <v>System wide</v>
      </c>
      <c r="C97" s="35" t="str" cm="1">
        <f t="array" ref="C97">INDEX(augex_categories,COUNTIFS($B$20:$B97,$B$20))</f>
        <v>LV Distributor Capacity</v>
      </c>
      <c r="D97" s="35" t="str">
        <f>IF(COUNTIF('LV &amp; HV augex'!$C$10:$C$13,C97), "LV", IF(COUNTIF('LV &amp; HV augex'!$C$15:$C$17, C97), "HV", "Error"))</f>
        <v>LV</v>
      </c>
      <c r="E97" s="35" t="str">
        <f>INDEX('Growing &amp; falling'!$D$14:$D$39,MATCH($B97,'Growing &amp; falling'!$B$14:$B$39,0))</f>
        <v>System wide</v>
      </c>
      <c r="F97" s="35" t="str">
        <f t="shared" si="6"/>
        <v>$2024 real</v>
      </c>
      <c r="G97" s="40">
        <f>IFERROR(INDEX('LV &amp; HV augex'!$D$10:$P$18,MATCH($C97,'LV &amp; HV augex'!$C$10:$C$18,0),MATCH(G$19,'LV &amp; HV augex'!$D$9:$P$9,0))*INDEX('LV &amp; HV augex'!$D$28:$J$52,MATCH($B97,'LV &amp; HV augex'!$L$28:$L$52,0),MATCH($C97,'LV &amp; HV augex'!$D$27:$J$27,0)),0)*'Financial inputs'!$D$11</f>
        <v>0</v>
      </c>
      <c r="H97" s="40">
        <f>IFERROR(INDEX('LV &amp; HV augex'!$D$10:$P$18,MATCH($C97,'LV &amp; HV augex'!$C$10:$C$18,0),MATCH(H$19,'LV &amp; HV augex'!$D$9:$P$9,0))*INDEX('LV &amp; HV augex'!$D$28:$J$52,MATCH($B97,'LV &amp; HV augex'!$L$28:$L$52,0),MATCH($C97,'LV &amp; HV augex'!$D$27:$J$27,0)),0)*'Financial inputs'!$D$11</f>
        <v>0</v>
      </c>
      <c r="I97" s="40">
        <f>IFERROR(INDEX('LV &amp; HV augex'!$D$10:$P$18,MATCH($C97,'LV &amp; HV augex'!$C$10:$C$18,0),MATCH(I$19,'LV &amp; HV augex'!$D$9:$P$9,0))*INDEX('LV &amp; HV augex'!$D$28:$J$52,MATCH($B97,'LV &amp; HV augex'!$L$28:$L$52,0),MATCH($C97,'LV &amp; HV augex'!$D$27:$J$27,0)),0)*'Financial inputs'!$D$11</f>
        <v>0</v>
      </c>
      <c r="J97" s="40">
        <f>IFERROR(INDEX('LV &amp; HV augex'!$D$10:$P$18,MATCH($C97,'LV &amp; HV augex'!$C$10:$C$18,0),MATCH(J$19,'LV &amp; HV augex'!$D$9:$P$9,0))*INDEX('LV &amp; HV augex'!$D$28:$J$52,MATCH($B97,'LV &amp; HV augex'!$L$28:$L$52,0),MATCH($C97,'LV &amp; HV augex'!$D$27:$J$27,0)),0)*'Financial inputs'!$D$11</f>
        <v>0</v>
      </c>
      <c r="K97" s="40">
        <f>IFERROR(INDEX('LV &amp; HV augex'!$D$10:$P$18,MATCH($C97,'LV &amp; HV augex'!$C$10:$C$18,0),MATCH(K$19,'LV &amp; HV augex'!$D$9:$P$9,0))*INDEX('LV &amp; HV augex'!$D$28:$J$52,MATCH($B97,'LV &amp; HV augex'!$L$28:$L$52,0),MATCH($C97,'LV &amp; HV augex'!$D$27:$J$27,0)),0)*'Financial inputs'!$D$11</f>
        <v>0</v>
      </c>
      <c r="L97" s="40">
        <f>IFERROR(INDEX('LV &amp; HV augex'!$D$10:$P$18,MATCH($C97,'LV &amp; HV augex'!$C$10:$C$18,0),MATCH(L$19,'LV &amp; HV augex'!$D$9:$P$9,0))*INDEX('LV &amp; HV augex'!$D$28:$J$52,MATCH($B97,'LV &amp; HV augex'!$L$28:$L$52,0),MATCH($C97,'LV &amp; HV augex'!$D$27:$J$27,0)),0)*'Financial inputs'!$D$11</f>
        <v>0</v>
      </c>
      <c r="M97" s="40">
        <f>IFERROR(INDEX('LV &amp; HV augex'!$D$10:$P$18,MATCH($C97,'LV &amp; HV augex'!$C$10:$C$18,0),MATCH(M$19,'LV &amp; HV augex'!$D$9:$P$9,0))*INDEX('LV &amp; HV augex'!$D$28:$J$52,MATCH($B97,'LV &amp; HV augex'!$L$28:$L$52,0),MATCH($C97,'LV &amp; HV augex'!$D$27:$J$27,0)),0)*'Financial inputs'!$D$11</f>
        <v>0</v>
      </c>
      <c r="N97" s="40">
        <f>IFERROR(INDEX('LV &amp; HV augex'!$D$10:$P$18,MATCH($C97,'LV &amp; HV augex'!$C$10:$C$18,0),MATCH(N$19,'LV &amp; HV augex'!$D$9:$P$9,0))*INDEX('LV &amp; HV augex'!$D$28:$J$52,MATCH($B97,'LV &amp; HV augex'!$L$28:$L$52,0),MATCH($C97,'LV &amp; HV augex'!$D$27:$J$27,0)),0)*'Financial inputs'!$D$11</f>
        <v>0</v>
      </c>
      <c r="O97" s="40">
        <f>IFERROR(INDEX('LV &amp; HV augex'!$D$10:$P$18,MATCH($C97,'LV &amp; HV augex'!$C$10:$C$18,0),MATCH(O$19,'LV &amp; HV augex'!$D$9:$P$9,0))*INDEX('LV &amp; HV augex'!$D$28:$J$52,MATCH($B97,'LV &amp; HV augex'!$L$28:$L$52,0),MATCH($C97,'LV &amp; HV augex'!$D$27:$J$27,0)),0)*'Financial inputs'!$D$11</f>
        <v>0</v>
      </c>
      <c r="P97" s="40">
        <f>IFERROR(INDEX('LV &amp; HV augex'!$D$10:$P$18,MATCH($C97,'LV &amp; HV augex'!$C$10:$C$18,0),MATCH(P$19,'LV &amp; HV augex'!$D$9:$P$9,0))*INDEX('LV &amp; HV augex'!$D$28:$J$52,MATCH($B97,'LV &amp; HV augex'!$L$28:$L$52,0),MATCH($C97,'LV &amp; HV augex'!$D$27:$J$27,0)),0)*'Financial inputs'!$D$11</f>
        <v>0</v>
      </c>
    </row>
    <row r="98" spans="2:16" ht="15.5">
      <c r="B98" s="2" t="str">
        <f t="shared" si="5"/>
        <v>Auburn / Homebush</v>
      </c>
      <c r="C98" s="35" t="str" cm="1">
        <f t="array" ref="C98">INDEX(augex_categories,COUNTIFS($B$20:$B98,$B$20))</f>
        <v>LV Load Survey</v>
      </c>
      <c r="D98" s="35" t="str">
        <f>IF(COUNTIF('LV &amp; HV augex'!$C$10:$C$13,C98), "LV", IF(COUNTIF('LV &amp; HV augex'!$C$15:$C$17, C98), "HV", "Error"))</f>
        <v>LV</v>
      </c>
      <c r="E98" s="35" t="str">
        <f>INDEX('Growing &amp; falling'!$D$14:$D$39,MATCH($B98,'Growing &amp; falling'!$B$14:$B$39,0))</f>
        <v>Growth</v>
      </c>
      <c r="F98" s="35" t="str">
        <f t="shared" si="6"/>
        <v>$2024 real</v>
      </c>
      <c r="G98" s="40">
        <f>IFERROR(INDEX('LV &amp; HV augex'!$D$10:$P$18,MATCH($C98,'LV &amp; HV augex'!$C$10:$C$18,0),MATCH(G$19,'LV &amp; HV augex'!$D$9:$P$9,0))*INDEX('LV &amp; HV augex'!$D$28:$J$52,MATCH($B98,'LV &amp; HV augex'!$L$28:$L$52,0),MATCH($C98,'LV &amp; HV augex'!$D$27:$J$27,0)),0)*'Financial inputs'!$D$11</f>
        <v>43847.066834517631</v>
      </c>
      <c r="H98" s="40">
        <f>IFERROR(INDEX('LV &amp; HV augex'!$D$10:$P$18,MATCH($C98,'LV &amp; HV augex'!$C$10:$C$18,0),MATCH(H$19,'LV &amp; HV augex'!$D$9:$P$9,0))*INDEX('LV &amp; HV augex'!$D$28:$J$52,MATCH($B98,'LV &amp; HV augex'!$L$28:$L$52,0),MATCH($C98,'LV &amp; HV augex'!$D$27:$J$27,0)),0)*'Financial inputs'!$D$11</f>
        <v>43847.066834517631</v>
      </c>
      <c r="I98" s="40">
        <f>IFERROR(INDEX('LV &amp; HV augex'!$D$10:$P$18,MATCH($C98,'LV &amp; HV augex'!$C$10:$C$18,0),MATCH(I$19,'LV &amp; HV augex'!$D$9:$P$9,0))*INDEX('LV &amp; HV augex'!$D$28:$J$52,MATCH($B98,'LV &amp; HV augex'!$L$28:$L$52,0),MATCH($C98,'LV &amp; HV augex'!$D$27:$J$27,0)),0)*'Financial inputs'!$D$11</f>
        <v>43847.066834517631</v>
      </c>
      <c r="J98" s="40">
        <f>IFERROR(INDEX('LV &amp; HV augex'!$D$10:$P$18,MATCH($C98,'LV &amp; HV augex'!$C$10:$C$18,0),MATCH(J$19,'LV &amp; HV augex'!$D$9:$P$9,0))*INDEX('LV &amp; HV augex'!$D$28:$J$52,MATCH($B98,'LV &amp; HV augex'!$L$28:$L$52,0),MATCH($C98,'LV &amp; HV augex'!$D$27:$J$27,0)),0)*'Financial inputs'!$D$11</f>
        <v>43847.066834517631</v>
      </c>
      <c r="K98" s="40">
        <f>IFERROR(INDEX('LV &amp; HV augex'!$D$10:$P$18,MATCH($C98,'LV &amp; HV augex'!$C$10:$C$18,0),MATCH(K$19,'LV &amp; HV augex'!$D$9:$P$9,0))*INDEX('LV &amp; HV augex'!$D$28:$J$52,MATCH($B98,'LV &amp; HV augex'!$L$28:$L$52,0),MATCH($C98,'LV &amp; HV augex'!$D$27:$J$27,0)),0)*'Financial inputs'!$D$11</f>
        <v>43847.066834517631</v>
      </c>
      <c r="L98" s="40">
        <f>IFERROR(INDEX('LV &amp; HV augex'!$D$10:$P$18,MATCH($C98,'LV &amp; HV augex'!$C$10:$C$18,0),MATCH(L$19,'LV &amp; HV augex'!$D$9:$P$9,0))*INDEX('LV &amp; HV augex'!$D$28:$J$52,MATCH($B98,'LV &amp; HV augex'!$L$28:$L$52,0),MATCH($C98,'LV &amp; HV augex'!$D$27:$J$27,0)),0)*'Financial inputs'!$D$11</f>
        <v>43847.066834517631</v>
      </c>
      <c r="M98" s="40">
        <f>IFERROR(INDEX('LV &amp; HV augex'!$D$10:$P$18,MATCH($C98,'LV &amp; HV augex'!$C$10:$C$18,0),MATCH(M$19,'LV &amp; HV augex'!$D$9:$P$9,0))*INDEX('LV &amp; HV augex'!$D$28:$J$52,MATCH($B98,'LV &amp; HV augex'!$L$28:$L$52,0),MATCH($C98,'LV &amp; HV augex'!$D$27:$J$27,0)),0)*'Financial inputs'!$D$11</f>
        <v>43847.066834517631</v>
      </c>
      <c r="N98" s="40">
        <f>IFERROR(INDEX('LV &amp; HV augex'!$D$10:$P$18,MATCH($C98,'LV &amp; HV augex'!$C$10:$C$18,0),MATCH(N$19,'LV &amp; HV augex'!$D$9:$P$9,0))*INDEX('LV &amp; HV augex'!$D$28:$J$52,MATCH($B98,'LV &amp; HV augex'!$L$28:$L$52,0),MATCH($C98,'LV &amp; HV augex'!$D$27:$J$27,0)),0)*'Financial inputs'!$D$11</f>
        <v>43847.066834517631</v>
      </c>
      <c r="O98" s="40">
        <f>IFERROR(INDEX('LV &amp; HV augex'!$D$10:$P$18,MATCH($C98,'LV &amp; HV augex'!$C$10:$C$18,0),MATCH(O$19,'LV &amp; HV augex'!$D$9:$P$9,0))*INDEX('LV &amp; HV augex'!$D$28:$J$52,MATCH($B98,'LV &amp; HV augex'!$L$28:$L$52,0),MATCH($C98,'LV &amp; HV augex'!$D$27:$J$27,0)),0)*'Financial inputs'!$D$11</f>
        <v>43847.066834517631</v>
      </c>
      <c r="P98" s="40">
        <f>IFERROR(INDEX('LV &amp; HV augex'!$D$10:$P$18,MATCH($C98,'LV &amp; HV augex'!$C$10:$C$18,0),MATCH(P$19,'LV &amp; HV augex'!$D$9:$P$9,0))*INDEX('LV &amp; HV augex'!$D$28:$J$52,MATCH($B98,'LV &amp; HV augex'!$L$28:$L$52,0),MATCH($C98,'LV &amp; HV augex'!$D$27:$J$27,0)),0)*'Financial inputs'!$D$11</f>
        <v>43847.066834517631</v>
      </c>
    </row>
    <row r="99" spans="2:16" ht="15.5">
      <c r="B99" s="2" t="str">
        <f t="shared" si="5"/>
        <v>Camperdown &amp; Blackwattle Bay</v>
      </c>
      <c r="C99" s="35" t="str" cm="1">
        <f t="array" ref="C99">INDEX(augex_categories,COUNTIFS($B$20:$B99,$B$20))</f>
        <v>LV Load Survey</v>
      </c>
      <c r="D99" s="35" t="str">
        <f>IF(COUNTIF('LV &amp; HV augex'!$C$10:$C$13,C99), "LV", IF(COUNTIF('LV &amp; HV augex'!$C$15:$C$17, C99), "HV", "Error"))</f>
        <v>LV</v>
      </c>
      <c r="E99" s="35" t="str">
        <f>INDEX('Growing &amp; falling'!$D$14:$D$39,MATCH($B99,'Growing &amp; falling'!$B$14:$B$39,0))</f>
        <v>Growth</v>
      </c>
      <c r="F99" s="35" t="str">
        <f t="shared" si="6"/>
        <v>$2024 real</v>
      </c>
      <c r="G99" s="40">
        <f>IFERROR(INDEX('LV &amp; HV augex'!$D$10:$P$18,MATCH($C99,'LV &amp; HV augex'!$C$10:$C$18,0),MATCH(G$19,'LV &amp; HV augex'!$D$9:$P$9,0))*INDEX('LV &amp; HV augex'!$D$28:$J$52,MATCH($B99,'LV &amp; HV augex'!$L$28:$L$52,0),MATCH($C99,'LV &amp; HV augex'!$D$27:$J$27,0)),0)*'Financial inputs'!$D$11</f>
        <v>3931.1163368877878</v>
      </c>
      <c r="H99" s="40">
        <f>IFERROR(INDEX('LV &amp; HV augex'!$D$10:$P$18,MATCH($C99,'LV &amp; HV augex'!$C$10:$C$18,0),MATCH(H$19,'LV &amp; HV augex'!$D$9:$P$9,0))*INDEX('LV &amp; HV augex'!$D$28:$J$52,MATCH($B99,'LV &amp; HV augex'!$L$28:$L$52,0),MATCH($C99,'LV &amp; HV augex'!$D$27:$J$27,0)),0)*'Financial inputs'!$D$11</f>
        <v>3931.1163368877878</v>
      </c>
      <c r="I99" s="40">
        <f>IFERROR(INDEX('LV &amp; HV augex'!$D$10:$P$18,MATCH($C99,'LV &amp; HV augex'!$C$10:$C$18,0),MATCH(I$19,'LV &amp; HV augex'!$D$9:$P$9,0))*INDEX('LV &amp; HV augex'!$D$28:$J$52,MATCH($B99,'LV &amp; HV augex'!$L$28:$L$52,0),MATCH($C99,'LV &amp; HV augex'!$D$27:$J$27,0)),0)*'Financial inputs'!$D$11</f>
        <v>3931.1163368877878</v>
      </c>
      <c r="J99" s="40">
        <f>IFERROR(INDEX('LV &amp; HV augex'!$D$10:$P$18,MATCH($C99,'LV &amp; HV augex'!$C$10:$C$18,0),MATCH(J$19,'LV &amp; HV augex'!$D$9:$P$9,0))*INDEX('LV &amp; HV augex'!$D$28:$J$52,MATCH($B99,'LV &amp; HV augex'!$L$28:$L$52,0),MATCH($C99,'LV &amp; HV augex'!$D$27:$J$27,0)),0)*'Financial inputs'!$D$11</f>
        <v>3931.1163368877878</v>
      </c>
      <c r="K99" s="40">
        <f>IFERROR(INDEX('LV &amp; HV augex'!$D$10:$P$18,MATCH($C99,'LV &amp; HV augex'!$C$10:$C$18,0),MATCH(K$19,'LV &amp; HV augex'!$D$9:$P$9,0))*INDEX('LV &amp; HV augex'!$D$28:$J$52,MATCH($B99,'LV &amp; HV augex'!$L$28:$L$52,0),MATCH($C99,'LV &amp; HV augex'!$D$27:$J$27,0)),0)*'Financial inputs'!$D$11</f>
        <v>3931.1163368877878</v>
      </c>
      <c r="L99" s="40">
        <f>IFERROR(INDEX('LV &amp; HV augex'!$D$10:$P$18,MATCH($C99,'LV &amp; HV augex'!$C$10:$C$18,0),MATCH(L$19,'LV &amp; HV augex'!$D$9:$P$9,0))*INDEX('LV &amp; HV augex'!$D$28:$J$52,MATCH($B99,'LV &amp; HV augex'!$L$28:$L$52,0),MATCH($C99,'LV &amp; HV augex'!$D$27:$J$27,0)),0)*'Financial inputs'!$D$11</f>
        <v>3931.1163368877878</v>
      </c>
      <c r="M99" s="40">
        <f>IFERROR(INDEX('LV &amp; HV augex'!$D$10:$P$18,MATCH($C99,'LV &amp; HV augex'!$C$10:$C$18,0),MATCH(M$19,'LV &amp; HV augex'!$D$9:$P$9,0))*INDEX('LV &amp; HV augex'!$D$28:$J$52,MATCH($B99,'LV &amp; HV augex'!$L$28:$L$52,0),MATCH($C99,'LV &amp; HV augex'!$D$27:$J$27,0)),0)*'Financial inputs'!$D$11</f>
        <v>3931.1163368877878</v>
      </c>
      <c r="N99" s="40">
        <f>IFERROR(INDEX('LV &amp; HV augex'!$D$10:$P$18,MATCH($C99,'LV &amp; HV augex'!$C$10:$C$18,0),MATCH(N$19,'LV &amp; HV augex'!$D$9:$P$9,0))*INDEX('LV &amp; HV augex'!$D$28:$J$52,MATCH($B99,'LV &amp; HV augex'!$L$28:$L$52,0),MATCH($C99,'LV &amp; HV augex'!$D$27:$J$27,0)),0)*'Financial inputs'!$D$11</f>
        <v>3931.1163368877878</v>
      </c>
      <c r="O99" s="40">
        <f>IFERROR(INDEX('LV &amp; HV augex'!$D$10:$P$18,MATCH($C99,'LV &amp; HV augex'!$C$10:$C$18,0),MATCH(O$19,'LV &amp; HV augex'!$D$9:$P$9,0))*INDEX('LV &amp; HV augex'!$D$28:$J$52,MATCH($B99,'LV &amp; HV augex'!$L$28:$L$52,0),MATCH($C99,'LV &amp; HV augex'!$D$27:$J$27,0)),0)*'Financial inputs'!$D$11</f>
        <v>3931.1163368877878</v>
      </c>
      <c r="P99" s="40">
        <f>IFERROR(INDEX('LV &amp; HV augex'!$D$10:$P$18,MATCH($C99,'LV &amp; HV augex'!$C$10:$C$18,0),MATCH(P$19,'LV &amp; HV augex'!$D$9:$P$9,0))*INDEX('LV &amp; HV augex'!$D$28:$J$52,MATCH($B99,'LV &amp; HV augex'!$L$28:$L$52,0),MATCH($C99,'LV &amp; HV augex'!$D$27:$J$27,0)),0)*'Financial inputs'!$D$11</f>
        <v>3931.1163368877878</v>
      </c>
    </row>
    <row r="100" spans="2:16" ht="15.5">
      <c r="B100" s="2" t="str">
        <f t="shared" si="5"/>
        <v>Canterbury Bankstown</v>
      </c>
      <c r="C100" s="35" t="str" cm="1">
        <f t="array" ref="C100">INDEX(augex_categories,COUNTIFS($B$20:$B100,$B$20))</f>
        <v>LV Load Survey</v>
      </c>
      <c r="D100" s="35" t="str">
        <f>IF(COUNTIF('LV &amp; HV augex'!$C$10:$C$13,C100), "LV", IF(COUNTIF('LV &amp; HV augex'!$C$15:$C$17, C100), "HV", "Error"))</f>
        <v>LV</v>
      </c>
      <c r="E100" s="35" t="str">
        <f>INDEX('Growing &amp; falling'!$D$14:$D$39,MATCH($B100,'Growing &amp; falling'!$B$14:$B$39,0))</f>
        <v>Growth</v>
      </c>
      <c r="F100" s="35" t="str">
        <f t="shared" si="6"/>
        <v>$2024 real</v>
      </c>
      <c r="G100" s="40">
        <f>IFERROR(INDEX('LV &amp; HV augex'!$D$10:$P$18,MATCH($C100,'LV &amp; HV augex'!$C$10:$C$18,0),MATCH(G$19,'LV &amp; HV augex'!$D$9:$P$9,0))*INDEX('LV &amp; HV augex'!$D$28:$J$52,MATCH($B100,'LV &amp; HV augex'!$L$28:$L$52,0),MATCH($C100,'LV &amp; HV augex'!$D$27:$J$27,0)),0)*'Financial inputs'!$D$11</f>
        <v>81948.655945891558</v>
      </c>
      <c r="H100" s="40">
        <f>IFERROR(INDEX('LV &amp; HV augex'!$D$10:$P$18,MATCH($C100,'LV &amp; HV augex'!$C$10:$C$18,0),MATCH(H$19,'LV &amp; HV augex'!$D$9:$P$9,0))*INDEX('LV &amp; HV augex'!$D$28:$J$52,MATCH($B100,'LV &amp; HV augex'!$L$28:$L$52,0),MATCH($C100,'LV &amp; HV augex'!$D$27:$J$27,0)),0)*'Financial inputs'!$D$11</f>
        <v>81948.655945891558</v>
      </c>
      <c r="I100" s="40">
        <f>IFERROR(INDEX('LV &amp; HV augex'!$D$10:$P$18,MATCH($C100,'LV &amp; HV augex'!$C$10:$C$18,0),MATCH(I$19,'LV &amp; HV augex'!$D$9:$P$9,0))*INDEX('LV &amp; HV augex'!$D$28:$J$52,MATCH($B100,'LV &amp; HV augex'!$L$28:$L$52,0),MATCH($C100,'LV &amp; HV augex'!$D$27:$J$27,0)),0)*'Financial inputs'!$D$11</f>
        <v>81948.655945891558</v>
      </c>
      <c r="J100" s="40">
        <f>IFERROR(INDEX('LV &amp; HV augex'!$D$10:$P$18,MATCH($C100,'LV &amp; HV augex'!$C$10:$C$18,0),MATCH(J$19,'LV &amp; HV augex'!$D$9:$P$9,0))*INDEX('LV &amp; HV augex'!$D$28:$J$52,MATCH($B100,'LV &amp; HV augex'!$L$28:$L$52,0),MATCH($C100,'LV &amp; HV augex'!$D$27:$J$27,0)),0)*'Financial inputs'!$D$11</f>
        <v>81948.655945891558</v>
      </c>
      <c r="K100" s="40">
        <f>IFERROR(INDEX('LV &amp; HV augex'!$D$10:$P$18,MATCH($C100,'LV &amp; HV augex'!$C$10:$C$18,0),MATCH(K$19,'LV &amp; HV augex'!$D$9:$P$9,0))*INDEX('LV &amp; HV augex'!$D$28:$J$52,MATCH($B100,'LV &amp; HV augex'!$L$28:$L$52,0),MATCH($C100,'LV &amp; HV augex'!$D$27:$J$27,0)),0)*'Financial inputs'!$D$11</f>
        <v>81948.655945891558</v>
      </c>
      <c r="L100" s="40">
        <f>IFERROR(INDEX('LV &amp; HV augex'!$D$10:$P$18,MATCH($C100,'LV &amp; HV augex'!$C$10:$C$18,0),MATCH(L$19,'LV &amp; HV augex'!$D$9:$P$9,0))*INDEX('LV &amp; HV augex'!$D$28:$J$52,MATCH($B100,'LV &amp; HV augex'!$L$28:$L$52,0),MATCH($C100,'LV &amp; HV augex'!$D$27:$J$27,0)),0)*'Financial inputs'!$D$11</f>
        <v>81948.655945891558</v>
      </c>
      <c r="M100" s="40">
        <f>IFERROR(INDEX('LV &amp; HV augex'!$D$10:$P$18,MATCH($C100,'LV &amp; HV augex'!$C$10:$C$18,0),MATCH(M$19,'LV &amp; HV augex'!$D$9:$P$9,0))*INDEX('LV &amp; HV augex'!$D$28:$J$52,MATCH($B100,'LV &amp; HV augex'!$L$28:$L$52,0),MATCH($C100,'LV &amp; HV augex'!$D$27:$J$27,0)),0)*'Financial inputs'!$D$11</f>
        <v>81948.655945891558</v>
      </c>
      <c r="N100" s="40">
        <f>IFERROR(INDEX('LV &amp; HV augex'!$D$10:$P$18,MATCH($C100,'LV &amp; HV augex'!$C$10:$C$18,0),MATCH(N$19,'LV &amp; HV augex'!$D$9:$P$9,0))*INDEX('LV &amp; HV augex'!$D$28:$J$52,MATCH($B100,'LV &amp; HV augex'!$L$28:$L$52,0),MATCH($C100,'LV &amp; HV augex'!$D$27:$J$27,0)),0)*'Financial inputs'!$D$11</f>
        <v>81948.655945891558</v>
      </c>
      <c r="O100" s="40">
        <f>IFERROR(INDEX('LV &amp; HV augex'!$D$10:$P$18,MATCH($C100,'LV &amp; HV augex'!$C$10:$C$18,0),MATCH(O$19,'LV &amp; HV augex'!$D$9:$P$9,0))*INDEX('LV &amp; HV augex'!$D$28:$J$52,MATCH($B100,'LV &amp; HV augex'!$L$28:$L$52,0),MATCH($C100,'LV &amp; HV augex'!$D$27:$J$27,0)),0)*'Financial inputs'!$D$11</f>
        <v>81948.655945891558</v>
      </c>
      <c r="P100" s="40">
        <f>IFERROR(INDEX('LV &amp; HV augex'!$D$10:$P$18,MATCH($C100,'LV &amp; HV augex'!$C$10:$C$18,0),MATCH(P$19,'LV &amp; HV augex'!$D$9:$P$9,0))*INDEX('LV &amp; HV augex'!$D$28:$J$52,MATCH($B100,'LV &amp; HV augex'!$L$28:$L$52,0),MATCH($C100,'LV &amp; HV augex'!$D$27:$J$27,0)),0)*'Financial inputs'!$D$11</f>
        <v>81948.655945891558</v>
      </c>
    </row>
    <row r="101" spans="2:16" ht="15.5">
      <c r="B101" s="2" t="str">
        <f t="shared" si="5"/>
        <v>Carlingford</v>
      </c>
      <c r="C101" s="35" t="str" cm="1">
        <f t="array" ref="C101">INDEX(augex_categories,COUNTIFS($B$20:$B101,$B$20))</f>
        <v>LV Load Survey</v>
      </c>
      <c r="D101" s="35" t="str">
        <f>IF(COUNTIF('LV &amp; HV augex'!$C$10:$C$13,C101), "LV", IF(COUNTIF('LV &amp; HV augex'!$C$15:$C$17, C101), "HV", "Error"))</f>
        <v>LV</v>
      </c>
      <c r="E101" s="35" t="str">
        <f>INDEX('Growing &amp; falling'!$D$14:$D$39,MATCH($B101,'Growing &amp; falling'!$B$14:$B$39,0))</f>
        <v>Growth</v>
      </c>
      <c r="F101" s="35" t="str">
        <f t="shared" si="6"/>
        <v>$2024 real</v>
      </c>
      <c r="G101" s="40">
        <f>IFERROR(INDEX('LV &amp; HV augex'!$D$10:$P$18,MATCH($C101,'LV &amp; HV augex'!$C$10:$C$18,0),MATCH(G$19,'LV &amp; HV augex'!$D$9:$P$9,0))*INDEX('LV &amp; HV augex'!$D$28:$J$52,MATCH($B101,'LV &amp; HV augex'!$L$28:$L$52,0),MATCH($C101,'LV &amp; HV augex'!$D$27:$J$27,0)),0)*'Financial inputs'!$D$11</f>
        <v>62897.861390204605</v>
      </c>
      <c r="H101" s="40">
        <f>IFERROR(INDEX('LV &amp; HV augex'!$D$10:$P$18,MATCH($C101,'LV &amp; HV augex'!$C$10:$C$18,0),MATCH(H$19,'LV &amp; HV augex'!$D$9:$P$9,0))*INDEX('LV &amp; HV augex'!$D$28:$J$52,MATCH($B101,'LV &amp; HV augex'!$L$28:$L$52,0),MATCH($C101,'LV &amp; HV augex'!$D$27:$J$27,0)),0)*'Financial inputs'!$D$11</f>
        <v>62897.861390204605</v>
      </c>
      <c r="I101" s="40">
        <f>IFERROR(INDEX('LV &amp; HV augex'!$D$10:$P$18,MATCH($C101,'LV &amp; HV augex'!$C$10:$C$18,0),MATCH(I$19,'LV &amp; HV augex'!$D$9:$P$9,0))*INDEX('LV &amp; HV augex'!$D$28:$J$52,MATCH($B101,'LV &amp; HV augex'!$L$28:$L$52,0),MATCH($C101,'LV &amp; HV augex'!$D$27:$J$27,0)),0)*'Financial inputs'!$D$11</f>
        <v>62897.861390204605</v>
      </c>
      <c r="J101" s="40">
        <f>IFERROR(INDEX('LV &amp; HV augex'!$D$10:$P$18,MATCH($C101,'LV &amp; HV augex'!$C$10:$C$18,0),MATCH(J$19,'LV &amp; HV augex'!$D$9:$P$9,0))*INDEX('LV &amp; HV augex'!$D$28:$J$52,MATCH($B101,'LV &amp; HV augex'!$L$28:$L$52,0),MATCH($C101,'LV &amp; HV augex'!$D$27:$J$27,0)),0)*'Financial inputs'!$D$11</f>
        <v>62897.861390204605</v>
      </c>
      <c r="K101" s="40">
        <f>IFERROR(INDEX('LV &amp; HV augex'!$D$10:$P$18,MATCH($C101,'LV &amp; HV augex'!$C$10:$C$18,0),MATCH(K$19,'LV &amp; HV augex'!$D$9:$P$9,0))*INDEX('LV &amp; HV augex'!$D$28:$J$52,MATCH($B101,'LV &amp; HV augex'!$L$28:$L$52,0),MATCH($C101,'LV &amp; HV augex'!$D$27:$J$27,0)),0)*'Financial inputs'!$D$11</f>
        <v>62897.861390204605</v>
      </c>
      <c r="L101" s="40">
        <f>IFERROR(INDEX('LV &amp; HV augex'!$D$10:$P$18,MATCH($C101,'LV &amp; HV augex'!$C$10:$C$18,0),MATCH(L$19,'LV &amp; HV augex'!$D$9:$P$9,0))*INDEX('LV &amp; HV augex'!$D$28:$J$52,MATCH($B101,'LV &amp; HV augex'!$L$28:$L$52,0),MATCH($C101,'LV &amp; HV augex'!$D$27:$J$27,0)),0)*'Financial inputs'!$D$11</f>
        <v>62897.861390204605</v>
      </c>
      <c r="M101" s="40">
        <f>IFERROR(INDEX('LV &amp; HV augex'!$D$10:$P$18,MATCH($C101,'LV &amp; HV augex'!$C$10:$C$18,0),MATCH(M$19,'LV &amp; HV augex'!$D$9:$P$9,0))*INDEX('LV &amp; HV augex'!$D$28:$J$52,MATCH($B101,'LV &amp; HV augex'!$L$28:$L$52,0),MATCH($C101,'LV &amp; HV augex'!$D$27:$J$27,0)),0)*'Financial inputs'!$D$11</f>
        <v>62897.861390204605</v>
      </c>
      <c r="N101" s="40">
        <f>IFERROR(INDEX('LV &amp; HV augex'!$D$10:$P$18,MATCH($C101,'LV &amp; HV augex'!$C$10:$C$18,0),MATCH(N$19,'LV &amp; HV augex'!$D$9:$P$9,0))*INDEX('LV &amp; HV augex'!$D$28:$J$52,MATCH($B101,'LV &amp; HV augex'!$L$28:$L$52,0),MATCH($C101,'LV &amp; HV augex'!$D$27:$J$27,0)),0)*'Financial inputs'!$D$11</f>
        <v>62897.861390204605</v>
      </c>
      <c r="O101" s="40">
        <f>IFERROR(INDEX('LV &amp; HV augex'!$D$10:$P$18,MATCH($C101,'LV &amp; HV augex'!$C$10:$C$18,0),MATCH(O$19,'LV &amp; HV augex'!$D$9:$P$9,0))*INDEX('LV &amp; HV augex'!$D$28:$J$52,MATCH($B101,'LV &amp; HV augex'!$L$28:$L$52,0),MATCH($C101,'LV &amp; HV augex'!$D$27:$J$27,0)),0)*'Financial inputs'!$D$11</f>
        <v>62897.861390204605</v>
      </c>
      <c r="P101" s="40">
        <f>IFERROR(INDEX('LV &amp; HV augex'!$D$10:$P$18,MATCH($C101,'LV &amp; HV augex'!$C$10:$C$18,0),MATCH(P$19,'LV &amp; HV augex'!$D$9:$P$9,0))*INDEX('LV &amp; HV augex'!$D$28:$J$52,MATCH($B101,'LV &amp; HV augex'!$L$28:$L$52,0),MATCH($C101,'LV &amp; HV augex'!$D$27:$J$27,0)),0)*'Financial inputs'!$D$11</f>
        <v>62897.861390204605</v>
      </c>
    </row>
    <row r="102" spans="2:16" ht="15.5">
      <c r="B102" s="2" t="str">
        <f t="shared" si="5"/>
        <v>Eastern Suburbs</v>
      </c>
      <c r="C102" s="35" t="str" cm="1">
        <f t="array" ref="C102">INDEX(augex_categories,COUNTIFS($B$20:$B102,$B$20))</f>
        <v>LV Load Survey</v>
      </c>
      <c r="D102" s="35" t="str">
        <f>IF(COUNTIF('LV &amp; HV augex'!$C$10:$C$13,C102), "LV", IF(COUNTIF('LV &amp; HV augex'!$C$15:$C$17, C102), "HV", "Error"))</f>
        <v>LV</v>
      </c>
      <c r="E102" s="35" t="str">
        <f>INDEX('Growing &amp; falling'!$D$14:$D$39,MATCH($B102,'Growing &amp; falling'!$B$14:$B$39,0))</f>
        <v>Growth</v>
      </c>
      <c r="F102" s="35" t="str">
        <f t="shared" si="6"/>
        <v>$2024 real</v>
      </c>
      <c r="G102" s="40">
        <f>IFERROR(INDEX('LV &amp; HV augex'!$D$10:$P$18,MATCH($C102,'LV &amp; HV augex'!$C$10:$C$18,0),MATCH(G$19,'LV &amp; HV augex'!$D$9:$P$9,0))*INDEX('LV &amp; HV augex'!$D$28:$J$52,MATCH($B102,'LV &amp; HV augex'!$L$28:$L$52,0),MATCH($C102,'LV &amp; HV augex'!$D$27:$J$27,0)),0)*'Financial inputs'!$D$11</f>
        <v>59571.53218206879</v>
      </c>
      <c r="H102" s="40">
        <f>IFERROR(INDEX('LV &amp; HV augex'!$D$10:$P$18,MATCH($C102,'LV &amp; HV augex'!$C$10:$C$18,0),MATCH(H$19,'LV &amp; HV augex'!$D$9:$P$9,0))*INDEX('LV &amp; HV augex'!$D$28:$J$52,MATCH($B102,'LV &amp; HV augex'!$L$28:$L$52,0),MATCH($C102,'LV &amp; HV augex'!$D$27:$J$27,0)),0)*'Financial inputs'!$D$11</f>
        <v>59571.53218206879</v>
      </c>
      <c r="I102" s="40">
        <f>IFERROR(INDEX('LV &amp; HV augex'!$D$10:$P$18,MATCH($C102,'LV &amp; HV augex'!$C$10:$C$18,0),MATCH(I$19,'LV &amp; HV augex'!$D$9:$P$9,0))*INDEX('LV &amp; HV augex'!$D$28:$J$52,MATCH($B102,'LV &amp; HV augex'!$L$28:$L$52,0),MATCH($C102,'LV &amp; HV augex'!$D$27:$J$27,0)),0)*'Financial inputs'!$D$11</f>
        <v>59571.53218206879</v>
      </c>
      <c r="J102" s="40">
        <f>IFERROR(INDEX('LV &amp; HV augex'!$D$10:$P$18,MATCH($C102,'LV &amp; HV augex'!$C$10:$C$18,0),MATCH(J$19,'LV &amp; HV augex'!$D$9:$P$9,0))*INDEX('LV &amp; HV augex'!$D$28:$J$52,MATCH($B102,'LV &amp; HV augex'!$L$28:$L$52,0),MATCH($C102,'LV &amp; HV augex'!$D$27:$J$27,0)),0)*'Financial inputs'!$D$11</f>
        <v>59571.53218206879</v>
      </c>
      <c r="K102" s="40">
        <f>IFERROR(INDEX('LV &amp; HV augex'!$D$10:$P$18,MATCH($C102,'LV &amp; HV augex'!$C$10:$C$18,0),MATCH(K$19,'LV &amp; HV augex'!$D$9:$P$9,0))*INDEX('LV &amp; HV augex'!$D$28:$J$52,MATCH($B102,'LV &amp; HV augex'!$L$28:$L$52,0),MATCH($C102,'LV &amp; HV augex'!$D$27:$J$27,0)),0)*'Financial inputs'!$D$11</f>
        <v>59571.53218206879</v>
      </c>
      <c r="L102" s="40">
        <f>IFERROR(INDEX('LV &amp; HV augex'!$D$10:$P$18,MATCH($C102,'LV &amp; HV augex'!$C$10:$C$18,0),MATCH(L$19,'LV &amp; HV augex'!$D$9:$P$9,0))*INDEX('LV &amp; HV augex'!$D$28:$J$52,MATCH($B102,'LV &amp; HV augex'!$L$28:$L$52,0),MATCH($C102,'LV &amp; HV augex'!$D$27:$J$27,0)),0)*'Financial inputs'!$D$11</f>
        <v>59571.53218206879</v>
      </c>
      <c r="M102" s="40">
        <f>IFERROR(INDEX('LV &amp; HV augex'!$D$10:$P$18,MATCH($C102,'LV &amp; HV augex'!$C$10:$C$18,0),MATCH(M$19,'LV &amp; HV augex'!$D$9:$P$9,0))*INDEX('LV &amp; HV augex'!$D$28:$J$52,MATCH($B102,'LV &amp; HV augex'!$L$28:$L$52,0),MATCH($C102,'LV &amp; HV augex'!$D$27:$J$27,0)),0)*'Financial inputs'!$D$11</f>
        <v>59571.53218206879</v>
      </c>
      <c r="N102" s="40">
        <f>IFERROR(INDEX('LV &amp; HV augex'!$D$10:$P$18,MATCH($C102,'LV &amp; HV augex'!$C$10:$C$18,0),MATCH(N$19,'LV &amp; HV augex'!$D$9:$P$9,0))*INDEX('LV &amp; HV augex'!$D$28:$J$52,MATCH($B102,'LV &amp; HV augex'!$L$28:$L$52,0),MATCH($C102,'LV &amp; HV augex'!$D$27:$J$27,0)),0)*'Financial inputs'!$D$11</f>
        <v>59571.53218206879</v>
      </c>
      <c r="O102" s="40">
        <f>IFERROR(INDEX('LV &amp; HV augex'!$D$10:$P$18,MATCH($C102,'LV &amp; HV augex'!$C$10:$C$18,0),MATCH(O$19,'LV &amp; HV augex'!$D$9:$P$9,0))*INDEX('LV &amp; HV augex'!$D$28:$J$52,MATCH($B102,'LV &amp; HV augex'!$L$28:$L$52,0),MATCH($C102,'LV &amp; HV augex'!$D$27:$J$27,0)),0)*'Financial inputs'!$D$11</f>
        <v>59571.53218206879</v>
      </c>
      <c r="P102" s="40">
        <f>IFERROR(INDEX('LV &amp; HV augex'!$D$10:$P$18,MATCH($C102,'LV &amp; HV augex'!$C$10:$C$18,0),MATCH(P$19,'LV &amp; HV augex'!$D$9:$P$9,0))*INDEX('LV &amp; HV augex'!$D$28:$J$52,MATCH($B102,'LV &amp; HV augex'!$L$28:$L$52,0),MATCH($C102,'LV &amp; HV augex'!$D$27:$J$27,0)),0)*'Financial inputs'!$D$11</f>
        <v>59571.53218206879</v>
      </c>
    </row>
    <row r="103" spans="2:16" ht="15.5">
      <c r="B103" s="2" t="str">
        <f t="shared" si="5"/>
        <v>Greater Cessnock</v>
      </c>
      <c r="C103" s="35" t="str" cm="1">
        <f t="array" ref="C103">INDEX(augex_categories,COUNTIFS($B$20:$B103,$B$20))</f>
        <v>LV Load Survey</v>
      </c>
      <c r="D103" s="35" t="str">
        <f>IF(COUNTIF('LV &amp; HV augex'!$C$10:$C$13,C103), "LV", IF(COUNTIF('LV &amp; HV augex'!$C$15:$C$17, C103), "HV", "Error"))</f>
        <v>LV</v>
      </c>
      <c r="E103" s="35" t="str">
        <f>INDEX('Growing &amp; falling'!$D$14:$D$39,MATCH($B103,'Growing &amp; falling'!$B$14:$B$39,0))</f>
        <v>Growth</v>
      </c>
      <c r="F103" s="35" t="str">
        <f t="shared" si="6"/>
        <v>$2024 real</v>
      </c>
      <c r="G103" s="40">
        <f>IFERROR(INDEX('LV &amp; HV augex'!$D$10:$P$18,MATCH($C103,'LV &amp; HV augex'!$C$10:$C$18,0),MATCH(G$19,'LV &amp; HV augex'!$D$9:$P$9,0))*INDEX('LV &amp; HV augex'!$D$28:$J$52,MATCH($B103,'LV &amp; HV augex'!$L$28:$L$52,0),MATCH($C103,'LV &amp; HV augex'!$D$27:$J$27,0)),0)*'Financial inputs'!$D$11</f>
        <v>23889.09158570271</v>
      </c>
      <c r="H103" s="40">
        <f>IFERROR(INDEX('LV &amp; HV augex'!$D$10:$P$18,MATCH($C103,'LV &amp; HV augex'!$C$10:$C$18,0),MATCH(H$19,'LV &amp; HV augex'!$D$9:$P$9,0))*INDEX('LV &amp; HV augex'!$D$28:$J$52,MATCH($B103,'LV &amp; HV augex'!$L$28:$L$52,0),MATCH($C103,'LV &amp; HV augex'!$D$27:$J$27,0)),0)*'Financial inputs'!$D$11</f>
        <v>23889.09158570271</v>
      </c>
      <c r="I103" s="40">
        <f>IFERROR(INDEX('LV &amp; HV augex'!$D$10:$P$18,MATCH($C103,'LV &amp; HV augex'!$C$10:$C$18,0),MATCH(I$19,'LV &amp; HV augex'!$D$9:$P$9,0))*INDEX('LV &amp; HV augex'!$D$28:$J$52,MATCH($B103,'LV &amp; HV augex'!$L$28:$L$52,0),MATCH($C103,'LV &amp; HV augex'!$D$27:$J$27,0)),0)*'Financial inputs'!$D$11</f>
        <v>23889.09158570271</v>
      </c>
      <c r="J103" s="40">
        <f>IFERROR(INDEX('LV &amp; HV augex'!$D$10:$P$18,MATCH($C103,'LV &amp; HV augex'!$C$10:$C$18,0),MATCH(J$19,'LV &amp; HV augex'!$D$9:$P$9,0))*INDEX('LV &amp; HV augex'!$D$28:$J$52,MATCH($B103,'LV &amp; HV augex'!$L$28:$L$52,0),MATCH($C103,'LV &amp; HV augex'!$D$27:$J$27,0)),0)*'Financial inputs'!$D$11</f>
        <v>23889.09158570271</v>
      </c>
      <c r="K103" s="40">
        <f>IFERROR(INDEX('LV &amp; HV augex'!$D$10:$P$18,MATCH($C103,'LV &amp; HV augex'!$C$10:$C$18,0),MATCH(K$19,'LV &amp; HV augex'!$D$9:$P$9,0))*INDEX('LV &amp; HV augex'!$D$28:$J$52,MATCH($B103,'LV &amp; HV augex'!$L$28:$L$52,0),MATCH($C103,'LV &amp; HV augex'!$D$27:$J$27,0)),0)*'Financial inputs'!$D$11</f>
        <v>23889.09158570271</v>
      </c>
      <c r="L103" s="40">
        <f>IFERROR(INDEX('LV &amp; HV augex'!$D$10:$P$18,MATCH($C103,'LV &amp; HV augex'!$C$10:$C$18,0),MATCH(L$19,'LV &amp; HV augex'!$D$9:$P$9,0))*INDEX('LV &amp; HV augex'!$D$28:$J$52,MATCH($B103,'LV &amp; HV augex'!$L$28:$L$52,0),MATCH($C103,'LV &amp; HV augex'!$D$27:$J$27,0)),0)*'Financial inputs'!$D$11</f>
        <v>23889.09158570271</v>
      </c>
      <c r="M103" s="40">
        <f>IFERROR(INDEX('LV &amp; HV augex'!$D$10:$P$18,MATCH($C103,'LV &amp; HV augex'!$C$10:$C$18,0),MATCH(M$19,'LV &amp; HV augex'!$D$9:$P$9,0))*INDEX('LV &amp; HV augex'!$D$28:$J$52,MATCH($B103,'LV &amp; HV augex'!$L$28:$L$52,0),MATCH($C103,'LV &amp; HV augex'!$D$27:$J$27,0)),0)*'Financial inputs'!$D$11</f>
        <v>23889.09158570271</v>
      </c>
      <c r="N103" s="40">
        <f>IFERROR(INDEX('LV &amp; HV augex'!$D$10:$P$18,MATCH($C103,'LV &amp; HV augex'!$C$10:$C$18,0),MATCH(N$19,'LV &amp; HV augex'!$D$9:$P$9,0))*INDEX('LV &amp; HV augex'!$D$28:$J$52,MATCH($B103,'LV &amp; HV augex'!$L$28:$L$52,0),MATCH($C103,'LV &amp; HV augex'!$D$27:$J$27,0)),0)*'Financial inputs'!$D$11</f>
        <v>23889.09158570271</v>
      </c>
      <c r="O103" s="40">
        <f>IFERROR(INDEX('LV &amp; HV augex'!$D$10:$P$18,MATCH($C103,'LV &amp; HV augex'!$C$10:$C$18,0),MATCH(O$19,'LV &amp; HV augex'!$D$9:$P$9,0))*INDEX('LV &amp; HV augex'!$D$28:$J$52,MATCH($B103,'LV &amp; HV augex'!$L$28:$L$52,0),MATCH($C103,'LV &amp; HV augex'!$D$27:$J$27,0)),0)*'Financial inputs'!$D$11</f>
        <v>23889.09158570271</v>
      </c>
      <c r="P103" s="40">
        <f>IFERROR(INDEX('LV &amp; HV augex'!$D$10:$P$18,MATCH($C103,'LV &amp; HV augex'!$C$10:$C$18,0),MATCH(P$19,'LV &amp; HV augex'!$D$9:$P$9,0))*INDEX('LV &amp; HV augex'!$D$28:$J$52,MATCH($B103,'LV &amp; HV augex'!$L$28:$L$52,0),MATCH($C103,'LV &amp; HV augex'!$D$27:$J$27,0)),0)*'Financial inputs'!$D$11</f>
        <v>23889.09158570271</v>
      </c>
    </row>
    <row r="104" spans="2:16" ht="15.5">
      <c r="B104" s="2" t="str">
        <f t="shared" si="5"/>
        <v>Lower Central Coast</v>
      </c>
      <c r="C104" s="35" t="str" cm="1">
        <f t="array" ref="C104">INDEX(augex_categories,COUNTIFS($B$20:$B104,$B$20))</f>
        <v>LV Load Survey</v>
      </c>
      <c r="D104" s="35" t="str">
        <f>IF(COUNTIF('LV &amp; HV augex'!$C$10:$C$13,C104), "LV", IF(COUNTIF('LV &amp; HV augex'!$C$15:$C$17, C104), "HV", "Error"))</f>
        <v>LV</v>
      </c>
      <c r="E104" s="35" t="str">
        <f>INDEX('Growing &amp; falling'!$D$14:$D$39,MATCH($B104,'Growing &amp; falling'!$B$14:$B$39,0))</f>
        <v>Growth</v>
      </c>
      <c r="F104" s="35" t="str">
        <f t="shared" si="6"/>
        <v>$2024 real</v>
      </c>
      <c r="G104" s="40">
        <f>IFERROR(INDEX('LV &amp; HV augex'!$D$10:$P$18,MATCH($C104,'LV &amp; HV augex'!$C$10:$C$18,0),MATCH(G$19,'LV &amp; HV augex'!$D$9:$P$9,0))*INDEX('LV &amp; HV augex'!$D$28:$J$52,MATCH($B104,'LV &amp; HV augex'!$L$28:$L$52,0),MATCH($C104,'LV &amp; HV augex'!$D$27:$J$27,0)),0)*'Financial inputs'!$D$11</f>
        <v>23889.09158570271</v>
      </c>
      <c r="H104" s="40">
        <f>IFERROR(INDEX('LV &amp; HV augex'!$D$10:$P$18,MATCH($C104,'LV &amp; HV augex'!$C$10:$C$18,0),MATCH(H$19,'LV &amp; HV augex'!$D$9:$P$9,0))*INDEX('LV &amp; HV augex'!$D$28:$J$52,MATCH($B104,'LV &amp; HV augex'!$L$28:$L$52,0),MATCH($C104,'LV &amp; HV augex'!$D$27:$J$27,0)),0)*'Financial inputs'!$D$11</f>
        <v>23889.09158570271</v>
      </c>
      <c r="I104" s="40">
        <f>IFERROR(INDEX('LV &amp; HV augex'!$D$10:$P$18,MATCH($C104,'LV &amp; HV augex'!$C$10:$C$18,0),MATCH(I$19,'LV &amp; HV augex'!$D$9:$P$9,0))*INDEX('LV &amp; HV augex'!$D$28:$J$52,MATCH($B104,'LV &amp; HV augex'!$L$28:$L$52,0),MATCH($C104,'LV &amp; HV augex'!$D$27:$J$27,0)),0)*'Financial inputs'!$D$11</f>
        <v>23889.09158570271</v>
      </c>
      <c r="J104" s="40">
        <f>IFERROR(INDEX('LV &amp; HV augex'!$D$10:$P$18,MATCH($C104,'LV &amp; HV augex'!$C$10:$C$18,0),MATCH(J$19,'LV &amp; HV augex'!$D$9:$P$9,0))*INDEX('LV &amp; HV augex'!$D$28:$J$52,MATCH($B104,'LV &amp; HV augex'!$L$28:$L$52,0),MATCH($C104,'LV &amp; HV augex'!$D$27:$J$27,0)),0)*'Financial inputs'!$D$11</f>
        <v>23889.09158570271</v>
      </c>
      <c r="K104" s="40">
        <f>IFERROR(INDEX('LV &amp; HV augex'!$D$10:$P$18,MATCH($C104,'LV &amp; HV augex'!$C$10:$C$18,0),MATCH(K$19,'LV &amp; HV augex'!$D$9:$P$9,0))*INDEX('LV &amp; HV augex'!$D$28:$J$52,MATCH($B104,'LV &amp; HV augex'!$L$28:$L$52,0),MATCH($C104,'LV &amp; HV augex'!$D$27:$J$27,0)),0)*'Financial inputs'!$D$11</f>
        <v>23889.09158570271</v>
      </c>
      <c r="L104" s="40">
        <f>IFERROR(INDEX('LV &amp; HV augex'!$D$10:$P$18,MATCH($C104,'LV &amp; HV augex'!$C$10:$C$18,0),MATCH(L$19,'LV &amp; HV augex'!$D$9:$P$9,0))*INDEX('LV &amp; HV augex'!$D$28:$J$52,MATCH($B104,'LV &amp; HV augex'!$L$28:$L$52,0),MATCH($C104,'LV &amp; HV augex'!$D$27:$J$27,0)),0)*'Financial inputs'!$D$11</f>
        <v>23889.09158570271</v>
      </c>
      <c r="M104" s="40">
        <f>IFERROR(INDEX('LV &amp; HV augex'!$D$10:$P$18,MATCH($C104,'LV &amp; HV augex'!$C$10:$C$18,0),MATCH(M$19,'LV &amp; HV augex'!$D$9:$P$9,0))*INDEX('LV &amp; HV augex'!$D$28:$J$52,MATCH($B104,'LV &amp; HV augex'!$L$28:$L$52,0),MATCH($C104,'LV &amp; HV augex'!$D$27:$J$27,0)),0)*'Financial inputs'!$D$11</f>
        <v>23889.09158570271</v>
      </c>
      <c r="N104" s="40">
        <f>IFERROR(INDEX('LV &amp; HV augex'!$D$10:$P$18,MATCH($C104,'LV &amp; HV augex'!$C$10:$C$18,0),MATCH(N$19,'LV &amp; HV augex'!$D$9:$P$9,0))*INDEX('LV &amp; HV augex'!$D$28:$J$52,MATCH($B104,'LV &amp; HV augex'!$L$28:$L$52,0),MATCH($C104,'LV &amp; HV augex'!$D$27:$J$27,0)),0)*'Financial inputs'!$D$11</f>
        <v>23889.09158570271</v>
      </c>
      <c r="O104" s="40">
        <f>IFERROR(INDEX('LV &amp; HV augex'!$D$10:$P$18,MATCH($C104,'LV &amp; HV augex'!$C$10:$C$18,0),MATCH(O$19,'LV &amp; HV augex'!$D$9:$P$9,0))*INDEX('LV &amp; HV augex'!$D$28:$J$52,MATCH($B104,'LV &amp; HV augex'!$L$28:$L$52,0),MATCH($C104,'LV &amp; HV augex'!$D$27:$J$27,0)),0)*'Financial inputs'!$D$11</f>
        <v>23889.09158570271</v>
      </c>
      <c r="P104" s="40">
        <f>IFERROR(INDEX('LV &amp; HV augex'!$D$10:$P$18,MATCH($C104,'LV &amp; HV augex'!$C$10:$C$18,0),MATCH(P$19,'LV &amp; HV augex'!$D$9:$P$9,0))*INDEX('LV &amp; HV augex'!$D$28:$J$52,MATCH($B104,'LV &amp; HV augex'!$L$28:$L$52,0),MATCH($C104,'LV &amp; HV augex'!$D$27:$J$27,0)),0)*'Financial inputs'!$D$11</f>
        <v>23889.09158570271</v>
      </c>
    </row>
    <row r="105" spans="2:16" ht="15.5">
      <c r="B105" s="2" t="str">
        <f t="shared" si="5"/>
        <v>Lower North Shore</v>
      </c>
      <c r="C105" s="35" t="str" cm="1">
        <f t="array" ref="C105">INDEX(augex_categories,COUNTIFS($B$20:$B105,$B$20))</f>
        <v>LV Load Survey</v>
      </c>
      <c r="D105" s="35" t="str">
        <f>IF(COUNTIF('LV &amp; HV augex'!$C$10:$C$13,C105), "LV", IF(COUNTIF('LV &amp; HV augex'!$C$15:$C$17, C105), "HV", "Error"))</f>
        <v>LV</v>
      </c>
      <c r="E105" s="35" t="str">
        <f>INDEX('Growing &amp; falling'!$D$14:$D$39,MATCH($B105,'Growing &amp; falling'!$B$14:$B$39,0))</f>
        <v>Growth</v>
      </c>
      <c r="F105" s="35" t="str">
        <f t="shared" si="6"/>
        <v>$2024 real</v>
      </c>
      <c r="G105" s="40">
        <f>IFERROR(INDEX('LV &amp; HV augex'!$D$10:$P$18,MATCH($C105,'LV &amp; HV augex'!$C$10:$C$18,0),MATCH(G$19,'LV &amp; HV augex'!$D$9:$P$9,0))*INDEX('LV &amp; HV augex'!$D$28:$J$52,MATCH($B105,'LV &amp; HV augex'!$L$28:$L$52,0),MATCH($C105,'LV &amp; HV augex'!$D$27:$J$27,0)),0)*'Financial inputs'!$D$11</f>
        <v>31448.930695102303</v>
      </c>
      <c r="H105" s="40">
        <f>IFERROR(INDEX('LV &amp; HV augex'!$D$10:$P$18,MATCH($C105,'LV &amp; HV augex'!$C$10:$C$18,0),MATCH(H$19,'LV &amp; HV augex'!$D$9:$P$9,0))*INDEX('LV &amp; HV augex'!$D$28:$J$52,MATCH($B105,'LV &amp; HV augex'!$L$28:$L$52,0),MATCH($C105,'LV &amp; HV augex'!$D$27:$J$27,0)),0)*'Financial inputs'!$D$11</f>
        <v>31448.930695102303</v>
      </c>
      <c r="I105" s="40">
        <f>IFERROR(INDEX('LV &amp; HV augex'!$D$10:$P$18,MATCH($C105,'LV &amp; HV augex'!$C$10:$C$18,0),MATCH(I$19,'LV &amp; HV augex'!$D$9:$P$9,0))*INDEX('LV &amp; HV augex'!$D$28:$J$52,MATCH($B105,'LV &amp; HV augex'!$L$28:$L$52,0),MATCH($C105,'LV &amp; HV augex'!$D$27:$J$27,0)),0)*'Financial inputs'!$D$11</f>
        <v>31448.930695102303</v>
      </c>
      <c r="J105" s="40">
        <f>IFERROR(INDEX('LV &amp; HV augex'!$D$10:$P$18,MATCH($C105,'LV &amp; HV augex'!$C$10:$C$18,0),MATCH(J$19,'LV &amp; HV augex'!$D$9:$P$9,0))*INDEX('LV &amp; HV augex'!$D$28:$J$52,MATCH($B105,'LV &amp; HV augex'!$L$28:$L$52,0),MATCH($C105,'LV &amp; HV augex'!$D$27:$J$27,0)),0)*'Financial inputs'!$D$11</f>
        <v>31448.930695102303</v>
      </c>
      <c r="K105" s="40">
        <f>IFERROR(INDEX('LV &amp; HV augex'!$D$10:$P$18,MATCH($C105,'LV &amp; HV augex'!$C$10:$C$18,0),MATCH(K$19,'LV &amp; HV augex'!$D$9:$P$9,0))*INDEX('LV &amp; HV augex'!$D$28:$J$52,MATCH($B105,'LV &amp; HV augex'!$L$28:$L$52,0),MATCH($C105,'LV &amp; HV augex'!$D$27:$J$27,0)),0)*'Financial inputs'!$D$11</f>
        <v>31448.930695102303</v>
      </c>
      <c r="L105" s="40">
        <f>IFERROR(INDEX('LV &amp; HV augex'!$D$10:$P$18,MATCH($C105,'LV &amp; HV augex'!$C$10:$C$18,0),MATCH(L$19,'LV &amp; HV augex'!$D$9:$P$9,0))*INDEX('LV &amp; HV augex'!$D$28:$J$52,MATCH($B105,'LV &amp; HV augex'!$L$28:$L$52,0),MATCH($C105,'LV &amp; HV augex'!$D$27:$J$27,0)),0)*'Financial inputs'!$D$11</f>
        <v>31448.930695102303</v>
      </c>
      <c r="M105" s="40">
        <f>IFERROR(INDEX('LV &amp; HV augex'!$D$10:$P$18,MATCH($C105,'LV &amp; HV augex'!$C$10:$C$18,0),MATCH(M$19,'LV &amp; HV augex'!$D$9:$P$9,0))*INDEX('LV &amp; HV augex'!$D$28:$J$52,MATCH($B105,'LV &amp; HV augex'!$L$28:$L$52,0),MATCH($C105,'LV &amp; HV augex'!$D$27:$J$27,0)),0)*'Financial inputs'!$D$11</f>
        <v>31448.930695102303</v>
      </c>
      <c r="N105" s="40">
        <f>IFERROR(INDEX('LV &amp; HV augex'!$D$10:$P$18,MATCH($C105,'LV &amp; HV augex'!$C$10:$C$18,0),MATCH(N$19,'LV &amp; HV augex'!$D$9:$P$9,0))*INDEX('LV &amp; HV augex'!$D$28:$J$52,MATCH($B105,'LV &amp; HV augex'!$L$28:$L$52,0),MATCH($C105,'LV &amp; HV augex'!$D$27:$J$27,0)),0)*'Financial inputs'!$D$11</f>
        <v>31448.930695102303</v>
      </c>
      <c r="O105" s="40">
        <f>IFERROR(INDEX('LV &amp; HV augex'!$D$10:$P$18,MATCH($C105,'LV &amp; HV augex'!$C$10:$C$18,0),MATCH(O$19,'LV &amp; HV augex'!$D$9:$P$9,0))*INDEX('LV &amp; HV augex'!$D$28:$J$52,MATCH($B105,'LV &amp; HV augex'!$L$28:$L$52,0),MATCH($C105,'LV &amp; HV augex'!$D$27:$J$27,0)),0)*'Financial inputs'!$D$11</f>
        <v>31448.930695102303</v>
      </c>
      <c r="P105" s="40">
        <f>IFERROR(INDEX('LV &amp; HV augex'!$D$10:$P$18,MATCH($C105,'LV &amp; HV augex'!$C$10:$C$18,0),MATCH(P$19,'LV &amp; HV augex'!$D$9:$P$9,0))*INDEX('LV &amp; HV augex'!$D$28:$J$52,MATCH($B105,'LV &amp; HV augex'!$L$28:$L$52,0),MATCH($C105,'LV &amp; HV augex'!$D$27:$J$27,0)),0)*'Financial inputs'!$D$11</f>
        <v>31448.930695102303</v>
      </c>
    </row>
    <row r="106" spans="2:16" ht="15.5">
      <c r="B106" s="2" t="str">
        <f t="shared" si="5"/>
        <v>Maitland</v>
      </c>
      <c r="C106" s="35" t="str" cm="1">
        <f t="array" ref="C106">INDEX(augex_categories,COUNTIFS($B$20:$B106,$B$20))</f>
        <v>LV Load Survey</v>
      </c>
      <c r="D106" s="35" t="str">
        <f>IF(COUNTIF('LV &amp; HV augex'!$C$10:$C$13,C106), "LV", IF(COUNTIF('LV &amp; HV augex'!$C$15:$C$17, C106), "HV", "Error"))</f>
        <v>LV</v>
      </c>
      <c r="E106" s="35" t="str">
        <f>INDEX('Growing &amp; falling'!$D$14:$D$39,MATCH($B106,'Growing &amp; falling'!$B$14:$B$39,0))</f>
        <v>Growth</v>
      </c>
      <c r="F106" s="35" t="str">
        <f t="shared" si="6"/>
        <v>$2024 real</v>
      </c>
      <c r="G106" s="40">
        <f>IFERROR(INDEX('LV &amp; HV augex'!$D$10:$P$18,MATCH($C106,'LV &amp; HV augex'!$C$10:$C$18,0),MATCH(G$19,'LV &amp; HV augex'!$D$9:$P$9,0))*INDEX('LV &amp; HV augex'!$D$28:$J$52,MATCH($B106,'LV &amp; HV augex'!$L$28:$L$52,0),MATCH($C106,'LV &amp; HV augex'!$D$27:$J$27,0)),0)*'Financial inputs'!$D$11</f>
        <v>32658.504952606232</v>
      </c>
      <c r="H106" s="40">
        <f>IFERROR(INDEX('LV &amp; HV augex'!$D$10:$P$18,MATCH($C106,'LV &amp; HV augex'!$C$10:$C$18,0),MATCH(H$19,'LV &amp; HV augex'!$D$9:$P$9,0))*INDEX('LV &amp; HV augex'!$D$28:$J$52,MATCH($B106,'LV &amp; HV augex'!$L$28:$L$52,0),MATCH($C106,'LV &amp; HV augex'!$D$27:$J$27,0)),0)*'Financial inputs'!$D$11</f>
        <v>32658.504952606232</v>
      </c>
      <c r="I106" s="40">
        <f>IFERROR(INDEX('LV &amp; HV augex'!$D$10:$P$18,MATCH($C106,'LV &amp; HV augex'!$C$10:$C$18,0),MATCH(I$19,'LV &amp; HV augex'!$D$9:$P$9,0))*INDEX('LV &amp; HV augex'!$D$28:$J$52,MATCH($B106,'LV &amp; HV augex'!$L$28:$L$52,0),MATCH($C106,'LV &amp; HV augex'!$D$27:$J$27,0)),0)*'Financial inputs'!$D$11</f>
        <v>32658.504952606232</v>
      </c>
      <c r="J106" s="40">
        <f>IFERROR(INDEX('LV &amp; HV augex'!$D$10:$P$18,MATCH($C106,'LV &amp; HV augex'!$C$10:$C$18,0),MATCH(J$19,'LV &amp; HV augex'!$D$9:$P$9,0))*INDEX('LV &amp; HV augex'!$D$28:$J$52,MATCH($B106,'LV &amp; HV augex'!$L$28:$L$52,0),MATCH($C106,'LV &amp; HV augex'!$D$27:$J$27,0)),0)*'Financial inputs'!$D$11</f>
        <v>32658.504952606232</v>
      </c>
      <c r="K106" s="40">
        <f>IFERROR(INDEX('LV &amp; HV augex'!$D$10:$P$18,MATCH($C106,'LV &amp; HV augex'!$C$10:$C$18,0),MATCH(K$19,'LV &amp; HV augex'!$D$9:$P$9,0))*INDEX('LV &amp; HV augex'!$D$28:$J$52,MATCH($B106,'LV &amp; HV augex'!$L$28:$L$52,0),MATCH($C106,'LV &amp; HV augex'!$D$27:$J$27,0)),0)*'Financial inputs'!$D$11</f>
        <v>32658.504952606232</v>
      </c>
      <c r="L106" s="40">
        <f>IFERROR(INDEX('LV &amp; HV augex'!$D$10:$P$18,MATCH($C106,'LV &amp; HV augex'!$C$10:$C$18,0),MATCH(L$19,'LV &amp; HV augex'!$D$9:$P$9,0))*INDEX('LV &amp; HV augex'!$D$28:$J$52,MATCH($B106,'LV &amp; HV augex'!$L$28:$L$52,0),MATCH($C106,'LV &amp; HV augex'!$D$27:$J$27,0)),0)*'Financial inputs'!$D$11</f>
        <v>32658.504952606232</v>
      </c>
      <c r="M106" s="40">
        <f>IFERROR(INDEX('LV &amp; HV augex'!$D$10:$P$18,MATCH($C106,'LV &amp; HV augex'!$C$10:$C$18,0),MATCH(M$19,'LV &amp; HV augex'!$D$9:$P$9,0))*INDEX('LV &amp; HV augex'!$D$28:$J$52,MATCH($B106,'LV &amp; HV augex'!$L$28:$L$52,0),MATCH($C106,'LV &amp; HV augex'!$D$27:$J$27,0)),0)*'Financial inputs'!$D$11</f>
        <v>32658.504952606232</v>
      </c>
      <c r="N106" s="40">
        <f>IFERROR(INDEX('LV &amp; HV augex'!$D$10:$P$18,MATCH($C106,'LV &amp; HV augex'!$C$10:$C$18,0),MATCH(N$19,'LV &amp; HV augex'!$D$9:$P$9,0))*INDEX('LV &amp; HV augex'!$D$28:$J$52,MATCH($B106,'LV &amp; HV augex'!$L$28:$L$52,0),MATCH($C106,'LV &amp; HV augex'!$D$27:$J$27,0)),0)*'Financial inputs'!$D$11</f>
        <v>32658.504952606232</v>
      </c>
      <c r="O106" s="40">
        <f>IFERROR(INDEX('LV &amp; HV augex'!$D$10:$P$18,MATCH($C106,'LV &amp; HV augex'!$C$10:$C$18,0),MATCH(O$19,'LV &amp; HV augex'!$D$9:$P$9,0))*INDEX('LV &amp; HV augex'!$D$28:$J$52,MATCH($B106,'LV &amp; HV augex'!$L$28:$L$52,0),MATCH($C106,'LV &amp; HV augex'!$D$27:$J$27,0)),0)*'Financial inputs'!$D$11</f>
        <v>32658.504952606232</v>
      </c>
      <c r="P106" s="40">
        <f>IFERROR(INDEX('LV &amp; HV augex'!$D$10:$P$18,MATCH($C106,'LV &amp; HV augex'!$C$10:$C$18,0),MATCH(P$19,'LV &amp; HV augex'!$D$9:$P$9,0))*INDEX('LV &amp; HV augex'!$D$28:$J$52,MATCH($B106,'LV &amp; HV augex'!$L$28:$L$52,0),MATCH($C106,'LV &amp; HV augex'!$D$27:$J$27,0)),0)*'Financial inputs'!$D$11</f>
        <v>32658.504952606232</v>
      </c>
    </row>
    <row r="107" spans="2:16" ht="15.5">
      <c r="B107" s="2" t="str">
        <f t="shared" si="5"/>
        <v>Manly Warringah</v>
      </c>
      <c r="C107" s="35" t="str" cm="1">
        <f t="array" ref="C107">INDEX(augex_categories,COUNTIFS($B$20:$B107,$B$20))</f>
        <v>LV Load Survey</v>
      </c>
      <c r="D107" s="35" t="str">
        <f>IF(COUNTIF('LV &amp; HV augex'!$C$10:$C$13,C107), "LV", IF(COUNTIF('LV &amp; HV augex'!$C$15:$C$17, C107), "HV", "Error"))</f>
        <v>LV</v>
      </c>
      <c r="E107" s="35" t="str">
        <f>INDEX('Growing &amp; falling'!$D$14:$D$39,MATCH($B107,'Growing &amp; falling'!$B$14:$B$39,0))</f>
        <v>Growth</v>
      </c>
      <c r="F107" s="35" t="str">
        <f t="shared" si="6"/>
        <v>$2024 real</v>
      </c>
      <c r="G107" s="40">
        <f>IFERROR(INDEX('LV &amp; HV augex'!$D$10:$P$18,MATCH($C107,'LV &amp; HV augex'!$C$10:$C$18,0),MATCH(G$19,'LV &amp; HV augex'!$D$9:$P$9,0))*INDEX('LV &amp; HV augex'!$D$28:$J$52,MATCH($B107,'LV &amp; HV augex'!$L$28:$L$52,0),MATCH($C107,'LV &amp; HV augex'!$D$27:$J$27,0)),0)*'Financial inputs'!$D$11</f>
        <v>13910.103961295248</v>
      </c>
      <c r="H107" s="40">
        <f>IFERROR(INDEX('LV &amp; HV augex'!$D$10:$P$18,MATCH($C107,'LV &amp; HV augex'!$C$10:$C$18,0),MATCH(H$19,'LV &amp; HV augex'!$D$9:$P$9,0))*INDEX('LV &amp; HV augex'!$D$28:$J$52,MATCH($B107,'LV &amp; HV augex'!$L$28:$L$52,0),MATCH($C107,'LV &amp; HV augex'!$D$27:$J$27,0)),0)*'Financial inputs'!$D$11</f>
        <v>13910.103961295248</v>
      </c>
      <c r="I107" s="40">
        <f>IFERROR(INDEX('LV &amp; HV augex'!$D$10:$P$18,MATCH($C107,'LV &amp; HV augex'!$C$10:$C$18,0),MATCH(I$19,'LV &amp; HV augex'!$D$9:$P$9,0))*INDEX('LV &amp; HV augex'!$D$28:$J$52,MATCH($B107,'LV &amp; HV augex'!$L$28:$L$52,0),MATCH($C107,'LV &amp; HV augex'!$D$27:$J$27,0)),0)*'Financial inputs'!$D$11</f>
        <v>13910.103961295248</v>
      </c>
      <c r="J107" s="40">
        <f>IFERROR(INDEX('LV &amp; HV augex'!$D$10:$P$18,MATCH($C107,'LV &amp; HV augex'!$C$10:$C$18,0),MATCH(J$19,'LV &amp; HV augex'!$D$9:$P$9,0))*INDEX('LV &amp; HV augex'!$D$28:$J$52,MATCH($B107,'LV &amp; HV augex'!$L$28:$L$52,0),MATCH($C107,'LV &amp; HV augex'!$D$27:$J$27,0)),0)*'Financial inputs'!$D$11</f>
        <v>13910.103961295248</v>
      </c>
      <c r="K107" s="40">
        <f>IFERROR(INDEX('LV &amp; HV augex'!$D$10:$P$18,MATCH($C107,'LV &amp; HV augex'!$C$10:$C$18,0),MATCH(K$19,'LV &amp; HV augex'!$D$9:$P$9,0))*INDEX('LV &amp; HV augex'!$D$28:$J$52,MATCH($B107,'LV &amp; HV augex'!$L$28:$L$52,0),MATCH($C107,'LV &amp; HV augex'!$D$27:$J$27,0)),0)*'Financial inputs'!$D$11</f>
        <v>13910.103961295248</v>
      </c>
      <c r="L107" s="40">
        <f>IFERROR(INDEX('LV &amp; HV augex'!$D$10:$P$18,MATCH($C107,'LV &amp; HV augex'!$C$10:$C$18,0),MATCH(L$19,'LV &amp; HV augex'!$D$9:$P$9,0))*INDEX('LV &amp; HV augex'!$D$28:$J$52,MATCH($B107,'LV &amp; HV augex'!$L$28:$L$52,0),MATCH($C107,'LV &amp; HV augex'!$D$27:$J$27,0)),0)*'Financial inputs'!$D$11</f>
        <v>13910.103961295248</v>
      </c>
      <c r="M107" s="40">
        <f>IFERROR(INDEX('LV &amp; HV augex'!$D$10:$P$18,MATCH($C107,'LV &amp; HV augex'!$C$10:$C$18,0),MATCH(M$19,'LV &amp; HV augex'!$D$9:$P$9,0))*INDEX('LV &amp; HV augex'!$D$28:$J$52,MATCH($B107,'LV &amp; HV augex'!$L$28:$L$52,0),MATCH($C107,'LV &amp; HV augex'!$D$27:$J$27,0)),0)*'Financial inputs'!$D$11</f>
        <v>13910.103961295248</v>
      </c>
      <c r="N107" s="40">
        <f>IFERROR(INDEX('LV &amp; HV augex'!$D$10:$P$18,MATCH($C107,'LV &amp; HV augex'!$C$10:$C$18,0),MATCH(N$19,'LV &amp; HV augex'!$D$9:$P$9,0))*INDEX('LV &amp; HV augex'!$D$28:$J$52,MATCH($B107,'LV &amp; HV augex'!$L$28:$L$52,0),MATCH($C107,'LV &amp; HV augex'!$D$27:$J$27,0)),0)*'Financial inputs'!$D$11</f>
        <v>13910.103961295248</v>
      </c>
      <c r="O107" s="40">
        <f>IFERROR(INDEX('LV &amp; HV augex'!$D$10:$P$18,MATCH($C107,'LV &amp; HV augex'!$C$10:$C$18,0),MATCH(O$19,'LV &amp; HV augex'!$D$9:$P$9,0))*INDEX('LV &amp; HV augex'!$D$28:$J$52,MATCH($B107,'LV &amp; HV augex'!$L$28:$L$52,0),MATCH($C107,'LV &amp; HV augex'!$D$27:$J$27,0)),0)*'Financial inputs'!$D$11</f>
        <v>13910.103961295248</v>
      </c>
      <c r="P107" s="40">
        <f>IFERROR(INDEX('LV &amp; HV augex'!$D$10:$P$18,MATCH($C107,'LV &amp; HV augex'!$C$10:$C$18,0),MATCH(P$19,'LV &amp; HV augex'!$D$9:$P$9,0))*INDEX('LV &amp; HV augex'!$D$28:$J$52,MATCH($B107,'LV &amp; HV augex'!$L$28:$L$52,0),MATCH($C107,'LV &amp; HV augex'!$D$27:$J$27,0)),0)*'Financial inputs'!$D$11</f>
        <v>13910.103961295248</v>
      </c>
    </row>
    <row r="108" spans="2:16" ht="15.5">
      <c r="B108" s="2" t="str">
        <f t="shared" si="5"/>
        <v>Newcastle Inner City</v>
      </c>
      <c r="C108" s="35" t="str" cm="1">
        <f t="array" ref="C108">INDEX(augex_categories,COUNTIFS($B$20:$B108,$B$20))</f>
        <v>LV Load Survey</v>
      </c>
      <c r="D108" s="35" t="str">
        <f>IF(COUNTIF('LV &amp; HV augex'!$C$10:$C$13,C108), "LV", IF(COUNTIF('LV &amp; HV augex'!$C$15:$C$17, C108), "HV", "Error"))</f>
        <v>LV</v>
      </c>
      <c r="E108" s="35" t="str">
        <f>INDEX('Growing &amp; falling'!$D$14:$D$39,MATCH($B108,'Growing &amp; falling'!$B$14:$B$39,0))</f>
        <v>Decline</v>
      </c>
      <c r="F108" s="35" t="str">
        <f t="shared" si="6"/>
        <v>$2024 real</v>
      </c>
      <c r="G108" s="40">
        <f>IFERROR(INDEX('LV &amp; HV augex'!$D$10:$P$18,MATCH($C108,'LV &amp; HV augex'!$C$10:$C$18,0),MATCH(G$19,'LV &amp; HV augex'!$D$9:$P$9,0))*INDEX('LV &amp; HV augex'!$D$28:$J$52,MATCH($B108,'LV &amp; HV augex'!$L$28:$L$52,0),MATCH($C108,'LV &amp; HV augex'!$D$27:$J$27,0)),0)*'Financial inputs'!$D$11</f>
        <v>25098.665843206643</v>
      </c>
      <c r="H108" s="40">
        <f>IFERROR(INDEX('LV &amp; HV augex'!$D$10:$P$18,MATCH($C108,'LV &amp; HV augex'!$C$10:$C$18,0),MATCH(H$19,'LV &amp; HV augex'!$D$9:$P$9,0))*INDEX('LV &amp; HV augex'!$D$28:$J$52,MATCH($B108,'LV &amp; HV augex'!$L$28:$L$52,0),MATCH($C108,'LV &amp; HV augex'!$D$27:$J$27,0)),0)*'Financial inputs'!$D$11</f>
        <v>25098.665843206643</v>
      </c>
      <c r="I108" s="40">
        <f>IFERROR(INDEX('LV &amp; HV augex'!$D$10:$P$18,MATCH($C108,'LV &amp; HV augex'!$C$10:$C$18,0),MATCH(I$19,'LV &amp; HV augex'!$D$9:$P$9,0))*INDEX('LV &amp; HV augex'!$D$28:$J$52,MATCH($B108,'LV &amp; HV augex'!$L$28:$L$52,0),MATCH($C108,'LV &amp; HV augex'!$D$27:$J$27,0)),0)*'Financial inputs'!$D$11</f>
        <v>25098.665843206643</v>
      </c>
      <c r="J108" s="40">
        <f>IFERROR(INDEX('LV &amp; HV augex'!$D$10:$P$18,MATCH($C108,'LV &amp; HV augex'!$C$10:$C$18,0),MATCH(J$19,'LV &amp; HV augex'!$D$9:$P$9,0))*INDEX('LV &amp; HV augex'!$D$28:$J$52,MATCH($B108,'LV &amp; HV augex'!$L$28:$L$52,0),MATCH($C108,'LV &amp; HV augex'!$D$27:$J$27,0)),0)*'Financial inputs'!$D$11</f>
        <v>25098.665843206643</v>
      </c>
      <c r="K108" s="40">
        <f>IFERROR(INDEX('LV &amp; HV augex'!$D$10:$P$18,MATCH($C108,'LV &amp; HV augex'!$C$10:$C$18,0),MATCH(K$19,'LV &amp; HV augex'!$D$9:$P$9,0))*INDEX('LV &amp; HV augex'!$D$28:$J$52,MATCH($B108,'LV &amp; HV augex'!$L$28:$L$52,0),MATCH($C108,'LV &amp; HV augex'!$D$27:$J$27,0)),0)*'Financial inputs'!$D$11</f>
        <v>25098.665843206643</v>
      </c>
      <c r="L108" s="40">
        <f>IFERROR(INDEX('LV &amp; HV augex'!$D$10:$P$18,MATCH($C108,'LV &amp; HV augex'!$C$10:$C$18,0),MATCH(L$19,'LV &amp; HV augex'!$D$9:$P$9,0))*INDEX('LV &amp; HV augex'!$D$28:$J$52,MATCH($B108,'LV &amp; HV augex'!$L$28:$L$52,0),MATCH($C108,'LV &amp; HV augex'!$D$27:$J$27,0)),0)*'Financial inputs'!$D$11</f>
        <v>25098.665843206643</v>
      </c>
      <c r="M108" s="40">
        <f>IFERROR(INDEX('LV &amp; HV augex'!$D$10:$P$18,MATCH($C108,'LV &amp; HV augex'!$C$10:$C$18,0),MATCH(M$19,'LV &amp; HV augex'!$D$9:$P$9,0))*INDEX('LV &amp; HV augex'!$D$28:$J$52,MATCH($B108,'LV &amp; HV augex'!$L$28:$L$52,0),MATCH($C108,'LV &amp; HV augex'!$D$27:$J$27,0)),0)*'Financial inputs'!$D$11</f>
        <v>25098.665843206643</v>
      </c>
      <c r="N108" s="40">
        <f>IFERROR(INDEX('LV &amp; HV augex'!$D$10:$P$18,MATCH($C108,'LV &amp; HV augex'!$C$10:$C$18,0),MATCH(N$19,'LV &amp; HV augex'!$D$9:$P$9,0))*INDEX('LV &amp; HV augex'!$D$28:$J$52,MATCH($B108,'LV &amp; HV augex'!$L$28:$L$52,0),MATCH($C108,'LV &amp; HV augex'!$D$27:$J$27,0)),0)*'Financial inputs'!$D$11</f>
        <v>25098.665843206643</v>
      </c>
      <c r="O108" s="40">
        <f>IFERROR(INDEX('LV &amp; HV augex'!$D$10:$P$18,MATCH($C108,'LV &amp; HV augex'!$C$10:$C$18,0),MATCH(O$19,'LV &amp; HV augex'!$D$9:$P$9,0))*INDEX('LV &amp; HV augex'!$D$28:$J$52,MATCH($B108,'LV &amp; HV augex'!$L$28:$L$52,0),MATCH($C108,'LV &amp; HV augex'!$D$27:$J$27,0)),0)*'Financial inputs'!$D$11</f>
        <v>25098.665843206643</v>
      </c>
      <c r="P108" s="40">
        <f>IFERROR(INDEX('LV &amp; HV augex'!$D$10:$P$18,MATCH($C108,'LV &amp; HV augex'!$C$10:$C$18,0),MATCH(P$19,'LV &amp; HV augex'!$D$9:$P$9,0))*INDEX('LV &amp; HV augex'!$D$28:$J$52,MATCH($B108,'LV &amp; HV augex'!$L$28:$L$52,0),MATCH($C108,'LV &amp; HV augex'!$D$27:$J$27,0)),0)*'Financial inputs'!$D$11</f>
        <v>25098.665843206643</v>
      </c>
    </row>
    <row r="109" spans="2:16" ht="15.5">
      <c r="B109" s="2" t="str">
        <f t="shared" si="5"/>
        <v>Newcastle Port</v>
      </c>
      <c r="C109" s="35" t="str" cm="1">
        <f t="array" ref="C109">INDEX(augex_categories,COUNTIFS($B$20:$B109,$B$20))</f>
        <v>LV Load Survey</v>
      </c>
      <c r="D109" s="35" t="str">
        <f>IF(COUNTIF('LV &amp; HV augex'!$C$10:$C$13,C109), "LV", IF(COUNTIF('LV &amp; HV augex'!$C$15:$C$17, C109), "HV", "Error"))</f>
        <v>LV</v>
      </c>
      <c r="E109" s="35" t="str">
        <f>INDEX('Growing &amp; falling'!$D$14:$D$39,MATCH($B109,'Growing &amp; falling'!$B$14:$B$39,0))</f>
        <v>Growth</v>
      </c>
      <c r="F109" s="35" t="str">
        <f t="shared" si="6"/>
        <v>$2024 real</v>
      </c>
      <c r="G109" s="40">
        <f>IFERROR(INDEX('LV &amp; HV augex'!$D$10:$P$18,MATCH($C109,'LV &amp; HV augex'!$C$10:$C$18,0),MATCH(G$19,'LV &amp; HV augex'!$D$9:$P$9,0))*INDEX('LV &amp; HV augex'!$D$28:$J$52,MATCH($B109,'LV &amp; HV augex'!$L$28:$L$52,0),MATCH($C109,'LV &amp; HV augex'!$D$27:$J$27,0)),0)*'Financial inputs'!$D$11</f>
        <v>11793.349010663362</v>
      </c>
      <c r="H109" s="40">
        <f>IFERROR(INDEX('LV &amp; HV augex'!$D$10:$P$18,MATCH($C109,'LV &amp; HV augex'!$C$10:$C$18,0),MATCH(H$19,'LV &amp; HV augex'!$D$9:$P$9,0))*INDEX('LV &amp; HV augex'!$D$28:$J$52,MATCH($B109,'LV &amp; HV augex'!$L$28:$L$52,0),MATCH($C109,'LV &amp; HV augex'!$D$27:$J$27,0)),0)*'Financial inputs'!$D$11</f>
        <v>11793.349010663362</v>
      </c>
      <c r="I109" s="40">
        <f>IFERROR(INDEX('LV &amp; HV augex'!$D$10:$P$18,MATCH($C109,'LV &amp; HV augex'!$C$10:$C$18,0),MATCH(I$19,'LV &amp; HV augex'!$D$9:$P$9,0))*INDEX('LV &amp; HV augex'!$D$28:$J$52,MATCH($B109,'LV &amp; HV augex'!$L$28:$L$52,0),MATCH($C109,'LV &amp; HV augex'!$D$27:$J$27,0)),0)*'Financial inputs'!$D$11</f>
        <v>11793.349010663362</v>
      </c>
      <c r="J109" s="40">
        <f>IFERROR(INDEX('LV &amp; HV augex'!$D$10:$P$18,MATCH($C109,'LV &amp; HV augex'!$C$10:$C$18,0),MATCH(J$19,'LV &amp; HV augex'!$D$9:$P$9,0))*INDEX('LV &amp; HV augex'!$D$28:$J$52,MATCH($B109,'LV &amp; HV augex'!$L$28:$L$52,0),MATCH($C109,'LV &amp; HV augex'!$D$27:$J$27,0)),0)*'Financial inputs'!$D$11</f>
        <v>11793.349010663362</v>
      </c>
      <c r="K109" s="40">
        <f>IFERROR(INDEX('LV &amp; HV augex'!$D$10:$P$18,MATCH($C109,'LV &amp; HV augex'!$C$10:$C$18,0),MATCH(K$19,'LV &amp; HV augex'!$D$9:$P$9,0))*INDEX('LV &amp; HV augex'!$D$28:$J$52,MATCH($B109,'LV &amp; HV augex'!$L$28:$L$52,0),MATCH($C109,'LV &amp; HV augex'!$D$27:$J$27,0)),0)*'Financial inputs'!$D$11</f>
        <v>11793.349010663362</v>
      </c>
      <c r="L109" s="40">
        <f>IFERROR(INDEX('LV &amp; HV augex'!$D$10:$P$18,MATCH($C109,'LV &amp; HV augex'!$C$10:$C$18,0),MATCH(L$19,'LV &amp; HV augex'!$D$9:$P$9,0))*INDEX('LV &amp; HV augex'!$D$28:$J$52,MATCH($B109,'LV &amp; HV augex'!$L$28:$L$52,0),MATCH($C109,'LV &amp; HV augex'!$D$27:$J$27,0)),0)*'Financial inputs'!$D$11</f>
        <v>11793.349010663362</v>
      </c>
      <c r="M109" s="40">
        <f>IFERROR(INDEX('LV &amp; HV augex'!$D$10:$P$18,MATCH($C109,'LV &amp; HV augex'!$C$10:$C$18,0),MATCH(M$19,'LV &amp; HV augex'!$D$9:$P$9,0))*INDEX('LV &amp; HV augex'!$D$28:$J$52,MATCH($B109,'LV &amp; HV augex'!$L$28:$L$52,0),MATCH($C109,'LV &amp; HV augex'!$D$27:$J$27,0)),0)*'Financial inputs'!$D$11</f>
        <v>11793.349010663362</v>
      </c>
      <c r="N109" s="40">
        <f>IFERROR(INDEX('LV &amp; HV augex'!$D$10:$P$18,MATCH($C109,'LV &amp; HV augex'!$C$10:$C$18,0),MATCH(N$19,'LV &amp; HV augex'!$D$9:$P$9,0))*INDEX('LV &amp; HV augex'!$D$28:$J$52,MATCH($B109,'LV &amp; HV augex'!$L$28:$L$52,0),MATCH($C109,'LV &amp; HV augex'!$D$27:$J$27,0)),0)*'Financial inputs'!$D$11</f>
        <v>11793.349010663362</v>
      </c>
      <c r="O109" s="40">
        <f>IFERROR(INDEX('LV &amp; HV augex'!$D$10:$P$18,MATCH($C109,'LV &amp; HV augex'!$C$10:$C$18,0),MATCH(O$19,'LV &amp; HV augex'!$D$9:$P$9,0))*INDEX('LV &amp; HV augex'!$D$28:$J$52,MATCH($B109,'LV &amp; HV augex'!$L$28:$L$52,0),MATCH($C109,'LV &amp; HV augex'!$D$27:$J$27,0)),0)*'Financial inputs'!$D$11</f>
        <v>11793.349010663362</v>
      </c>
      <c r="P109" s="40">
        <f>IFERROR(INDEX('LV &amp; HV augex'!$D$10:$P$18,MATCH($C109,'LV &amp; HV augex'!$C$10:$C$18,0),MATCH(P$19,'LV &amp; HV augex'!$D$9:$P$9,0))*INDEX('LV &amp; HV augex'!$D$28:$J$52,MATCH($B109,'LV &amp; HV augex'!$L$28:$L$52,0),MATCH($C109,'LV &amp; HV augex'!$D$27:$J$27,0)),0)*'Financial inputs'!$D$11</f>
        <v>11793.349010663362</v>
      </c>
    </row>
    <row r="110" spans="2:16" ht="15.5">
      <c r="B110" s="2" t="str">
        <f t="shared" si="5"/>
        <v>Newcastle Western Corridor</v>
      </c>
      <c r="C110" s="35" t="str" cm="1">
        <f t="array" ref="C110">INDEX(augex_categories,COUNTIFS($B$20:$B110,$B$20))</f>
        <v>LV Load Survey</v>
      </c>
      <c r="D110" s="35" t="str">
        <f>IF(COUNTIF('LV &amp; HV augex'!$C$10:$C$13,C110), "LV", IF(COUNTIF('LV &amp; HV augex'!$C$15:$C$17, C110), "HV", "Error"))</f>
        <v>LV</v>
      </c>
      <c r="E110" s="35" t="str">
        <f>INDEX('Growing &amp; falling'!$D$14:$D$39,MATCH($B110,'Growing &amp; falling'!$B$14:$B$39,0))</f>
        <v>Decline</v>
      </c>
      <c r="F110" s="35" t="str">
        <f t="shared" si="6"/>
        <v>$2024 real</v>
      </c>
      <c r="G110" s="40">
        <f>IFERROR(INDEX('LV &amp; HV augex'!$D$10:$P$18,MATCH($C110,'LV &amp; HV augex'!$C$10:$C$18,0),MATCH(G$19,'LV &amp; HV augex'!$D$9:$P$9,0))*INDEX('LV &amp; HV augex'!$D$28:$J$52,MATCH($B110,'LV &amp; HV augex'!$L$28:$L$52,0),MATCH($C110,'LV &amp; HV augex'!$D$27:$J$27,0)),0)*'Financial inputs'!$D$11</f>
        <v>14212.497525671231</v>
      </c>
      <c r="H110" s="40">
        <f>IFERROR(INDEX('LV &amp; HV augex'!$D$10:$P$18,MATCH($C110,'LV &amp; HV augex'!$C$10:$C$18,0),MATCH(H$19,'LV &amp; HV augex'!$D$9:$P$9,0))*INDEX('LV &amp; HV augex'!$D$28:$J$52,MATCH($B110,'LV &amp; HV augex'!$L$28:$L$52,0),MATCH($C110,'LV &amp; HV augex'!$D$27:$J$27,0)),0)*'Financial inputs'!$D$11</f>
        <v>14212.497525671231</v>
      </c>
      <c r="I110" s="40">
        <f>IFERROR(INDEX('LV &amp; HV augex'!$D$10:$P$18,MATCH($C110,'LV &amp; HV augex'!$C$10:$C$18,0),MATCH(I$19,'LV &amp; HV augex'!$D$9:$P$9,0))*INDEX('LV &amp; HV augex'!$D$28:$J$52,MATCH($B110,'LV &amp; HV augex'!$L$28:$L$52,0),MATCH($C110,'LV &amp; HV augex'!$D$27:$J$27,0)),0)*'Financial inputs'!$D$11</f>
        <v>14212.497525671231</v>
      </c>
      <c r="J110" s="40">
        <f>IFERROR(INDEX('LV &amp; HV augex'!$D$10:$P$18,MATCH($C110,'LV &amp; HV augex'!$C$10:$C$18,0),MATCH(J$19,'LV &amp; HV augex'!$D$9:$P$9,0))*INDEX('LV &amp; HV augex'!$D$28:$J$52,MATCH($B110,'LV &amp; HV augex'!$L$28:$L$52,0),MATCH($C110,'LV &amp; HV augex'!$D$27:$J$27,0)),0)*'Financial inputs'!$D$11</f>
        <v>14212.497525671231</v>
      </c>
      <c r="K110" s="40">
        <f>IFERROR(INDEX('LV &amp; HV augex'!$D$10:$P$18,MATCH($C110,'LV &amp; HV augex'!$C$10:$C$18,0),MATCH(K$19,'LV &amp; HV augex'!$D$9:$P$9,0))*INDEX('LV &amp; HV augex'!$D$28:$J$52,MATCH($B110,'LV &amp; HV augex'!$L$28:$L$52,0),MATCH($C110,'LV &amp; HV augex'!$D$27:$J$27,0)),0)*'Financial inputs'!$D$11</f>
        <v>14212.497525671231</v>
      </c>
      <c r="L110" s="40">
        <f>IFERROR(INDEX('LV &amp; HV augex'!$D$10:$P$18,MATCH($C110,'LV &amp; HV augex'!$C$10:$C$18,0),MATCH(L$19,'LV &amp; HV augex'!$D$9:$P$9,0))*INDEX('LV &amp; HV augex'!$D$28:$J$52,MATCH($B110,'LV &amp; HV augex'!$L$28:$L$52,0),MATCH($C110,'LV &amp; HV augex'!$D$27:$J$27,0)),0)*'Financial inputs'!$D$11</f>
        <v>14212.497525671231</v>
      </c>
      <c r="M110" s="40">
        <f>IFERROR(INDEX('LV &amp; HV augex'!$D$10:$P$18,MATCH($C110,'LV &amp; HV augex'!$C$10:$C$18,0),MATCH(M$19,'LV &amp; HV augex'!$D$9:$P$9,0))*INDEX('LV &amp; HV augex'!$D$28:$J$52,MATCH($B110,'LV &amp; HV augex'!$L$28:$L$52,0),MATCH($C110,'LV &amp; HV augex'!$D$27:$J$27,0)),0)*'Financial inputs'!$D$11</f>
        <v>14212.497525671231</v>
      </c>
      <c r="N110" s="40">
        <f>IFERROR(INDEX('LV &amp; HV augex'!$D$10:$P$18,MATCH($C110,'LV &amp; HV augex'!$C$10:$C$18,0),MATCH(N$19,'LV &amp; HV augex'!$D$9:$P$9,0))*INDEX('LV &amp; HV augex'!$D$28:$J$52,MATCH($B110,'LV &amp; HV augex'!$L$28:$L$52,0),MATCH($C110,'LV &amp; HV augex'!$D$27:$J$27,0)),0)*'Financial inputs'!$D$11</f>
        <v>14212.497525671231</v>
      </c>
      <c r="O110" s="40">
        <f>IFERROR(INDEX('LV &amp; HV augex'!$D$10:$P$18,MATCH($C110,'LV &amp; HV augex'!$C$10:$C$18,0),MATCH(O$19,'LV &amp; HV augex'!$D$9:$P$9,0))*INDEX('LV &amp; HV augex'!$D$28:$J$52,MATCH($B110,'LV &amp; HV augex'!$L$28:$L$52,0),MATCH($C110,'LV &amp; HV augex'!$D$27:$J$27,0)),0)*'Financial inputs'!$D$11</f>
        <v>14212.497525671231</v>
      </c>
      <c r="P110" s="40">
        <f>IFERROR(INDEX('LV &amp; HV augex'!$D$10:$P$18,MATCH($C110,'LV &amp; HV augex'!$C$10:$C$18,0),MATCH(P$19,'LV &amp; HV augex'!$D$9:$P$9,0))*INDEX('LV &amp; HV augex'!$D$28:$J$52,MATCH($B110,'LV &amp; HV augex'!$L$28:$L$52,0),MATCH($C110,'LV &amp; HV augex'!$D$27:$J$27,0)),0)*'Financial inputs'!$D$11</f>
        <v>14212.497525671231</v>
      </c>
    </row>
    <row r="111" spans="2:16" ht="15.5">
      <c r="B111" s="2" t="str">
        <f t="shared" ref="B111:B174" si="7">B85</f>
        <v>North East Lake Macquarie</v>
      </c>
      <c r="C111" s="35" t="str" cm="1">
        <f t="array" ref="C111">INDEX(augex_categories,COUNTIFS($B$20:$B111,$B$20))</f>
        <v>LV Load Survey</v>
      </c>
      <c r="D111" s="35" t="str">
        <f>IF(COUNTIF('LV &amp; HV augex'!$C$10:$C$13,C111), "LV", IF(COUNTIF('LV &amp; HV augex'!$C$15:$C$17, C111), "HV", "Error"))</f>
        <v>LV</v>
      </c>
      <c r="E111" s="35" t="str">
        <f>INDEX('Growing &amp; falling'!$D$14:$D$39,MATCH($B111,'Growing &amp; falling'!$B$14:$B$39,0))</f>
        <v>Decline</v>
      </c>
      <c r="F111" s="35" t="str">
        <f t="shared" si="6"/>
        <v>$2024 real</v>
      </c>
      <c r="G111" s="40">
        <f>IFERROR(INDEX('LV &amp; HV augex'!$D$10:$P$18,MATCH($C111,'LV &amp; HV augex'!$C$10:$C$18,0),MATCH(G$19,'LV &amp; HV augex'!$D$9:$P$9,0))*INDEX('LV &amp; HV augex'!$D$28:$J$52,MATCH($B111,'LV &amp; HV augex'!$L$28:$L$52,0),MATCH($C111,'LV &amp; HV augex'!$D$27:$J$27,0)),0)*'Financial inputs'!$D$11</f>
        <v>27820.207922590496</v>
      </c>
      <c r="H111" s="40">
        <f>IFERROR(INDEX('LV &amp; HV augex'!$D$10:$P$18,MATCH($C111,'LV &amp; HV augex'!$C$10:$C$18,0),MATCH(H$19,'LV &amp; HV augex'!$D$9:$P$9,0))*INDEX('LV &amp; HV augex'!$D$28:$J$52,MATCH($B111,'LV &amp; HV augex'!$L$28:$L$52,0),MATCH($C111,'LV &amp; HV augex'!$D$27:$J$27,0)),0)*'Financial inputs'!$D$11</f>
        <v>27820.207922590496</v>
      </c>
      <c r="I111" s="40">
        <f>IFERROR(INDEX('LV &amp; HV augex'!$D$10:$P$18,MATCH($C111,'LV &amp; HV augex'!$C$10:$C$18,0),MATCH(I$19,'LV &amp; HV augex'!$D$9:$P$9,0))*INDEX('LV &amp; HV augex'!$D$28:$J$52,MATCH($B111,'LV &amp; HV augex'!$L$28:$L$52,0),MATCH($C111,'LV &amp; HV augex'!$D$27:$J$27,0)),0)*'Financial inputs'!$D$11</f>
        <v>27820.207922590496</v>
      </c>
      <c r="J111" s="40">
        <f>IFERROR(INDEX('LV &amp; HV augex'!$D$10:$P$18,MATCH($C111,'LV &amp; HV augex'!$C$10:$C$18,0),MATCH(J$19,'LV &amp; HV augex'!$D$9:$P$9,0))*INDEX('LV &amp; HV augex'!$D$28:$J$52,MATCH($B111,'LV &amp; HV augex'!$L$28:$L$52,0),MATCH($C111,'LV &amp; HV augex'!$D$27:$J$27,0)),0)*'Financial inputs'!$D$11</f>
        <v>27820.207922590496</v>
      </c>
      <c r="K111" s="40">
        <f>IFERROR(INDEX('LV &amp; HV augex'!$D$10:$P$18,MATCH($C111,'LV &amp; HV augex'!$C$10:$C$18,0),MATCH(K$19,'LV &amp; HV augex'!$D$9:$P$9,0))*INDEX('LV &amp; HV augex'!$D$28:$J$52,MATCH($B111,'LV &amp; HV augex'!$L$28:$L$52,0),MATCH($C111,'LV &amp; HV augex'!$D$27:$J$27,0)),0)*'Financial inputs'!$D$11</f>
        <v>27820.207922590496</v>
      </c>
      <c r="L111" s="40">
        <f>IFERROR(INDEX('LV &amp; HV augex'!$D$10:$P$18,MATCH($C111,'LV &amp; HV augex'!$C$10:$C$18,0),MATCH(L$19,'LV &amp; HV augex'!$D$9:$P$9,0))*INDEX('LV &amp; HV augex'!$D$28:$J$52,MATCH($B111,'LV &amp; HV augex'!$L$28:$L$52,0),MATCH($C111,'LV &amp; HV augex'!$D$27:$J$27,0)),0)*'Financial inputs'!$D$11</f>
        <v>27820.207922590496</v>
      </c>
      <c r="M111" s="40">
        <f>IFERROR(INDEX('LV &amp; HV augex'!$D$10:$P$18,MATCH($C111,'LV &amp; HV augex'!$C$10:$C$18,0),MATCH(M$19,'LV &amp; HV augex'!$D$9:$P$9,0))*INDEX('LV &amp; HV augex'!$D$28:$J$52,MATCH($B111,'LV &amp; HV augex'!$L$28:$L$52,0),MATCH($C111,'LV &amp; HV augex'!$D$27:$J$27,0)),0)*'Financial inputs'!$D$11</f>
        <v>27820.207922590496</v>
      </c>
      <c r="N111" s="40">
        <f>IFERROR(INDEX('LV &amp; HV augex'!$D$10:$P$18,MATCH($C111,'LV &amp; HV augex'!$C$10:$C$18,0),MATCH(N$19,'LV &amp; HV augex'!$D$9:$P$9,0))*INDEX('LV &amp; HV augex'!$D$28:$J$52,MATCH($B111,'LV &amp; HV augex'!$L$28:$L$52,0),MATCH($C111,'LV &amp; HV augex'!$D$27:$J$27,0)),0)*'Financial inputs'!$D$11</f>
        <v>27820.207922590496</v>
      </c>
      <c r="O111" s="40">
        <f>IFERROR(INDEX('LV &amp; HV augex'!$D$10:$P$18,MATCH($C111,'LV &amp; HV augex'!$C$10:$C$18,0),MATCH(O$19,'LV &amp; HV augex'!$D$9:$P$9,0))*INDEX('LV &amp; HV augex'!$D$28:$J$52,MATCH($B111,'LV &amp; HV augex'!$L$28:$L$52,0),MATCH($C111,'LV &amp; HV augex'!$D$27:$J$27,0)),0)*'Financial inputs'!$D$11</f>
        <v>27820.207922590496</v>
      </c>
      <c r="P111" s="40">
        <f>IFERROR(INDEX('LV &amp; HV augex'!$D$10:$P$18,MATCH($C111,'LV &amp; HV augex'!$C$10:$C$18,0),MATCH(P$19,'LV &amp; HV augex'!$D$9:$P$9,0))*INDEX('LV &amp; HV augex'!$D$28:$J$52,MATCH($B111,'LV &amp; HV augex'!$L$28:$L$52,0),MATCH($C111,'LV &amp; HV augex'!$D$27:$J$27,0)),0)*'Financial inputs'!$D$11</f>
        <v>27820.207922590496</v>
      </c>
    </row>
    <row r="112" spans="2:16" ht="15.5">
      <c r="B112" s="2" t="str">
        <f t="shared" si="7"/>
        <v>North West</v>
      </c>
      <c r="C112" s="35" t="str" cm="1">
        <f t="array" ref="C112">INDEX(augex_categories,COUNTIFS($B$20:$B112,$B$20))</f>
        <v>LV Load Survey</v>
      </c>
      <c r="D112" s="35" t="str">
        <f>IF(COUNTIF('LV &amp; HV augex'!$C$10:$C$13,C112), "LV", IF(COUNTIF('LV &amp; HV augex'!$C$15:$C$17, C112), "HV", "Error"))</f>
        <v>LV</v>
      </c>
      <c r="E112" s="35" t="str">
        <f>INDEX('Growing &amp; falling'!$D$14:$D$39,MATCH($B112,'Growing &amp; falling'!$B$14:$B$39,0))</f>
        <v>Growth</v>
      </c>
      <c r="F112" s="35" t="str">
        <f t="shared" si="6"/>
        <v>$2024 real</v>
      </c>
      <c r="G112" s="40">
        <f>IFERROR(INDEX('LV &amp; HV augex'!$D$10:$P$18,MATCH($C112,'LV &amp; HV augex'!$C$10:$C$18,0),MATCH(G$19,'LV &amp; HV augex'!$D$9:$P$9,0))*INDEX('LV &amp; HV augex'!$D$28:$J$52,MATCH($B112,'LV &amp; HV augex'!$L$28:$L$52,0),MATCH($C112,'LV &amp; HV augex'!$D$27:$J$27,0)),0)*'Financial inputs'!$D$11</f>
        <v>30239.356437598366</v>
      </c>
      <c r="H112" s="40">
        <f>IFERROR(INDEX('LV &amp; HV augex'!$D$10:$P$18,MATCH($C112,'LV &amp; HV augex'!$C$10:$C$18,0),MATCH(H$19,'LV &amp; HV augex'!$D$9:$P$9,0))*INDEX('LV &amp; HV augex'!$D$28:$J$52,MATCH($B112,'LV &amp; HV augex'!$L$28:$L$52,0),MATCH($C112,'LV &amp; HV augex'!$D$27:$J$27,0)),0)*'Financial inputs'!$D$11</f>
        <v>30239.356437598366</v>
      </c>
      <c r="I112" s="40">
        <f>IFERROR(INDEX('LV &amp; HV augex'!$D$10:$P$18,MATCH($C112,'LV &amp; HV augex'!$C$10:$C$18,0),MATCH(I$19,'LV &amp; HV augex'!$D$9:$P$9,0))*INDEX('LV &amp; HV augex'!$D$28:$J$52,MATCH($B112,'LV &amp; HV augex'!$L$28:$L$52,0),MATCH($C112,'LV &amp; HV augex'!$D$27:$J$27,0)),0)*'Financial inputs'!$D$11</f>
        <v>30239.356437598366</v>
      </c>
      <c r="J112" s="40">
        <f>IFERROR(INDEX('LV &amp; HV augex'!$D$10:$P$18,MATCH($C112,'LV &amp; HV augex'!$C$10:$C$18,0),MATCH(J$19,'LV &amp; HV augex'!$D$9:$P$9,0))*INDEX('LV &amp; HV augex'!$D$28:$J$52,MATCH($B112,'LV &amp; HV augex'!$L$28:$L$52,0),MATCH($C112,'LV &amp; HV augex'!$D$27:$J$27,0)),0)*'Financial inputs'!$D$11</f>
        <v>30239.356437598366</v>
      </c>
      <c r="K112" s="40">
        <f>IFERROR(INDEX('LV &amp; HV augex'!$D$10:$P$18,MATCH($C112,'LV &amp; HV augex'!$C$10:$C$18,0),MATCH(K$19,'LV &amp; HV augex'!$D$9:$P$9,0))*INDEX('LV &amp; HV augex'!$D$28:$J$52,MATCH($B112,'LV &amp; HV augex'!$L$28:$L$52,0),MATCH($C112,'LV &amp; HV augex'!$D$27:$J$27,0)),0)*'Financial inputs'!$D$11</f>
        <v>30239.356437598366</v>
      </c>
      <c r="L112" s="40">
        <f>IFERROR(INDEX('LV &amp; HV augex'!$D$10:$P$18,MATCH($C112,'LV &amp; HV augex'!$C$10:$C$18,0),MATCH(L$19,'LV &amp; HV augex'!$D$9:$P$9,0))*INDEX('LV &amp; HV augex'!$D$28:$J$52,MATCH($B112,'LV &amp; HV augex'!$L$28:$L$52,0),MATCH($C112,'LV &amp; HV augex'!$D$27:$J$27,0)),0)*'Financial inputs'!$D$11</f>
        <v>30239.356437598366</v>
      </c>
      <c r="M112" s="40">
        <f>IFERROR(INDEX('LV &amp; HV augex'!$D$10:$P$18,MATCH($C112,'LV &amp; HV augex'!$C$10:$C$18,0),MATCH(M$19,'LV &amp; HV augex'!$D$9:$P$9,0))*INDEX('LV &amp; HV augex'!$D$28:$J$52,MATCH($B112,'LV &amp; HV augex'!$L$28:$L$52,0),MATCH($C112,'LV &amp; HV augex'!$D$27:$J$27,0)),0)*'Financial inputs'!$D$11</f>
        <v>30239.356437598366</v>
      </c>
      <c r="N112" s="40">
        <f>IFERROR(INDEX('LV &amp; HV augex'!$D$10:$P$18,MATCH($C112,'LV &amp; HV augex'!$C$10:$C$18,0),MATCH(N$19,'LV &amp; HV augex'!$D$9:$P$9,0))*INDEX('LV &amp; HV augex'!$D$28:$J$52,MATCH($B112,'LV &amp; HV augex'!$L$28:$L$52,0),MATCH($C112,'LV &amp; HV augex'!$D$27:$J$27,0)),0)*'Financial inputs'!$D$11</f>
        <v>30239.356437598366</v>
      </c>
      <c r="O112" s="40">
        <f>IFERROR(INDEX('LV &amp; HV augex'!$D$10:$P$18,MATCH($C112,'LV &amp; HV augex'!$C$10:$C$18,0),MATCH(O$19,'LV &amp; HV augex'!$D$9:$P$9,0))*INDEX('LV &amp; HV augex'!$D$28:$J$52,MATCH($B112,'LV &amp; HV augex'!$L$28:$L$52,0),MATCH($C112,'LV &amp; HV augex'!$D$27:$J$27,0)),0)*'Financial inputs'!$D$11</f>
        <v>30239.356437598366</v>
      </c>
      <c r="P112" s="40">
        <f>IFERROR(INDEX('LV &amp; HV augex'!$D$10:$P$18,MATCH($C112,'LV &amp; HV augex'!$C$10:$C$18,0),MATCH(P$19,'LV &amp; HV augex'!$D$9:$P$9,0))*INDEX('LV &amp; HV augex'!$D$28:$J$52,MATCH($B112,'LV &amp; HV augex'!$L$28:$L$52,0),MATCH($C112,'LV &amp; HV augex'!$D$27:$J$27,0)),0)*'Financial inputs'!$D$11</f>
        <v>30239.356437598366</v>
      </c>
    </row>
    <row r="113" spans="2:16" ht="15.5">
      <c r="B113" s="2" t="str">
        <f t="shared" si="7"/>
        <v>Pittwater &amp; Terrey Hills</v>
      </c>
      <c r="C113" s="35" t="str" cm="1">
        <f t="array" ref="C113">INDEX(augex_categories,COUNTIFS($B$20:$B113,$B$20))</f>
        <v>LV Load Survey</v>
      </c>
      <c r="D113" s="35" t="str">
        <f>IF(COUNTIF('LV &amp; HV augex'!$C$10:$C$13,C113), "LV", IF(COUNTIF('LV &amp; HV augex'!$C$15:$C$17, C113), "HV", "Error"))</f>
        <v>LV</v>
      </c>
      <c r="E113" s="35" t="str">
        <f>INDEX('Growing &amp; falling'!$D$14:$D$39,MATCH($B113,'Growing &amp; falling'!$B$14:$B$39,0))</f>
        <v>Decline</v>
      </c>
      <c r="F113" s="35" t="str">
        <f t="shared" si="6"/>
        <v>$2024 real</v>
      </c>
      <c r="G113" s="40">
        <f>IFERROR(INDEX('LV &amp; HV augex'!$D$10:$P$18,MATCH($C113,'LV &amp; HV augex'!$C$10:$C$18,0),MATCH(G$19,'LV &amp; HV augex'!$D$9:$P$9,0))*INDEX('LV &amp; HV augex'!$D$28:$J$52,MATCH($B113,'LV &amp; HV augex'!$L$28:$L$52,0),MATCH($C113,'LV &amp; HV augex'!$D$27:$J$27,0)),0)*'Financial inputs'!$D$11</f>
        <v>7257.4455450236073</v>
      </c>
      <c r="H113" s="40">
        <f>IFERROR(INDEX('LV &amp; HV augex'!$D$10:$P$18,MATCH($C113,'LV &amp; HV augex'!$C$10:$C$18,0),MATCH(H$19,'LV &amp; HV augex'!$D$9:$P$9,0))*INDEX('LV &amp; HV augex'!$D$28:$J$52,MATCH($B113,'LV &amp; HV augex'!$L$28:$L$52,0),MATCH($C113,'LV &amp; HV augex'!$D$27:$J$27,0)),0)*'Financial inputs'!$D$11</f>
        <v>7257.4455450236073</v>
      </c>
      <c r="I113" s="40">
        <f>IFERROR(INDEX('LV &amp; HV augex'!$D$10:$P$18,MATCH($C113,'LV &amp; HV augex'!$C$10:$C$18,0),MATCH(I$19,'LV &amp; HV augex'!$D$9:$P$9,0))*INDEX('LV &amp; HV augex'!$D$28:$J$52,MATCH($B113,'LV &amp; HV augex'!$L$28:$L$52,0),MATCH($C113,'LV &amp; HV augex'!$D$27:$J$27,0)),0)*'Financial inputs'!$D$11</f>
        <v>7257.4455450236073</v>
      </c>
      <c r="J113" s="40">
        <f>IFERROR(INDEX('LV &amp; HV augex'!$D$10:$P$18,MATCH($C113,'LV &amp; HV augex'!$C$10:$C$18,0),MATCH(J$19,'LV &amp; HV augex'!$D$9:$P$9,0))*INDEX('LV &amp; HV augex'!$D$28:$J$52,MATCH($B113,'LV &amp; HV augex'!$L$28:$L$52,0),MATCH($C113,'LV &amp; HV augex'!$D$27:$J$27,0)),0)*'Financial inputs'!$D$11</f>
        <v>7257.4455450236073</v>
      </c>
      <c r="K113" s="40">
        <f>IFERROR(INDEX('LV &amp; HV augex'!$D$10:$P$18,MATCH($C113,'LV &amp; HV augex'!$C$10:$C$18,0),MATCH(K$19,'LV &amp; HV augex'!$D$9:$P$9,0))*INDEX('LV &amp; HV augex'!$D$28:$J$52,MATCH($B113,'LV &amp; HV augex'!$L$28:$L$52,0),MATCH($C113,'LV &amp; HV augex'!$D$27:$J$27,0)),0)*'Financial inputs'!$D$11</f>
        <v>7257.4455450236073</v>
      </c>
      <c r="L113" s="40">
        <f>IFERROR(INDEX('LV &amp; HV augex'!$D$10:$P$18,MATCH($C113,'LV &amp; HV augex'!$C$10:$C$18,0),MATCH(L$19,'LV &amp; HV augex'!$D$9:$P$9,0))*INDEX('LV &amp; HV augex'!$D$28:$J$52,MATCH($B113,'LV &amp; HV augex'!$L$28:$L$52,0),MATCH($C113,'LV &amp; HV augex'!$D$27:$J$27,0)),0)*'Financial inputs'!$D$11</f>
        <v>7257.4455450236073</v>
      </c>
      <c r="M113" s="40">
        <f>IFERROR(INDEX('LV &amp; HV augex'!$D$10:$P$18,MATCH($C113,'LV &amp; HV augex'!$C$10:$C$18,0),MATCH(M$19,'LV &amp; HV augex'!$D$9:$P$9,0))*INDEX('LV &amp; HV augex'!$D$28:$J$52,MATCH($B113,'LV &amp; HV augex'!$L$28:$L$52,0),MATCH($C113,'LV &amp; HV augex'!$D$27:$J$27,0)),0)*'Financial inputs'!$D$11</f>
        <v>7257.4455450236073</v>
      </c>
      <c r="N113" s="40">
        <f>IFERROR(INDEX('LV &amp; HV augex'!$D$10:$P$18,MATCH($C113,'LV &amp; HV augex'!$C$10:$C$18,0),MATCH(N$19,'LV &amp; HV augex'!$D$9:$P$9,0))*INDEX('LV &amp; HV augex'!$D$28:$J$52,MATCH($B113,'LV &amp; HV augex'!$L$28:$L$52,0),MATCH($C113,'LV &amp; HV augex'!$D$27:$J$27,0)),0)*'Financial inputs'!$D$11</f>
        <v>7257.4455450236073</v>
      </c>
      <c r="O113" s="40">
        <f>IFERROR(INDEX('LV &amp; HV augex'!$D$10:$P$18,MATCH($C113,'LV &amp; HV augex'!$C$10:$C$18,0),MATCH(O$19,'LV &amp; HV augex'!$D$9:$P$9,0))*INDEX('LV &amp; HV augex'!$D$28:$J$52,MATCH($B113,'LV &amp; HV augex'!$L$28:$L$52,0),MATCH($C113,'LV &amp; HV augex'!$D$27:$J$27,0)),0)*'Financial inputs'!$D$11</f>
        <v>7257.4455450236073</v>
      </c>
      <c r="P113" s="40">
        <f>IFERROR(INDEX('LV &amp; HV augex'!$D$10:$P$18,MATCH($C113,'LV &amp; HV augex'!$C$10:$C$18,0),MATCH(P$19,'LV &amp; HV augex'!$D$9:$P$9,0))*INDEX('LV &amp; HV augex'!$D$28:$J$52,MATCH($B113,'LV &amp; HV augex'!$L$28:$L$52,0),MATCH($C113,'LV &amp; HV augex'!$D$27:$J$27,0)),0)*'Financial inputs'!$D$11</f>
        <v>7257.4455450236073</v>
      </c>
    </row>
    <row r="114" spans="2:16" ht="15.5">
      <c r="B114" s="2" t="str">
        <f t="shared" si="7"/>
        <v>Port Stephens</v>
      </c>
      <c r="C114" s="35" t="str" cm="1">
        <f t="array" ref="C114">INDEX(augex_categories,COUNTIFS($B$20:$B114,$B$20))</f>
        <v>LV Load Survey</v>
      </c>
      <c r="D114" s="35" t="str">
        <f>IF(COUNTIF('LV &amp; HV augex'!$C$10:$C$13,C114), "LV", IF(COUNTIF('LV &amp; HV augex'!$C$15:$C$17, C114), "HV", "Error"))</f>
        <v>LV</v>
      </c>
      <c r="E114" s="35" t="str">
        <f>INDEX('Growing &amp; falling'!$D$14:$D$39,MATCH($B114,'Growing &amp; falling'!$B$14:$B$39,0))</f>
        <v>Decline</v>
      </c>
      <c r="F114" s="35" t="str">
        <f t="shared" si="6"/>
        <v>$2024 real</v>
      </c>
      <c r="G114" s="40">
        <f>IFERROR(INDEX('LV &amp; HV augex'!$D$10:$P$18,MATCH($C114,'LV &amp; HV augex'!$C$10:$C$18,0),MATCH(G$19,'LV &amp; HV augex'!$D$9:$P$9,0))*INDEX('LV &amp; HV augex'!$D$28:$J$52,MATCH($B114,'LV &amp; HV augex'!$L$28:$L$52,0),MATCH($C114,'LV &amp; HV augex'!$D$27:$J$27,0)),0)*'Financial inputs'!$D$11</f>
        <v>14514.891090047215</v>
      </c>
      <c r="H114" s="40">
        <f>IFERROR(INDEX('LV &amp; HV augex'!$D$10:$P$18,MATCH($C114,'LV &amp; HV augex'!$C$10:$C$18,0),MATCH(H$19,'LV &amp; HV augex'!$D$9:$P$9,0))*INDEX('LV &amp; HV augex'!$D$28:$J$52,MATCH($B114,'LV &amp; HV augex'!$L$28:$L$52,0),MATCH($C114,'LV &amp; HV augex'!$D$27:$J$27,0)),0)*'Financial inputs'!$D$11</f>
        <v>14514.891090047215</v>
      </c>
      <c r="I114" s="40">
        <f>IFERROR(INDEX('LV &amp; HV augex'!$D$10:$P$18,MATCH($C114,'LV &amp; HV augex'!$C$10:$C$18,0),MATCH(I$19,'LV &amp; HV augex'!$D$9:$P$9,0))*INDEX('LV &amp; HV augex'!$D$28:$J$52,MATCH($B114,'LV &amp; HV augex'!$L$28:$L$52,0),MATCH($C114,'LV &amp; HV augex'!$D$27:$J$27,0)),0)*'Financial inputs'!$D$11</f>
        <v>14514.891090047215</v>
      </c>
      <c r="J114" s="40">
        <f>IFERROR(INDEX('LV &amp; HV augex'!$D$10:$P$18,MATCH($C114,'LV &amp; HV augex'!$C$10:$C$18,0),MATCH(J$19,'LV &amp; HV augex'!$D$9:$P$9,0))*INDEX('LV &amp; HV augex'!$D$28:$J$52,MATCH($B114,'LV &amp; HV augex'!$L$28:$L$52,0),MATCH($C114,'LV &amp; HV augex'!$D$27:$J$27,0)),0)*'Financial inputs'!$D$11</f>
        <v>14514.891090047215</v>
      </c>
      <c r="K114" s="40">
        <f>IFERROR(INDEX('LV &amp; HV augex'!$D$10:$P$18,MATCH($C114,'LV &amp; HV augex'!$C$10:$C$18,0),MATCH(K$19,'LV &amp; HV augex'!$D$9:$P$9,0))*INDEX('LV &amp; HV augex'!$D$28:$J$52,MATCH($B114,'LV &amp; HV augex'!$L$28:$L$52,0),MATCH($C114,'LV &amp; HV augex'!$D$27:$J$27,0)),0)*'Financial inputs'!$D$11</f>
        <v>14514.891090047215</v>
      </c>
      <c r="L114" s="40">
        <f>IFERROR(INDEX('LV &amp; HV augex'!$D$10:$P$18,MATCH($C114,'LV &amp; HV augex'!$C$10:$C$18,0),MATCH(L$19,'LV &amp; HV augex'!$D$9:$P$9,0))*INDEX('LV &amp; HV augex'!$D$28:$J$52,MATCH($B114,'LV &amp; HV augex'!$L$28:$L$52,0),MATCH($C114,'LV &amp; HV augex'!$D$27:$J$27,0)),0)*'Financial inputs'!$D$11</f>
        <v>14514.891090047215</v>
      </c>
      <c r="M114" s="40">
        <f>IFERROR(INDEX('LV &amp; HV augex'!$D$10:$P$18,MATCH($C114,'LV &amp; HV augex'!$C$10:$C$18,0),MATCH(M$19,'LV &amp; HV augex'!$D$9:$P$9,0))*INDEX('LV &amp; HV augex'!$D$28:$J$52,MATCH($B114,'LV &amp; HV augex'!$L$28:$L$52,0),MATCH($C114,'LV &amp; HV augex'!$D$27:$J$27,0)),0)*'Financial inputs'!$D$11</f>
        <v>14514.891090047215</v>
      </c>
      <c r="N114" s="40">
        <f>IFERROR(INDEX('LV &amp; HV augex'!$D$10:$P$18,MATCH($C114,'LV &amp; HV augex'!$C$10:$C$18,0),MATCH(N$19,'LV &amp; HV augex'!$D$9:$P$9,0))*INDEX('LV &amp; HV augex'!$D$28:$J$52,MATCH($B114,'LV &amp; HV augex'!$L$28:$L$52,0),MATCH($C114,'LV &amp; HV augex'!$D$27:$J$27,0)),0)*'Financial inputs'!$D$11</f>
        <v>14514.891090047215</v>
      </c>
      <c r="O114" s="40">
        <f>IFERROR(INDEX('LV &amp; HV augex'!$D$10:$P$18,MATCH($C114,'LV &amp; HV augex'!$C$10:$C$18,0),MATCH(O$19,'LV &amp; HV augex'!$D$9:$P$9,0))*INDEX('LV &amp; HV augex'!$D$28:$J$52,MATCH($B114,'LV &amp; HV augex'!$L$28:$L$52,0),MATCH($C114,'LV &amp; HV augex'!$D$27:$J$27,0)),0)*'Financial inputs'!$D$11</f>
        <v>14514.891090047215</v>
      </c>
      <c r="P114" s="40">
        <f>IFERROR(INDEX('LV &amp; HV augex'!$D$10:$P$18,MATCH($C114,'LV &amp; HV augex'!$C$10:$C$18,0),MATCH(P$19,'LV &amp; HV augex'!$D$9:$P$9,0))*INDEX('LV &amp; HV augex'!$D$28:$J$52,MATCH($B114,'LV &amp; HV augex'!$L$28:$L$52,0),MATCH($C114,'LV &amp; HV augex'!$D$27:$J$27,0)),0)*'Financial inputs'!$D$11</f>
        <v>14514.891090047215</v>
      </c>
    </row>
    <row r="115" spans="2:16" ht="15.5">
      <c r="B115" s="2" t="str">
        <f t="shared" si="7"/>
        <v>Singleton</v>
      </c>
      <c r="C115" s="35" t="str" cm="1">
        <f t="array" ref="C115">INDEX(augex_categories,COUNTIFS($B$20:$B115,$B$20))</f>
        <v>LV Load Survey</v>
      </c>
      <c r="D115" s="35" t="str">
        <f>IF(COUNTIF('LV &amp; HV augex'!$C$10:$C$13,C115), "LV", IF(COUNTIF('LV &amp; HV augex'!$C$15:$C$17, C115), "HV", "Error"))</f>
        <v>LV</v>
      </c>
      <c r="E115" s="35" t="str">
        <f>INDEX('Growing &amp; falling'!$D$14:$D$39,MATCH($B115,'Growing &amp; falling'!$B$14:$B$39,0))</f>
        <v>Decline</v>
      </c>
      <c r="F115" s="35" t="str">
        <f t="shared" si="6"/>
        <v>$2024 real</v>
      </c>
      <c r="G115" s="40">
        <f>IFERROR(INDEX('LV &amp; HV augex'!$D$10:$P$18,MATCH($C115,'LV &amp; HV augex'!$C$10:$C$18,0),MATCH(G$19,'LV &amp; HV augex'!$D$9:$P$9,0))*INDEX('LV &amp; HV augex'!$D$28:$J$52,MATCH($B115,'LV &amp; HV augex'!$L$28:$L$52,0),MATCH($C115,'LV &amp; HV augex'!$D$27:$J$27,0)),0)*'Financial inputs'!$D$11</f>
        <v>15422.071783175166</v>
      </c>
      <c r="H115" s="40">
        <f>IFERROR(INDEX('LV &amp; HV augex'!$D$10:$P$18,MATCH($C115,'LV &amp; HV augex'!$C$10:$C$18,0),MATCH(H$19,'LV &amp; HV augex'!$D$9:$P$9,0))*INDEX('LV &amp; HV augex'!$D$28:$J$52,MATCH($B115,'LV &amp; HV augex'!$L$28:$L$52,0),MATCH($C115,'LV &amp; HV augex'!$D$27:$J$27,0)),0)*'Financial inputs'!$D$11</f>
        <v>15422.071783175166</v>
      </c>
      <c r="I115" s="40">
        <f>IFERROR(INDEX('LV &amp; HV augex'!$D$10:$P$18,MATCH($C115,'LV &amp; HV augex'!$C$10:$C$18,0),MATCH(I$19,'LV &amp; HV augex'!$D$9:$P$9,0))*INDEX('LV &amp; HV augex'!$D$28:$J$52,MATCH($B115,'LV &amp; HV augex'!$L$28:$L$52,0),MATCH($C115,'LV &amp; HV augex'!$D$27:$J$27,0)),0)*'Financial inputs'!$D$11</f>
        <v>15422.071783175166</v>
      </c>
      <c r="J115" s="40">
        <f>IFERROR(INDEX('LV &amp; HV augex'!$D$10:$P$18,MATCH($C115,'LV &amp; HV augex'!$C$10:$C$18,0),MATCH(J$19,'LV &amp; HV augex'!$D$9:$P$9,0))*INDEX('LV &amp; HV augex'!$D$28:$J$52,MATCH($B115,'LV &amp; HV augex'!$L$28:$L$52,0),MATCH($C115,'LV &amp; HV augex'!$D$27:$J$27,0)),0)*'Financial inputs'!$D$11</f>
        <v>15422.071783175166</v>
      </c>
      <c r="K115" s="40">
        <f>IFERROR(INDEX('LV &amp; HV augex'!$D$10:$P$18,MATCH($C115,'LV &amp; HV augex'!$C$10:$C$18,0),MATCH(K$19,'LV &amp; HV augex'!$D$9:$P$9,0))*INDEX('LV &amp; HV augex'!$D$28:$J$52,MATCH($B115,'LV &amp; HV augex'!$L$28:$L$52,0),MATCH($C115,'LV &amp; HV augex'!$D$27:$J$27,0)),0)*'Financial inputs'!$D$11</f>
        <v>15422.071783175166</v>
      </c>
      <c r="L115" s="40">
        <f>IFERROR(INDEX('LV &amp; HV augex'!$D$10:$P$18,MATCH($C115,'LV &amp; HV augex'!$C$10:$C$18,0),MATCH(L$19,'LV &amp; HV augex'!$D$9:$P$9,0))*INDEX('LV &amp; HV augex'!$D$28:$J$52,MATCH($B115,'LV &amp; HV augex'!$L$28:$L$52,0),MATCH($C115,'LV &amp; HV augex'!$D$27:$J$27,0)),0)*'Financial inputs'!$D$11</f>
        <v>15422.071783175166</v>
      </c>
      <c r="M115" s="40">
        <f>IFERROR(INDEX('LV &amp; HV augex'!$D$10:$P$18,MATCH($C115,'LV &amp; HV augex'!$C$10:$C$18,0),MATCH(M$19,'LV &amp; HV augex'!$D$9:$P$9,0))*INDEX('LV &amp; HV augex'!$D$28:$J$52,MATCH($B115,'LV &amp; HV augex'!$L$28:$L$52,0),MATCH($C115,'LV &amp; HV augex'!$D$27:$J$27,0)),0)*'Financial inputs'!$D$11</f>
        <v>15422.071783175166</v>
      </c>
      <c r="N115" s="40">
        <f>IFERROR(INDEX('LV &amp; HV augex'!$D$10:$P$18,MATCH($C115,'LV &amp; HV augex'!$C$10:$C$18,0),MATCH(N$19,'LV &amp; HV augex'!$D$9:$P$9,0))*INDEX('LV &amp; HV augex'!$D$28:$J$52,MATCH($B115,'LV &amp; HV augex'!$L$28:$L$52,0),MATCH($C115,'LV &amp; HV augex'!$D$27:$J$27,0)),0)*'Financial inputs'!$D$11</f>
        <v>15422.071783175166</v>
      </c>
      <c r="O115" s="40">
        <f>IFERROR(INDEX('LV &amp; HV augex'!$D$10:$P$18,MATCH($C115,'LV &amp; HV augex'!$C$10:$C$18,0),MATCH(O$19,'LV &amp; HV augex'!$D$9:$P$9,0))*INDEX('LV &amp; HV augex'!$D$28:$J$52,MATCH($B115,'LV &amp; HV augex'!$L$28:$L$52,0),MATCH($C115,'LV &amp; HV augex'!$D$27:$J$27,0)),0)*'Financial inputs'!$D$11</f>
        <v>15422.071783175166</v>
      </c>
      <c r="P115" s="40">
        <f>IFERROR(INDEX('LV &amp; HV augex'!$D$10:$P$18,MATCH($C115,'LV &amp; HV augex'!$C$10:$C$18,0),MATCH(P$19,'LV &amp; HV augex'!$D$9:$P$9,0))*INDEX('LV &amp; HV augex'!$D$28:$J$52,MATCH($B115,'LV &amp; HV augex'!$L$28:$L$52,0),MATCH($C115,'LV &amp; HV augex'!$D$27:$J$27,0)),0)*'Financial inputs'!$D$11</f>
        <v>15422.071783175166</v>
      </c>
    </row>
    <row r="116" spans="2:16" ht="15.5">
      <c r="B116" s="2" t="str">
        <f t="shared" si="7"/>
        <v>St George</v>
      </c>
      <c r="C116" s="35" t="str" cm="1">
        <f t="array" ref="C116">INDEX(augex_categories,COUNTIFS($B$20:$B116,$B$20))</f>
        <v>LV Load Survey</v>
      </c>
      <c r="D116" s="35" t="str">
        <f>IF(COUNTIF('LV &amp; HV augex'!$C$10:$C$13,C116), "LV", IF(COUNTIF('LV &amp; HV augex'!$C$15:$C$17, C116), "HV", "Error"))</f>
        <v>LV</v>
      </c>
      <c r="E116" s="35" t="str">
        <f>INDEX('Growing &amp; falling'!$D$14:$D$39,MATCH($B116,'Growing &amp; falling'!$B$14:$B$39,0))</f>
        <v>Decline</v>
      </c>
      <c r="F116" s="35" t="str">
        <f t="shared" si="6"/>
        <v>$2024 real</v>
      </c>
      <c r="G116" s="40">
        <f>IFERROR(INDEX('LV &amp; HV augex'!$D$10:$P$18,MATCH($C116,'LV &amp; HV augex'!$C$10:$C$18,0),MATCH(G$19,'LV &amp; HV augex'!$D$9:$P$9,0))*INDEX('LV &amp; HV augex'!$D$28:$J$52,MATCH($B116,'LV &amp; HV augex'!$L$28:$L$52,0),MATCH($C116,'LV &amp; HV augex'!$D$27:$J$27,0)),0)*'Financial inputs'!$D$11</f>
        <v>42335.099012637715</v>
      </c>
      <c r="H116" s="40">
        <f>IFERROR(INDEX('LV &amp; HV augex'!$D$10:$P$18,MATCH($C116,'LV &amp; HV augex'!$C$10:$C$18,0),MATCH(H$19,'LV &amp; HV augex'!$D$9:$P$9,0))*INDEX('LV &amp; HV augex'!$D$28:$J$52,MATCH($B116,'LV &amp; HV augex'!$L$28:$L$52,0),MATCH($C116,'LV &amp; HV augex'!$D$27:$J$27,0)),0)*'Financial inputs'!$D$11</f>
        <v>42335.099012637715</v>
      </c>
      <c r="I116" s="40">
        <f>IFERROR(INDEX('LV &amp; HV augex'!$D$10:$P$18,MATCH($C116,'LV &amp; HV augex'!$C$10:$C$18,0),MATCH(I$19,'LV &amp; HV augex'!$D$9:$P$9,0))*INDEX('LV &amp; HV augex'!$D$28:$J$52,MATCH($B116,'LV &amp; HV augex'!$L$28:$L$52,0),MATCH($C116,'LV &amp; HV augex'!$D$27:$J$27,0)),0)*'Financial inputs'!$D$11</f>
        <v>42335.099012637715</v>
      </c>
      <c r="J116" s="40">
        <f>IFERROR(INDEX('LV &amp; HV augex'!$D$10:$P$18,MATCH($C116,'LV &amp; HV augex'!$C$10:$C$18,0),MATCH(J$19,'LV &amp; HV augex'!$D$9:$P$9,0))*INDEX('LV &amp; HV augex'!$D$28:$J$52,MATCH($B116,'LV &amp; HV augex'!$L$28:$L$52,0),MATCH($C116,'LV &amp; HV augex'!$D$27:$J$27,0)),0)*'Financial inputs'!$D$11</f>
        <v>42335.099012637715</v>
      </c>
      <c r="K116" s="40">
        <f>IFERROR(INDEX('LV &amp; HV augex'!$D$10:$P$18,MATCH($C116,'LV &amp; HV augex'!$C$10:$C$18,0),MATCH(K$19,'LV &amp; HV augex'!$D$9:$P$9,0))*INDEX('LV &amp; HV augex'!$D$28:$J$52,MATCH($B116,'LV &amp; HV augex'!$L$28:$L$52,0),MATCH($C116,'LV &amp; HV augex'!$D$27:$J$27,0)),0)*'Financial inputs'!$D$11</f>
        <v>42335.099012637715</v>
      </c>
      <c r="L116" s="40">
        <f>IFERROR(INDEX('LV &amp; HV augex'!$D$10:$P$18,MATCH($C116,'LV &amp; HV augex'!$C$10:$C$18,0),MATCH(L$19,'LV &amp; HV augex'!$D$9:$P$9,0))*INDEX('LV &amp; HV augex'!$D$28:$J$52,MATCH($B116,'LV &amp; HV augex'!$L$28:$L$52,0),MATCH($C116,'LV &amp; HV augex'!$D$27:$J$27,0)),0)*'Financial inputs'!$D$11</f>
        <v>42335.099012637715</v>
      </c>
      <c r="M116" s="40">
        <f>IFERROR(INDEX('LV &amp; HV augex'!$D$10:$P$18,MATCH($C116,'LV &amp; HV augex'!$C$10:$C$18,0),MATCH(M$19,'LV &amp; HV augex'!$D$9:$P$9,0))*INDEX('LV &amp; HV augex'!$D$28:$J$52,MATCH($B116,'LV &amp; HV augex'!$L$28:$L$52,0),MATCH($C116,'LV &amp; HV augex'!$D$27:$J$27,0)),0)*'Financial inputs'!$D$11</f>
        <v>42335.099012637715</v>
      </c>
      <c r="N116" s="40">
        <f>IFERROR(INDEX('LV &amp; HV augex'!$D$10:$P$18,MATCH($C116,'LV &amp; HV augex'!$C$10:$C$18,0),MATCH(N$19,'LV &amp; HV augex'!$D$9:$P$9,0))*INDEX('LV &amp; HV augex'!$D$28:$J$52,MATCH($B116,'LV &amp; HV augex'!$L$28:$L$52,0),MATCH($C116,'LV &amp; HV augex'!$D$27:$J$27,0)),0)*'Financial inputs'!$D$11</f>
        <v>42335.099012637715</v>
      </c>
      <c r="O116" s="40">
        <f>IFERROR(INDEX('LV &amp; HV augex'!$D$10:$P$18,MATCH($C116,'LV &amp; HV augex'!$C$10:$C$18,0),MATCH(O$19,'LV &amp; HV augex'!$D$9:$P$9,0))*INDEX('LV &amp; HV augex'!$D$28:$J$52,MATCH($B116,'LV &amp; HV augex'!$L$28:$L$52,0),MATCH($C116,'LV &amp; HV augex'!$D$27:$J$27,0)),0)*'Financial inputs'!$D$11</f>
        <v>42335.099012637715</v>
      </c>
      <c r="P116" s="40">
        <f>IFERROR(INDEX('LV &amp; HV augex'!$D$10:$P$18,MATCH($C116,'LV &amp; HV augex'!$C$10:$C$18,0),MATCH(P$19,'LV &amp; HV augex'!$D$9:$P$9,0))*INDEX('LV &amp; HV augex'!$D$28:$J$52,MATCH($B116,'LV &amp; HV augex'!$L$28:$L$52,0),MATCH($C116,'LV &amp; HV augex'!$D$27:$J$27,0)),0)*'Financial inputs'!$D$11</f>
        <v>42335.099012637715</v>
      </c>
    </row>
    <row r="117" spans="2:16" ht="15.5">
      <c r="B117" s="2" t="str">
        <f t="shared" si="7"/>
        <v>Sutherland</v>
      </c>
      <c r="C117" s="35" t="str" cm="1">
        <f t="array" ref="C117">INDEX(augex_categories,COUNTIFS($B$20:$B117,$B$20))</f>
        <v>LV Load Survey</v>
      </c>
      <c r="D117" s="35" t="str">
        <f>IF(COUNTIF('LV &amp; HV augex'!$C$10:$C$13,C117), "LV", IF(COUNTIF('LV &amp; HV augex'!$C$15:$C$17, C117), "HV", "Error"))</f>
        <v>LV</v>
      </c>
      <c r="E117" s="35" t="str">
        <f>INDEX('Growing &amp; falling'!$D$14:$D$39,MATCH($B117,'Growing &amp; falling'!$B$14:$B$39,0))</f>
        <v>Decline</v>
      </c>
      <c r="F117" s="35" t="str">
        <f t="shared" si="6"/>
        <v>$2024 real</v>
      </c>
      <c r="G117" s="40">
        <f>IFERROR(INDEX('LV &amp; HV augex'!$D$10:$P$18,MATCH($C117,'LV &amp; HV augex'!$C$10:$C$18,0),MATCH(G$19,'LV &amp; HV augex'!$D$9:$P$9,0))*INDEX('LV &amp; HV augex'!$D$28:$J$52,MATCH($B117,'LV &amp; HV augex'!$L$28:$L$52,0),MATCH($C117,'LV &amp; HV augex'!$D$27:$J$27,0)),0)*'Financial inputs'!$D$11</f>
        <v>23586.698021326723</v>
      </c>
      <c r="H117" s="40">
        <f>IFERROR(INDEX('LV &amp; HV augex'!$D$10:$P$18,MATCH($C117,'LV &amp; HV augex'!$C$10:$C$18,0),MATCH(H$19,'LV &amp; HV augex'!$D$9:$P$9,0))*INDEX('LV &amp; HV augex'!$D$28:$J$52,MATCH($B117,'LV &amp; HV augex'!$L$28:$L$52,0),MATCH($C117,'LV &amp; HV augex'!$D$27:$J$27,0)),0)*'Financial inputs'!$D$11</f>
        <v>23586.698021326723</v>
      </c>
      <c r="I117" s="40">
        <f>IFERROR(INDEX('LV &amp; HV augex'!$D$10:$P$18,MATCH($C117,'LV &amp; HV augex'!$C$10:$C$18,0),MATCH(I$19,'LV &amp; HV augex'!$D$9:$P$9,0))*INDEX('LV &amp; HV augex'!$D$28:$J$52,MATCH($B117,'LV &amp; HV augex'!$L$28:$L$52,0),MATCH($C117,'LV &amp; HV augex'!$D$27:$J$27,0)),0)*'Financial inputs'!$D$11</f>
        <v>23586.698021326723</v>
      </c>
      <c r="J117" s="40">
        <f>IFERROR(INDEX('LV &amp; HV augex'!$D$10:$P$18,MATCH($C117,'LV &amp; HV augex'!$C$10:$C$18,0),MATCH(J$19,'LV &amp; HV augex'!$D$9:$P$9,0))*INDEX('LV &amp; HV augex'!$D$28:$J$52,MATCH($B117,'LV &amp; HV augex'!$L$28:$L$52,0),MATCH($C117,'LV &amp; HV augex'!$D$27:$J$27,0)),0)*'Financial inputs'!$D$11</f>
        <v>23586.698021326723</v>
      </c>
      <c r="K117" s="40">
        <f>IFERROR(INDEX('LV &amp; HV augex'!$D$10:$P$18,MATCH($C117,'LV &amp; HV augex'!$C$10:$C$18,0),MATCH(K$19,'LV &amp; HV augex'!$D$9:$P$9,0))*INDEX('LV &amp; HV augex'!$D$28:$J$52,MATCH($B117,'LV &amp; HV augex'!$L$28:$L$52,0),MATCH($C117,'LV &amp; HV augex'!$D$27:$J$27,0)),0)*'Financial inputs'!$D$11</f>
        <v>23586.698021326723</v>
      </c>
      <c r="L117" s="40">
        <f>IFERROR(INDEX('LV &amp; HV augex'!$D$10:$P$18,MATCH($C117,'LV &amp; HV augex'!$C$10:$C$18,0),MATCH(L$19,'LV &amp; HV augex'!$D$9:$P$9,0))*INDEX('LV &amp; HV augex'!$D$28:$J$52,MATCH($B117,'LV &amp; HV augex'!$L$28:$L$52,0),MATCH($C117,'LV &amp; HV augex'!$D$27:$J$27,0)),0)*'Financial inputs'!$D$11</f>
        <v>23586.698021326723</v>
      </c>
      <c r="M117" s="40">
        <f>IFERROR(INDEX('LV &amp; HV augex'!$D$10:$P$18,MATCH($C117,'LV &amp; HV augex'!$C$10:$C$18,0),MATCH(M$19,'LV &amp; HV augex'!$D$9:$P$9,0))*INDEX('LV &amp; HV augex'!$D$28:$J$52,MATCH($B117,'LV &amp; HV augex'!$L$28:$L$52,0),MATCH($C117,'LV &amp; HV augex'!$D$27:$J$27,0)),0)*'Financial inputs'!$D$11</f>
        <v>23586.698021326723</v>
      </c>
      <c r="N117" s="40">
        <f>IFERROR(INDEX('LV &amp; HV augex'!$D$10:$P$18,MATCH($C117,'LV &amp; HV augex'!$C$10:$C$18,0),MATCH(N$19,'LV &amp; HV augex'!$D$9:$P$9,0))*INDEX('LV &amp; HV augex'!$D$28:$J$52,MATCH($B117,'LV &amp; HV augex'!$L$28:$L$52,0),MATCH($C117,'LV &amp; HV augex'!$D$27:$J$27,0)),0)*'Financial inputs'!$D$11</f>
        <v>23586.698021326723</v>
      </c>
      <c r="O117" s="40">
        <f>IFERROR(INDEX('LV &amp; HV augex'!$D$10:$P$18,MATCH($C117,'LV &amp; HV augex'!$C$10:$C$18,0),MATCH(O$19,'LV &amp; HV augex'!$D$9:$P$9,0))*INDEX('LV &amp; HV augex'!$D$28:$J$52,MATCH($B117,'LV &amp; HV augex'!$L$28:$L$52,0),MATCH($C117,'LV &amp; HV augex'!$D$27:$J$27,0)),0)*'Financial inputs'!$D$11</f>
        <v>23586.698021326723</v>
      </c>
      <c r="P117" s="40">
        <f>IFERROR(INDEX('LV &amp; HV augex'!$D$10:$P$18,MATCH($C117,'LV &amp; HV augex'!$C$10:$C$18,0),MATCH(P$19,'LV &amp; HV augex'!$D$9:$P$9,0))*INDEX('LV &amp; HV augex'!$D$28:$J$52,MATCH($B117,'LV &amp; HV augex'!$L$28:$L$52,0),MATCH($C117,'LV &amp; HV augex'!$D$27:$J$27,0)),0)*'Financial inputs'!$D$11</f>
        <v>23586.698021326723</v>
      </c>
    </row>
    <row r="118" spans="2:16" ht="15.5">
      <c r="B118" s="2" t="str">
        <f t="shared" si="7"/>
        <v>Sydney CBD</v>
      </c>
      <c r="C118" s="35" t="str" cm="1">
        <f t="array" ref="C118">INDEX(augex_categories,COUNTIFS($B$20:$B118,$B$20))</f>
        <v>LV Load Survey</v>
      </c>
      <c r="D118" s="35" t="str">
        <f>IF(COUNTIF('LV &amp; HV augex'!$C$10:$C$13,C118), "LV", IF(COUNTIF('LV &amp; HV augex'!$C$15:$C$17, C118), "HV", "Error"))</f>
        <v>LV</v>
      </c>
      <c r="E118" s="35" t="str">
        <f>INDEX('Growing &amp; falling'!$D$14:$D$39,MATCH($B118,'Growing &amp; falling'!$B$14:$B$39,0))</f>
        <v>Growth</v>
      </c>
      <c r="F118" s="35" t="str">
        <f t="shared" si="6"/>
        <v>$2024 real</v>
      </c>
      <c r="G118" s="40">
        <f>IFERROR(INDEX('LV &amp; HV augex'!$D$10:$P$18,MATCH($C118,'LV &amp; HV augex'!$C$10:$C$18,0),MATCH(G$19,'LV &amp; HV augex'!$D$9:$P$9,0))*INDEX('LV &amp; HV augex'!$D$28:$J$52,MATCH($B118,'LV &amp; HV augex'!$L$28:$L$52,0),MATCH($C118,'LV &amp; HV augex'!$D$27:$J$27,0)),0)*'Financial inputs'!$D$11</f>
        <v>18143.613862559017</v>
      </c>
      <c r="H118" s="40">
        <f>IFERROR(INDEX('LV &amp; HV augex'!$D$10:$P$18,MATCH($C118,'LV &amp; HV augex'!$C$10:$C$18,0),MATCH(H$19,'LV &amp; HV augex'!$D$9:$P$9,0))*INDEX('LV &amp; HV augex'!$D$28:$J$52,MATCH($B118,'LV &amp; HV augex'!$L$28:$L$52,0),MATCH($C118,'LV &amp; HV augex'!$D$27:$J$27,0)),0)*'Financial inputs'!$D$11</f>
        <v>18143.613862559017</v>
      </c>
      <c r="I118" s="40">
        <f>IFERROR(INDEX('LV &amp; HV augex'!$D$10:$P$18,MATCH($C118,'LV &amp; HV augex'!$C$10:$C$18,0),MATCH(I$19,'LV &amp; HV augex'!$D$9:$P$9,0))*INDEX('LV &amp; HV augex'!$D$28:$J$52,MATCH($B118,'LV &amp; HV augex'!$L$28:$L$52,0),MATCH($C118,'LV &amp; HV augex'!$D$27:$J$27,0)),0)*'Financial inputs'!$D$11</f>
        <v>18143.613862559017</v>
      </c>
      <c r="J118" s="40">
        <f>IFERROR(INDEX('LV &amp; HV augex'!$D$10:$P$18,MATCH($C118,'LV &amp; HV augex'!$C$10:$C$18,0),MATCH(J$19,'LV &amp; HV augex'!$D$9:$P$9,0))*INDEX('LV &amp; HV augex'!$D$28:$J$52,MATCH($B118,'LV &amp; HV augex'!$L$28:$L$52,0),MATCH($C118,'LV &amp; HV augex'!$D$27:$J$27,0)),0)*'Financial inputs'!$D$11</f>
        <v>18143.613862559017</v>
      </c>
      <c r="K118" s="40">
        <f>IFERROR(INDEX('LV &amp; HV augex'!$D$10:$P$18,MATCH($C118,'LV &amp; HV augex'!$C$10:$C$18,0),MATCH(K$19,'LV &amp; HV augex'!$D$9:$P$9,0))*INDEX('LV &amp; HV augex'!$D$28:$J$52,MATCH($B118,'LV &amp; HV augex'!$L$28:$L$52,0),MATCH($C118,'LV &amp; HV augex'!$D$27:$J$27,0)),0)*'Financial inputs'!$D$11</f>
        <v>18143.613862559017</v>
      </c>
      <c r="L118" s="40">
        <f>IFERROR(INDEX('LV &amp; HV augex'!$D$10:$P$18,MATCH($C118,'LV &amp; HV augex'!$C$10:$C$18,0),MATCH(L$19,'LV &amp; HV augex'!$D$9:$P$9,0))*INDEX('LV &amp; HV augex'!$D$28:$J$52,MATCH($B118,'LV &amp; HV augex'!$L$28:$L$52,0),MATCH($C118,'LV &amp; HV augex'!$D$27:$J$27,0)),0)*'Financial inputs'!$D$11</f>
        <v>18143.613862559017</v>
      </c>
      <c r="M118" s="40">
        <f>IFERROR(INDEX('LV &amp; HV augex'!$D$10:$P$18,MATCH($C118,'LV &amp; HV augex'!$C$10:$C$18,0),MATCH(M$19,'LV &amp; HV augex'!$D$9:$P$9,0))*INDEX('LV &amp; HV augex'!$D$28:$J$52,MATCH($B118,'LV &amp; HV augex'!$L$28:$L$52,0),MATCH($C118,'LV &amp; HV augex'!$D$27:$J$27,0)),0)*'Financial inputs'!$D$11</f>
        <v>18143.613862559017</v>
      </c>
      <c r="N118" s="40">
        <f>IFERROR(INDEX('LV &amp; HV augex'!$D$10:$P$18,MATCH($C118,'LV &amp; HV augex'!$C$10:$C$18,0),MATCH(N$19,'LV &amp; HV augex'!$D$9:$P$9,0))*INDEX('LV &amp; HV augex'!$D$28:$J$52,MATCH($B118,'LV &amp; HV augex'!$L$28:$L$52,0),MATCH($C118,'LV &amp; HV augex'!$D$27:$J$27,0)),0)*'Financial inputs'!$D$11</f>
        <v>18143.613862559017</v>
      </c>
      <c r="O118" s="40">
        <f>IFERROR(INDEX('LV &amp; HV augex'!$D$10:$P$18,MATCH($C118,'LV &amp; HV augex'!$C$10:$C$18,0),MATCH(O$19,'LV &amp; HV augex'!$D$9:$P$9,0))*INDEX('LV &amp; HV augex'!$D$28:$J$52,MATCH($B118,'LV &amp; HV augex'!$L$28:$L$52,0),MATCH($C118,'LV &amp; HV augex'!$D$27:$J$27,0)),0)*'Financial inputs'!$D$11</f>
        <v>18143.613862559017</v>
      </c>
      <c r="P118" s="40">
        <f>IFERROR(INDEX('LV &amp; HV augex'!$D$10:$P$18,MATCH($C118,'LV &amp; HV augex'!$C$10:$C$18,0),MATCH(P$19,'LV &amp; HV augex'!$D$9:$P$9,0))*INDEX('LV &amp; HV augex'!$D$28:$J$52,MATCH($B118,'LV &amp; HV augex'!$L$28:$L$52,0),MATCH($C118,'LV &amp; HV augex'!$D$27:$J$27,0)),0)*'Financial inputs'!$D$11</f>
        <v>18143.613862559017</v>
      </c>
    </row>
    <row r="119" spans="2:16" ht="15.5">
      <c r="B119" s="2" t="str">
        <f t="shared" si="7"/>
        <v>Upper Central Coast</v>
      </c>
      <c r="C119" s="35" t="str" cm="1">
        <f t="array" ref="C119">INDEX(augex_categories,COUNTIFS($B$20:$B119,$B$20))</f>
        <v>LV Load Survey</v>
      </c>
      <c r="D119" s="35" t="str">
        <f>IF(COUNTIF('LV &amp; HV augex'!$C$10:$C$13,C119), "LV", IF(COUNTIF('LV &amp; HV augex'!$C$15:$C$17, C119), "HV", "Error"))</f>
        <v>LV</v>
      </c>
      <c r="E119" s="35" t="str">
        <f>INDEX('Growing &amp; falling'!$D$14:$D$39,MATCH($B119,'Growing &amp; falling'!$B$14:$B$39,0))</f>
        <v>Growth</v>
      </c>
      <c r="F119" s="35" t="str">
        <f t="shared" si="6"/>
        <v>$2024 real</v>
      </c>
      <c r="G119" s="40">
        <f>IFERROR(INDEX('LV &amp; HV augex'!$D$10:$P$18,MATCH($C119,'LV &amp; HV augex'!$C$10:$C$18,0),MATCH(G$19,'LV &amp; HV augex'!$D$9:$P$9,0))*INDEX('LV &amp; HV augex'!$D$28:$J$52,MATCH($B119,'LV &amp; HV augex'!$L$28:$L$52,0),MATCH($C119,'LV &amp; HV augex'!$D$27:$J$27,0)),0)*'Financial inputs'!$D$11</f>
        <v>9978.9876244074603</v>
      </c>
      <c r="H119" s="40">
        <f>IFERROR(INDEX('LV &amp; HV augex'!$D$10:$P$18,MATCH($C119,'LV &amp; HV augex'!$C$10:$C$18,0),MATCH(H$19,'LV &amp; HV augex'!$D$9:$P$9,0))*INDEX('LV &amp; HV augex'!$D$28:$J$52,MATCH($B119,'LV &amp; HV augex'!$L$28:$L$52,0),MATCH($C119,'LV &amp; HV augex'!$D$27:$J$27,0)),0)*'Financial inputs'!$D$11</f>
        <v>9978.9876244074603</v>
      </c>
      <c r="I119" s="40">
        <f>IFERROR(INDEX('LV &amp; HV augex'!$D$10:$P$18,MATCH($C119,'LV &amp; HV augex'!$C$10:$C$18,0),MATCH(I$19,'LV &amp; HV augex'!$D$9:$P$9,0))*INDEX('LV &amp; HV augex'!$D$28:$J$52,MATCH($B119,'LV &amp; HV augex'!$L$28:$L$52,0),MATCH($C119,'LV &amp; HV augex'!$D$27:$J$27,0)),0)*'Financial inputs'!$D$11</f>
        <v>9978.9876244074603</v>
      </c>
      <c r="J119" s="40">
        <f>IFERROR(INDEX('LV &amp; HV augex'!$D$10:$P$18,MATCH($C119,'LV &amp; HV augex'!$C$10:$C$18,0),MATCH(J$19,'LV &amp; HV augex'!$D$9:$P$9,0))*INDEX('LV &amp; HV augex'!$D$28:$J$52,MATCH($B119,'LV &amp; HV augex'!$L$28:$L$52,0),MATCH($C119,'LV &amp; HV augex'!$D$27:$J$27,0)),0)*'Financial inputs'!$D$11</f>
        <v>9978.9876244074603</v>
      </c>
      <c r="K119" s="40">
        <f>IFERROR(INDEX('LV &amp; HV augex'!$D$10:$P$18,MATCH($C119,'LV &amp; HV augex'!$C$10:$C$18,0),MATCH(K$19,'LV &amp; HV augex'!$D$9:$P$9,0))*INDEX('LV &amp; HV augex'!$D$28:$J$52,MATCH($B119,'LV &amp; HV augex'!$L$28:$L$52,0),MATCH($C119,'LV &amp; HV augex'!$D$27:$J$27,0)),0)*'Financial inputs'!$D$11</f>
        <v>9978.9876244074603</v>
      </c>
      <c r="L119" s="40">
        <f>IFERROR(INDEX('LV &amp; HV augex'!$D$10:$P$18,MATCH($C119,'LV &amp; HV augex'!$C$10:$C$18,0),MATCH(L$19,'LV &amp; HV augex'!$D$9:$P$9,0))*INDEX('LV &amp; HV augex'!$D$28:$J$52,MATCH($B119,'LV &amp; HV augex'!$L$28:$L$52,0),MATCH($C119,'LV &amp; HV augex'!$D$27:$J$27,0)),0)*'Financial inputs'!$D$11</f>
        <v>9978.9876244074603</v>
      </c>
      <c r="M119" s="40">
        <f>IFERROR(INDEX('LV &amp; HV augex'!$D$10:$P$18,MATCH($C119,'LV &amp; HV augex'!$C$10:$C$18,0),MATCH(M$19,'LV &amp; HV augex'!$D$9:$P$9,0))*INDEX('LV &amp; HV augex'!$D$28:$J$52,MATCH($B119,'LV &amp; HV augex'!$L$28:$L$52,0),MATCH($C119,'LV &amp; HV augex'!$D$27:$J$27,0)),0)*'Financial inputs'!$D$11</f>
        <v>9978.9876244074603</v>
      </c>
      <c r="N119" s="40">
        <f>IFERROR(INDEX('LV &amp; HV augex'!$D$10:$P$18,MATCH($C119,'LV &amp; HV augex'!$C$10:$C$18,0),MATCH(N$19,'LV &amp; HV augex'!$D$9:$P$9,0))*INDEX('LV &amp; HV augex'!$D$28:$J$52,MATCH($B119,'LV &amp; HV augex'!$L$28:$L$52,0),MATCH($C119,'LV &amp; HV augex'!$D$27:$J$27,0)),0)*'Financial inputs'!$D$11</f>
        <v>9978.9876244074603</v>
      </c>
      <c r="O119" s="40">
        <f>IFERROR(INDEX('LV &amp; HV augex'!$D$10:$P$18,MATCH($C119,'LV &amp; HV augex'!$C$10:$C$18,0),MATCH(O$19,'LV &amp; HV augex'!$D$9:$P$9,0))*INDEX('LV &amp; HV augex'!$D$28:$J$52,MATCH($B119,'LV &amp; HV augex'!$L$28:$L$52,0),MATCH($C119,'LV &amp; HV augex'!$D$27:$J$27,0)),0)*'Financial inputs'!$D$11</f>
        <v>9978.9876244074603</v>
      </c>
      <c r="P119" s="40">
        <f>IFERROR(INDEX('LV &amp; HV augex'!$D$10:$P$18,MATCH($C119,'LV &amp; HV augex'!$C$10:$C$18,0),MATCH(P$19,'LV &amp; HV augex'!$D$9:$P$9,0))*INDEX('LV &amp; HV augex'!$D$28:$J$52,MATCH($B119,'LV &amp; HV augex'!$L$28:$L$52,0),MATCH($C119,'LV &amp; HV augex'!$D$27:$J$27,0)),0)*'Financial inputs'!$D$11</f>
        <v>9978.9876244074603</v>
      </c>
    </row>
    <row r="120" spans="2:16" ht="15.5">
      <c r="B120" s="2" t="str">
        <f t="shared" si="7"/>
        <v>Upper Hunter</v>
      </c>
      <c r="C120" s="35" t="str" cm="1">
        <f t="array" ref="C120">INDEX(augex_categories,COUNTIFS($B$20:$B120,$B$20))</f>
        <v>LV Load Survey</v>
      </c>
      <c r="D120" s="35" t="str">
        <f>IF(COUNTIF('LV &amp; HV augex'!$C$10:$C$13,C120), "LV", IF(COUNTIF('LV &amp; HV augex'!$C$15:$C$17, C120), "HV", "Error"))</f>
        <v>LV</v>
      </c>
      <c r="E120" s="35" t="str">
        <f>INDEX('Growing &amp; falling'!$D$14:$D$39,MATCH($B120,'Growing &amp; falling'!$B$14:$B$39,0))</f>
        <v>Decline</v>
      </c>
      <c r="F120" s="35" t="str">
        <f t="shared" si="6"/>
        <v>$2024 real</v>
      </c>
      <c r="G120" s="40">
        <f>IFERROR(INDEX('LV &amp; HV augex'!$D$10:$P$18,MATCH($C120,'LV &amp; HV augex'!$C$10:$C$18,0),MATCH(G$19,'LV &amp; HV augex'!$D$9:$P$9,0))*INDEX('LV &amp; HV augex'!$D$28:$J$52,MATCH($B120,'LV &amp; HV augex'!$L$28:$L$52,0),MATCH($C120,'LV &amp; HV augex'!$D$27:$J$27,0)),0)*'Financial inputs'!$D$11</f>
        <v>9676.5940600314771</v>
      </c>
      <c r="H120" s="40">
        <f>IFERROR(INDEX('LV &amp; HV augex'!$D$10:$P$18,MATCH($C120,'LV &amp; HV augex'!$C$10:$C$18,0),MATCH(H$19,'LV &amp; HV augex'!$D$9:$P$9,0))*INDEX('LV &amp; HV augex'!$D$28:$J$52,MATCH($B120,'LV &amp; HV augex'!$L$28:$L$52,0),MATCH($C120,'LV &amp; HV augex'!$D$27:$J$27,0)),0)*'Financial inputs'!$D$11</f>
        <v>9676.5940600314771</v>
      </c>
      <c r="I120" s="40">
        <f>IFERROR(INDEX('LV &amp; HV augex'!$D$10:$P$18,MATCH($C120,'LV &amp; HV augex'!$C$10:$C$18,0),MATCH(I$19,'LV &amp; HV augex'!$D$9:$P$9,0))*INDEX('LV &amp; HV augex'!$D$28:$J$52,MATCH($B120,'LV &amp; HV augex'!$L$28:$L$52,0),MATCH($C120,'LV &amp; HV augex'!$D$27:$J$27,0)),0)*'Financial inputs'!$D$11</f>
        <v>9676.5940600314771</v>
      </c>
      <c r="J120" s="40">
        <f>IFERROR(INDEX('LV &amp; HV augex'!$D$10:$P$18,MATCH($C120,'LV &amp; HV augex'!$C$10:$C$18,0),MATCH(J$19,'LV &amp; HV augex'!$D$9:$P$9,0))*INDEX('LV &amp; HV augex'!$D$28:$J$52,MATCH($B120,'LV &amp; HV augex'!$L$28:$L$52,0),MATCH($C120,'LV &amp; HV augex'!$D$27:$J$27,0)),0)*'Financial inputs'!$D$11</f>
        <v>9676.5940600314771</v>
      </c>
      <c r="K120" s="40">
        <f>IFERROR(INDEX('LV &amp; HV augex'!$D$10:$P$18,MATCH($C120,'LV &amp; HV augex'!$C$10:$C$18,0),MATCH(K$19,'LV &amp; HV augex'!$D$9:$P$9,0))*INDEX('LV &amp; HV augex'!$D$28:$J$52,MATCH($B120,'LV &amp; HV augex'!$L$28:$L$52,0),MATCH($C120,'LV &amp; HV augex'!$D$27:$J$27,0)),0)*'Financial inputs'!$D$11</f>
        <v>9676.5940600314771</v>
      </c>
      <c r="L120" s="40">
        <f>IFERROR(INDEX('LV &amp; HV augex'!$D$10:$P$18,MATCH($C120,'LV &amp; HV augex'!$C$10:$C$18,0),MATCH(L$19,'LV &amp; HV augex'!$D$9:$P$9,0))*INDEX('LV &amp; HV augex'!$D$28:$J$52,MATCH($B120,'LV &amp; HV augex'!$L$28:$L$52,0),MATCH($C120,'LV &amp; HV augex'!$D$27:$J$27,0)),0)*'Financial inputs'!$D$11</f>
        <v>9676.5940600314771</v>
      </c>
      <c r="M120" s="40">
        <f>IFERROR(INDEX('LV &amp; HV augex'!$D$10:$P$18,MATCH($C120,'LV &amp; HV augex'!$C$10:$C$18,0),MATCH(M$19,'LV &amp; HV augex'!$D$9:$P$9,0))*INDEX('LV &amp; HV augex'!$D$28:$J$52,MATCH($B120,'LV &amp; HV augex'!$L$28:$L$52,0),MATCH($C120,'LV &amp; HV augex'!$D$27:$J$27,0)),0)*'Financial inputs'!$D$11</f>
        <v>9676.5940600314771</v>
      </c>
      <c r="N120" s="40">
        <f>IFERROR(INDEX('LV &amp; HV augex'!$D$10:$P$18,MATCH($C120,'LV &amp; HV augex'!$C$10:$C$18,0),MATCH(N$19,'LV &amp; HV augex'!$D$9:$P$9,0))*INDEX('LV &amp; HV augex'!$D$28:$J$52,MATCH($B120,'LV &amp; HV augex'!$L$28:$L$52,0),MATCH($C120,'LV &amp; HV augex'!$D$27:$J$27,0)),0)*'Financial inputs'!$D$11</f>
        <v>9676.5940600314771</v>
      </c>
      <c r="O120" s="40">
        <f>IFERROR(INDEX('LV &amp; HV augex'!$D$10:$P$18,MATCH($C120,'LV &amp; HV augex'!$C$10:$C$18,0),MATCH(O$19,'LV &amp; HV augex'!$D$9:$P$9,0))*INDEX('LV &amp; HV augex'!$D$28:$J$52,MATCH($B120,'LV &amp; HV augex'!$L$28:$L$52,0),MATCH($C120,'LV &amp; HV augex'!$D$27:$J$27,0)),0)*'Financial inputs'!$D$11</f>
        <v>9676.5940600314771</v>
      </c>
      <c r="P120" s="40">
        <f>IFERROR(INDEX('LV &amp; HV augex'!$D$10:$P$18,MATCH($C120,'LV &amp; HV augex'!$C$10:$C$18,0),MATCH(P$19,'LV &amp; HV augex'!$D$9:$P$9,0))*INDEX('LV &amp; HV augex'!$D$28:$J$52,MATCH($B120,'LV &amp; HV augex'!$L$28:$L$52,0),MATCH($C120,'LV &amp; HV augex'!$D$27:$J$27,0)),0)*'Financial inputs'!$D$11</f>
        <v>9676.5940600314771</v>
      </c>
    </row>
    <row r="121" spans="2:16" ht="15.5">
      <c r="B121" s="2" t="str">
        <f t="shared" si="7"/>
        <v>Upper North Shore</v>
      </c>
      <c r="C121" s="35" t="str" cm="1">
        <f t="array" ref="C121">INDEX(augex_categories,COUNTIFS($B$20:$B121,$B$20))</f>
        <v>LV Load Survey</v>
      </c>
      <c r="D121" s="35" t="str">
        <f>IF(COUNTIF('LV &amp; HV augex'!$C$10:$C$13,C121), "LV", IF(COUNTIF('LV &amp; HV augex'!$C$15:$C$17, C121), "HV", "Error"))</f>
        <v>LV</v>
      </c>
      <c r="E121" s="35" t="str">
        <f>INDEX('Growing &amp; falling'!$D$14:$D$39,MATCH($B121,'Growing &amp; falling'!$B$14:$B$39,0))</f>
        <v>Decline</v>
      </c>
      <c r="F121" s="35" t="str">
        <f t="shared" si="6"/>
        <v>$2024 real</v>
      </c>
      <c r="G121" s="40">
        <f>IFERROR(INDEX('LV &amp; HV augex'!$D$10:$P$18,MATCH($C121,'LV &amp; HV augex'!$C$10:$C$18,0),MATCH(G$19,'LV &amp; HV augex'!$D$9:$P$9,0))*INDEX('LV &amp; HV augex'!$D$28:$J$52,MATCH($B121,'LV &amp; HV augex'!$L$28:$L$52,0),MATCH($C121,'LV &amp; HV augex'!$D$27:$J$27,0)),0)*'Financial inputs'!$D$11</f>
        <v>18143.613862559017</v>
      </c>
      <c r="H121" s="40">
        <f>IFERROR(INDEX('LV &amp; HV augex'!$D$10:$P$18,MATCH($C121,'LV &amp; HV augex'!$C$10:$C$18,0),MATCH(H$19,'LV &amp; HV augex'!$D$9:$P$9,0))*INDEX('LV &amp; HV augex'!$D$28:$J$52,MATCH($B121,'LV &amp; HV augex'!$L$28:$L$52,0),MATCH($C121,'LV &amp; HV augex'!$D$27:$J$27,0)),0)*'Financial inputs'!$D$11</f>
        <v>18143.613862559017</v>
      </c>
      <c r="I121" s="40">
        <f>IFERROR(INDEX('LV &amp; HV augex'!$D$10:$P$18,MATCH($C121,'LV &amp; HV augex'!$C$10:$C$18,0),MATCH(I$19,'LV &amp; HV augex'!$D$9:$P$9,0))*INDEX('LV &amp; HV augex'!$D$28:$J$52,MATCH($B121,'LV &amp; HV augex'!$L$28:$L$52,0),MATCH($C121,'LV &amp; HV augex'!$D$27:$J$27,0)),0)*'Financial inputs'!$D$11</f>
        <v>18143.613862559017</v>
      </c>
      <c r="J121" s="40">
        <f>IFERROR(INDEX('LV &amp; HV augex'!$D$10:$P$18,MATCH($C121,'LV &amp; HV augex'!$C$10:$C$18,0),MATCH(J$19,'LV &amp; HV augex'!$D$9:$P$9,0))*INDEX('LV &amp; HV augex'!$D$28:$J$52,MATCH($B121,'LV &amp; HV augex'!$L$28:$L$52,0),MATCH($C121,'LV &amp; HV augex'!$D$27:$J$27,0)),0)*'Financial inputs'!$D$11</f>
        <v>18143.613862559017</v>
      </c>
      <c r="K121" s="40">
        <f>IFERROR(INDEX('LV &amp; HV augex'!$D$10:$P$18,MATCH($C121,'LV &amp; HV augex'!$C$10:$C$18,0),MATCH(K$19,'LV &amp; HV augex'!$D$9:$P$9,0))*INDEX('LV &amp; HV augex'!$D$28:$J$52,MATCH($B121,'LV &amp; HV augex'!$L$28:$L$52,0),MATCH($C121,'LV &amp; HV augex'!$D$27:$J$27,0)),0)*'Financial inputs'!$D$11</f>
        <v>18143.613862559017</v>
      </c>
      <c r="L121" s="40">
        <f>IFERROR(INDEX('LV &amp; HV augex'!$D$10:$P$18,MATCH($C121,'LV &amp; HV augex'!$C$10:$C$18,0),MATCH(L$19,'LV &amp; HV augex'!$D$9:$P$9,0))*INDEX('LV &amp; HV augex'!$D$28:$J$52,MATCH($B121,'LV &amp; HV augex'!$L$28:$L$52,0),MATCH($C121,'LV &amp; HV augex'!$D$27:$J$27,0)),0)*'Financial inputs'!$D$11</f>
        <v>18143.613862559017</v>
      </c>
      <c r="M121" s="40">
        <f>IFERROR(INDEX('LV &amp; HV augex'!$D$10:$P$18,MATCH($C121,'LV &amp; HV augex'!$C$10:$C$18,0),MATCH(M$19,'LV &amp; HV augex'!$D$9:$P$9,0))*INDEX('LV &amp; HV augex'!$D$28:$J$52,MATCH($B121,'LV &amp; HV augex'!$L$28:$L$52,0),MATCH($C121,'LV &amp; HV augex'!$D$27:$J$27,0)),0)*'Financial inputs'!$D$11</f>
        <v>18143.613862559017</v>
      </c>
      <c r="N121" s="40">
        <f>IFERROR(INDEX('LV &amp; HV augex'!$D$10:$P$18,MATCH($C121,'LV &amp; HV augex'!$C$10:$C$18,0),MATCH(N$19,'LV &amp; HV augex'!$D$9:$P$9,0))*INDEX('LV &amp; HV augex'!$D$28:$J$52,MATCH($B121,'LV &amp; HV augex'!$L$28:$L$52,0),MATCH($C121,'LV &amp; HV augex'!$D$27:$J$27,0)),0)*'Financial inputs'!$D$11</f>
        <v>18143.613862559017</v>
      </c>
      <c r="O121" s="40">
        <f>IFERROR(INDEX('LV &amp; HV augex'!$D$10:$P$18,MATCH($C121,'LV &amp; HV augex'!$C$10:$C$18,0),MATCH(O$19,'LV &amp; HV augex'!$D$9:$P$9,0))*INDEX('LV &amp; HV augex'!$D$28:$J$52,MATCH($B121,'LV &amp; HV augex'!$L$28:$L$52,0),MATCH($C121,'LV &amp; HV augex'!$D$27:$J$27,0)),0)*'Financial inputs'!$D$11</f>
        <v>18143.613862559017</v>
      </c>
      <c r="P121" s="40">
        <f>IFERROR(INDEX('LV &amp; HV augex'!$D$10:$P$18,MATCH($C121,'LV &amp; HV augex'!$C$10:$C$18,0),MATCH(P$19,'LV &amp; HV augex'!$D$9:$P$9,0))*INDEX('LV &amp; HV augex'!$D$28:$J$52,MATCH($B121,'LV &amp; HV augex'!$L$28:$L$52,0),MATCH($C121,'LV &amp; HV augex'!$D$27:$J$27,0)),0)*'Financial inputs'!$D$11</f>
        <v>18143.613862559017</v>
      </c>
    </row>
    <row r="122" spans="2:16" ht="15.5">
      <c r="B122" s="2" t="str">
        <f t="shared" si="7"/>
        <v>West Lake Macquarie</v>
      </c>
      <c r="C122" s="35" t="str" cm="1">
        <f t="array" ref="C122">INDEX(augex_categories,COUNTIFS($B$20:$B122,$B$20))</f>
        <v>LV Load Survey</v>
      </c>
      <c r="D122" s="35" t="str">
        <f>IF(COUNTIF('LV &amp; HV augex'!$C$10:$C$13,C122), "LV", IF(COUNTIF('LV &amp; HV augex'!$C$15:$C$17, C122), "HV", "Error"))</f>
        <v>LV</v>
      </c>
      <c r="E122" s="35" t="str">
        <f>INDEX('Growing &amp; falling'!$D$14:$D$39,MATCH($B122,'Growing &amp; falling'!$B$14:$B$39,0))</f>
        <v>Decline</v>
      </c>
      <c r="F122" s="35" t="str">
        <f t="shared" si="6"/>
        <v>$2024 real</v>
      </c>
      <c r="G122" s="40">
        <f>IFERROR(INDEX('LV &amp; HV augex'!$D$10:$P$18,MATCH($C122,'LV &amp; HV augex'!$C$10:$C$18,0),MATCH(G$19,'LV &amp; HV augex'!$D$9:$P$9,0))*INDEX('LV &amp; HV augex'!$D$28:$J$52,MATCH($B122,'LV &amp; HV augex'!$L$28:$L$52,0),MATCH($C122,'LV &amp; HV augex'!$D$27:$J$27,0)),0)*'Financial inputs'!$D$11</f>
        <v>11188.561881911393</v>
      </c>
      <c r="H122" s="40">
        <f>IFERROR(INDEX('LV &amp; HV augex'!$D$10:$P$18,MATCH($C122,'LV &amp; HV augex'!$C$10:$C$18,0),MATCH(H$19,'LV &amp; HV augex'!$D$9:$P$9,0))*INDEX('LV &amp; HV augex'!$D$28:$J$52,MATCH($B122,'LV &amp; HV augex'!$L$28:$L$52,0),MATCH($C122,'LV &amp; HV augex'!$D$27:$J$27,0)),0)*'Financial inputs'!$D$11</f>
        <v>11188.561881911393</v>
      </c>
      <c r="I122" s="40">
        <f>IFERROR(INDEX('LV &amp; HV augex'!$D$10:$P$18,MATCH($C122,'LV &amp; HV augex'!$C$10:$C$18,0),MATCH(I$19,'LV &amp; HV augex'!$D$9:$P$9,0))*INDEX('LV &amp; HV augex'!$D$28:$J$52,MATCH($B122,'LV &amp; HV augex'!$L$28:$L$52,0),MATCH($C122,'LV &amp; HV augex'!$D$27:$J$27,0)),0)*'Financial inputs'!$D$11</f>
        <v>11188.561881911393</v>
      </c>
      <c r="J122" s="40">
        <f>IFERROR(INDEX('LV &amp; HV augex'!$D$10:$P$18,MATCH($C122,'LV &amp; HV augex'!$C$10:$C$18,0),MATCH(J$19,'LV &amp; HV augex'!$D$9:$P$9,0))*INDEX('LV &amp; HV augex'!$D$28:$J$52,MATCH($B122,'LV &amp; HV augex'!$L$28:$L$52,0),MATCH($C122,'LV &amp; HV augex'!$D$27:$J$27,0)),0)*'Financial inputs'!$D$11</f>
        <v>11188.561881911393</v>
      </c>
      <c r="K122" s="40">
        <f>IFERROR(INDEX('LV &amp; HV augex'!$D$10:$P$18,MATCH($C122,'LV &amp; HV augex'!$C$10:$C$18,0),MATCH(K$19,'LV &amp; HV augex'!$D$9:$P$9,0))*INDEX('LV &amp; HV augex'!$D$28:$J$52,MATCH($B122,'LV &amp; HV augex'!$L$28:$L$52,0),MATCH($C122,'LV &amp; HV augex'!$D$27:$J$27,0)),0)*'Financial inputs'!$D$11</f>
        <v>11188.561881911393</v>
      </c>
      <c r="L122" s="40">
        <f>IFERROR(INDEX('LV &amp; HV augex'!$D$10:$P$18,MATCH($C122,'LV &amp; HV augex'!$C$10:$C$18,0),MATCH(L$19,'LV &amp; HV augex'!$D$9:$P$9,0))*INDEX('LV &amp; HV augex'!$D$28:$J$52,MATCH($B122,'LV &amp; HV augex'!$L$28:$L$52,0),MATCH($C122,'LV &amp; HV augex'!$D$27:$J$27,0)),0)*'Financial inputs'!$D$11</f>
        <v>11188.561881911393</v>
      </c>
      <c r="M122" s="40">
        <f>IFERROR(INDEX('LV &amp; HV augex'!$D$10:$P$18,MATCH($C122,'LV &amp; HV augex'!$C$10:$C$18,0),MATCH(M$19,'LV &amp; HV augex'!$D$9:$P$9,0))*INDEX('LV &amp; HV augex'!$D$28:$J$52,MATCH($B122,'LV &amp; HV augex'!$L$28:$L$52,0),MATCH($C122,'LV &amp; HV augex'!$D$27:$J$27,0)),0)*'Financial inputs'!$D$11</f>
        <v>11188.561881911393</v>
      </c>
      <c r="N122" s="40">
        <f>IFERROR(INDEX('LV &amp; HV augex'!$D$10:$P$18,MATCH($C122,'LV &amp; HV augex'!$C$10:$C$18,0),MATCH(N$19,'LV &amp; HV augex'!$D$9:$P$9,0))*INDEX('LV &amp; HV augex'!$D$28:$J$52,MATCH($B122,'LV &amp; HV augex'!$L$28:$L$52,0),MATCH($C122,'LV &amp; HV augex'!$D$27:$J$27,0)),0)*'Financial inputs'!$D$11</f>
        <v>11188.561881911393</v>
      </c>
      <c r="O122" s="40">
        <f>IFERROR(INDEX('LV &amp; HV augex'!$D$10:$P$18,MATCH($C122,'LV &amp; HV augex'!$C$10:$C$18,0),MATCH(O$19,'LV &amp; HV augex'!$D$9:$P$9,0))*INDEX('LV &amp; HV augex'!$D$28:$J$52,MATCH($B122,'LV &amp; HV augex'!$L$28:$L$52,0),MATCH($C122,'LV &amp; HV augex'!$D$27:$J$27,0)),0)*'Financial inputs'!$D$11</f>
        <v>11188.561881911393</v>
      </c>
      <c r="P122" s="40">
        <f>IFERROR(INDEX('LV &amp; HV augex'!$D$10:$P$18,MATCH($C122,'LV &amp; HV augex'!$C$10:$C$18,0),MATCH(P$19,'LV &amp; HV augex'!$D$9:$P$9,0))*INDEX('LV &amp; HV augex'!$D$28:$J$52,MATCH($B122,'LV &amp; HV augex'!$L$28:$L$52,0),MATCH($C122,'LV &amp; HV augex'!$D$27:$J$27,0)),0)*'Financial inputs'!$D$11</f>
        <v>11188.561881911393</v>
      </c>
    </row>
    <row r="123" spans="2:16" ht="15.5">
      <c r="B123" s="2" t="str">
        <f t="shared" si="7"/>
        <v>System wide</v>
      </c>
      <c r="C123" s="35" t="str" cm="1">
        <f t="array" ref="C123">INDEX(augex_categories,COUNTIFS($B$20:$B123,$B$20))</f>
        <v>LV Load Survey</v>
      </c>
      <c r="D123" s="35" t="str">
        <f>IF(COUNTIF('LV &amp; HV augex'!$C$10:$C$13,C123), "LV", IF(COUNTIF('LV &amp; HV augex'!$C$15:$C$17, C123), "HV", "Error"))</f>
        <v>LV</v>
      </c>
      <c r="E123" s="35" t="str">
        <f>INDEX('Growing &amp; falling'!$D$14:$D$39,MATCH($B123,'Growing &amp; falling'!$B$14:$B$39,0))</f>
        <v>System wide</v>
      </c>
      <c r="F123" s="35" t="str">
        <f t="shared" si="6"/>
        <v>$2024 real</v>
      </c>
      <c r="G123" s="40">
        <f>IFERROR(INDEX('LV &amp; HV augex'!$D$10:$P$18,MATCH($C123,'LV &amp; HV augex'!$C$10:$C$18,0),MATCH(G$19,'LV &amp; HV augex'!$D$9:$P$9,0))*INDEX('LV &amp; HV augex'!$D$28:$J$52,MATCH($B123,'LV &amp; HV augex'!$L$28:$L$52,0),MATCH($C123,'LV &amp; HV augex'!$D$27:$J$27,0)),0)*'Financial inputs'!$D$11</f>
        <v>0</v>
      </c>
      <c r="H123" s="40">
        <f>IFERROR(INDEX('LV &amp; HV augex'!$D$10:$P$18,MATCH($C123,'LV &amp; HV augex'!$C$10:$C$18,0),MATCH(H$19,'LV &amp; HV augex'!$D$9:$P$9,0))*INDEX('LV &amp; HV augex'!$D$28:$J$52,MATCH($B123,'LV &amp; HV augex'!$L$28:$L$52,0),MATCH($C123,'LV &amp; HV augex'!$D$27:$J$27,0)),0)*'Financial inputs'!$D$11</f>
        <v>0</v>
      </c>
      <c r="I123" s="40">
        <f>IFERROR(INDEX('LV &amp; HV augex'!$D$10:$P$18,MATCH($C123,'LV &amp; HV augex'!$C$10:$C$18,0),MATCH(I$19,'LV &amp; HV augex'!$D$9:$P$9,0))*INDEX('LV &amp; HV augex'!$D$28:$J$52,MATCH($B123,'LV &amp; HV augex'!$L$28:$L$52,0),MATCH($C123,'LV &amp; HV augex'!$D$27:$J$27,0)),0)*'Financial inputs'!$D$11</f>
        <v>0</v>
      </c>
      <c r="J123" s="40">
        <f>IFERROR(INDEX('LV &amp; HV augex'!$D$10:$P$18,MATCH($C123,'LV &amp; HV augex'!$C$10:$C$18,0),MATCH(J$19,'LV &amp; HV augex'!$D$9:$P$9,0))*INDEX('LV &amp; HV augex'!$D$28:$J$52,MATCH($B123,'LV &amp; HV augex'!$L$28:$L$52,0),MATCH($C123,'LV &amp; HV augex'!$D$27:$J$27,0)),0)*'Financial inputs'!$D$11</f>
        <v>0</v>
      </c>
      <c r="K123" s="40">
        <f>IFERROR(INDEX('LV &amp; HV augex'!$D$10:$P$18,MATCH($C123,'LV &amp; HV augex'!$C$10:$C$18,0),MATCH(K$19,'LV &amp; HV augex'!$D$9:$P$9,0))*INDEX('LV &amp; HV augex'!$D$28:$J$52,MATCH($B123,'LV &amp; HV augex'!$L$28:$L$52,0),MATCH($C123,'LV &amp; HV augex'!$D$27:$J$27,0)),0)*'Financial inputs'!$D$11</f>
        <v>0</v>
      </c>
      <c r="L123" s="40">
        <f>IFERROR(INDEX('LV &amp; HV augex'!$D$10:$P$18,MATCH($C123,'LV &amp; HV augex'!$C$10:$C$18,0),MATCH(L$19,'LV &amp; HV augex'!$D$9:$P$9,0))*INDEX('LV &amp; HV augex'!$D$28:$J$52,MATCH($B123,'LV &amp; HV augex'!$L$28:$L$52,0),MATCH($C123,'LV &amp; HV augex'!$D$27:$J$27,0)),0)*'Financial inputs'!$D$11</f>
        <v>0</v>
      </c>
      <c r="M123" s="40">
        <f>IFERROR(INDEX('LV &amp; HV augex'!$D$10:$P$18,MATCH($C123,'LV &amp; HV augex'!$C$10:$C$18,0),MATCH(M$19,'LV &amp; HV augex'!$D$9:$P$9,0))*INDEX('LV &amp; HV augex'!$D$28:$J$52,MATCH($B123,'LV &amp; HV augex'!$L$28:$L$52,0),MATCH($C123,'LV &amp; HV augex'!$D$27:$J$27,0)),0)*'Financial inputs'!$D$11</f>
        <v>0</v>
      </c>
      <c r="N123" s="40">
        <f>IFERROR(INDEX('LV &amp; HV augex'!$D$10:$P$18,MATCH($C123,'LV &amp; HV augex'!$C$10:$C$18,0),MATCH(N$19,'LV &amp; HV augex'!$D$9:$P$9,0))*INDEX('LV &amp; HV augex'!$D$28:$J$52,MATCH($B123,'LV &amp; HV augex'!$L$28:$L$52,0),MATCH($C123,'LV &amp; HV augex'!$D$27:$J$27,0)),0)*'Financial inputs'!$D$11</f>
        <v>0</v>
      </c>
      <c r="O123" s="40">
        <f>IFERROR(INDEX('LV &amp; HV augex'!$D$10:$P$18,MATCH($C123,'LV &amp; HV augex'!$C$10:$C$18,0),MATCH(O$19,'LV &amp; HV augex'!$D$9:$P$9,0))*INDEX('LV &amp; HV augex'!$D$28:$J$52,MATCH($B123,'LV &amp; HV augex'!$L$28:$L$52,0),MATCH($C123,'LV &amp; HV augex'!$D$27:$J$27,0)),0)*'Financial inputs'!$D$11</f>
        <v>0</v>
      </c>
      <c r="P123" s="40">
        <f>IFERROR(INDEX('LV &amp; HV augex'!$D$10:$P$18,MATCH($C123,'LV &amp; HV augex'!$C$10:$C$18,0),MATCH(P$19,'LV &amp; HV augex'!$D$9:$P$9,0))*INDEX('LV &amp; HV augex'!$D$28:$J$52,MATCH($B123,'LV &amp; HV augex'!$L$28:$L$52,0),MATCH($C123,'LV &amp; HV augex'!$D$27:$J$27,0)),0)*'Financial inputs'!$D$11</f>
        <v>0</v>
      </c>
    </row>
    <row r="124" spans="2:16" ht="15.5">
      <c r="B124" s="2" t="str">
        <f t="shared" si="7"/>
        <v>Auburn / Homebush</v>
      </c>
      <c r="C124" s="35" t="str" cm="1">
        <f t="array" ref="C124">INDEX(augex_categories,COUNTIFS($B$20:$B124,$B$20))</f>
        <v>HV Reinforcement OH (New)</v>
      </c>
      <c r="D124" s="35" t="str">
        <f>IF(COUNTIF('LV &amp; HV augex'!$C$10:$C$13,C124), "LV", IF(COUNTIF('LV &amp; HV augex'!$C$15:$C$17, C124), "HV", "Error"))</f>
        <v>HV</v>
      </c>
      <c r="E124" s="35" t="str">
        <f>INDEX('Growing &amp; falling'!$D$14:$D$39,MATCH($B124,'Growing &amp; falling'!$B$14:$B$39,0))</f>
        <v>Growth</v>
      </c>
      <c r="F124" s="35" t="str">
        <f t="shared" si="6"/>
        <v>$2024 real</v>
      </c>
      <c r="G124" s="40">
        <f>IFERROR(INDEX('LV &amp; HV augex'!$D$10:$P$18,MATCH($C124,'LV &amp; HV augex'!$C$10:$C$18,0),MATCH(G$19,'LV &amp; HV augex'!$D$9:$P$9,0))*INDEX('LV &amp; HV augex'!$D$28:$J$52,MATCH($B124,'LV &amp; HV augex'!$L$28:$L$52,0),MATCH($C124,'LV &amp; HV augex'!$D$27:$J$27,0)),0)*'Financial inputs'!$D$11</f>
        <v>95068.656193178424</v>
      </c>
      <c r="H124" s="40">
        <f>IFERROR(INDEX('LV &amp; HV augex'!$D$10:$P$18,MATCH($C124,'LV &amp; HV augex'!$C$10:$C$18,0),MATCH(H$19,'LV &amp; HV augex'!$D$9:$P$9,0))*INDEX('LV &amp; HV augex'!$D$28:$J$52,MATCH($B124,'LV &amp; HV augex'!$L$28:$L$52,0),MATCH($C124,'LV &amp; HV augex'!$D$27:$J$27,0)),0)*'Financial inputs'!$D$11</f>
        <v>93710.485007383613</v>
      </c>
      <c r="I124" s="40">
        <f>IFERROR(INDEX('LV &amp; HV augex'!$D$10:$P$18,MATCH($C124,'LV &amp; HV augex'!$C$10:$C$18,0),MATCH(I$19,'LV &amp; HV augex'!$D$9:$P$9,0))*INDEX('LV &amp; HV augex'!$D$28:$J$52,MATCH($B124,'LV &amp; HV augex'!$L$28:$L$52,0),MATCH($C124,'LV &amp; HV augex'!$D$27:$J$27,0)),0)*'Financial inputs'!$D$11</f>
        <v>94729.044088136856</v>
      </c>
      <c r="J124" s="40">
        <f>IFERROR(INDEX('LV &amp; HV augex'!$D$10:$P$18,MATCH($C124,'LV &amp; HV augex'!$C$10:$C$18,0),MATCH(J$19,'LV &amp; HV augex'!$D$9:$P$9,0))*INDEX('LV &amp; HV augex'!$D$28:$J$52,MATCH($B124,'LV &amp; HV augex'!$L$28:$L$52,0),MATCH($C124,'LV &amp; HV augex'!$D$27:$J$27,0)),0)*'Financial inputs'!$D$11</f>
        <v>94729.044088136856</v>
      </c>
      <c r="K124" s="40">
        <f>IFERROR(INDEX('LV &amp; HV augex'!$D$10:$P$18,MATCH($C124,'LV &amp; HV augex'!$C$10:$C$18,0),MATCH(K$19,'LV &amp; HV augex'!$D$9:$P$9,0))*INDEX('LV &amp; HV augex'!$D$28:$J$52,MATCH($B124,'LV &amp; HV augex'!$L$28:$L$52,0),MATCH($C124,'LV &amp; HV augex'!$D$27:$J$27,0)),0)*'Financial inputs'!$D$11</f>
        <v>94729.044088136856</v>
      </c>
      <c r="L124" s="40">
        <f>IFERROR(INDEX('LV &amp; HV augex'!$D$10:$P$18,MATCH($C124,'LV &amp; HV augex'!$C$10:$C$18,0),MATCH(L$19,'LV &amp; HV augex'!$D$9:$P$9,0))*INDEX('LV &amp; HV augex'!$D$28:$J$52,MATCH($B124,'LV &amp; HV augex'!$L$28:$L$52,0),MATCH($C124,'LV &amp; HV augex'!$D$27:$J$27,0)),0)*'Financial inputs'!$D$11</f>
        <v>94729.044088136856</v>
      </c>
      <c r="M124" s="40">
        <f>IFERROR(INDEX('LV &amp; HV augex'!$D$10:$P$18,MATCH($C124,'LV &amp; HV augex'!$C$10:$C$18,0),MATCH(M$19,'LV &amp; HV augex'!$D$9:$P$9,0))*INDEX('LV &amp; HV augex'!$D$28:$J$52,MATCH($B124,'LV &amp; HV augex'!$L$28:$L$52,0),MATCH($C124,'LV &amp; HV augex'!$D$27:$J$27,0)),0)*'Financial inputs'!$D$11</f>
        <v>94729.044088136856</v>
      </c>
      <c r="N124" s="40">
        <f>IFERROR(INDEX('LV &amp; HV augex'!$D$10:$P$18,MATCH($C124,'LV &amp; HV augex'!$C$10:$C$18,0),MATCH(N$19,'LV &amp; HV augex'!$D$9:$P$9,0))*INDEX('LV &amp; HV augex'!$D$28:$J$52,MATCH($B124,'LV &amp; HV augex'!$L$28:$L$52,0),MATCH($C124,'LV &amp; HV augex'!$D$27:$J$27,0)),0)*'Financial inputs'!$D$11</f>
        <v>94729.044088136856</v>
      </c>
      <c r="O124" s="40">
        <f>IFERROR(INDEX('LV &amp; HV augex'!$D$10:$P$18,MATCH($C124,'LV &amp; HV augex'!$C$10:$C$18,0),MATCH(O$19,'LV &amp; HV augex'!$D$9:$P$9,0))*INDEX('LV &amp; HV augex'!$D$28:$J$52,MATCH($B124,'LV &amp; HV augex'!$L$28:$L$52,0),MATCH($C124,'LV &amp; HV augex'!$D$27:$J$27,0)),0)*'Financial inputs'!$D$11</f>
        <v>94729.044088136856</v>
      </c>
      <c r="P124" s="40">
        <f>IFERROR(INDEX('LV &amp; HV augex'!$D$10:$P$18,MATCH($C124,'LV &amp; HV augex'!$C$10:$C$18,0),MATCH(P$19,'LV &amp; HV augex'!$D$9:$P$9,0))*INDEX('LV &amp; HV augex'!$D$28:$J$52,MATCH($B124,'LV &amp; HV augex'!$L$28:$L$52,0),MATCH($C124,'LV &amp; HV augex'!$D$27:$J$27,0)),0)*'Financial inputs'!$D$11</f>
        <v>94729.044088136856</v>
      </c>
    </row>
    <row r="125" spans="2:16" ht="15.5">
      <c r="B125" s="2" t="str">
        <f t="shared" si="7"/>
        <v>Camperdown &amp; Blackwattle Bay</v>
      </c>
      <c r="C125" s="35" t="str" cm="1">
        <f t="array" ref="C125">INDEX(augex_categories,COUNTIFS($B$20:$B125,$B$20))</f>
        <v>HV Reinforcement OH (New)</v>
      </c>
      <c r="D125" s="35" t="str">
        <f>IF(COUNTIF('LV &amp; HV augex'!$C$10:$C$13,C125), "LV", IF(COUNTIF('LV &amp; HV augex'!$C$15:$C$17, C125), "HV", "Error"))</f>
        <v>HV</v>
      </c>
      <c r="E125" s="35" t="str">
        <f>INDEX('Growing &amp; falling'!$D$14:$D$39,MATCH($B125,'Growing &amp; falling'!$B$14:$B$39,0))</f>
        <v>Growth</v>
      </c>
      <c r="F125" s="35" t="str">
        <f t="shared" si="6"/>
        <v>$2024 real</v>
      </c>
      <c r="G125" s="40">
        <f>IFERROR(INDEX('LV &amp; HV augex'!$D$10:$P$18,MATCH($C125,'LV &amp; HV augex'!$C$10:$C$18,0),MATCH(G$19,'LV &amp; HV augex'!$D$9:$P$9,0))*INDEX('LV &amp; HV augex'!$D$28:$J$52,MATCH($B125,'LV &amp; HV augex'!$L$28:$L$52,0),MATCH($C125,'LV &amp; HV augex'!$D$27:$J$27,0)),0)*'Financial inputs'!$D$11</f>
        <v>0</v>
      </c>
      <c r="H125" s="40">
        <f>IFERROR(INDEX('LV &amp; HV augex'!$D$10:$P$18,MATCH($C125,'LV &amp; HV augex'!$C$10:$C$18,0),MATCH(H$19,'LV &amp; HV augex'!$D$9:$P$9,0))*INDEX('LV &amp; HV augex'!$D$28:$J$52,MATCH($B125,'LV &amp; HV augex'!$L$28:$L$52,0),MATCH($C125,'LV &amp; HV augex'!$D$27:$J$27,0)),0)*'Financial inputs'!$D$11</f>
        <v>0</v>
      </c>
      <c r="I125" s="40">
        <f>IFERROR(INDEX('LV &amp; HV augex'!$D$10:$P$18,MATCH($C125,'LV &amp; HV augex'!$C$10:$C$18,0),MATCH(I$19,'LV &amp; HV augex'!$D$9:$P$9,0))*INDEX('LV &amp; HV augex'!$D$28:$J$52,MATCH($B125,'LV &amp; HV augex'!$L$28:$L$52,0),MATCH($C125,'LV &amp; HV augex'!$D$27:$J$27,0)),0)*'Financial inputs'!$D$11</f>
        <v>0</v>
      </c>
      <c r="J125" s="40">
        <f>IFERROR(INDEX('LV &amp; HV augex'!$D$10:$P$18,MATCH($C125,'LV &amp; HV augex'!$C$10:$C$18,0),MATCH(J$19,'LV &amp; HV augex'!$D$9:$P$9,0))*INDEX('LV &amp; HV augex'!$D$28:$J$52,MATCH($B125,'LV &amp; HV augex'!$L$28:$L$52,0),MATCH($C125,'LV &amp; HV augex'!$D$27:$J$27,0)),0)*'Financial inputs'!$D$11</f>
        <v>0</v>
      </c>
      <c r="K125" s="40">
        <f>IFERROR(INDEX('LV &amp; HV augex'!$D$10:$P$18,MATCH($C125,'LV &amp; HV augex'!$C$10:$C$18,0),MATCH(K$19,'LV &amp; HV augex'!$D$9:$P$9,0))*INDEX('LV &amp; HV augex'!$D$28:$J$52,MATCH($B125,'LV &amp; HV augex'!$L$28:$L$52,0),MATCH($C125,'LV &amp; HV augex'!$D$27:$J$27,0)),0)*'Financial inputs'!$D$11</f>
        <v>0</v>
      </c>
      <c r="L125" s="40">
        <f>IFERROR(INDEX('LV &amp; HV augex'!$D$10:$P$18,MATCH($C125,'LV &amp; HV augex'!$C$10:$C$18,0),MATCH(L$19,'LV &amp; HV augex'!$D$9:$P$9,0))*INDEX('LV &amp; HV augex'!$D$28:$J$52,MATCH($B125,'LV &amp; HV augex'!$L$28:$L$52,0),MATCH($C125,'LV &amp; HV augex'!$D$27:$J$27,0)),0)*'Financial inputs'!$D$11</f>
        <v>0</v>
      </c>
      <c r="M125" s="40">
        <f>IFERROR(INDEX('LV &amp; HV augex'!$D$10:$P$18,MATCH($C125,'LV &amp; HV augex'!$C$10:$C$18,0),MATCH(M$19,'LV &amp; HV augex'!$D$9:$P$9,0))*INDEX('LV &amp; HV augex'!$D$28:$J$52,MATCH($B125,'LV &amp; HV augex'!$L$28:$L$52,0),MATCH($C125,'LV &amp; HV augex'!$D$27:$J$27,0)),0)*'Financial inputs'!$D$11</f>
        <v>0</v>
      </c>
      <c r="N125" s="40">
        <f>IFERROR(INDEX('LV &amp; HV augex'!$D$10:$P$18,MATCH($C125,'LV &amp; HV augex'!$C$10:$C$18,0),MATCH(N$19,'LV &amp; HV augex'!$D$9:$P$9,0))*INDEX('LV &amp; HV augex'!$D$28:$J$52,MATCH($B125,'LV &amp; HV augex'!$L$28:$L$52,0),MATCH($C125,'LV &amp; HV augex'!$D$27:$J$27,0)),0)*'Financial inputs'!$D$11</f>
        <v>0</v>
      </c>
      <c r="O125" s="40">
        <f>IFERROR(INDEX('LV &amp; HV augex'!$D$10:$P$18,MATCH($C125,'LV &amp; HV augex'!$C$10:$C$18,0),MATCH(O$19,'LV &amp; HV augex'!$D$9:$P$9,0))*INDEX('LV &amp; HV augex'!$D$28:$J$52,MATCH($B125,'LV &amp; HV augex'!$L$28:$L$52,0),MATCH($C125,'LV &amp; HV augex'!$D$27:$J$27,0)),0)*'Financial inputs'!$D$11</f>
        <v>0</v>
      </c>
      <c r="P125" s="40">
        <f>IFERROR(INDEX('LV &amp; HV augex'!$D$10:$P$18,MATCH($C125,'LV &amp; HV augex'!$C$10:$C$18,0),MATCH(P$19,'LV &amp; HV augex'!$D$9:$P$9,0))*INDEX('LV &amp; HV augex'!$D$28:$J$52,MATCH($B125,'LV &amp; HV augex'!$L$28:$L$52,0),MATCH($C125,'LV &amp; HV augex'!$D$27:$J$27,0)),0)*'Financial inputs'!$D$11</f>
        <v>0</v>
      </c>
    </row>
    <row r="126" spans="2:16" ht="15.5">
      <c r="B126" s="2" t="str">
        <f t="shared" si="7"/>
        <v>Canterbury Bankstown</v>
      </c>
      <c r="C126" s="35" t="str" cm="1">
        <f t="array" ref="C126">INDEX(augex_categories,COUNTIFS($B$20:$B126,$B$20))</f>
        <v>HV Reinforcement OH (New)</v>
      </c>
      <c r="D126" s="35" t="str">
        <f>IF(COUNTIF('LV &amp; HV augex'!$C$10:$C$13,C126), "LV", IF(COUNTIF('LV &amp; HV augex'!$C$15:$C$17, C126), "HV", "Error"))</f>
        <v>HV</v>
      </c>
      <c r="E126" s="35" t="str">
        <f>INDEX('Growing &amp; falling'!$D$14:$D$39,MATCH($B126,'Growing &amp; falling'!$B$14:$B$39,0))</f>
        <v>Growth</v>
      </c>
      <c r="F126" s="35" t="str">
        <f t="shared" si="6"/>
        <v>$2024 real</v>
      </c>
      <c r="G126" s="40">
        <f>IFERROR(INDEX('LV &amp; HV augex'!$D$10:$P$18,MATCH($C126,'LV &amp; HV augex'!$C$10:$C$18,0),MATCH(G$19,'LV &amp; HV augex'!$D$9:$P$9,0))*INDEX('LV &amp; HV augex'!$D$28:$J$52,MATCH($B126,'LV &amp; HV augex'!$L$28:$L$52,0),MATCH($C126,'LV &amp; HV augex'!$D$27:$J$27,0)),0)*'Financial inputs'!$D$11</f>
        <v>56791.106070649636</v>
      </c>
      <c r="H126" s="40">
        <f>IFERROR(INDEX('LV &amp; HV augex'!$D$10:$P$18,MATCH($C126,'LV &amp; HV augex'!$C$10:$C$18,0),MATCH(H$19,'LV &amp; HV augex'!$D$9:$P$9,0))*INDEX('LV &amp; HV augex'!$D$28:$J$52,MATCH($B126,'LV &amp; HV augex'!$L$28:$L$52,0),MATCH($C126,'LV &amp; HV augex'!$D$27:$J$27,0)),0)*'Financial inputs'!$D$11</f>
        <v>55979.776164840921</v>
      </c>
      <c r="I126" s="40">
        <f>IFERROR(INDEX('LV &amp; HV augex'!$D$10:$P$18,MATCH($C126,'LV &amp; HV augex'!$C$10:$C$18,0),MATCH(I$19,'LV &amp; HV augex'!$D$9:$P$9,0))*INDEX('LV &amp; HV augex'!$D$28:$J$52,MATCH($B126,'LV &amp; HV augex'!$L$28:$L$52,0),MATCH($C126,'LV &amp; HV augex'!$D$27:$J$27,0)),0)*'Financial inputs'!$D$11</f>
        <v>56588.23219136495</v>
      </c>
      <c r="J126" s="40">
        <f>IFERROR(INDEX('LV &amp; HV augex'!$D$10:$P$18,MATCH($C126,'LV &amp; HV augex'!$C$10:$C$18,0),MATCH(J$19,'LV &amp; HV augex'!$D$9:$P$9,0))*INDEX('LV &amp; HV augex'!$D$28:$J$52,MATCH($B126,'LV &amp; HV augex'!$L$28:$L$52,0),MATCH($C126,'LV &amp; HV augex'!$D$27:$J$27,0)),0)*'Financial inputs'!$D$11</f>
        <v>56588.23219136495</v>
      </c>
      <c r="K126" s="40">
        <f>IFERROR(INDEX('LV &amp; HV augex'!$D$10:$P$18,MATCH($C126,'LV &amp; HV augex'!$C$10:$C$18,0),MATCH(K$19,'LV &amp; HV augex'!$D$9:$P$9,0))*INDEX('LV &amp; HV augex'!$D$28:$J$52,MATCH($B126,'LV &amp; HV augex'!$L$28:$L$52,0),MATCH($C126,'LV &amp; HV augex'!$D$27:$J$27,0)),0)*'Financial inputs'!$D$11</f>
        <v>56588.23219136495</v>
      </c>
      <c r="L126" s="40">
        <f>IFERROR(INDEX('LV &amp; HV augex'!$D$10:$P$18,MATCH($C126,'LV &amp; HV augex'!$C$10:$C$18,0),MATCH(L$19,'LV &amp; HV augex'!$D$9:$P$9,0))*INDEX('LV &amp; HV augex'!$D$28:$J$52,MATCH($B126,'LV &amp; HV augex'!$L$28:$L$52,0),MATCH($C126,'LV &amp; HV augex'!$D$27:$J$27,0)),0)*'Financial inputs'!$D$11</f>
        <v>56588.23219136495</v>
      </c>
      <c r="M126" s="40">
        <f>IFERROR(INDEX('LV &amp; HV augex'!$D$10:$P$18,MATCH($C126,'LV &amp; HV augex'!$C$10:$C$18,0),MATCH(M$19,'LV &amp; HV augex'!$D$9:$P$9,0))*INDEX('LV &amp; HV augex'!$D$28:$J$52,MATCH($B126,'LV &amp; HV augex'!$L$28:$L$52,0),MATCH($C126,'LV &amp; HV augex'!$D$27:$J$27,0)),0)*'Financial inputs'!$D$11</f>
        <v>56588.23219136495</v>
      </c>
      <c r="N126" s="40">
        <f>IFERROR(INDEX('LV &amp; HV augex'!$D$10:$P$18,MATCH($C126,'LV &amp; HV augex'!$C$10:$C$18,0),MATCH(N$19,'LV &amp; HV augex'!$D$9:$P$9,0))*INDEX('LV &amp; HV augex'!$D$28:$J$52,MATCH($B126,'LV &amp; HV augex'!$L$28:$L$52,0),MATCH($C126,'LV &amp; HV augex'!$D$27:$J$27,0)),0)*'Financial inputs'!$D$11</f>
        <v>56588.23219136495</v>
      </c>
      <c r="O126" s="40">
        <f>IFERROR(INDEX('LV &amp; HV augex'!$D$10:$P$18,MATCH($C126,'LV &amp; HV augex'!$C$10:$C$18,0),MATCH(O$19,'LV &amp; HV augex'!$D$9:$P$9,0))*INDEX('LV &amp; HV augex'!$D$28:$J$52,MATCH($B126,'LV &amp; HV augex'!$L$28:$L$52,0),MATCH($C126,'LV &amp; HV augex'!$D$27:$J$27,0)),0)*'Financial inputs'!$D$11</f>
        <v>56588.23219136495</v>
      </c>
      <c r="P126" s="40">
        <f>IFERROR(INDEX('LV &amp; HV augex'!$D$10:$P$18,MATCH($C126,'LV &amp; HV augex'!$C$10:$C$18,0),MATCH(P$19,'LV &amp; HV augex'!$D$9:$P$9,0))*INDEX('LV &amp; HV augex'!$D$28:$J$52,MATCH($B126,'LV &amp; HV augex'!$L$28:$L$52,0),MATCH($C126,'LV &amp; HV augex'!$D$27:$J$27,0)),0)*'Financial inputs'!$D$11</f>
        <v>56588.23219136495</v>
      </c>
    </row>
    <row r="127" spans="2:16" ht="15.5">
      <c r="B127" s="2" t="str">
        <f t="shared" si="7"/>
        <v>Carlingford</v>
      </c>
      <c r="C127" s="35" t="str" cm="1">
        <f t="array" ref="C127">INDEX(augex_categories,COUNTIFS($B$20:$B127,$B$20))</f>
        <v>HV Reinforcement OH (New)</v>
      </c>
      <c r="D127" s="35" t="str">
        <f>IF(COUNTIF('LV &amp; HV augex'!$C$10:$C$13,C127), "LV", IF(COUNTIF('LV &amp; HV augex'!$C$15:$C$17, C127), "HV", "Error"))</f>
        <v>HV</v>
      </c>
      <c r="E127" s="35" t="str">
        <f>INDEX('Growing &amp; falling'!$D$14:$D$39,MATCH($B127,'Growing &amp; falling'!$B$14:$B$39,0))</f>
        <v>Growth</v>
      </c>
      <c r="F127" s="35" t="str">
        <f t="shared" si="6"/>
        <v>$2024 real</v>
      </c>
      <c r="G127" s="40">
        <f>IFERROR(INDEX('LV &amp; HV augex'!$D$10:$P$18,MATCH($C127,'LV &amp; HV augex'!$C$10:$C$18,0),MATCH(G$19,'LV &amp; HV augex'!$D$9:$P$9,0))*INDEX('LV &amp; HV augex'!$D$28:$J$52,MATCH($B127,'LV &amp; HV augex'!$L$28:$L$52,0),MATCH($C127,'LV &amp; HV augex'!$D$27:$J$27,0)),0)*'Financial inputs'!$D$11</f>
        <v>14110.492101701549</v>
      </c>
      <c r="H127" s="40">
        <f>IFERROR(INDEX('LV &amp; HV augex'!$D$10:$P$18,MATCH($C127,'LV &amp; HV augex'!$C$10:$C$18,0),MATCH(H$19,'LV &amp; HV augex'!$D$9:$P$9,0))*INDEX('LV &amp; HV augex'!$D$28:$J$52,MATCH($B127,'LV &amp; HV augex'!$L$28:$L$52,0),MATCH($C127,'LV &amp; HV augex'!$D$27:$J$27,0)),0)*'Financial inputs'!$D$11</f>
        <v>13908.906589111846</v>
      </c>
      <c r="I127" s="40">
        <f>IFERROR(INDEX('LV &amp; HV augex'!$D$10:$P$18,MATCH($C127,'LV &amp; HV augex'!$C$10:$C$18,0),MATCH(I$19,'LV &amp; HV augex'!$D$9:$P$9,0))*INDEX('LV &amp; HV augex'!$D$28:$J$52,MATCH($B127,'LV &amp; HV augex'!$L$28:$L$52,0),MATCH($C127,'LV &amp; HV augex'!$D$27:$J$27,0)),0)*'Financial inputs'!$D$11</f>
        <v>14060.085436479587</v>
      </c>
      <c r="J127" s="40">
        <f>IFERROR(INDEX('LV &amp; HV augex'!$D$10:$P$18,MATCH($C127,'LV &amp; HV augex'!$C$10:$C$18,0),MATCH(J$19,'LV &amp; HV augex'!$D$9:$P$9,0))*INDEX('LV &amp; HV augex'!$D$28:$J$52,MATCH($B127,'LV &amp; HV augex'!$L$28:$L$52,0),MATCH($C127,'LV &amp; HV augex'!$D$27:$J$27,0)),0)*'Financial inputs'!$D$11</f>
        <v>14060.085436479587</v>
      </c>
      <c r="K127" s="40">
        <f>IFERROR(INDEX('LV &amp; HV augex'!$D$10:$P$18,MATCH($C127,'LV &amp; HV augex'!$C$10:$C$18,0),MATCH(K$19,'LV &amp; HV augex'!$D$9:$P$9,0))*INDEX('LV &amp; HV augex'!$D$28:$J$52,MATCH($B127,'LV &amp; HV augex'!$L$28:$L$52,0),MATCH($C127,'LV &amp; HV augex'!$D$27:$J$27,0)),0)*'Financial inputs'!$D$11</f>
        <v>14060.085436479587</v>
      </c>
      <c r="L127" s="40">
        <f>IFERROR(INDEX('LV &amp; HV augex'!$D$10:$P$18,MATCH($C127,'LV &amp; HV augex'!$C$10:$C$18,0),MATCH(L$19,'LV &amp; HV augex'!$D$9:$P$9,0))*INDEX('LV &amp; HV augex'!$D$28:$J$52,MATCH($B127,'LV &amp; HV augex'!$L$28:$L$52,0),MATCH($C127,'LV &amp; HV augex'!$D$27:$J$27,0)),0)*'Financial inputs'!$D$11</f>
        <v>14060.085436479587</v>
      </c>
      <c r="M127" s="40">
        <f>IFERROR(INDEX('LV &amp; HV augex'!$D$10:$P$18,MATCH($C127,'LV &amp; HV augex'!$C$10:$C$18,0),MATCH(M$19,'LV &amp; HV augex'!$D$9:$P$9,0))*INDEX('LV &amp; HV augex'!$D$28:$J$52,MATCH($B127,'LV &amp; HV augex'!$L$28:$L$52,0),MATCH($C127,'LV &amp; HV augex'!$D$27:$J$27,0)),0)*'Financial inputs'!$D$11</f>
        <v>14060.085436479587</v>
      </c>
      <c r="N127" s="40">
        <f>IFERROR(INDEX('LV &amp; HV augex'!$D$10:$P$18,MATCH($C127,'LV &amp; HV augex'!$C$10:$C$18,0),MATCH(N$19,'LV &amp; HV augex'!$D$9:$P$9,0))*INDEX('LV &amp; HV augex'!$D$28:$J$52,MATCH($B127,'LV &amp; HV augex'!$L$28:$L$52,0),MATCH($C127,'LV &amp; HV augex'!$D$27:$J$27,0)),0)*'Financial inputs'!$D$11</f>
        <v>14060.085436479587</v>
      </c>
      <c r="O127" s="40">
        <f>IFERROR(INDEX('LV &amp; HV augex'!$D$10:$P$18,MATCH($C127,'LV &amp; HV augex'!$C$10:$C$18,0),MATCH(O$19,'LV &amp; HV augex'!$D$9:$P$9,0))*INDEX('LV &amp; HV augex'!$D$28:$J$52,MATCH($B127,'LV &amp; HV augex'!$L$28:$L$52,0),MATCH($C127,'LV &amp; HV augex'!$D$27:$J$27,0)),0)*'Financial inputs'!$D$11</f>
        <v>14060.085436479587</v>
      </c>
      <c r="P127" s="40">
        <f>IFERROR(INDEX('LV &amp; HV augex'!$D$10:$P$18,MATCH($C127,'LV &amp; HV augex'!$C$10:$C$18,0),MATCH(P$19,'LV &amp; HV augex'!$D$9:$P$9,0))*INDEX('LV &amp; HV augex'!$D$28:$J$52,MATCH($B127,'LV &amp; HV augex'!$L$28:$L$52,0),MATCH($C127,'LV &amp; HV augex'!$D$27:$J$27,0)),0)*'Financial inputs'!$D$11</f>
        <v>14060.085436479587</v>
      </c>
    </row>
    <row r="128" spans="2:16" ht="15.5">
      <c r="B128" s="2" t="str">
        <f t="shared" si="7"/>
        <v>Eastern Suburbs</v>
      </c>
      <c r="C128" s="35" t="str" cm="1">
        <f t="array" ref="C128">INDEX(augex_categories,COUNTIFS($B$20:$B128,$B$20))</f>
        <v>HV Reinforcement OH (New)</v>
      </c>
      <c r="D128" s="35" t="str">
        <f>IF(COUNTIF('LV &amp; HV augex'!$C$10:$C$13,C128), "LV", IF(COUNTIF('LV &amp; HV augex'!$C$15:$C$17, C128), "HV", "Error"))</f>
        <v>HV</v>
      </c>
      <c r="E128" s="35" t="str">
        <f>INDEX('Growing &amp; falling'!$D$14:$D$39,MATCH($B128,'Growing &amp; falling'!$B$14:$B$39,0))</f>
        <v>Growth</v>
      </c>
      <c r="F128" s="35" t="str">
        <f t="shared" si="6"/>
        <v>$2024 real</v>
      </c>
      <c r="G128" s="40">
        <f>IFERROR(INDEX('LV &amp; HV augex'!$D$10:$P$18,MATCH($C128,'LV &amp; HV augex'!$C$10:$C$18,0),MATCH(G$19,'LV &amp; HV augex'!$D$9:$P$9,0))*INDEX('LV &amp; HV augex'!$D$28:$J$52,MATCH($B128,'LV &amp; HV augex'!$L$28:$L$52,0),MATCH($C128,'LV &amp; HV augex'!$D$27:$J$27,0)),0)*'Financial inputs'!$D$11</f>
        <v>25716.344966317305</v>
      </c>
      <c r="H128" s="40">
        <f>IFERROR(INDEX('LV &amp; HV augex'!$D$10:$P$18,MATCH($C128,'LV &amp; HV augex'!$C$10:$C$18,0),MATCH(H$19,'LV &amp; HV augex'!$D$9:$P$9,0))*INDEX('LV &amp; HV augex'!$D$28:$J$52,MATCH($B128,'LV &amp; HV augex'!$L$28:$L$52,0),MATCH($C128,'LV &amp; HV augex'!$D$27:$J$27,0)),0)*'Financial inputs'!$D$11</f>
        <v>25348.955753765065</v>
      </c>
      <c r="I128" s="40">
        <f>IFERROR(INDEX('LV &amp; HV augex'!$D$10:$P$18,MATCH($C128,'LV &amp; HV augex'!$C$10:$C$18,0),MATCH(I$19,'LV &amp; HV augex'!$D$9:$P$9,0))*INDEX('LV &amp; HV augex'!$D$28:$J$52,MATCH($B128,'LV &amp; HV augex'!$L$28:$L$52,0),MATCH($C128,'LV &amp; HV augex'!$D$27:$J$27,0)),0)*'Financial inputs'!$D$11</f>
        <v>25624.478915005508</v>
      </c>
      <c r="J128" s="40">
        <f>IFERROR(INDEX('LV &amp; HV augex'!$D$10:$P$18,MATCH($C128,'LV &amp; HV augex'!$C$10:$C$18,0),MATCH(J$19,'LV &amp; HV augex'!$D$9:$P$9,0))*INDEX('LV &amp; HV augex'!$D$28:$J$52,MATCH($B128,'LV &amp; HV augex'!$L$28:$L$52,0),MATCH($C128,'LV &amp; HV augex'!$D$27:$J$27,0)),0)*'Financial inputs'!$D$11</f>
        <v>25624.478915005508</v>
      </c>
      <c r="K128" s="40">
        <f>IFERROR(INDEX('LV &amp; HV augex'!$D$10:$P$18,MATCH($C128,'LV &amp; HV augex'!$C$10:$C$18,0),MATCH(K$19,'LV &amp; HV augex'!$D$9:$P$9,0))*INDEX('LV &amp; HV augex'!$D$28:$J$52,MATCH($B128,'LV &amp; HV augex'!$L$28:$L$52,0),MATCH($C128,'LV &amp; HV augex'!$D$27:$J$27,0)),0)*'Financial inputs'!$D$11</f>
        <v>25624.478915005508</v>
      </c>
      <c r="L128" s="40">
        <f>IFERROR(INDEX('LV &amp; HV augex'!$D$10:$P$18,MATCH($C128,'LV &amp; HV augex'!$C$10:$C$18,0),MATCH(L$19,'LV &amp; HV augex'!$D$9:$P$9,0))*INDEX('LV &amp; HV augex'!$D$28:$J$52,MATCH($B128,'LV &amp; HV augex'!$L$28:$L$52,0),MATCH($C128,'LV &amp; HV augex'!$D$27:$J$27,0)),0)*'Financial inputs'!$D$11</f>
        <v>25624.478915005508</v>
      </c>
      <c r="M128" s="40">
        <f>IFERROR(INDEX('LV &amp; HV augex'!$D$10:$P$18,MATCH($C128,'LV &amp; HV augex'!$C$10:$C$18,0),MATCH(M$19,'LV &amp; HV augex'!$D$9:$P$9,0))*INDEX('LV &amp; HV augex'!$D$28:$J$52,MATCH($B128,'LV &amp; HV augex'!$L$28:$L$52,0),MATCH($C128,'LV &amp; HV augex'!$D$27:$J$27,0)),0)*'Financial inputs'!$D$11</f>
        <v>25624.478915005508</v>
      </c>
      <c r="N128" s="40">
        <f>IFERROR(INDEX('LV &amp; HV augex'!$D$10:$P$18,MATCH($C128,'LV &amp; HV augex'!$C$10:$C$18,0),MATCH(N$19,'LV &amp; HV augex'!$D$9:$P$9,0))*INDEX('LV &amp; HV augex'!$D$28:$J$52,MATCH($B128,'LV &amp; HV augex'!$L$28:$L$52,0),MATCH($C128,'LV &amp; HV augex'!$D$27:$J$27,0)),0)*'Financial inputs'!$D$11</f>
        <v>25624.478915005508</v>
      </c>
      <c r="O128" s="40">
        <f>IFERROR(INDEX('LV &amp; HV augex'!$D$10:$P$18,MATCH($C128,'LV &amp; HV augex'!$C$10:$C$18,0),MATCH(O$19,'LV &amp; HV augex'!$D$9:$P$9,0))*INDEX('LV &amp; HV augex'!$D$28:$J$52,MATCH($B128,'LV &amp; HV augex'!$L$28:$L$52,0),MATCH($C128,'LV &amp; HV augex'!$D$27:$J$27,0)),0)*'Financial inputs'!$D$11</f>
        <v>25624.478915005508</v>
      </c>
      <c r="P128" s="40">
        <f>IFERROR(INDEX('LV &amp; HV augex'!$D$10:$P$18,MATCH($C128,'LV &amp; HV augex'!$C$10:$C$18,0),MATCH(P$19,'LV &amp; HV augex'!$D$9:$P$9,0))*INDEX('LV &amp; HV augex'!$D$28:$J$52,MATCH($B128,'LV &amp; HV augex'!$L$28:$L$52,0),MATCH($C128,'LV &amp; HV augex'!$D$27:$J$27,0)),0)*'Financial inputs'!$D$11</f>
        <v>25624.478915005508</v>
      </c>
    </row>
    <row r="129" spans="2:16" ht="15.5">
      <c r="B129" s="2" t="str">
        <f t="shared" si="7"/>
        <v>Greater Cessnock</v>
      </c>
      <c r="C129" s="35" t="str" cm="1">
        <f t="array" ref="C129">INDEX(augex_categories,COUNTIFS($B$20:$B129,$B$20))</f>
        <v>HV Reinforcement OH (New)</v>
      </c>
      <c r="D129" s="35" t="str">
        <f>IF(COUNTIF('LV &amp; HV augex'!$C$10:$C$13,C129), "LV", IF(COUNTIF('LV &amp; HV augex'!$C$15:$C$17, C129), "HV", "Error"))</f>
        <v>HV</v>
      </c>
      <c r="E129" s="35" t="str">
        <f>INDEX('Growing &amp; falling'!$D$14:$D$39,MATCH($B129,'Growing &amp; falling'!$B$14:$B$39,0))</f>
        <v>Growth</v>
      </c>
      <c r="F129" s="35" t="str">
        <f t="shared" si="6"/>
        <v>$2024 real</v>
      </c>
      <c r="G129" s="40">
        <f>IFERROR(INDEX('LV &amp; HV augex'!$D$10:$P$18,MATCH($C129,'LV &amp; HV augex'!$C$10:$C$18,0),MATCH(G$19,'LV &amp; HV augex'!$D$9:$P$9,0))*INDEX('LV &amp; HV augex'!$D$28:$J$52,MATCH($B129,'LV &amp; HV augex'!$L$28:$L$52,0),MATCH($C129,'LV &amp; HV augex'!$D$27:$J$27,0)),0)*'Financial inputs'!$D$11</f>
        <v>77082.421739168451</v>
      </c>
      <c r="H129" s="40">
        <f>IFERROR(INDEX('LV &amp; HV augex'!$D$10:$P$18,MATCH($C129,'LV &amp; HV augex'!$C$10:$C$18,0),MATCH(H$19,'LV &amp; HV augex'!$D$9:$P$9,0))*INDEX('LV &amp; HV augex'!$D$28:$J$52,MATCH($B129,'LV &amp; HV augex'!$L$28:$L$52,0),MATCH($C129,'LV &amp; HV augex'!$D$27:$J$27,0)),0)*'Financial inputs'!$D$11</f>
        <v>75981.205751380752</v>
      </c>
      <c r="I129" s="40">
        <f>IFERROR(INDEX('LV &amp; HV augex'!$D$10:$P$18,MATCH($C129,'LV &amp; HV augex'!$C$10:$C$18,0),MATCH(I$19,'LV &amp; HV augex'!$D$9:$P$9,0))*INDEX('LV &amp; HV augex'!$D$28:$J$52,MATCH($B129,'LV &amp; HV augex'!$L$28:$L$52,0),MATCH($C129,'LV &amp; HV augex'!$D$27:$J$27,0)),0)*'Financial inputs'!$D$11</f>
        <v>76807.061546263794</v>
      </c>
      <c r="J129" s="40">
        <f>IFERROR(INDEX('LV &amp; HV augex'!$D$10:$P$18,MATCH($C129,'LV &amp; HV augex'!$C$10:$C$18,0),MATCH(J$19,'LV &amp; HV augex'!$D$9:$P$9,0))*INDEX('LV &amp; HV augex'!$D$28:$J$52,MATCH($B129,'LV &amp; HV augex'!$L$28:$L$52,0),MATCH($C129,'LV &amp; HV augex'!$D$27:$J$27,0)),0)*'Financial inputs'!$D$11</f>
        <v>76807.061546263794</v>
      </c>
      <c r="K129" s="40">
        <f>IFERROR(INDEX('LV &amp; HV augex'!$D$10:$P$18,MATCH($C129,'LV &amp; HV augex'!$C$10:$C$18,0),MATCH(K$19,'LV &amp; HV augex'!$D$9:$P$9,0))*INDEX('LV &amp; HV augex'!$D$28:$J$52,MATCH($B129,'LV &amp; HV augex'!$L$28:$L$52,0),MATCH($C129,'LV &amp; HV augex'!$D$27:$J$27,0)),0)*'Financial inputs'!$D$11</f>
        <v>76807.061546263794</v>
      </c>
      <c r="L129" s="40">
        <f>IFERROR(INDEX('LV &amp; HV augex'!$D$10:$P$18,MATCH($C129,'LV &amp; HV augex'!$C$10:$C$18,0),MATCH(L$19,'LV &amp; HV augex'!$D$9:$P$9,0))*INDEX('LV &amp; HV augex'!$D$28:$J$52,MATCH($B129,'LV &amp; HV augex'!$L$28:$L$52,0),MATCH($C129,'LV &amp; HV augex'!$D$27:$J$27,0)),0)*'Financial inputs'!$D$11</f>
        <v>76807.061546263794</v>
      </c>
      <c r="M129" s="40">
        <f>IFERROR(INDEX('LV &amp; HV augex'!$D$10:$P$18,MATCH($C129,'LV &amp; HV augex'!$C$10:$C$18,0),MATCH(M$19,'LV &amp; HV augex'!$D$9:$P$9,0))*INDEX('LV &amp; HV augex'!$D$28:$J$52,MATCH($B129,'LV &amp; HV augex'!$L$28:$L$52,0),MATCH($C129,'LV &amp; HV augex'!$D$27:$J$27,0)),0)*'Financial inputs'!$D$11</f>
        <v>76807.061546263794</v>
      </c>
      <c r="N129" s="40">
        <f>IFERROR(INDEX('LV &amp; HV augex'!$D$10:$P$18,MATCH($C129,'LV &amp; HV augex'!$C$10:$C$18,0),MATCH(N$19,'LV &amp; HV augex'!$D$9:$P$9,0))*INDEX('LV &amp; HV augex'!$D$28:$J$52,MATCH($B129,'LV &amp; HV augex'!$L$28:$L$52,0),MATCH($C129,'LV &amp; HV augex'!$D$27:$J$27,0)),0)*'Financial inputs'!$D$11</f>
        <v>76807.061546263794</v>
      </c>
      <c r="O129" s="40">
        <f>IFERROR(INDEX('LV &amp; HV augex'!$D$10:$P$18,MATCH($C129,'LV &amp; HV augex'!$C$10:$C$18,0),MATCH(O$19,'LV &amp; HV augex'!$D$9:$P$9,0))*INDEX('LV &amp; HV augex'!$D$28:$J$52,MATCH($B129,'LV &amp; HV augex'!$L$28:$L$52,0),MATCH($C129,'LV &amp; HV augex'!$D$27:$J$27,0)),0)*'Financial inputs'!$D$11</f>
        <v>76807.061546263794</v>
      </c>
      <c r="P129" s="40">
        <f>IFERROR(INDEX('LV &amp; HV augex'!$D$10:$P$18,MATCH($C129,'LV &amp; HV augex'!$C$10:$C$18,0),MATCH(P$19,'LV &amp; HV augex'!$D$9:$P$9,0))*INDEX('LV &amp; HV augex'!$D$28:$J$52,MATCH($B129,'LV &amp; HV augex'!$L$28:$L$52,0),MATCH($C129,'LV &amp; HV augex'!$D$27:$J$27,0)),0)*'Financial inputs'!$D$11</f>
        <v>76807.061546263794</v>
      </c>
    </row>
    <row r="130" spans="2:16" ht="15.5">
      <c r="B130" s="2" t="str">
        <f t="shared" si="7"/>
        <v>Lower Central Coast</v>
      </c>
      <c r="C130" s="35" t="str" cm="1">
        <f t="array" ref="C130">INDEX(augex_categories,COUNTIFS($B$20:$B130,$B$20))</f>
        <v>HV Reinforcement OH (New)</v>
      </c>
      <c r="D130" s="35" t="str">
        <f>IF(COUNTIF('LV &amp; HV augex'!$C$10:$C$13,C130), "LV", IF(COUNTIF('LV &amp; HV augex'!$C$15:$C$17, C130), "HV", "Error"))</f>
        <v>HV</v>
      </c>
      <c r="E130" s="35" t="str">
        <f>INDEX('Growing &amp; falling'!$D$14:$D$39,MATCH($B130,'Growing &amp; falling'!$B$14:$B$39,0))</f>
        <v>Growth</v>
      </c>
      <c r="F130" s="35" t="str">
        <f t="shared" si="6"/>
        <v>$2024 real</v>
      </c>
      <c r="G130" s="40">
        <f>IFERROR(INDEX('LV &amp; HV augex'!$D$10:$P$18,MATCH($C130,'LV &amp; HV augex'!$C$10:$C$18,0),MATCH(G$19,'LV &amp; HV augex'!$D$9:$P$9,0))*INDEX('LV &amp; HV augex'!$D$28:$J$52,MATCH($B130,'LV &amp; HV augex'!$L$28:$L$52,0),MATCH($C130,'LV &amp; HV augex'!$D$27:$J$27,0)),0)*'Financial inputs'!$D$11</f>
        <v>72203.791203962581</v>
      </c>
      <c r="H130" s="40">
        <f>IFERROR(INDEX('LV &amp; HV augex'!$D$10:$P$18,MATCH($C130,'LV &amp; HV augex'!$C$10:$C$18,0),MATCH(H$19,'LV &amp; HV augex'!$D$9:$P$9,0))*INDEX('LV &amp; HV augex'!$D$28:$J$52,MATCH($B130,'LV &amp; HV augex'!$L$28:$L$52,0),MATCH($C130,'LV &amp; HV augex'!$D$27:$J$27,0)),0)*'Financial inputs'!$D$11</f>
        <v>71172.272376988753</v>
      </c>
      <c r="I130" s="40">
        <f>IFERROR(INDEX('LV &amp; HV augex'!$D$10:$P$18,MATCH($C130,'LV &amp; HV augex'!$C$10:$C$18,0),MATCH(I$19,'LV &amp; HV augex'!$D$9:$P$9,0))*INDEX('LV &amp; HV augex'!$D$28:$J$52,MATCH($B130,'LV &amp; HV augex'!$L$28:$L$52,0),MATCH($C130,'LV &amp; HV augex'!$D$27:$J$27,0)),0)*'Financial inputs'!$D$11</f>
        <v>71945.858857964835</v>
      </c>
      <c r="J130" s="40">
        <f>IFERROR(INDEX('LV &amp; HV augex'!$D$10:$P$18,MATCH($C130,'LV &amp; HV augex'!$C$10:$C$18,0),MATCH(J$19,'LV &amp; HV augex'!$D$9:$P$9,0))*INDEX('LV &amp; HV augex'!$D$28:$J$52,MATCH($B130,'LV &amp; HV augex'!$L$28:$L$52,0),MATCH($C130,'LV &amp; HV augex'!$D$27:$J$27,0)),0)*'Financial inputs'!$D$11</f>
        <v>71945.858857964835</v>
      </c>
      <c r="K130" s="40">
        <f>IFERROR(INDEX('LV &amp; HV augex'!$D$10:$P$18,MATCH($C130,'LV &amp; HV augex'!$C$10:$C$18,0),MATCH(K$19,'LV &amp; HV augex'!$D$9:$P$9,0))*INDEX('LV &amp; HV augex'!$D$28:$J$52,MATCH($B130,'LV &amp; HV augex'!$L$28:$L$52,0),MATCH($C130,'LV &amp; HV augex'!$D$27:$J$27,0)),0)*'Financial inputs'!$D$11</f>
        <v>71945.858857964835</v>
      </c>
      <c r="L130" s="40">
        <f>IFERROR(INDEX('LV &amp; HV augex'!$D$10:$P$18,MATCH($C130,'LV &amp; HV augex'!$C$10:$C$18,0),MATCH(L$19,'LV &amp; HV augex'!$D$9:$P$9,0))*INDEX('LV &amp; HV augex'!$D$28:$J$52,MATCH($B130,'LV &amp; HV augex'!$L$28:$L$52,0),MATCH($C130,'LV &amp; HV augex'!$D$27:$J$27,0)),0)*'Financial inputs'!$D$11</f>
        <v>71945.858857964835</v>
      </c>
      <c r="M130" s="40">
        <f>IFERROR(INDEX('LV &amp; HV augex'!$D$10:$P$18,MATCH($C130,'LV &amp; HV augex'!$C$10:$C$18,0),MATCH(M$19,'LV &amp; HV augex'!$D$9:$P$9,0))*INDEX('LV &amp; HV augex'!$D$28:$J$52,MATCH($B130,'LV &amp; HV augex'!$L$28:$L$52,0),MATCH($C130,'LV &amp; HV augex'!$D$27:$J$27,0)),0)*'Financial inputs'!$D$11</f>
        <v>71945.858857964835</v>
      </c>
      <c r="N130" s="40">
        <f>IFERROR(INDEX('LV &amp; HV augex'!$D$10:$P$18,MATCH($C130,'LV &amp; HV augex'!$C$10:$C$18,0),MATCH(N$19,'LV &amp; HV augex'!$D$9:$P$9,0))*INDEX('LV &amp; HV augex'!$D$28:$J$52,MATCH($B130,'LV &amp; HV augex'!$L$28:$L$52,0),MATCH($C130,'LV &amp; HV augex'!$D$27:$J$27,0)),0)*'Financial inputs'!$D$11</f>
        <v>71945.858857964835</v>
      </c>
      <c r="O130" s="40">
        <f>IFERROR(INDEX('LV &amp; HV augex'!$D$10:$P$18,MATCH($C130,'LV &amp; HV augex'!$C$10:$C$18,0),MATCH(O$19,'LV &amp; HV augex'!$D$9:$P$9,0))*INDEX('LV &amp; HV augex'!$D$28:$J$52,MATCH($B130,'LV &amp; HV augex'!$L$28:$L$52,0),MATCH($C130,'LV &amp; HV augex'!$D$27:$J$27,0)),0)*'Financial inputs'!$D$11</f>
        <v>71945.858857964835</v>
      </c>
      <c r="P130" s="40">
        <f>IFERROR(INDEX('LV &amp; HV augex'!$D$10:$P$18,MATCH($C130,'LV &amp; HV augex'!$C$10:$C$18,0),MATCH(P$19,'LV &amp; HV augex'!$D$9:$P$9,0))*INDEX('LV &amp; HV augex'!$D$28:$J$52,MATCH($B130,'LV &amp; HV augex'!$L$28:$L$52,0),MATCH($C130,'LV &amp; HV augex'!$D$27:$J$27,0)),0)*'Financial inputs'!$D$11</f>
        <v>71945.858857964835</v>
      </c>
    </row>
    <row r="131" spans="2:16" ht="15.5">
      <c r="B131" s="2" t="str">
        <f t="shared" si="7"/>
        <v>Lower North Shore</v>
      </c>
      <c r="C131" s="35" t="str" cm="1">
        <f t="array" ref="C131">INDEX(augex_categories,COUNTIFS($B$20:$B131,$B$20))</f>
        <v>HV Reinforcement OH (New)</v>
      </c>
      <c r="D131" s="35" t="str">
        <f>IF(COUNTIF('LV &amp; HV augex'!$C$10:$C$13,C131), "LV", IF(COUNTIF('LV &amp; HV augex'!$C$15:$C$17, C131), "HV", "Error"))</f>
        <v>HV</v>
      </c>
      <c r="E131" s="35" t="str">
        <f>INDEX('Growing &amp; falling'!$D$14:$D$39,MATCH($B131,'Growing &amp; falling'!$B$14:$B$39,0))</f>
        <v>Growth</v>
      </c>
      <c r="F131" s="35" t="str">
        <f t="shared" si="6"/>
        <v>$2024 real</v>
      </c>
      <c r="G131" s="40">
        <f>IFERROR(INDEX('LV &amp; HV augex'!$D$10:$P$18,MATCH($C131,'LV &amp; HV augex'!$C$10:$C$18,0),MATCH(G$19,'LV &amp; HV augex'!$D$9:$P$9,0))*INDEX('LV &amp; HV augex'!$D$28:$J$52,MATCH($B131,'LV &amp; HV augex'!$L$28:$L$52,0),MATCH($C131,'LV &amp; HV augex'!$D$27:$J$27,0)),0)*'Financial inputs'!$D$11</f>
        <v>4189.2118938739286</v>
      </c>
      <c r="H131" s="40">
        <f>IFERROR(INDEX('LV &amp; HV augex'!$D$10:$P$18,MATCH($C131,'LV &amp; HV augex'!$C$10:$C$18,0),MATCH(H$19,'LV &amp; HV augex'!$D$9:$P$9,0))*INDEX('LV &amp; HV augex'!$D$28:$J$52,MATCH($B131,'LV &amp; HV augex'!$L$28:$L$52,0),MATCH($C131,'LV &amp; HV augex'!$D$27:$J$27,0)),0)*'Financial inputs'!$D$11</f>
        <v>4129.3639154415096</v>
      </c>
      <c r="I131" s="40">
        <f>IFERROR(INDEX('LV &amp; HV augex'!$D$10:$P$18,MATCH($C131,'LV &amp; HV augex'!$C$10:$C$18,0),MATCH(I$19,'LV &amp; HV augex'!$D$9:$P$9,0))*INDEX('LV &amp; HV augex'!$D$28:$J$52,MATCH($B131,'LV &amp; HV augex'!$L$28:$L$52,0),MATCH($C131,'LV &amp; HV augex'!$D$27:$J$27,0)),0)*'Financial inputs'!$D$11</f>
        <v>4174.2468451742525</v>
      </c>
      <c r="J131" s="40">
        <f>IFERROR(INDEX('LV &amp; HV augex'!$D$10:$P$18,MATCH($C131,'LV &amp; HV augex'!$C$10:$C$18,0),MATCH(J$19,'LV &amp; HV augex'!$D$9:$P$9,0))*INDEX('LV &amp; HV augex'!$D$28:$J$52,MATCH($B131,'LV &amp; HV augex'!$L$28:$L$52,0),MATCH($C131,'LV &amp; HV augex'!$D$27:$J$27,0)),0)*'Financial inputs'!$D$11</f>
        <v>4174.2468451742525</v>
      </c>
      <c r="K131" s="40">
        <f>IFERROR(INDEX('LV &amp; HV augex'!$D$10:$P$18,MATCH($C131,'LV &amp; HV augex'!$C$10:$C$18,0),MATCH(K$19,'LV &amp; HV augex'!$D$9:$P$9,0))*INDEX('LV &amp; HV augex'!$D$28:$J$52,MATCH($B131,'LV &amp; HV augex'!$L$28:$L$52,0),MATCH($C131,'LV &amp; HV augex'!$D$27:$J$27,0)),0)*'Financial inputs'!$D$11</f>
        <v>4174.2468451742525</v>
      </c>
      <c r="L131" s="40">
        <f>IFERROR(INDEX('LV &amp; HV augex'!$D$10:$P$18,MATCH($C131,'LV &amp; HV augex'!$C$10:$C$18,0),MATCH(L$19,'LV &amp; HV augex'!$D$9:$P$9,0))*INDEX('LV &amp; HV augex'!$D$28:$J$52,MATCH($B131,'LV &amp; HV augex'!$L$28:$L$52,0),MATCH($C131,'LV &amp; HV augex'!$D$27:$J$27,0)),0)*'Financial inputs'!$D$11</f>
        <v>4174.2468451742525</v>
      </c>
      <c r="M131" s="40">
        <f>IFERROR(INDEX('LV &amp; HV augex'!$D$10:$P$18,MATCH($C131,'LV &amp; HV augex'!$C$10:$C$18,0),MATCH(M$19,'LV &amp; HV augex'!$D$9:$P$9,0))*INDEX('LV &amp; HV augex'!$D$28:$J$52,MATCH($B131,'LV &amp; HV augex'!$L$28:$L$52,0),MATCH($C131,'LV &amp; HV augex'!$D$27:$J$27,0)),0)*'Financial inputs'!$D$11</f>
        <v>4174.2468451742525</v>
      </c>
      <c r="N131" s="40">
        <f>IFERROR(INDEX('LV &amp; HV augex'!$D$10:$P$18,MATCH($C131,'LV &amp; HV augex'!$C$10:$C$18,0),MATCH(N$19,'LV &amp; HV augex'!$D$9:$P$9,0))*INDEX('LV &amp; HV augex'!$D$28:$J$52,MATCH($B131,'LV &amp; HV augex'!$L$28:$L$52,0),MATCH($C131,'LV &amp; HV augex'!$D$27:$J$27,0)),0)*'Financial inputs'!$D$11</f>
        <v>4174.2468451742525</v>
      </c>
      <c r="O131" s="40">
        <f>IFERROR(INDEX('LV &amp; HV augex'!$D$10:$P$18,MATCH($C131,'LV &amp; HV augex'!$C$10:$C$18,0),MATCH(O$19,'LV &amp; HV augex'!$D$9:$P$9,0))*INDEX('LV &amp; HV augex'!$D$28:$J$52,MATCH($B131,'LV &amp; HV augex'!$L$28:$L$52,0),MATCH($C131,'LV &amp; HV augex'!$D$27:$J$27,0)),0)*'Financial inputs'!$D$11</f>
        <v>4174.2468451742525</v>
      </c>
      <c r="P131" s="40">
        <f>IFERROR(INDEX('LV &amp; HV augex'!$D$10:$P$18,MATCH($C131,'LV &amp; HV augex'!$C$10:$C$18,0),MATCH(P$19,'LV &amp; HV augex'!$D$9:$P$9,0))*INDEX('LV &amp; HV augex'!$D$28:$J$52,MATCH($B131,'LV &amp; HV augex'!$L$28:$L$52,0),MATCH($C131,'LV &amp; HV augex'!$D$27:$J$27,0)),0)*'Financial inputs'!$D$11</f>
        <v>4174.2468451742525</v>
      </c>
    </row>
    <row r="132" spans="2:16" ht="15.5">
      <c r="B132" s="2" t="str">
        <f t="shared" si="7"/>
        <v>Maitland</v>
      </c>
      <c r="C132" s="35" t="str" cm="1">
        <f t="array" ref="C132">INDEX(augex_categories,COUNTIFS($B$20:$B132,$B$20))</f>
        <v>HV Reinforcement OH (New)</v>
      </c>
      <c r="D132" s="35" t="str">
        <f>IF(COUNTIF('LV &amp; HV augex'!$C$10:$C$13,C132), "LV", IF(COUNTIF('LV &amp; HV augex'!$C$15:$C$17, C132), "HV", "Error"))</f>
        <v>HV</v>
      </c>
      <c r="E132" s="35" t="str">
        <f>INDEX('Growing &amp; falling'!$D$14:$D$39,MATCH($B132,'Growing &amp; falling'!$B$14:$B$39,0))</f>
        <v>Growth</v>
      </c>
      <c r="F132" s="35" t="str">
        <f t="shared" si="6"/>
        <v>$2024 real</v>
      </c>
      <c r="G132" s="40">
        <f>IFERROR(INDEX('LV &amp; HV augex'!$D$10:$P$18,MATCH($C132,'LV &amp; HV augex'!$C$10:$C$18,0),MATCH(G$19,'LV &amp; HV augex'!$D$9:$P$9,0))*INDEX('LV &amp; HV augex'!$D$28:$J$52,MATCH($B132,'LV &amp; HV augex'!$L$28:$L$52,0),MATCH($C132,'LV &amp; HV augex'!$D$27:$J$27,0)),0)*'Financial inputs'!$D$11</f>
        <v>198633.10979841213</v>
      </c>
      <c r="H132" s="40">
        <f>IFERROR(INDEX('LV &amp; HV augex'!$D$10:$P$18,MATCH($C132,'LV &amp; HV augex'!$C$10:$C$18,0),MATCH(H$19,'LV &amp; HV augex'!$D$9:$P$9,0))*INDEX('LV &amp; HV augex'!$D$28:$J$52,MATCH($B132,'LV &amp; HV augex'!$L$28:$L$52,0),MATCH($C132,'LV &amp; HV augex'!$D$27:$J$27,0)),0)*'Financial inputs'!$D$11</f>
        <v>195795.39464521976</v>
      </c>
      <c r="I132" s="40">
        <f>IFERROR(INDEX('LV &amp; HV augex'!$D$10:$P$18,MATCH($C132,'LV &amp; HV augex'!$C$10:$C$18,0),MATCH(I$19,'LV &amp; HV augex'!$D$9:$P$9,0))*INDEX('LV &amp; HV augex'!$D$28:$J$52,MATCH($B132,'LV &amp; HV augex'!$L$28:$L$52,0),MATCH($C132,'LV &amp; HV augex'!$D$27:$J$27,0)),0)*'Financial inputs'!$D$11</f>
        <v>197923.5361991754</v>
      </c>
      <c r="J132" s="40">
        <f>IFERROR(INDEX('LV &amp; HV augex'!$D$10:$P$18,MATCH($C132,'LV &amp; HV augex'!$C$10:$C$18,0),MATCH(J$19,'LV &amp; HV augex'!$D$9:$P$9,0))*INDEX('LV &amp; HV augex'!$D$28:$J$52,MATCH($B132,'LV &amp; HV augex'!$L$28:$L$52,0),MATCH($C132,'LV &amp; HV augex'!$D$27:$J$27,0)),0)*'Financial inputs'!$D$11</f>
        <v>197923.5361991754</v>
      </c>
      <c r="K132" s="40">
        <f>IFERROR(INDEX('LV &amp; HV augex'!$D$10:$P$18,MATCH($C132,'LV &amp; HV augex'!$C$10:$C$18,0),MATCH(K$19,'LV &amp; HV augex'!$D$9:$P$9,0))*INDEX('LV &amp; HV augex'!$D$28:$J$52,MATCH($B132,'LV &amp; HV augex'!$L$28:$L$52,0),MATCH($C132,'LV &amp; HV augex'!$D$27:$J$27,0)),0)*'Financial inputs'!$D$11</f>
        <v>197923.5361991754</v>
      </c>
      <c r="L132" s="40">
        <f>IFERROR(INDEX('LV &amp; HV augex'!$D$10:$P$18,MATCH($C132,'LV &amp; HV augex'!$C$10:$C$18,0),MATCH(L$19,'LV &amp; HV augex'!$D$9:$P$9,0))*INDEX('LV &amp; HV augex'!$D$28:$J$52,MATCH($B132,'LV &amp; HV augex'!$L$28:$L$52,0),MATCH($C132,'LV &amp; HV augex'!$D$27:$J$27,0)),0)*'Financial inputs'!$D$11</f>
        <v>197923.5361991754</v>
      </c>
      <c r="M132" s="40">
        <f>IFERROR(INDEX('LV &amp; HV augex'!$D$10:$P$18,MATCH($C132,'LV &amp; HV augex'!$C$10:$C$18,0),MATCH(M$19,'LV &amp; HV augex'!$D$9:$P$9,0))*INDEX('LV &amp; HV augex'!$D$28:$J$52,MATCH($B132,'LV &amp; HV augex'!$L$28:$L$52,0),MATCH($C132,'LV &amp; HV augex'!$D$27:$J$27,0)),0)*'Financial inputs'!$D$11</f>
        <v>197923.5361991754</v>
      </c>
      <c r="N132" s="40">
        <f>IFERROR(INDEX('LV &amp; HV augex'!$D$10:$P$18,MATCH($C132,'LV &amp; HV augex'!$C$10:$C$18,0),MATCH(N$19,'LV &amp; HV augex'!$D$9:$P$9,0))*INDEX('LV &amp; HV augex'!$D$28:$J$52,MATCH($B132,'LV &amp; HV augex'!$L$28:$L$52,0),MATCH($C132,'LV &amp; HV augex'!$D$27:$J$27,0)),0)*'Financial inputs'!$D$11</f>
        <v>197923.5361991754</v>
      </c>
      <c r="O132" s="40">
        <f>IFERROR(INDEX('LV &amp; HV augex'!$D$10:$P$18,MATCH($C132,'LV &amp; HV augex'!$C$10:$C$18,0),MATCH(O$19,'LV &amp; HV augex'!$D$9:$P$9,0))*INDEX('LV &amp; HV augex'!$D$28:$J$52,MATCH($B132,'LV &amp; HV augex'!$L$28:$L$52,0),MATCH($C132,'LV &amp; HV augex'!$D$27:$J$27,0)),0)*'Financial inputs'!$D$11</f>
        <v>197923.5361991754</v>
      </c>
      <c r="P132" s="40">
        <f>IFERROR(INDEX('LV &amp; HV augex'!$D$10:$P$18,MATCH($C132,'LV &amp; HV augex'!$C$10:$C$18,0),MATCH(P$19,'LV &amp; HV augex'!$D$9:$P$9,0))*INDEX('LV &amp; HV augex'!$D$28:$J$52,MATCH($B132,'LV &amp; HV augex'!$L$28:$L$52,0),MATCH($C132,'LV &amp; HV augex'!$D$27:$J$27,0)),0)*'Financial inputs'!$D$11</f>
        <v>197923.5361991754</v>
      </c>
    </row>
    <row r="133" spans="2:16" ht="15.5">
      <c r="B133" s="2" t="str">
        <f t="shared" si="7"/>
        <v>Manly Warringah</v>
      </c>
      <c r="C133" s="35" t="str" cm="1">
        <f t="array" ref="C133">INDEX(augex_categories,COUNTIFS($B$20:$B133,$B$20))</f>
        <v>HV Reinforcement OH (New)</v>
      </c>
      <c r="D133" s="35" t="str">
        <f>IF(COUNTIF('LV &amp; HV augex'!$C$10:$C$13,C133), "LV", IF(COUNTIF('LV &amp; HV augex'!$C$15:$C$17, C133), "HV", "Error"))</f>
        <v>HV</v>
      </c>
      <c r="E133" s="35" t="str">
        <f>INDEX('Growing &amp; falling'!$D$14:$D$39,MATCH($B133,'Growing &amp; falling'!$B$14:$B$39,0))</f>
        <v>Growth</v>
      </c>
      <c r="F133" s="35" t="str">
        <f t="shared" si="6"/>
        <v>$2024 real</v>
      </c>
      <c r="G133" s="40">
        <f>IFERROR(INDEX('LV &amp; HV augex'!$D$10:$P$18,MATCH($C133,'LV &amp; HV augex'!$C$10:$C$18,0),MATCH(G$19,'LV &amp; HV augex'!$D$9:$P$9,0))*INDEX('LV &amp; HV augex'!$D$28:$J$52,MATCH($B133,'LV &amp; HV augex'!$L$28:$L$52,0),MATCH($C133,'LV &amp; HV augex'!$D$27:$J$27,0)),0)*'Financial inputs'!$D$11</f>
        <v>12359.484168322109</v>
      </c>
      <c r="H133" s="40">
        <f>IFERROR(INDEX('LV &amp; HV augex'!$D$10:$P$18,MATCH($C133,'LV &amp; HV augex'!$C$10:$C$18,0),MATCH(H$19,'LV &amp; HV augex'!$D$9:$P$9,0))*INDEX('LV &amp; HV augex'!$D$28:$J$52,MATCH($B133,'LV &amp; HV augex'!$L$28:$L$52,0),MATCH($C133,'LV &amp; HV augex'!$D$27:$J$27,0)),0)*'Financial inputs'!$D$11</f>
        <v>12182.913930129278</v>
      </c>
      <c r="I133" s="40">
        <f>IFERROR(INDEX('LV &amp; HV augex'!$D$10:$P$18,MATCH($C133,'LV &amp; HV augex'!$C$10:$C$18,0),MATCH(I$19,'LV &amp; HV augex'!$D$9:$P$9,0))*INDEX('LV &amp; HV augex'!$D$28:$J$52,MATCH($B133,'LV &amp; HV augex'!$L$28:$L$52,0),MATCH($C133,'LV &amp; HV augex'!$D$27:$J$27,0)),0)*'Financial inputs'!$D$11</f>
        <v>12315.332598249399</v>
      </c>
      <c r="J133" s="40">
        <f>IFERROR(INDEX('LV &amp; HV augex'!$D$10:$P$18,MATCH($C133,'LV &amp; HV augex'!$C$10:$C$18,0),MATCH(J$19,'LV &amp; HV augex'!$D$9:$P$9,0))*INDEX('LV &amp; HV augex'!$D$28:$J$52,MATCH($B133,'LV &amp; HV augex'!$L$28:$L$52,0),MATCH($C133,'LV &amp; HV augex'!$D$27:$J$27,0)),0)*'Financial inputs'!$D$11</f>
        <v>12315.332598249399</v>
      </c>
      <c r="K133" s="40">
        <f>IFERROR(INDEX('LV &amp; HV augex'!$D$10:$P$18,MATCH($C133,'LV &amp; HV augex'!$C$10:$C$18,0),MATCH(K$19,'LV &amp; HV augex'!$D$9:$P$9,0))*INDEX('LV &amp; HV augex'!$D$28:$J$52,MATCH($B133,'LV &amp; HV augex'!$L$28:$L$52,0),MATCH($C133,'LV &amp; HV augex'!$D$27:$J$27,0)),0)*'Financial inputs'!$D$11</f>
        <v>12315.332598249399</v>
      </c>
      <c r="L133" s="40">
        <f>IFERROR(INDEX('LV &amp; HV augex'!$D$10:$P$18,MATCH($C133,'LV &amp; HV augex'!$C$10:$C$18,0),MATCH(L$19,'LV &amp; HV augex'!$D$9:$P$9,0))*INDEX('LV &amp; HV augex'!$D$28:$J$52,MATCH($B133,'LV &amp; HV augex'!$L$28:$L$52,0),MATCH($C133,'LV &amp; HV augex'!$D$27:$J$27,0)),0)*'Financial inputs'!$D$11</f>
        <v>12315.332598249399</v>
      </c>
      <c r="M133" s="40">
        <f>IFERROR(INDEX('LV &amp; HV augex'!$D$10:$P$18,MATCH($C133,'LV &amp; HV augex'!$C$10:$C$18,0),MATCH(M$19,'LV &amp; HV augex'!$D$9:$P$9,0))*INDEX('LV &amp; HV augex'!$D$28:$J$52,MATCH($B133,'LV &amp; HV augex'!$L$28:$L$52,0),MATCH($C133,'LV &amp; HV augex'!$D$27:$J$27,0)),0)*'Financial inputs'!$D$11</f>
        <v>12315.332598249399</v>
      </c>
      <c r="N133" s="40">
        <f>IFERROR(INDEX('LV &amp; HV augex'!$D$10:$P$18,MATCH($C133,'LV &amp; HV augex'!$C$10:$C$18,0),MATCH(N$19,'LV &amp; HV augex'!$D$9:$P$9,0))*INDEX('LV &amp; HV augex'!$D$28:$J$52,MATCH($B133,'LV &amp; HV augex'!$L$28:$L$52,0),MATCH($C133,'LV &amp; HV augex'!$D$27:$J$27,0)),0)*'Financial inputs'!$D$11</f>
        <v>12315.332598249399</v>
      </c>
      <c r="O133" s="40">
        <f>IFERROR(INDEX('LV &amp; HV augex'!$D$10:$P$18,MATCH($C133,'LV &amp; HV augex'!$C$10:$C$18,0),MATCH(O$19,'LV &amp; HV augex'!$D$9:$P$9,0))*INDEX('LV &amp; HV augex'!$D$28:$J$52,MATCH($B133,'LV &amp; HV augex'!$L$28:$L$52,0),MATCH($C133,'LV &amp; HV augex'!$D$27:$J$27,0)),0)*'Financial inputs'!$D$11</f>
        <v>12315.332598249399</v>
      </c>
      <c r="P133" s="40">
        <f>IFERROR(INDEX('LV &amp; HV augex'!$D$10:$P$18,MATCH($C133,'LV &amp; HV augex'!$C$10:$C$18,0),MATCH(P$19,'LV &amp; HV augex'!$D$9:$P$9,0))*INDEX('LV &amp; HV augex'!$D$28:$J$52,MATCH($B133,'LV &amp; HV augex'!$L$28:$L$52,0),MATCH($C133,'LV &amp; HV augex'!$D$27:$J$27,0)),0)*'Financial inputs'!$D$11</f>
        <v>12315.332598249399</v>
      </c>
    </row>
    <row r="134" spans="2:16" ht="15.5">
      <c r="B134" s="2" t="str">
        <f t="shared" si="7"/>
        <v>Newcastle Inner City</v>
      </c>
      <c r="C134" s="35" t="str" cm="1">
        <f t="array" ref="C134">INDEX(augex_categories,COUNTIFS($B$20:$B134,$B$20))</f>
        <v>HV Reinforcement OH (New)</v>
      </c>
      <c r="D134" s="35" t="str">
        <f>IF(COUNTIF('LV &amp; HV augex'!$C$10:$C$13,C134), "LV", IF(COUNTIF('LV &amp; HV augex'!$C$15:$C$17, C134), "HV", "Error"))</f>
        <v>HV</v>
      </c>
      <c r="E134" s="35" t="str">
        <f>INDEX('Growing &amp; falling'!$D$14:$D$39,MATCH($B134,'Growing &amp; falling'!$B$14:$B$39,0))</f>
        <v>Decline</v>
      </c>
      <c r="F134" s="35" t="str">
        <f t="shared" si="6"/>
        <v>$2024 real</v>
      </c>
      <c r="G134" s="40">
        <f>IFERROR(INDEX('LV &amp; HV augex'!$D$10:$P$18,MATCH($C134,'LV &amp; HV augex'!$C$10:$C$18,0),MATCH(G$19,'LV &amp; HV augex'!$D$9:$P$9,0))*INDEX('LV &amp; HV augex'!$D$28:$J$52,MATCH($B134,'LV &amp; HV augex'!$L$28:$L$52,0),MATCH($C134,'LV &amp; HV augex'!$D$27:$J$27,0)),0)*'Financial inputs'!$D$11</f>
        <v>21018.796418034115</v>
      </c>
      <c r="H134" s="40">
        <f>IFERROR(INDEX('LV &amp; HV augex'!$D$10:$P$18,MATCH($C134,'LV &amp; HV augex'!$C$10:$C$18,0),MATCH(H$19,'LV &amp; HV augex'!$D$9:$P$9,0))*INDEX('LV &amp; HV augex'!$D$28:$J$52,MATCH($B134,'LV &amp; HV augex'!$L$28:$L$52,0),MATCH($C134,'LV &amp; HV augex'!$D$27:$J$27,0)),0)*'Financial inputs'!$D$11</f>
        <v>20718.517390243363</v>
      </c>
      <c r="I134" s="40">
        <f>IFERROR(INDEX('LV &amp; HV augex'!$D$10:$P$18,MATCH($C134,'LV &amp; HV augex'!$C$10:$C$18,0),MATCH(I$19,'LV &amp; HV augex'!$D$9:$P$9,0))*INDEX('LV &amp; HV augex'!$D$28:$J$52,MATCH($B134,'LV &amp; HV augex'!$L$28:$L$52,0),MATCH($C134,'LV &amp; HV augex'!$D$27:$J$27,0)),0)*'Financial inputs'!$D$11</f>
        <v>20943.711337600624</v>
      </c>
      <c r="J134" s="40">
        <f>IFERROR(INDEX('LV &amp; HV augex'!$D$10:$P$18,MATCH($C134,'LV &amp; HV augex'!$C$10:$C$18,0),MATCH(J$19,'LV &amp; HV augex'!$D$9:$P$9,0))*INDEX('LV &amp; HV augex'!$D$28:$J$52,MATCH($B134,'LV &amp; HV augex'!$L$28:$L$52,0),MATCH($C134,'LV &amp; HV augex'!$D$27:$J$27,0)),0)*'Financial inputs'!$D$11</f>
        <v>20943.711337600624</v>
      </c>
      <c r="K134" s="40">
        <f>IFERROR(INDEX('LV &amp; HV augex'!$D$10:$P$18,MATCH($C134,'LV &amp; HV augex'!$C$10:$C$18,0),MATCH(K$19,'LV &amp; HV augex'!$D$9:$P$9,0))*INDEX('LV &amp; HV augex'!$D$28:$J$52,MATCH($B134,'LV &amp; HV augex'!$L$28:$L$52,0),MATCH($C134,'LV &amp; HV augex'!$D$27:$J$27,0)),0)*'Financial inputs'!$D$11</f>
        <v>20943.711337600624</v>
      </c>
      <c r="L134" s="40">
        <f>IFERROR(INDEX('LV &amp; HV augex'!$D$10:$P$18,MATCH($C134,'LV &amp; HV augex'!$C$10:$C$18,0),MATCH(L$19,'LV &amp; HV augex'!$D$9:$P$9,0))*INDEX('LV &amp; HV augex'!$D$28:$J$52,MATCH($B134,'LV &amp; HV augex'!$L$28:$L$52,0),MATCH($C134,'LV &amp; HV augex'!$D$27:$J$27,0)),0)*'Financial inputs'!$D$11</f>
        <v>20943.711337600624</v>
      </c>
      <c r="M134" s="40">
        <f>IFERROR(INDEX('LV &amp; HV augex'!$D$10:$P$18,MATCH($C134,'LV &amp; HV augex'!$C$10:$C$18,0),MATCH(M$19,'LV &amp; HV augex'!$D$9:$P$9,0))*INDEX('LV &amp; HV augex'!$D$28:$J$52,MATCH($B134,'LV &amp; HV augex'!$L$28:$L$52,0),MATCH($C134,'LV &amp; HV augex'!$D$27:$J$27,0)),0)*'Financial inputs'!$D$11</f>
        <v>20943.711337600624</v>
      </c>
      <c r="N134" s="40">
        <f>IFERROR(INDEX('LV &amp; HV augex'!$D$10:$P$18,MATCH($C134,'LV &amp; HV augex'!$C$10:$C$18,0),MATCH(N$19,'LV &amp; HV augex'!$D$9:$P$9,0))*INDEX('LV &amp; HV augex'!$D$28:$J$52,MATCH($B134,'LV &amp; HV augex'!$L$28:$L$52,0),MATCH($C134,'LV &amp; HV augex'!$D$27:$J$27,0)),0)*'Financial inputs'!$D$11</f>
        <v>20943.711337600624</v>
      </c>
      <c r="O134" s="40">
        <f>IFERROR(INDEX('LV &amp; HV augex'!$D$10:$P$18,MATCH($C134,'LV &amp; HV augex'!$C$10:$C$18,0),MATCH(O$19,'LV &amp; HV augex'!$D$9:$P$9,0))*INDEX('LV &amp; HV augex'!$D$28:$J$52,MATCH($B134,'LV &amp; HV augex'!$L$28:$L$52,0),MATCH($C134,'LV &amp; HV augex'!$D$27:$J$27,0)),0)*'Financial inputs'!$D$11</f>
        <v>20943.711337600624</v>
      </c>
      <c r="P134" s="40">
        <f>IFERROR(INDEX('LV &amp; HV augex'!$D$10:$P$18,MATCH($C134,'LV &amp; HV augex'!$C$10:$C$18,0),MATCH(P$19,'LV &amp; HV augex'!$D$9:$P$9,0))*INDEX('LV &amp; HV augex'!$D$28:$J$52,MATCH($B134,'LV &amp; HV augex'!$L$28:$L$52,0),MATCH($C134,'LV &amp; HV augex'!$D$27:$J$27,0)),0)*'Financial inputs'!$D$11</f>
        <v>20943.711337600624</v>
      </c>
    </row>
    <row r="135" spans="2:16" ht="15.5">
      <c r="B135" s="2" t="str">
        <f t="shared" si="7"/>
        <v>Newcastle Port</v>
      </c>
      <c r="C135" s="35" t="str" cm="1">
        <f t="array" ref="C135">INDEX(augex_categories,COUNTIFS($B$20:$B135,$B$20))</f>
        <v>HV Reinforcement OH (New)</v>
      </c>
      <c r="D135" s="35" t="str">
        <f>IF(COUNTIF('LV &amp; HV augex'!$C$10:$C$13,C135), "LV", IF(COUNTIF('LV &amp; HV augex'!$C$15:$C$17, C135), "HV", "Error"))</f>
        <v>HV</v>
      </c>
      <c r="E135" s="35" t="str">
        <f>INDEX('Growing &amp; falling'!$D$14:$D$39,MATCH($B135,'Growing &amp; falling'!$B$14:$B$39,0))</f>
        <v>Growth</v>
      </c>
      <c r="F135" s="35" t="str">
        <f t="shared" si="6"/>
        <v>$2024 real</v>
      </c>
      <c r="G135" s="40">
        <f>IFERROR(INDEX('LV &amp; HV augex'!$D$10:$P$18,MATCH($C135,'LV &amp; HV augex'!$C$10:$C$18,0),MATCH(G$19,'LV &amp; HV augex'!$D$9:$P$9,0))*INDEX('LV &amp; HV augex'!$D$28:$J$52,MATCH($B135,'LV &amp; HV augex'!$L$28:$L$52,0),MATCH($C135,'LV &amp; HV augex'!$D$27:$J$27,0)),0)*'Financial inputs'!$D$11</f>
        <v>0</v>
      </c>
      <c r="H135" s="40">
        <f>IFERROR(INDEX('LV &amp; HV augex'!$D$10:$P$18,MATCH($C135,'LV &amp; HV augex'!$C$10:$C$18,0),MATCH(H$19,'LV &amp; HV augex'!$D$9:$P$9,0))*INDEX('LV &amp; HV augex'!$D$28:$J$52,MATCH($B135,'LV &amp; HV augex'!$L$28:$L$52,0),MATCH($C135,'LV &amp; HV augex'!$D$27:$J$27,0)),0)*'Financial inputs'!$D$11</f>
        <v>0</v>
      </c>
      <c r="I135" s="40">
        <f>IFERROR(INDEX('LV &amp; HV augex'!$D$10:$P$18,MATCH($C135,'LV &amp; HV augex'!$C$10:$C$18,0),MATCH(I$19,'LV &amp; HV augex'!$D$9:$P$9,0))*INDEX('LV &amp; HV augex'!$D$28:$J$52,MATCH($B135,'LV &amp; HV augex'!$L$28:$L$52,0),MATCH($C135,'LV &amp; HV augex'!$D$27:$J$27,0)),0)*'Financial inputs'!$D$11</f>
        <v>0</v>
      </c>
      <c r="J135" s="40">
        <f>IFERROR(INDEX('LV &amp; HV augex'!$D$10:$P$18,MATCH($C135,'LV &amp; HV augex'!$C$10:$C$18,0),MATCH(J$19,'LV &amp; HV augex'!$D$9:$P$9,0))*INDEX('LV &amp; HV augex'!$D$28:$J$52,MATCH($B135,'LV &amp; HV augex'!$L$28:$L$52,0),MATCH($C135,'LV &amp; HV augex'!$D$27:$J$27,0)),0)*'Financial inputs'!$D$11</f>
        <v>0</v>
      </c>
      <c r="K135" s="40">
        <f>IFERROR(INDEX('LV &amp; HV augex'!$D$10:$P$18,MATCH($C135,'LV &amp; HV augex'!$C$10:$C$18,0),MATCH(K$19,'LV &amp; HV augex'!$D$9:$P$9,0))*INDEX('LV &amp; HV augex'!$D$28:$J$52,MATCH($B135,'LV &amp; HV augex'!$L$28:$L$52,0),MATCH($C135,'LV &amp; HV augex'!$D$27:$J$27,0)),0)*'Financial inputs'!$D$11</f>
        <v>0</v>
      </c>
      <c r="L135" s="40">
        <f>IFERROR(INDEX('LV &amp; HV augex'!$D$10:$P$18,MATCH($C135,'LV &amp; HV augex'!$C$10:$C$18,0),MATCH(L$19,'LV &amp; HV augex'!$D$9:$P$9,0))*INDEX('LV &amp; HV augex'!$D$28:$J$52,MATCH($B135,'LV &amp; HV augex'!$L$28:$L$52,0),MATCH($C135,'LV &amp; HV augex'!$D$27:$J$27,0)),0)*'Financial inputs'!$D$11</f>
        <v>0</v>
      </c>
      <c r="M135" s="40">
        <f>IFERROR(INDEX('LV &amp; HV augex'!$D$10:$P$18,MATCH($C135,'LV &amp; HV augex'!$C$10:$C$18,0),MATCH(M$19,'LV &amp; HV augex'!$D$9:$P$9,0))*INDEX('LV &amp; HV augex'!$D$28:$J$52,MATCH($B135,'LV &amp; HV augex'!$L$28:$L$52,0),MATCH($C135,'LV &amp; HV augex'!$D$27:$J$27,0)),0)*'Financial inputs'!$D$11</f>
        <v>0</v>
      </c>
      <c r="N135" s="40">
        <f>IFERROR(INDEX('LV &amp; HV augex'!$D$10:$P$18,MATCH($C135,'LV &amp; HV augex'!$C$10:$C$18,0),MATCH(N$19,'LV &amp; HV augex'!$D$9:$P$9,0))*INDEX('LV &amp; HV augex'!$D$28:$J$52,MATCH($B135,'LV &amp; HV augex'!$L$28:$L$52,0),MATCH($C135,'LV &amp; HV augex'!$D$27:$J$27,0)),0)*'Financial inputs'!$D$11</f>
        <v>0</v>
      </c>
      <c r="O135" s="40">
        <f>IFERROR(INDEX('LV &amp; HV augex'!$D$10:$P$18,MATCH($C135,'LV &amp; HV augex'!$C$10:$C$18,0),MATCH(O$19,'LV &amp; HV augex'!$D$9:$P$9,0))*INDEX('LV &amp; HV augex'!$D$28:$J$52,MATCH($B135,'LV &amp; HV augex'!$L$28:$L$52,0),MATCH($C135,'LV &amp; HV augex'!$D$27:$J$27,0)),0)*'Financial inputs'!$D$11</f>
        <v>0</v>
      </c>
      <c r="P135" s="40">
        <f>IFERROR(INDEX('LV &amp; HV augex'!$D$10:$P$18,MATCH($C135,'LV &amp; HV augex'!$C$10:$C$18,0),MATCH(P$19,'LV &amp; HV augex'!$D$9:$P$9,0))*INDEX('LV &amp; HV augex'!$D$28:$J$52,MATCH($B135,'LV &amp; HV augex'!$L$28:$L$52,0),MATCH($C135,'LV &amp; HV augex'!$D$27:$J$27,0)),0)*'Financial inputs'!$D$11</f>
        <v>0</v>
      </c>
    </row>
    <row r="136" spans="2:16" ht="15.5">
      <c r="B136" s="2" t="str">
        <f t="shared" si="7"/>
        <v>Newcastle Western Corridor</v>
      </c>
      <c r="C136" s="35" t="str" cm="1">
        <f t="array" ref="C136">INDEX(augex_categories,COUNTIFS($B$20:$B136,$B$20))</f>
        <v>HV Reinforcement OH (New)</v>
      </c>
      <c r="D136" s="35" t="str">
        <f>IF(COUNTIF('LV &amp; HV augex'!$C$10:$C$13,C136), "LV", IF(COUNTIF('LV &amp; HV augex'!$C$15:$C$17, C136), "HV", "Error"))</f>
        <v>HV</v>
      </c>
      <c r="E136" s="35" t="str">
        <f>INDEX('Growing &amp; falling'!$D$14:$D$39,MATCH($B136,'Growing &amp; falling'!$B$14:$B$39,0))</f>
        <v>Decline</v>
      </c>
      <c r="F136" s="35" t="str">
        <f t="shared" si="6"/>
        <v>$2024 real</v>
      </c>
      <c r="G136" s="40">
        <f>IFERROR(INDEX('LV &amp; HV augex'!$D$10:$P$18,MATCH($C136,'LV &amp; HV augex'!$C$10:$C$18,0),MATCH(G$19,'LV &amp; HV augex'!$D$9:$P$9,0))*INDEX('LV &amp; HV augex'!$D$28:$J$52,MATCH($B136,'LV &amp; HV augex'!$L$28:$L$52,0),MATCH($C136,'LV &amp; HV augex'!$D$27:$J$27,0)),0)*'Financial inputs'!$D$11</f>
        <v>33841.24785337034</v>
      </c>
      <c r="H136" s="40">
        <f>IFERROR(INDEX('LV &amp; HV augex'!$D$10:$P$18,MATCH($C136,'LV &amp; HV augex'!$C$10:$C$18,0),MATCH(H$19,'LV &amp; HV augex'!$D$9:$P$9,0))*INDEX('LV &amp; HV augex'!$D$28:$J$52,MATCH($B136,'LV &amp; HV augex'!$L$28:$L$52,0),MATCH($C136,'LV &amp; HV augex'!$D$27:$J$27,0)),0)*'Financial inputs'!$D$11</f>
        <v>33357.784537844003</v>
      </c>
      <c r="I136" s="40">
        <f>IFERROR(INDEX('LV &amp; HV augex'!$D$10:$P$18,MATCH($C136,'LV &amp; HV augex'!$C$10:$C$18,0),MATCH(I$19,'LV &amp; HV augex'!$D$9:$P$9,0))*INDEX('LV &amp; HV augex'!$D$28:$J$52,MATCH($B136,'LV &amp; HV augex'!$L$28:$L$52,0),MATCH($C136,'LV &amp; HV augex'!$D$27:$J$27,0)),0)*'Financial inputs'!$D$11</f>
        <v>33720.357352958061</v>
      </c>
      <c r="J136" s="40">
        <f>IFERROR(INDEX('LV &amp; HV augex'!$D$10:$P$18,MATCH($C136,'LV &amp; HV augex'!$C$10:$C$18,0),MATCH(J$19,'LV &amp; HV augex'!$D$9:$P$9,0))*INDEX('LV &amp; HV augex'!$D$28:$J$52,MATCH($B136,'LV &amp; HV augex'!$L$28:$L$52,0),MATCH($C136,'LV &amp; HV augex'!$D$27:$J$27,0)),0)*'Financial inputs'!$D$11</f>
        <v>33720.357352958061</v>
      </c>
      <c r="K136" s="40">
        <f>IFERROR(INDEX('LV &amp; HV augex'!$D$10:$P$18,MATCH($C136,'LV &amp; HV augex'!$C$10:$C$18,0),MATCH(K$19,'LV &amp; HV augex'!$D$9:$P$9,0))*INDEX('LV &amp; HV augex'!$D$28:$J$52,MATCH($B136,'LV &amp; HV augex'!$L$28:$L$52,0),MATCH($C136,'LV &amp; HV augex'!$D$27:$J$27,0)),0)*'Financial inputs'!$D$11</f>
        <v>33720.357352958061</v>
      </c>
      <c r="L136" s="40">
        <f>IFERROR(INDEX('LV &amp; HV augex'!$D$10:$P$18,MATCH($C136,'LV &amp; HV augex'!$C$10:$C$18,0),MATCH(L$19,'LV &amp; HV augex'!$D$9:$P$9,0))*INDEX('LV &amp; HV augex'!$D$28:$J$52,MATCH($B136,'LV &amp; HV augex'!$L$28:$L$52,0),MATCH($C136,'LV &amp; HV augex'!$D$27:$J$27,0)),0)*'Financial inputs'!$D$11</f>
        <v>33720.357352958061</v>
      </c>
      <c r="M136" s="40">
        <f>IFERROR(INDEX('LV &amp; HV augex'!$D$10:$P$18,MATCH($C136,'LV &amp; HV augex'!$C$10:$C$18,0),MATCH(M$19,'LV &amp; HV augex'!$D$9:$P$9,0))*INDEX('LV &amp; HV augex'!$D$28:$J$52,MATCH($B136,'LV &amp; HV augex'!$L$28:$L$52,0),MATCH($C136,'LV &amp; HV augex'!$D$27:$J$27,0)),0)*'Financial inputs'!$D$11</f>
        <v>33720.357352958061</v>
      </c>
      <c r="N136" s="40">
        <f>IFERROR(INDEX('LV &amp; HV augex'!$D$10:$P$18,MATCH($C136,'LV &amp; HV augex'!$C$10:$C$18,0),MATCH(N$19,'LV &amp; HV augex'!$D$9:$P$9,0))*INDEX('LV &amp; HV augex'!$D$28:$J$52,MATCH($B136,'LV &amp; HV augex'!$L$28:$L$52,0),MATCH($C136,'LV &amp; HV augex'!$D$27:$J$27,0)),0)*'Financial inputs'!$D$11</f>
        <v>33720.357352958061</v>
      </c>
      <c r="O136" s="40">
        <f>IFERROR(INDEX('LV &amp; HV augex'!$D$10:$P$18,MATCH($C136,'LV &amp; HV augex'!$C$10:$C$18,0),MATCH(O$19,'LV &amp; HV augex'!$D$9:$P$9,0))*INDEX('LV &amp; HV augex'!$D$28:$J$52,MATCH($B136,'LV &amp; HV augex'!$L$28:$L$52,0),MATCH($C136,'LV &amp; HV augex'!$D$27:$J$27,0)),0)*'Financial inputs'!$D$11</f>
        <v>33720.357352958061</v>
      </c>
      <c r="P136" s="40">
        <f>IFERROR(INDEX('LV &amp; HV augex'!$D$10:$P$18,MATCH($C136,'LV &amp; HV augex'!$C$10:$C$18,0),MATCH(P$19,'LV &amp; HV augex'!$D$9:$P$9,0))*INDEX('LV &amp; HV augex'!$D$28:$J$52,MATCH($B136,'LV &amp; HV augex'!$L$28:$L$52,0),MATCH($C136,'LV &amp; HV augex'!$D$27:$J$27,0)),0)*'Financial inputs'!$D$11</f>
        <v>33720.357352958061</v>
      </c>
    </row>
    <row r="137" spans="2:16" ht="15.5">
      <c r="B137" s="2" t="str">
        <f t="shared" si="7"/>
        <v>North East Lake Macquarie</v>
      </c>
      <c r="C137" s="35" t="str" cm="1">
        <f t="array" ref="C137">INDEX(augex_categories,COUNTIFS($B$20:$B137,$B$20))</f>
        <v>HV Reinforcement OH (New)</v>
      </c>
      <c r="D137" s="35" t="str">
        <f>IF(COUNTIF('LV &amp; HV augex'!$C$10:$C$13,C137), "LV", IF(COUNTIF('LV &amp; HV augex'!$C$15:$C$17, C137), "HV", "Error"))</f>
        <v>HV</v>
      </c>
      <c r="E137" s="35" t="str">
        <f>INDEX('Growing &amp; falling'!$D$14:$D$39,MATCH($B137,'Growing &amp; falling'!$B$14:$B$39,0))</f>
        <v>Decline</v>
      </c>
      <c r="F137" s="35" t="str">
        <f t="shared" si="6"/>
        <v>$2024 real</v>
      </c>
      <c r="G137" s="40">
        <f>IFERROR(INDEX('LV &amp; HV augex'!$D$10:$P$18,MATCH($C137,'LV &amp; HV augex'!$C$10:$C$18,0),MATCH(G$19,'LV &amp; HV augex'!$D$9:$P$9,0))*INDEX('LV &amp; HV augex'!$D$28:$J$52,MATCH($B137,'LV &amp; HV augex'!$L$28:$L$52,0),MATCH($C137,'LV &amp; HV augex'!$D$27:$J$27,0)),0)*'Financial inputs'!$D$11</f>
        <v>8321.4147684380805</v>
      </c>
      <c r="H137" s="40">
        <f>IFERROR(INDEX('LV &amp; HV augex'!$D$10:$P$18,MATCH($C137,'LV &amp; HV augex'!$C$10:$C$18,0),MATCH(H$19,'LV &amp; HV augex'!$D$9:$P$9,0))*INDEX('LV &amp; HV augex'!$D$28:$J$52,MATCH($B137,'LV &amp; HV augex'!$L$28:$L$52,0),MATCH($C137,'LV &amp; HV augex'!$D$27:$J$27,0)),0)*'Financial inputs'!$D$11</f>
        <v>8202.5332546342615</v>
      </c>
      <c r="I137" s="40">
        <f>IFERROR(INDEX('LV &amp; HV augex'!$D$10:$P$18,MATCH($C137,'LV &amp; HV augex'!$C$10:$C$18,0),MATCH(I$19,'LV &amp; HV augex'!$D$9:$P$9,0))*INDEX('LV &amp; HV augex'!$D$28:$J$52,MATCH($B137,'LV &amp; HV augex'!$L$28:$L$52,0),MATCH($C137,'LV &amp; HV augex'!$D$27:$J$27,0)),0)*'Financial inputs'!$D$11</f>
        <v>8291.6883233656827</v>
      </c>
      <c r="J137" s="40">
        <f>IFERROR(INDEX('LV &amp; HV augex'!$D$10:$P$18,MATCH($C137,'LV &amp; HV augex'!$C$10:$C$18,0),MATCH(J$19,'LV &amp; HV augex'!$D$9:$P$9,0))*INDEX('LV &amp; HV augex'!$D$28:$J$52,MATCH($B137,'LV &amp; HV augex'!$L$28:$L$52,0),MATCH($C137,'LV &amp; HV augex'!$D$27:$J$27,0)),0)*'Financial inputs'!$D$11</f>
        <v>8291.6883233656827</v>
      </c>
      <c r="K137" s="40">
        <f>IFERROR(INDEX('LV &amp; HV augex'!$D$10:$P$18,MATCH($C137,'LV &amp; HV augex'!$C$10:$C$18,0),MATCH(K$19,'LV &amp; HV augex'!$D$9:$P$9,0))*INDEX('LV &amp; HV augex'!$D$28:$J$52,MATCH($B137,'LV &amp; HV augex'!$L$28:$L$52,0),MATCH($C137,'LV &amp; HV augex'!$D$27:$J$27,0)),0)*'Financial inputs'!$D$11</f>
        <v>8291.6883233656827</v>
      </c>
      <c r="L137" s="40">
        <f>IFERROR(INDEX('LV &amp; HV augex'!$D$10:$P$18,MATCH($C137,'LV &amp; HV augex'!$C$10:$C$18,0),MATCH(L$19,'LV &amp; HV augex'!$D$9:$P$9,0))*INDEX('LV &amp; HV augex'!$D$28:$J$52,MATCH($B137,'LV &amp; HV augex'!$L$28:$L$52,0),MATCH($C137,'LV &amp; HV augex'!$D$27:$J$27,0)),0)*'Financial inputs'!$D$11</f>
        <v>8291.6883233656827</v>
      </c>
      <c r="M137" s="40">
        <f>IFERROR(INDEX('LV &amp; HV augex'!$D$10:$P$18,MATCH($C137,'LV &amp; HV augex'!$C$10:$C$18,0),MATCH(M$19,'LV &amp; HV augex'!$D$9:$P$9,0))*INDEX('LV &amp; HV augex'!$D$28:$J$52,MATCH($B137,'LV &amp; HV augex'!$L$28:$L$52,0),MATCH($C137,'LV &amp; HV augex'!$D$27:$J$27,0)),0)*'Financial inputs'!$D$11</f>
        <v>8291.6883233656827</v>
      </c>
      <c r="N137" s="40">
        <f>IFERROR(INDEX('LV &amp; HV augex'!$D$10:$P$18,MATCH($C137,'LV &amp; HV augex'!$C$10:$C$18,0),MATCH(N$19,'LV &amp; HV augex'!$D$9:$P$9,0))*INDEX('LV &amp; HV augex'!$D$28:$J$52,MATCH($B137,'LV &amp; HV augex'!$L$28:$L$52,0),MATCH($C137,'LV &amp; HV augex'!$D$27:$J$27,0)),0)*'Financial inputs'!$D$11</f>
        <v>8291.6883233656827</v>
      </c>
      <c r="O137" s="40">
        <f>IFERROR(INDEX('LV &amp; HV augex'!$D$10:$P$18,MATCH($C137,'LV &amp; HV augex'!$C$10:$C$18,0),MATCH(O$19,'LV &amp; HV augex'!$D$9:$P$9,0))*INDEX('LV &amp; HV augex'!$D$28:$J$52,MATCH($B137,'LV &amp; HV augex'!$L$28:$L$52,0),MATCH($C137,'LV &amp; HV augex'!$D$27:$J$27,0)),0)*'Financial inputs'!$D$11</f>
        <v>8291.6883233656827</v>
      </c>
      <c r="P137" s="40">
        <f>IFERROR(INDEX('LV &amp; HV augex'!$D$10:$P$18,MATCH($C137,'LV &amp; HV augex'!$C$10:$C$18,0),MATCH(P$19,'LV &amp; HV augex'!$D$9:$P$9,0))*INDEX('LV &amp; HV augex'!$D$28:$J$52,MATCH($B137,'LV &amp; HV augex'!$L$28:$L$52,0),MATCH($C137,'LV &amp; HV augex'!$D$27:$J$27,0)),0)*'Financial inputs'!$D$11</f>
        <v>8291.6883233656827</v>
      </c>
    </row>
    <row r="138" spans="2:16" ht="15.5">
      <c r="B138" s="2" t="str">
        <f t="shared" si="7"/>
        <v>North West</v>
      </c>
      <c r="C138" s="35" t="str" cm="1">
        <f t="array" ref="C138">INDEX(augex_categories,COUNTIFS($B$20:$B138,$B$20))</f>
        <v>HV Reinforcement OH (New)</v>
      </c>
      <c r="D138" s="35" t="str">
        <f>IF(COUNTIF('LV &amp; HV augex'!$C$10:$C$13,C138), "LV", IF(COUNTIF('LV &amp; HV augex'!$C$15:$C$17, C138), "HV", "Error"))</f>
        <v>HV</v>
      </c>
      <c r="E138" s="35" t="str">
        <f>INDEX('Growing &amp; falling'!$D$14:$D$39,MATCH($B138,'Growing &amp; falling'!$B$14:$B$39,0))</f>
        <v>Growth</v>
      </c>
      <c r="F138" s="35" t="str">
        <f t="shared" si="6"/>
        <v>$2024 real</v>
      </c>
      <c r="G138" s="40">
        <f>IFERROR(INDEX('LV &amp; HV augex'!$D$10:$P$18,MATCH($C138,'LV &amp; HV augex'!$C$10:$C$18,0),MATCH(G$19,'LV &amp; HV augex'!$D$9:$P$9,0))*INDEX('LV &amp; HV augex'!$D$28:$J$52,MATCH($B138,'LV &amp; HV augex'!$L$28:$L$52,0),MATCH($C138,'LV &amp; HV augex'!$D$27:$J$27,0)),0)*'Financial inputs'!$D$11</f>
        <v>19205.817489299916</v>
      </c>
      <c r="H138" s="40">
        <f>IFERROR(INDEX('LV &amp; HV augex'!$D$10:$P$18,MATCH($C138,'LV &amp; HV augex'!$C$10:$C$18,0),MATCH(H$19,'LV &amp; HV augex'!$D$9:$P$9,0))*INDEX('LV &amp; HV augex'!$D$28:$J$52,MATCH($B138,'LV &amp; HV augex'!$L$28:$L$52,0),MATCH($C138,'LV &amp; HV augex'!$D$27:$J$27,0)),0)*'Financial inputs'!$D$11</f>
        <v>18931.439066819672</v>
      </c>
      <c r="I138" s="40">
        <f>IFERROR(INDEX('LV &amp; HV augex'!$D$10:$P$18,MATCH($C138,'LV &amp; HV augex'!$C$10:$C$18,0),MATCH(I$19,'LV &amp; HV augex'!$D$9:$P$9,0))*INDEX('LV &amp; HV augex'!$D$28:$J$52,MATCH($B138,'LV &amp; HV augex'!$L$28:$L$52,0),MATCH($C138,'LV &amp; HV augex'!$D$27:$J$27,0)),0)*'Financial inputs'!$D$11</f>
        <v>19137.208881923245</v>
      </c>
      <c r="J138" s="40">
        <f>IFERROR(INDEX('LV &amp; HV augex'!$D$10:$P$18,MATCH($C138,'LV &amp; HV augex'!$C$10:$C$18,0),MATCH(J$19,'LV &amp; HV augex'!$D$9:$P$9,0))*INDEX('LV &amp; HV augex'!$D$28:$J$52,MATCH($B138,'LV &amp; HV augex'!$L$28:$L$52,0),MATCH($C138,'LV &amp; HV augex'!$D$27:$J$27,0)),0)*'Financial inputs'!$D$11</f>
        <v>19137.208881923245</v>
      </c>
      <c r="K138" s="40">
        <f>IFERROR(INDEX('LV &amp; HV augex'!$D$10:$P$18,MATCH($C138,'LV &amp; HV augex'!$C$10:$C$18,0),MATCH(K$19,'LV &amp; HV augex'!$D$9:$P$9,0))*INDEX('LV &amp; HV augex'!$D$28:$J$52,MATCH($B138,'LV &amp; HV augex'!$L$28:$L$52,0),MATCH($C138,'LV &amp; HV augex'!$D$27:$J$27,0)),0)*'Financial inputs'!$D$11</f>
        <v>19137.208881923245</v>
      </c>
      <c r="L138" s="40">
        <f>IFERROR(INDEX('LV &amp; HV augex'!$D$10:$P$18,MATCH($C138,'LV &amp; HV augex'!$C$10:$C$18,0),MATCH(L$19,'LV &amp; HV augex'!$D$9:$P$9,0))*INDEX('LV &amp; HV augex'!$D$28:$J$52,MATCH($B138,'LV &amp; HV augex'!$L$28:$L$52,0),MATCH($C138,'LV &amp; HV augex'!$D$27:$J$27,0)),0)*'Financial inputs'!$D$11</f>
        <v>19137.208881923245</v>
      </c>
      <c r="M138" s="40">
        <f>IFERROR(INDEX('LV &amp; HV augex'!$D$10:$P$18,MATCH($C138,'LV &amp; HV augex'!$C$10:$C$18,0),MATCH(M$19,'LV &amp; HV augex'!$D$9:$P$9,0))*INDEX('LV &amp; HV augex'!$D$28:$J$52,MATCH($B138,'LV &amp; HV augex'!$L$28:$L$52,0),MATCH($C138,'LV &amp; HV augex'!$D$27:$J$27,0)),0)*'Financial inputs'!$D$11</f>
        <v>19137.208881923245</v>
      </c>
      <c r="N138" s="40">
        <f>IFERROR(INDEX('LV &amp; HV augex'!$D$10:$P$18,MATCH($C138,'LV &amp; HV augex'!$C$10:$C$18,0),MATCH(N$19,'LV &amp; HV augex'!$D$9:$P$9,0))*INDEX('LV &amp; HV augex'!$D$28:$J$52,MATCH($B138,'LV &amp; HV augex'!$L$28:$L$52,0),MATCH($C138,'LV &amp; HV augex'!$D$27:$J$27,0)),0)*'Financial inputs'!$D$11</f>
        <v>19137.208881923245</v>
      </c>
      <c r="O138" s="40">
        <f>IFERROR(INDEX('LV &amp; HV augex'!$D$10:$P$18,MATCH($C138,'LV &amp; HV augex'!$C$10:$C$18,0),MATCH(O$19,'LV &amp; HV augex'!$D$9:$P$9,0))*INDEX('LV &amp; HV augex'!$D$28:$J$52,MATCH($B138,'LV &amp; HV augex'!$L$28:$L$52,0),MATCH($C138,'LV &amp; HV augex'!$D$27:$J$27,0)),0)*'Financial inputs'!$D$11</f>
        <v>19137.208881923245</v>
      </c>
      <c r="P138" s="40">
        <f>IFERROR(INDEX('LV &amp; HV augex'!$D$10:$P$18,MATCH($C138,'LV &amp; HV augex'!$C$10:$C$18,0),MATCH(P$19,'LV &amp; HV augex'!$D$9:$P$9,0))*INDEX('LV &amp; HV augex'!$D$28:$J$52,MATCH($B138,'LV &amp; HV augex'!$L$28:$L$52,0),MATCH($C138,'LV &amp; HV augex'!$D$27:$J$27,0)),0)*'Financial inputs'!$D$11</f>
        <v>19137.208881923245</v>
      </c>
    </row>
    <row r="139" spans="2:16" ht="15.5">
      <c r="B139" s="2" t="str">
        <f t="shared" si="7"/>
        <v>Pittwater &amp; Terrey Hills</v>
      </c>
      <c r="C139" s="35" t="str" cm="1">
        <f t="array" ref="C139">INDEX(augex_categories,COUNTIFS($B$20:$B139,$B$20))</f>
        <v>HV Reinforcement OH (New)</v>
      </c>
      <c r="D139" s="35" t="str">
        <f>IF(COUNTIF('LV &amp; HV augex'!$C$10:$C$13,C139), "LV", IF(COUNTIF('LV &amp; HV augex'!$C$15:$C$17, C139), "HV", "Error"))</f>
        <v>HV</v>
      </c>
      <c r="E139" s="35" t="str">
        <f>INDEX('Growing &amp; falling'!$D$14:$D$39,MATCH($B139,'Growing &amp; falling'!$B$14:$B$39,0))</f>
        <v>Decline</v>
      </c>
      <c r="F139" s="35" t="str">
        <f t="shared" si="6"/>
        <v>$2024 real</v>
      </c>
      <c r="G139" s="40">
        <f>IFERROR(INDEX('LV &amp; HV augex'!$D$10:$P$18,MATCH($C139,'LV &amp; HV augex'!$C$10:$C$18,0),MATCH(G$19,'LV &amp; HV augex'!$D$9:$P$9,0))*INDEX('LV &amp; HV augex'!$D$28:$J$52,MATCH($B139,'LV &amp; HV augex'!$L$28:$L$52,0),MATCH($C139,'LV &amp; HV augex'!$D$27:$J$27,0)),0)*'Financial inputs'!$D$11</f>
        <v>61234.596514302</v>
      </c>
      <c r="H139" s="40">
        <f>IFERROR(INDEX('LV &amp; HV augex'!$D$10:$P$18,MATCH($C139,'LV &amp; HV augex'!$C$10:$C$18,0),MATCH(H$19,'LV &amp; HV augex'!$D$9:$P$9,0))*INDEX('LV &amp; HV augex'!$D$28:$J$52,MATCH($B139,'LV &amp; HV augex'!$L$28:$L$52,0),MATCH($C139,'LV &amp; HV augex'!$D$27:$J$27,0)),0)*'Financial inputs'!$D$11</f>
        <v>60359.785952233033</v>
      </c>
      <c r="I139" s="40">
        <f>IFERROR(INDEX('LV &amp; HV augex'!$D$10:$P$18,MATCH($C139,'LV &amp; HV augex'!$C$10:$C$18,0),MATCH(I$19,'LV &amp; HV augex'!$D$9:$P$9,0))*INDEX('LV &amp; HV augex'!$D$28:$J$52,MATCH($B139,'LV &amp; HV augex'!$L$28:$L$52,0),MATCH($C139,'LV &amp; HV augex'!$D$27:$J$27,0)),0)*'Financial inputs'!$D$11</f>
        <v>61015.849231482134</v>
      </c>
      <c r="J139" s="40">
        <f>IFERROR(INDEX('LV &amp; HV augex'!$D$10:$P$18,MATCH($C139,'LV &amp; HV augex'!$C$10:$C$18,0),MATCH(J$19,'LV &amp; HV augex'!$D$9:$P$9,0))*INDEX('LV &amp; HV augex'!$D$28:$J$52,MATCH($B139,'LV &amp; HV augex'!$L$28:$L$52,0),MATCH($C139,'LV &amp; HV augex'!$D$27:$J$27,0)),0)*'Financial inputs'!$D$11</f>
        <v>61015.849231482134</v>
      </c>
      <c r="K139" s="40">
        <f>IFERROR(INDEX('LV &amp; HV augex'!$D$10:$P$18,MATCH($C139,'LV &amp; HV augex'!$C$10:$C$18,0),MATCH(K$19,'LV &amp; HV augex'!$D$9:$P$9,0))*INDEX('LV &amp; HV augex'!$D$28:$J$52,MATCH($B139,'LV &amp; HV augex'!$L$28:$L$52,0),MATCH($C139,'LV &amp; HV augex'!$D$27:$J$27,0)),0)*'Financial inputs'!$D$11</f>
        <v>61015.849231482134</v>
      </c>
      <c r="L139" s="40">
        <f>IFERROR(INDEX('LV &amp; HV augex'!$D$10:$P$18,MATCH($C139,'LV &amp; HV augex'!$C$10:$C$18,0),MATCH(L$19,'LV &amp; HV augex'!$D$9:$P$9,0))*INDEX('LV &amp; HV augex'!$D$28:$J$52,MATCH($B139,'LV &amp; HV augex'!$L$28:$L$52,0),MATCH($C139,'LV &amp; HV augex'!$D$27:$J$27,0)),0)*'Financial inputs'!$D$11</f>
        <v>61015.849231482134</v>
      </c>
      <c r="M139" s="40">
        <f>IFERROR(INDEX('LV &amp; HV augex'!$D$10:$P$18,MATCH($C139,'LV &amp; HV augex'!$C$10:$C$18,0),MATCH(M$19,'LV &amp; HV augex'!$D$9:$P$9,0))*INDEX('LV &amp; HV augex'!$D$28:$J$52,MATCH($B139,'LV &amp; HV augex'!$L$28:$L$52,0),MATCH($C139,'LV &amp; HV augex'!$D$27:$J$27,0)),0)*'Financial inputs'!$D$11</f>
        <v>61015.849231482134</v>
      </c>
      <c r="N139" s="40">
        <f>IFERROR(INDEX('LV &amp; HV augex'!$D$10:$P$18,MATCH($C139,'LV &amp; HV augex'!$C$10:$C$18,0),MATCH(N$19,'LV &amp; HV augex'!$D$9:$P$9,0))*INDEX('LV &amp; HV augex'!$D$28:$J$52,MATCH($B139,'LV &amp; HV augex'!$L$28:$L$52,0),MATCH($C139,'LV &amp; HV augex'!$D$27:$J$27,0)),0)*'Financial inputs'!$D$11</f>
        <v>61015.849231482134</v>
      </c>
      <c r="O139" s="40">
        <f>IFERROR(INDEX('LV &amp; HV augex'!$D$10:$P$18,MATCH($C139,'LV &amp; HV augex'!$C$10:$C$18,0),MATCH(O$19,'LV &amp; HV augex'!$D$9:$P$9,0))*INDEX('LV &amp; HV augex'!$D$28:$J$52,MATCH($B139,'LV &amp; HV augex'!$L$28:$L$52,0),MATCH($C139,'LV &amp; HV augex'!$D$27:$J$27,0)),0)*'Financial inputs'!$D$11</f>
        <v>61015.849231482134</v>
      </c>
      <c r="P139" s="40">
        <f>IFERROR(INDEX('LV &amp; HV augex'!$D$10:$P$18,MATCH($C139,'LV &amp; HV augex'!$C$10:$C$18,0),MATCH(P$19,'LV &amp; HV augex'!$D$9:$P$9,0))*INDEX('LV &amp; HV augex'!$D$28:$J$52,MATCH($B139,'LV &amp; HV augex'!$L$28:$L$52,0),MATCH($C139,'LV &amp; HV augex'!$D$27:$J$27,0)),0)*'Financial inputs'!$D$11</f>
        <v>61015.849231482134</v>
      </c>
    </row>
    <row r="140" spans="2:16" ht="15.5">
      <c r="B140" s="2" t="str">
        <f t="shared" si="7"/>
        <v>Port Stephens</v>
      </c>
      <c r="C140" s="35" t="str" cm="1">
        <f t="array" ref="C140">INDEX(augex_categories,COUNTIFS($B$20:$B140,$B$20))</f>
        <v>HV Reinforcement OH (New)</v>
      </c>
      <c r="D140" s="35" t="str">
        <f>IF(COUNTIF('LV &amp; HV augex'!$C$10:$C$13,C140), "LV", IF(COUNTIF('LV &amp; HV augex'!$C$15:$C$17, C140), "HV", "Error"))</f>
        <v>HV</v>
      </c>
      <c r="E140" s="35" t="str">
        <f>INDEX('Growing &amp; falling'!$D$14:$D$39,MATCH($B140,'Growing &amp; falling'!$B$14:$B$39,0))</f>
        <v>Decline</v>
      </c>
      <c r="F140" s="35" t="str">
        <f t="shared" si="6"/>
        <v>$2024 real</v>
      </c>
      <c r="G140" s="40">
        <f>IFERROR(INDEX('LV &amp; HV augex'!$D$10:$P$18,MATCH($C140,'LV &amp; HV augex'!$C$10:$C$18,0),MATCH(G$19,'LV &amp; HV augex'!$D$9:$P$9,0))*INDEX('LV &amp; HV augex'!$D$28:$J$52,MATCH($B140,'LV &amp; HV augex'!$L$28:$L$52,0),MATCH($C140,'LV &amp; HV augex'!$D$27:$J$27,0)),0)*'Financial inputs'!$D$11</f>
        <v>29574.235345711833</v>
      </c>
      <c r="H140" s="40">
        <f>IFERROR(INDEX('LV &amp; HV augex'!$D$10:$P$18,MATCH($C140,'LV &amp; HV augex'!$C$10:$C$18,0),MATCH(H$19,'LV &amp; HV augex'!$D$9:$P$9,0))*INDEX('LV &amp; HV augex'!$D$28:$J$52,MATCH($B140,'LV &amp; HV augex'!$L$28:$L$52,0),MATCH($C140,'LV &amp; HV augex'!$D$27:$J$27,0)),0)*'Financial inputs'!$D$11</f>
        <v>29151.731484851098</v>
      </c>
      <c r="I140" s="40">
        <f>IFERROR(INDEX('LV &amp; HV augex'!$D$10:$P$18,MATCH($C140,'LV &amp; HV augex'!$C$10:$C$18,0),MATCH(I$19,'LV &amp; HV augex'!$D$9:$P$9,0))*INDEX('LV &amp; HV augex'!$D$28:$J$52,MATCH($B140,'LV &amp; HV augex'!$L$28:$L$52,0),MATCH($C140,'LV &amp; HV augex'!$D$27:$J$27,0)),0)*'Financial inputs'!$D$11</f>
        <v>29468.587819777069</v>
      </c>
      <c r="J140" s="40">
        <f>IFERROR(INDEX('LV &amp; HV augex'!$D$10:$P$18,MATCH($C140,'LV &amp; HV augex'!$C$10:$C$18,0),MATCH(J$19,'LV &amp; HV augex'!$D$9:$P$9,0))*INDEX('LV &amp; HV augex'!$D$28:$J$52,MATCH($B140,'LV &amp; HV augex'!$L$28:$L$52,0),MATCH($C140,'LV &amp; HV augex'!$D$27:$J$27,0)),0)*'Financial inputs'!$D$11</f>
        <v>29468.587819777069</v>
      </c>
      <c r="K140" s="40">
        <f>IFERROR(INDEX('LV &amp; HV augex'!$D$10:$P$18,MATCH($C140,'LV &amp; HV augex'!$C$10:$C$18,0),MATCH(K$19,'LV &amp; HV augex'!$D$9:$P$9,0))*INDEX('LV &amp; HV augex'!$D$28:$J$52,MATCH($B140,'LV &amp; HV augex'!$L$28:$L$52,0),MATCH($C140,'LV &amp; HV augex'!$D$27:$J$27,0)),0)*'Financial inputs'!$D$11</f>
        <v>29468.587819777069</v>
      </c>
      <c r="L140" s="40">
        <f>IFERROR(INDEX('LV &amp; HV augex'!$D$10:$P$18,MATCH($C140,'LV &amp; HV augex'!$C$10:$C$18,0),MATCH(L$19,'LV &amp; HV augex'!$D$9:$P$9,0))*INDEX('LV &amp; HV augex'!$D$28:$J$52,MATCH($B140,'LV &amp; HV augex'!$L$28:$L$52,0),MATCH($C140,'LV &amp; HV augex'!$D$27:$J$27,0)),0)*'Financial inputs'!$D$11</f>
        <v>29468.587819777069</v>
      </c>
      <c r="M140" s="40">
        <f>IFERROR(INDEX('LV &amp; HV augex'!$D$10:$P$18,MATCH($C140,'LV &amp; HV augex'!$C$10:$C$18,0),MATCH(M$19,'LV &amp; HV augex'!$D$9:$P$9,0))*INDEX('LV &amp; HV augex'!$D$28:$J$52,MATCH($B140,'LV &amp; HV augex'!$L$28:$L$52,0),MATCH($C140,'LV &amp; HV augex'!$D$27:$J$27,0)),0)*'Financial inputs'!$D$11</f>
        <v>29468.587819777069</v>
      </c>
      <c r="N140" s="40">
        <f>IFERROR(INDEX('LV &amp; HV augex'!$D$10:$P$18,MATCH($C140,'LV &amp; HV augex'!$C$10:$C$18,0),MATCH(N$19,'LV &amp; HV augex'!$D$9:$P$9,0))*INDEX('LV &amp; HV augex'!$D$28:$J$52,MATCH($B140,'LV &amp; HV augex'!$L$28:$L$52,0),MATCH($C140,'LV &amp; HV augex'!$D$27:$J$27,0)),0)*'Financial inputs'!$D$11</f>
        <v>29468.587819777069</v>
      </c>
      <c r="O140" s="40">
        <f>IFERROR(INDEX('LV &amp; HV augex'!$D$10:$P$18,MATCH($C140,'LV &amp; HV augex'!$C$10:$C$18,0),MATCH(O$19,'LV &amp; HV augex'!$D$9:$P$9,0))*INDEX('LV &amp; HV augex'!$D$28:$J$52,MATCH($B140,'LV &amp; HV augex'!$L$28:$L$52,0),MATCH($C140,'LV &amp; HV augex'!$D$27:$J$27,0)),0)*'Financial inputs'!$D$11</f>
        <v>29468.587819777069</v>
      </c>
      <c r="P140" s="40">
        <f>IFERROR(INDEX('LV &amp; HV augex'!$D$10:$P$18,MATCH($C140,'LV &amp; HV augex'!$C$10:$C$18,0),MATCH(P$19,'LV &amp; HV augex'!$D$9:$P$9,0))*INDEX('LV &amp; HV augex'!$D$28:$J$52,MATCH($B140,'LV &amp; HV augex'!$L$28:$L$52,0),MATCH($C140,'LV &amp; HV augex'!$D$27:$J$27,0)),0)*'Financial inputs'!$D$11</f>
        <v>29468.587819777069</v>
      </c>
    </row>
    <row r="141" spans="2:16" ht="15.5">
      <c r="B141" s="2" t="str">
        <f t="shared" si="7"/>
        <v>Singleton</v>
      </c>
      <c r="C141" s="35" t="str" cm="1">
        <f t="array" ref="C141">INDEX(augex_categories,COUNTIFS($B$20:$B141,$B$20))</f>
        <v>HV Reinforcement OH (New)</v>
      </c>
      <c r="D141" s="35" t="str">
        <f>IF(COUNTIF('LV &amp; HV augex'!$C$10:$C$13,C141), "LV", IF(COUNTIF('LV &amp; HV augex'!$C$15:$C$17, C141), "HV", "Error"))</f>
        <v>HV</v>
      </c>
      <c r="E141" s="35" t="str">
        <f>INDEX('Growing &amp; falling'!$D$14:$D$39,MATCH($B141,'Growing &amp; falling'!$B$14:$B$39,0))</f>
        <v>Decline</v>
      </c>
      <c r="F141" s="35" t="str">
        <f t="shared" si="6"/>
        <v>$2024 real</v>
      </c>
      <c r="G141" s="40">
        <f>IFERROR(INDEX('LV &amp; HV augex'!$D$10:$P$18,MATCH($C141,'LV &amp; HV augex'!$C$10:$C$18,0),MATCH(G$19,'LV &amp; HV augex'!$D$9:$P$9,0))*INDEX('LV &amp; HV augex'!$D$28:$J$52,MATCH($B141,'LV &amp; HV augex'!$L$28:$L$52,0),MATCH($C141,'LV &amp; HV augex'!$D$27:$J$27,0)),0)*'Financial inputs'!$D$11</f>
        <v>51621.571682252834</v>
      </c>
      <c r="H141" s="40">
        <f>IFERROR(INDEX('LV &amp; HV augex'!$D$10:$P$18,MATCH($C141,'LV &amp; HV augex'!$C$10:$C$18,0),MATCH(H$19,'LV &amp; HV augex'!$D$9:$P$9,0))*INDEX('LV &amp; HV augex'!$D$28:$J$52,MATCH($B141,'LV &amp; HV augex'!$L$28:$L$52,0),MATCH($C141,'LV &amp; HV augex'!$D$27:$J$27,0)),0)*'Financial inputs'!$D$11</f>
        <v>50884.094852015412</v>
      </c>
      <c r="I141" s="40">
        <f>IFERROR(INDEX('LV &amp; HV augex'!$D$10:$P$18,MATCH($C141,'LV &amp; HV augex'!$C$10:$C$18,0),MATCH(I$19,'LV &amp; HV augex'!$D$9:$P$9,0))*INDEX('LV &amp; HV augex'!$D$28:$J$52,MATCH($B141,'LV &amp; HV augex'!$L$28:$L$52,0),MATCH($C141,'LV &amp; HV augex'!$D$27:$J$27,0)),0)*'Financial inputs'!$D$11</f>
        <v>51437.164840644175</v>
      </c>
      <c r="J141" s="40">
        <f>IFERROR(INDEX('LV &amp; HV augex'!$D$10:$P$18,MATCH($C141,'LV &amp; HV augex'!$C$10:$C$18,0),MATCH(J$19,'LV &amp; HV augex'!$D$9:$P$9,0))*INDEX('LV &amp; HV augex'!$D$28:$J$52,MATCH($B141,'LV &amp; HV augex'!$L$28:$L$52,0),MATCH($C141,'LV &amp; HV augex'!$D$27:$J$27,0)),0)*'Financial inputs'!$D$11</f>
        <v>51437.164840644175</v>
      </c>
      <c r="K141" s="40">
        <f>IFERROR(INDEX('LV &amp; HV augex'!$D$10:$P$18,MATCH($C141,'LV &amp; HV augex'!$C$10:$C$18,0),MATCH(K$19,'LV &amp; HV augex'!$D$9:$P$9,0))*INDEX('LV &amp; HV augex'!$D$28:$J$52,MATCH($B141,'LV &amp; HV augex'!$L$28:$L$52,0),MATCH($C141,'LV &amp; HV augex'!$D$27:$J$27,0)),0)*'Financial inputs'!$D$11</f>
        <v>51437.164840644175</v>
      </c>
      <c r="L141" s="40">
        <f>IFERROR(INDEX('LV &amp; HV augex'!$D$10:$P$18,MATCH($C141,'LV &amp; HV augex'!$C$10:$C$18,0),MATCH(L$19,'LV &amp; HV augex'!$D$9:$P$9,0))*INDEX('LV &amp; HV augex'!$D$28:$J$52,MATCH($B141,'LV &amp; HV augex'!$L$28:$L$52,0),MATCH($C141,'LV &amp; HV augex'!$D$27:$J$27,0)),0)*'Financial inputs'!$D$11</f>
        <v>51437.164840644175</v>
      </c>
      <c r="M141" s="40">
        <f>IFERROR(INDEX('LV &amp; HV augex'!$D$10:$P$18,MATCH($C141,'LV &amp; HV augex'!$C$10:$C$18,0),MATCH(M$19,'LV &amp; HV augex'!$D$9:$P$9,0))*INDEX('LV &amp; HV augex'!$D$28:$J$52,MATCH($B141,'LV &amp; HV augex'!$L$28:$L$52,0),MATCH($C141,'LV &amp; HV augex'!$D$27:$J$27,0)),0)*'Financial inputs'!$D$11</f>
        <v>51437.164840644175</v>
      </c>
      <c r="N141" s="40">
        <f>IFERROR(INDEX('LV &amp; HV augex'!$D$10:$P$18,MATCH($C141,'LV &amp; HV augex'!$C$10:$C$18,0),MATCH(N$19,'LV &amp; HV augex'!$D$9:$P$9,0))*INDEX('LV &amp; HV augex'!$D$28:$J$52,MATCH($B141,'LV &amp; HV augex'!$L$28:$L$52,0),MATCH($C141,'LV &amp; HV augex'!$D$27:$J$27,0)),0)*'Financial inputs'!$D$11</f>
        <v>51437.164840644175</v>
      </c>
      <c r="O141" s="40">
        <f>IFERROR(INDEX('LV &amp; HV augex'!$D$10:$P$18,MATCH($C141,'LV &amp; HV augex'!$C$10:$C$18,0),MATCH(O$19,'LV &amp; HV augex'!$D$9:$P$9,0))*INDEX('LV &amp; HV augex'!$D$28:$J$52,MATCH($B141,'LV &amp; HV augex'!$L$28:$L$52,0),MATCH($C141,'LV &amp; HV augex'!$D$27:$J$27,0)),0)*'Financial inputs'!$D$11</f>
        <v>51437.164840644175</v>
      </c>
      <c r="P141" s="40">
        <f>IFERROR(INDEX('LV &amp; HV augex'!$D$10:$P$18,MATCH($C141,'LV &amp; HV augex'!$C$10:$C$18,0),MATCH(P$19,'LV &amp; HV augex'!$D$9:$P$9,0))*INDEX('LV &amp; HV augex'!$D$28:$J$52,MATCH($B141,'LV &amp; HV augex'!$L$28:$L$52,0),MATCH($C141,'LV &amp; HV augex'!$D$27:$J$27,0)),0)*'Financial inputs'!$D$11</f>
        <v>51437.164840644175</v>
      </c>
    </row>
    <row r="142" spans="2:16" ht="15.5">
      <c r="B142" s="2" t="str">
        <f t="shared" si="7"/>
        <v>St George</v>
      </c>
      <c r="C142" s="35" t="str" cm="1">
        <f t="array" ref="C142">INDEX(augex_categories,COUNTIFS($B$20:$B142,$B$20))</f>
        <v>HV Reinforcement OH (New)</v>
      </c>
      <c r="D142" s="35" t="str">
        <f>IF(COUNTIF('LV &amp; HV augex'!$C$10:$C$13,C142), "LV", IF(COUNTIF('LV &amp; HV augex'!$C$15:$C$17, C142), "HV", "Error"))</f>
        <v>HV</v>
      </c>
      <c r="E142" s="35" t="str">
        <f>INDEX('Growing &amp; falling'!$D$14:$D$39,MATCH($B142,'Growing &amp; falling'!$B$14:$B$39,0))</f>
        <v>Decline</v>
      </c>
      <c r="F142" s="35" t="str">
        <f t="shared" si="6"/>
        <v>$2024 real</v>
      </c>
      <c r="G142" s="40">
        <f>IFERROR(INDEX('LV &amp; HV augex'!$D$10:$P$18,MATCH($C142,'LV &amp; HV augex'!$C$10:$C$18,0),MATCH(G$19,'LV &amp; HV augex'!$D$9:$P$9,0))*INDEX('LV &amp; HV augex'!$D$28:$J$52,MATCH($B142,'LV &amp; HV augex'!$L$28:$L$52,0),MATCH($C142,'LV &amp; HV augex'!$D$27:$J$27,0)),0)*'Financial inputs'!$D$11</f>
        <v>0</v>
      </c>
      <c r="H142" s="40">
        <f>IFERROR(INDEX('LV &amp; HV augex'!$D$10:$P$18,MATCH($C142,'LV &amp; HV augex'!$C$10:$C$18,0),MATCH(H$19,'LV &amp; HV augex'!$D$9:$P$9,0))*INDEX('LV &amp; HV augex'!$D$28:$J$52,MATCH($B142,'LV &amp; HV augex'!$L$28:$L$52,0),MATCH($C142,'LV &amp; HV augex'!$D$27:$J$27,0)),0)*'Financial inputs'!$D$11</f>
        <v>0</v>
      </c>
      <c r="I142" s="40">
        <f>IFERROR(INDEX('LV &amp; HV augex'!$D$10:$P$18,MATCH($C142,'LV &amp; HV augex'!$C$10:$C$18,0),MATCH(I$19,'LV &amp; HV augex'!$D$9:$P$9,0))*INDEX('LV &amp; HV augex'!$D$28:$J$52,MATCH($B142,'LV &amp; HV augex'!$L$28:$L$52,0),MATCH($C142,'LV &amp; HV augex'!$D$27:$J$27,0)),0)*'Financial inputs'!$D$11</f>
        <v>0</v>
      </c>
      <c r="J142" s="40">
        <f>IFERROR(INDEX('LV &amp; HV augex'!$D$10:$P$18,MATCH($C142,'LV &amp; HV augex'!$C$10:$C$18,0),MATCH(J$19,'LV &amp; HV augex'!$D$9:$P$9,0))*INDEX('LV &amp; HV augex'!$D$28:$J$52,MATCH($B142,'LV &amp; HV augex'!$L$28:$L$52,0),MATCH($C142,'LV &amp; HV augex'!$D$27:$J$27,0)),0)*'Financial inputs'!$D$11</f>
        <v>0</v>
      </c>
      <c r="K142" s="40">
        <f>IFERROR(INDEX('LV &amp; HV augex'!$D$10:$P$18,MATCH($C142,'LV &amp; HV augex'!$C$10:$C$18,0),MATCH(K$19,'LV &amp; HV augex'!$D$9:$P$9,0))*INDEX('LV &amp; HV augex'!$D$28:$J$52,MATCH($B142,'LV &amp; HV augex'!$L$28:$L$52,0),MATCH($C142,'LV &amp; HV augex'!$D$27:$J$27,0)),0)*'Financial inputs'!$D$11</f>
        <v>0</v>
      </c>
      <c r="L142" s="40">
        <f>IFERROR(INDEX('LV &amp; HV augex'!$D$10:$P$18,MATCH($C142,'LV &amp; HV augex'!$C$10:$C$18,0),MATCH(L$19,'LV &amp; HV augex'!$D$9:$P$9,0))*INDEX('LV &amp; HV augex'!$D$28:$J$52,MATCH($B142,'LV &amp; HV augex'!$L$28:$L$52,0),MATCH($C142,'LV &amp; HV augex'!$D$27:$J$27,0)),0)*'Financial inputs'!$D$11</f>
        <v>0</v>
      </c>
      <c r="M142" s="40">
        <f>IFERROR(INDEX('LV &amp; HV augex'!$D$10:$P$18,MATCH($C142,'LV &amp; HV augex'!$C$10:$C$18,0),MATCH(M$19,'LV &amp; HV augex'!$D$9:$P$9,0))*INDEX('LV &amp; HV augex'!$D$28:$J$52,MATCH($B142,'LV &amp; HV augex'!$L$28:$L$52,0),MATCH($C142,'LV &amp; HV augex'!$D$27:$J$27,0)),0)*'Financial inputs'!$D$11</f>
        <v>0</v>
      </c>
      <c r="N142" s="40">
        <f>IFERROR(INDEX('LV &amp; HV augex'!$D$10:$P$18,MATCH($C142,'LV &amp; HV augex'!$C$10:$C$18,0),MATCH(N$19,'LV &amp; HV augex'!$D$9:$P$9,0))*INDEX('LV &amp; HV augex'!$D$28:$J$52,MATCH($B142,'LV &amp; HV augex'!$L$28:$L$52,0),MATCH($C142,'LV &amp; HV augex'!$D$27:$J$27,0)),0)*'Financial inputs'!$D$11</f>
        <v>0</v>
      </c>
      <c r="O142" s="40">
        <f>IFERROR(INDEX('LV &amp; HV augex'!$D$10:$P$18,MATCH($C142,'LV &amp; HV augex'!$C$10:$C$18,0),MATCH(O$19,'LV &amp; HV augex'!$D$9:$P$9,0))*INDEX('LV &amp; HV augex'!$D$28:$J$52,MATCH($B142,'LV &amp; HV augex'!$L$28:$L$52,0),MATCH($C142,'LV &amp; HV augex'!$D$27:$J$27,0)),0)*'Financial inputs'!$D$11</f>
        <v>0</v>
      </c>
      <c r="P142" s="40">
        <f>IFERROR(INDEX('LV &amp; HV augex'!$D$10:$P$18,MATCH($C142,'LV &amp; HV augex'!$C$10:$C$18,0),MATCH(P$19,'LV &amp; HV augex'!$D$9:$P$9,0))*INDEX('LV &amp; HV augex'!$D$28:$J$52,MATCH($B142,'LV &amp; HV augex'!$L$28:$L$52,0),MATCH($C142,'LV &amp; HV augex'!$D$27:$J$27,0)),0)*'Financial inputs'!$D$11</f>
        <v>0</v>
      </c>
    </row>
    <row r="143" spans="2:16" ht="15.5">
      <c r="B143" s="2" t="str">
        <f t="shared" si="7"/>
        <v>Sutherland</v>
      </c>
      <c r="C143" s="35" t="str" cm="1">
        <f t="array" ref="C143">INDEX(augex_categories,COUNTIFS($B$20:$B143,$B$20))</f>
        <v>HV Reinforcement OH (New)</v>
      </c>
      <c r="D143" s="35" t="str">
        <f>IF(COUNTIF('LV &amp; HV augex'!$C$10:$C$13,C143), "LV", IF(COUNTIF('LV &amp; HV augex'!$C$15:$C$17, C143), "HV", "Error"))</f>
        <v>HV</v>
      </c>
      <c r="E143" s="35" t="str">
        <f>INDEX('Growing &amp; falling'!$D$14:$D$39,MATCH($B143,'Growing &amp; falling'!$B$14:$B$39,0))</f>
        <v>Decline</v>
      </c>
      <c r="F143" s="35" t="str">
        <f t="shared" si="6"/>
        <v>$2024 real</v>
      </c>
      <c r="G143" s="40">
        <f>IFERROR(INDEX('LV &amp; HV augex'!$D$10:$P$18,MATCH($C143,'LV &amp; HV augex'!$C$10:$C$18,0),MATCH(G$19,'LV &amp; HV augex'!$D$9:$P$9,0))*INDEX('LV &amp; HV augex'!$D$28:$J$52,MATCH($B143,'LV &amp; HV augex'!$L$28:$L$52,0),MATCH($C143,'LV &amp; HV augex'!$D$27:$J$27,0)),0)*'Financial inputs'!$D$11</f>
        <v>3151.0834742786055</v>
      </c>
      <c r="H143" s="40">
        <f>IFERROR(INDEX('LV &amp; HV augex'!$D$10:$P$18,MATCH($C143,'LV &amp; HV augex'!$C$10:$C$18,0),MATCH(H$19,'LV &amp; HV augex'!$D$9:$P$9,0))*INDEX('LV &amp; HV augex'!$D$28:$J$52,MATCH($B143,'LV &amp; HV augex'!$L$28:$L$52,0),MATCH($C143,'LV &amp; HV augex'!$D$27:$J$27,0)),0)*'Financial inputs'!$D$11</f>
        <v>3106.0664208124967</v>
      </c>
      <c r="I143" s="40">
        <f>IFERROR(INDEX('LV &amp; HV augex'!$D$10:$P$18,MATCH($C143,'LV &amp; HV augex'!$C$10:$C$18,0),MATCH(I$19,'LV &amp; HV augex'!$D$9:$P$9,0))*INDEX('LV &amp; HV augex'!$D$28:$J$52,MATCH($B143,'LV &amp; HV augex'!$L$28:$L$52,0),MATCH($C143,'LV &amp; HV augex'!$D$27:$J$27,0)),0)*'Financial inputs'!$D$11</f>
        <v>3139.8269136548079</v>
      </c>
      <c r="J143" s="40">
        <f>IFERROR(INDEX('LV &amp; HV augex'!$D$10:$P$18,MATCH($C143,'LV &amp; HV augex'!$C$10:$C$18,0),MATCH(J$19,'LV &amp; HV augex'!$D$9:$P$9,0))*INDEX('LV &amp; HV augex'!$D$28:$J$52,MATCH($B143,'LV &amp; HV augex'!$L$28:$L$52,0),MATCH($C143,'LV &amp; HV augex'!$D$27:$J$27,0)),0)*'Financial inputs'!$D$11</f>
        <v>3139.8269136548079</v>
      </c>
      <c r="K143" s="40">
        <f>IFERROR(INDEX('LV &amp; HV augex'!$D$10:$P$18,MATCH($C143,'LV &amp; HV augex'!$C$10:$C$18,0),MATCH(K$19,'LV &amp; HV augex'!$D$9:$P$9,0))*INDEX('LV &amp; HV augex'!$D$28:$J$52,MATCH($B143,'LV &amp; HV augex'!$L$28:$L$52,0),MATCH($C143,'LV &amp; HV augex'!$D$27:$J$27,0)),0)*'Financial inputs'!$D$11</f>
        <v>3139.8269136548079</v>
      </c>
      <c r="L143" s="40">
        <f>IFERROR(INDEX('LV &amp; HV augex'!$D$10:$P$18,MATCH($C143,'LV &amp; HV augex'!$C$10:$C$18,0),MATCH(L$19,'LV &amp; HV augex'!$D$9:$P$9,0))*INDEX('LV &amp; HV augex'!$D$28:$J$52,MATCH($B143,'LV &amp; HV augex'!$L$28:$L$52,0),MATCH($C143,'LV &amp; HV augex'!$D$27:$J$27,0)),0)*'Financial inputs'!$D$11</f>
        <v>3139.8269136548079</v>
      </c>
      <c r="M143" s="40">
        <f>IFERROR(INDEX('LV &amp; HV augex'!$D$10:$P$18,MATCH($C143,'LV &amp; HV augex'!$C$10:$C$18,0),MATCH(M$19,'LV &amp; HV augex'!$D$9:$P$9,0))*INDEX('LV &amp; HV augex'!$D$28:$J$52,MATCH($B143,'LV &amp; HV augex'!$L$28:$L$52,0),MATCH($C143,'LV &amp; HV augex'!$D$27:$J$27,0)),0)*'Financial inputs'!$D$11</f>
        <v>3139.8269136548079</v>
      </c>
      <c r="N143" s="40">
        <f>IFERROR(INDEX('LV &amp; HV augex'!$D$10:$P$18,MATCH($C143,'LV &amp; HV augex'!$C$10:$C$18,0),MATCH(N$19,'LV &amp; HV augex'!$D$9:$P$9,0))*INDEX('LV &amp; HV augex'!$D$28:$J$52,MATCH($B143,'LV &amp; HV augex'!$L$28:$L$52,0),MATCH($C143,'LV &amp; HV augex'!$D$27:$J$27,0)),0)*'Financial inputs'!$D$11</f>
        <v>3139.8269136548079</v>
      </c>
      <c r="O143" s="40">
        <f>IFERROR(INDEX('LV &amp; HV augex'!$D$10:$P$18,MATCH($C143,'LV &amp; HV augex'!$C$10:$C$18,0),MATCH(O$19,'LV &amp; HV augex'!$D$9:$P$9,0))*INDEX('LV &amp; HV augex'!$D$28:$J$52,MATCH($B143,'LV &amp; HV augex'!$L$28:$L$52,0),MATCH($C143,'LV &amp; HV augex'!$D$27:$J$27,0)),0)*'Financial inputs'!$D$11</f>
        <v>3139.8269136548079</v>
      </c>
      <c r="P143" s="40">
        <f>IFERROR(INDEX('LV &amp; HV augex'!$D$10:$P$18,MATCH($C143,'LV &amp; HV augex'!$C$10:$C$18,0),MATCH(P$19,'LV &amp; HV augex'!$D$9:$P$9,0))*INDEX('LV &amp; HV augex'!$D$28:$J$52,MATCH($B143,'LV &amp; HV augex'!$L$28:$L$52,0),MATCH($C143,'LV &amp; HV augex'!$D$27:$J$27,0)),0)*'Financial inputs'!$D$11</f>
        <v>3139.8269136548079</v>
      </c>
    </row>
    <row r="144" spans="2:16" ht="15.5">
      <c r="B144" s="2" t="str">
        <f t="shared" si="7"/>
        <v>Sydney CBD</v>
      </c>
      <c r="C144" s="35" t="str" cm="1">
        <f t="array" ref="C144">INDEX(augex_categories,COUNTIFS($B$20:$B144,$B$20))</f>
        <v>HV Reinforcement OH (New)</v>
      </c>
      <c r="D144" s="35" t="str">
        <f>IF(COUNTIF('LV &amp; HV augex'!$C$10:$C$13,C144), "LV", IF(COUNTIF('LV &amp; HV augex'!$C$15:$C$17, C144), "HV", "Error"))</f>
        <v>HV</v>
      </c>
      <c r="E144" s="35" t="str">
        <f>INDEX('Growing &amp; falling'!$D$14:$D$39,MATCH($B144,'Growing &amp; falling'!$B$14:$B$39,0))</f>
        <v>Growth</v>
      </c>
      <c r="F144" s="35" t="str">
        <f t="shared" si="6"/>
        <v>$2024 real</v>
      </c>
      <c r="G144" s="40">
        <f>IFERROR(INDEX('LV &amp; HV augex'!$D$10:$P$18,MATCH($C144,'LV &amp; HV augex'!$C$10:$C$18,0),MATCH(G$19,'LV &amp; HV augex'!$D$9:$P$9,0))*INDEX('LV &amp; HV augex'!$D$28:$J$52,MATCH($B144,'LV &amp; HV augex'!$L$28:$L$52,0),MATCH($C144,'LV &amp; HV augex'!$D$27:$J$27,0)),0)*'Financial inputs'!$D$11</f>
        <v>3868.9981955692401</v>
      </c>
      <c r="H144" s="40">
        <f>IFERROR(INDEX('LV &amp; HV augex'!$D$10:$P$18,MATCH($C144,'LV &amp; HV augex'!$C$10:$C$18,0),MATCH(H$19,'LV &amp; HV augex'!$D$9:$P$9,0))*INDEX('LV &amp; HV augex'!$D$28:$J$52,MATCH($B144,'LV &amp; HV augex'!$L$28:$L$52,0),MATCH($C144,'LV &amp; HV augex'!$D$27:$J$27,0)),0)*'Financial inputs'!$D$11</f>
        <v>3813.7248586196083</v>
      </c>
      <c r="I144" s="40">
        <f>IFERROR(INDEX('LV &amp; HV augex'!$D$10:$P$18,MATCH($C144,'LV &amp; HV augex'!$C$10:$C$18,0),MATCH(I$19,'LV &amp; HV augex'!$D$9:$P$9,0))*INDEX('LV &amp; HV augex'!$D$28:$J$52,MATCH($B144,'LV &amp; HV augex'!$L$28:$L$52,0),MATCH($C144,'LV &amp; HV augex'!$D$27:$J$27,0)),0)*'Financial inputs'!$D$11</f>
        <v>3855.1770406879791</v>
      </c>
      <c r="J144" s="40">
        <f>IFERROR(INDEX('LV &amp; HV augex'!$D$10:$P$18,MATCH($C144,'LV &amp; HV augex'!$C$10:$C$18,0),MATCH(J$19,'LV &amp; HV augex'!$D$9:$P$9,0))*INDEX('LV &amp; HV augex'!$D$28:$J$52,MATCH($B144,'LV &amp; HV augex'!$L$28:$L$52,0),MATCH($C144,'LV &amp; HV augex'!$D$27:$J$27,0)),0)*'Financial inputs'!$D$11</f>
        <v>3855.1770406879791</v>
      </c>
      <c r="K144" s="40">
        <f>IFERROR(INDEX('LV &amp; HV augex'!$D$10:$P$18,MATCH($C144,'LV &amp; HV augex'!$C$10:$C$18,0),MATCH(K$19,'LV &amp; HV augex'!$D$9:$P$9,0))*INDEX('LV &amp; HV augex'!$D$28:$J$52,MATCH($B144,'LV &amp; HV augex'!$L$28:$L$52,0),MATCH($C144,'LV &amp; HV augex'!$D$27:$J$27,0)),0)*'Financial inputs'!$D$11</f>
        <v>3855.1770406879791</v>
      </c>
      <c r="L144" s="40">
        <f>IFERROR(INDEX('LV &amp; HV augex'!$D$10:$P$18,MATCH($C144,'LV &amp; HV augex'!$C$10:$C$18,0),MATCH(L$19,'LV &amp; HV augex'!$D$9:$P$9,0))*INDEX('LV &amp; HV augex'!$D$28:$J$52,MATCH($B144,'LV &amp; HV augex'!$L$28:$L$52,0),MATCH($C144,'LV &amp; HV augex'!$D$27:$J$27,0)),0)*'Financial inputs'!$D$11</f>
        <v>3855.1770406879791</v>
      </c>
      <c r="M144" s="40">
        <f>IFERROR(INDEX('LV &amp; HV augex'!$D$10:$P$18,MATCH($C144,'LV &amp; HV augex'!$C$10:$C$18,0),MATCH(M$19,'LV &amp; HV augex'!$D$9:$P$9,0))*INDEX('LV &amp; HV augex'!$D$28:$J$52,MATCH($B144,'LV &amp; HV augex'!$L$28:$L$52,0),MATCH($C144,'LV &amp; HV augex'!$D$27:$J$27,0)),0)*'Financial inputs'!$D$11</f>
        <v>3855.1770406879791</v>
      </c>
      <c r="N144" s="40">
        <f>IFERROR(INDEX('LV &amp; HV augex'!$D$10:$P$18,MATCH($C144,'LV &amp; HV augex'!$C$10:$C$18,0),MATCH(N$19,'LV &amp; HV augex'!$D$9:$P$9,0))*INDEX('LV &amp; HV augex'!$D$28:$J$52,MATCH($B144,'LV &amp; HV augex'!$L$28:$L$52,0),MATCH($C144,'LV &amp; HV augex'!$D$27:$J$27,0)),0)*'Financial inputs'!$D$11</f>
        <v>3855.1770406879791</v>
      </c>
      <c r="O144" s="40">
        <f>IFERROR(INDEX('LV &amp; HV augex'!$D$10:$P$18,MATCH($C144,'LV &amp; HV augex'!$C$10:$C$18,0),MATCH(O$19,'LV &amp; HV augex'!$D$9:$P$9,0))*INDEX('LV &amp; HV augex'!$D$28:$J$52,MATCH($B144,'LV &amp; HV augex'!$L$28:$L$52,0),MATCH($C144,'LV &amp; HV augex'!$D$27:$J$27,0)),0)*'Financial inputs'!$D$11</f>
        <v>3855.1770406879791</v>
      </c>
      <c r="P144" s="40">
        <f>IFERROR(INDEX('LV &amp; HV augex'!$D$10:$P$18,MATCH($C144,'LV &amp; HV augex'!$C$10:$C$18,0),MATCH(P$19,'LV &amp; HV augex'!$D$9:$P$9,0))*INDEX('LV &amp; HV augex'!$D$28:$J$52,MATCH($B144,'LV &amp; HV augex'!$L$28:$L$52,0),MATCH($C144,'LV &amp; HV augex'!$D$27:$J$27,0)),0)*'Financial inputs'!$D$11</f>
        <v>3855.1770406879791</v>
      </c>
    </row>
    <row r="145" spans="2:16" ht="15.5">
      <c r="B145" s="2" t="str">
        <f t="shared" si="7"/>
        <v>Upper Central Coast</v>
      </c>
      <c r="C145" s="35" t="str" cm="1">
        <f t="array" ref="C145">INDEX(augex_categories,COUNTIFS($B$20:$B145,$B$20))</f>
        <v>HV Reinforcement OH (New)</v>
      </c>
      <c r="D145" s="35" t="str">
        <f>IF(COUNTIF('LV &amp; HV augex'!$C$10:$C$13,C145), "LV", IF(COUNTIF('LV &amp; HV augex'!$C$15:$C$17, C145), "HV", "Error"))</f>
        <v>HV</v>
      </c>
      <c r="E145" s="35" t="str">
        <f>INDEX('Growing &amp; falling'!$D$14:$D$39,MATCH($B145,'Growing &amp; falling'!$B$14:$B$39,0))</f>
        <v>Growth</v>
      </c>
      <c r="F145" s="35" t="str">
        <f t="shared" si="6"/>
        <v>$2024 real</v>
      </c>
      <c r="G145" s="40">
        <f>IFERROR(INDEX('LV &amp; HV augex'!$D$10:$P$18,MATCH($C145,'LV &amp; HV augex'!$C$10:$C$18,0),MATCH(G$19,'LV &amp; HV augex'!$D$9:$P$9,0))*INDEX('LV &amp; HV augex'!$D$28:$J$52,MATCH($B145,'LV &amp; HV augex'!$L$28:$L$52,0),MATCH($C145,'LV &amp; HV augex'!$D$27:$J$27,0)),0)*'Financial inputs'!$D$11</f>
        <v>27051.535456894369</v>
      </c>
      <c r="H145" s="40">
        <f>IFERROR(INDEX('LV &amp; HV augex'!$D$10:$P$18,MATCH($C145,'LV &amp; HV augex'!$C$10:$C$18,0),MATCH(H$19,'LV &amp; HV augex'!$D$9:$P$9,0))*INDEX('LV &amp; HV augex'!$D$28:$J$52,MATCH($B145,'LV &amp; HV augex'!$L$28:$L$52,0),MATCH($C145,'LV &amp; HV augex'!$D$27:$J$27,0)),0)*'Financial inputs'!$D$11</f>
        <v>26665.071426999973</v>
      </c>
      <c r="I145" s="40">
        <f>IFERROR(INDEX('LV &amp; HV augex'!$D$10:$P$18,MATCH($C145,'LV &amp; HV augex'!$C$10:$C$18,0),MATCH(I$19,'LV &amp; HV augex'!$D$9:$P$9,0))*INDEX('LV &amp; HV augex'!$D$28:$J$52,MATCH($B145,'LV &amp; HV augex'!$L$28:$L$52,0),MATCH($C145,'LV &amp; HV augex'!$D$27:$J$27,0)),0)*'Financial inputs'!$D$11</f>
        <v>26954.899727843414</v>
      </c>
      <c r="J145" s="40">
        <f>IFERROR(INDEX('LV &amp; HV augex'!$D$10:$P$18,MATCH($C145,'LV &amp; HV augex'!$C$10:$C$18,0),MATCH(J$19,'LV &amp; HV augex'!$D$9:$P$9,0))*INDEX('LV &amp; HV augex'!$D$28:$J$52,MATCH($B145,'LV &amp; HV augex'!$L$28:$L$52,0),MATCH($C145,'LV &amp; HV augex'!$D$27:$J$27,0)),0)*'Financial inputs'!$D$11</f>
        <v>26954.899727843414</v>
      </c>
      <c r="K145" s="40">
        <f>IFERROR(INDEX('LV &amp; HV augex'!$D$10:$P$18,MATCH($C145,'LV &amp; HV augex'!$C$10:$C$18,0),MATCH(K$19,'LV &amp; HV augex'!$D$9:$P$9,0))*INDEX('LV &amp; HV augex'!$D$28:$J$52,MATCH($B145,'LV &amp; HV augex'!$L$28:$L$52,0),MATCH($C145,'LV &amp; HV augex'!$D$27:$J$27,0)),0)*'Financial inputs'!$D$11</f>
        <v>26954.899727843414</v>
      </c>
      <c r="L145" s="40">
        <f>IFERROR(INDEX('LV &amp; HV augex'!$D$10:$P$18,MATCH($C145,'LV &amp; HV augex'!$C$10:$C$18,0),MATCH(L$19,'LV &amp; HV augex'!$D$9:$P$9,0))*INDEX('LV &amp; HV augex'!$D$28:$J$52,MATCH($B145,'LV &amp; HV augex'!$L$28:$L$52,0),MATCH($C145,'LV &amp; HV augex'!$D$27:$J$27,0)),0)*'Financial inputs'!$D$11</f>
        <v>26954.899727843414</v>
      </c>
      <c r="M145" s="40">
        <f>IFERROR(INDEX('LV &amp; HV augex'!$D$10:$P$18,MATCH($C145,'LV &amp; HV augex'!$C$10:$C$18,0),MATCH(M$19,'LV &amp; HV augex'!$D$9:$P$9,0))*INDEX('LV &amp; HV augex'!$D$28:$J$52,MATCH($B145,'LV &amp; HV augex'!$L$28:$L$52,0),MATCH($C145,'LV &amp; HV augex'!$D$27:$J$27,0)),0)*'Financial inputs'!$D$11</f>
        <v>26954.899727843414</v>
      </c>
      <c r="N145" s="40">
        <f>IFERROR(INDEX('LV &amp; HV augex'!$D$10:$P$18,MATCH($C145,'LV &amp; HV augex'!$C$10:$C$18,0),MATCH(N$19,'LV &amp; HV augex'!$D$9:$P$9,0))*INDEX('LV &amp; HV augex'!$D$28:$J$52,MATCH($B145,'LV &amp; HV augex'!$L$28:$L$52,0),MATCH($C145,'LV &amp; HV augex'!$D$27:$J$27,0)),0)*'Financial inputs'!$D$11</f>
        <v>26954.899727843414</v>
      </c>
      <c r="O145" s="40">
        <f>IFERROR(INDEX('LV &amp; HV augex'!$D$10:$P$18,MATCH($C145,'LV &amp; HV augex'!$C$10:$C$18,0),MATCH(O$19,'LV &amp; HV augex'!$D$9:$P$9,0))*INDEX('LV &amp; HV augex'!$D$28:$J$52,MATCH($B145,'LV &amp; HV augex'!$L$28:$L$52,0),MATCH($C145,'LV &amp; HV augex'!$D$27:$J$27,0)),0)*'Financial inputs'!$D$11</f>
        <v>26954.899727843414</v>
      </c>
      <c r="P145" s="40">
        <f>IFERROR(INDEX('LV &amp; HV augex'!$D$10:$P$18,MATCH($C145,'LV &amp; HV augex'!$C$10:$C$18,0),MATCH(P$19,'LV &amp; HV augex'!$D$9:$P$9,0))*INDEX('LV &amp; HV augex'!$D$28:$J$52,MATCH($B145,'LV &amp; HV augex'!$L$28:$L$52,0),MATCH($C145,'LV &amp; HV augex'!$D$27:$J$27,0)),0)*'Financial inputs'!$D$11</f>
        <v>26954.899727843414</v>
      </c>
    </row>
    <row r="146" spans="2:16" ht="15.5">
      <c r="B146" s="2" t="str">
        <f t="shared" si="7"/>
        <v>Upper Hunter</v>
      </c>
      <c r="C146" s="35" t="str" cm="1">
        <f t="array" ref="C146">INDEX(augex_categories,COUNTIFS($B$20:$B146,$B$20))</f>
        <v>HV Reinforcement OH (New)</v>
      </c>
      <c r="D146" s="35" t="str">
        <f>IF(COUNTIF('LV &amp; HV augex'!$C$10:$C$13,C146), "LV", IF(COUNTIF('LV &amp; HV augex'!$C$15:$C$17, C146), "HV", "Error"))</f>
        <v>HV</v>
      </c>
      <c r="E146" s="35" t="str">
        <f>INDEX('Growing &amp; falling'!$D$14:$D$39,MATCH($B146,'Growing &amp; falling'!$B$14:$B$39,0))</f>
        <v>Decline</v>
      </c>
      <c r="F146" s="35" t="str">
        <f t="shared" si="6"/>
        <v>$2024 real</v>
      </c>
      <c r="G146" s="40">
        <f>IFERROR(INDEX('LV &amp; HV augex'!$D$10:$P$18,MATCH($C146,'LV &amp; HV augex'!$C$10:$C$18,0),MATCH(G$19,'LV &amp; HV augex'!$D$9:$P$9,0))*INDEX('LV &amp; HV augex'!$D$28:$J$52,MATCH($B146,'LV &amp; HV augex'!$L$28:$L$52,0),MATCH($C146,'LV &amp; HV augex'!$D$27:$J$27,0)),0)*'Financial inputs'!$D$11</f>
        <v>0</v>
      </c>
      <c r="H146" s="40">
        <f>IFERROR(INDEX('LV &amp; HV augex'!$D$10:$P$18,MATCH($C146,'LV &amp; HV augex'!$C$10:$C$18,0),MATCH(H$19,'LV &amp; HV augex'!$D$9:$P$9,0))*INDEX('LV &amp; HV augex'!$D$28:$J$52,MATCH($B146,'LV &amp; HV augex'!$L$28:$L$52,0),MATCH($C146,'LV &amp; HV augex'!$D$27:$J$27,0)),0)*'Financial inputs'!$D$11</f>
        <v>0</v>
      </c>
      <c r="I146" s="40">
        <f>IFERROR(INDEX('LV &amp; HV augex'!$D$10:$P$18,MATCH($C146,'LV &amp; HV augex'!$C$10:$C$18,0),MATCH(I$19,'LV &amp; HV augex'!$D$9:$P$9,0))*INDEX('LV &amp; HV augex'!$D$28:$J$52,MATCH($B146,'LV &amp; HV augex'!$L$28:$L$52,0),MATCH($C146,'LV &amp; HV augex'!$D$27:$J$27,0)),0)*'Financial inputs'!$D$11</f>
        <v>0</v>
      </c>
      <c r="J146" s="40">
        <f>IFERROR(INDEX('LV &amp; HV augex'!$D$10:$P$18,MATCH($C146,'LV &amp; HV augex'!$C$10:$C$18,0),MATCH(J$19,'LV &amp; HV augex'!$D$9:$P$9,0))*INDEX('LV &amp; HV augex'!$D$28:$J$52,MATCH($B146,'LV &amp; HV augex'!$L$28:$L$52,0),MATCH($C146,'LV &amp; HV augex'!$D$27:$J$27,0)),0)*'Financial inputs'!$D$11</f>
        <v>0</v>
      </c>
      <c r="K146" s="40">
        <f>IFERROR(INDEX('LV &amp; HV augex'!$D$10:$P$18,MATCH($C146,'LV &amp; HV augex'!$C$10:$C$18,0),MATCH(K$19,'LV &amp; HV augex'!$D$9:$P$9,0))*INDEX('LV &amp; HV augex'!$D$28:$J$52,MATCH($B146,'LV &amp; HV augex'!$L$28:$L$52,0),MATCH($C146,'LV &amp; HV augex'!$D$27:$J$27,0)),0)*'Financial inputs'!$D$11</f>
        <v>0</v>
      </c>
      <c r="L146" s="40">
        <f>IFERROR(INDEX('LV &amp; HV augex'!$D$10:$P$18,MATCH($C146,'LV &amp; HV augex'!$C$10:$C$18,0),MATCH(L$19,'LV &amp; HV augex'!$D$9:$P$9,0))*INDEX('LV &amp; HV augex'!$D$28:$J$52,MATCH($B146,'LV &amp; HV augex'!$L$28:$L$52,0),MATCH($C146,'LV &amp; HV augex'!$D$27:$J$27,0)),0)*'Financial inputs'!$D$11</f>
        <v>0</v>
      </c>
      <c r="M146" s="40">
        <f>IFERROR(INDEX('LV &amp; HV augex'!$D$10:$P$18,MATCH($C146,'LV &amp; HV augex'!$C$10:$C$18,0),MATCH(M$19,'LV &amp; HV augex'!$D$9:$P$9,0))*INDEX('LV &amp; HV augex'!$D$28:$J$52,MATCH($B146,'LV &amp; HV augex'!$L$28:$L$52,0),MATCH($C146,'LV &amp; HV augex'!$D$27:$J$27,0)),0)*'Financial inputs'!$D$11</f>
        <v>0</v>
      </c>
      <c r="N146" s="40">
        <f>IFERROR(INDEX('LV &amp; HV augex'!$D$10:$P$18,MATCH($C146,'LV &amp; HV augex'!$C$10:$C$18,0),MATCH(N$19,'LV &amp; HV augex'!$D$9:$P$9,0))*INDEX('LV &amp; HV augex'!$D$28:$J$52,MATCH($B146,'LV &amp; HV augex'!$L$28:$L$52,0),MATCH($C146,'LV &amp; HV augex'!$D$27:$J$27,0)),0)*'Financial inputs'!$D$11</f>
        <v>0</v>
      </c>
      <c r="O146" s="40">
        <f>IFERROR(INDEX('LV &amp; HV augex'!$D$10:$P$18,MATCH($C146,'LV &amp; HV augex'!$C$10:$C$18,0),MATCH(O$19,'LV &amp; HV augex'!$D$9:$P$9,0))*INDEX('LV &amp; HV augex'!$D$28:$J$52,MATCH($B146,'LV &amp; HV augex'!$L$28:$L$52,0),MATCH($C146,'LV &amp; HV augex'!$D$27:$J$27,0)),0)*'Financial inputs'!$D$11</f>
        <v>0</v>
      </c>
      <c r="P146" s="40">
        <f>IFERROR(INDEX('LV &amp; HV augex'!$D$10:$P$18,MATCH($C146,'LV &amp; HV augex'!$C$10:$C$18,0),MATCH(P$19,'LV &amp; HV augex'!$D$9:$P$9,0))*INDEX('LV &amp; HV augex'!$D$28:$J$52,MATCH($B146,'LV &amp; HV augex'!$L$28:$L$52,0),MATCH($C146,'LV &amp; HV augex'!$D$27:$J$27,0)),0)*'Financial inputs'!$D$11</f>
        <v>0</v>
      </c>
    </row>
    <row r="147" spans="2:16" ht="15.5">
      <c r="B147" s="2" t="str">
        <f t="shared" si="7"/>
        <v>Upper North Shore</v>
      </c>
      <c r="C147" s="35" t="str" cm="1">
        <f t="array" ref="C147">INDEX(augex_categories,COUNTIFS($B$20:$B147,$B$20))</f>
        <v>HV Reinforcement OH (New)</v>
      </c>
      <c r="D147" s="35" t="str">
        <f>IF(COUNTIF('LV &amp; HV augex'!$C$10:$C$13,C147), "LV", IF(COUNTIF('LV &amp; HV augex'!$C$15:$C$17, C147), "HV", "Error"))</f>
        <v>HV</v>
      </c>
      <c r="E147" s="35" t="str">
        <f>INDEX('Growing &amp; falling'!$D$14:$D$39,MATCH($B147,'Growing &amp; falling'!$B$14:$B$39,0))</f>
        <v>Decline</v>
      </c>
      <c r="F147" s="35" t="str">
        <f t="shared" si="6"/>
        <v>$2024 real</v>
      </c>
      <c r="G147" s="40">
        <f>IFERROR(INDEX('LV &amp; HV augex'!$D$10:$P$18,MATCH($C147,'LV &amp; HV augex'!$C$10:$C$18,0),MATCH(G$19,'LV &amp; HV augex'!$D$9:$P$9,0))*INDEX('LV &amp; HV augex'!$D$28:$J$52,MATCH($B147,'LV &amp; HV augex'!$L$28:$L$52,0),MATCH($C147,'LV &amp; HV augex'!$D$27:$J$27,0)),0)*'Financial inputs'!$D$11</f>
        <v>5735.116825930967</v>
      </c>
      <c r="H147" s="40">
        <f>IFERROR(INDEX('LV &amp; HV augex'!$D$10:$P$18,MATCH($C147,'LV &amp; HV augex'!$C$10:$C$18,0),MATCH(H$19,'LV &amp; HV augex'!$D$9:$P$9,0))*INDEX('LV &amp; HV augex'!$D$28:$J$52,MATCH($B147,'LV &amp; HV augex'!$L$28:$L$52,0),MATCH($C147,'LV &amp; HV augex'!$D$27:$J$27,0)),0)*'Financial inputs'!$D$11</f>
        <v>5653.1837185110126</v>
      </c>
      <c r="I147" s="40">
        <f>IFERROR(INDEX('LV &amp; HV augex'!$D$10:$P$18,MATCH($C147,'LV &amp; HV augex'!$C$10:$C$18,0),MATCH(I$19,'LV &amp; HV augex'!$D$9:$P$9,0))*INDEX('LV &amp; HV augex'!$D$28:$J$52,MATCH($B147,'LV &amp; HV augex'!$L$28:$L$52,0),MATCH($C147,'LV &amp; HV augex'!$D$27:$J$27,0)),0)*'Financial inputs'!$D$11</f>
        <v>5714.6293679621067</v>
      </c>
      <c r="J147" s="40">
        <f>IFERROR(INDEX('LV &amp; HV augex'!$D$10:$P$18,MATCH($C147,'LV &amp; HV augex'!$C$10:$C$18,0),MATCH(J$19,'LV &amp; HV augex'!$D$9:$P$9,0))*INDEX('LV &amp; HV augex'!$D$28:$J$52,MATCH($B147,'LV &amp; HV augex'!$L$28:$L$52,0),MATCH($C147,'LV &amp; HV augex'!$D$27:$J$27,0)),0)*'Financial inputs'!$D$11</f>
        <v>5714.6293679621067</v>
      </c>
      <c r="K147" s="40">
        <f>IFERROR(INDEX('LV &amp; HV augex'!$D$10:$P$18,MATCH($C147,'LV &amp; HV augex'!$C$10:$C$18,0),MATCH(K$19,'LV &amp; HV augex'!$D$9:$P$9,0))*INDEX('LV &amp; HV augex'!$D$28:$J$52,MATCH($B147,'LV &amp; HV augex'!$L$28:$L$52,0),MATCH($C147,'LV &amp; HV augex'!$D$27:$J$27,0)),0)*'Financial inputs'!$D$11</f>
        <v>5714.6293679621067</v>
      </c>
      <c r="L147" s="40">
        <f>IFERROR(INDEX('LV &amp; HV augex'!$D$10:$P$18,MATCH($C147,'LV &amp; HV augex'!$C$10:$C$18,0),MATCH(L$19,'LV &amp; HV augex'!$D$9:$P$9,0))*INDEX('LV &amp; HV augex'!$D$28:$J$52,MATCH($B147,'LV &amp; HV augex'!$L$28:$L$52,0),MATCH($C147,'LV &amp; HV augex'!$D$27:$J$27,0)),0)*'Financial inputs'!$D$11</f>
        <v>5714.6293679621067</v>
      </c>
      <c r="M147" s="40">
        <f>IFERROR(INDEX('LV &amp; HV augex'!$D$10:$P$18,MATCH($C147,'LV &amp; HV augex'!$C$10:$C$18,0),MATCH(M$19,'LV &amp; HV augex'!$D$9:$P$9,0))*INDEX('LV &amp; HV augex'!$D$28:$J$52,MATCH($B147,'LV &amp; HV augex'!$L$28:$L$52,0),MATCH($C147,'LV &amp; HV augex'!$D$27:$J$27,0)),0)*'Financial inputs'!$D$11</f>
        <v>5714.6293679621067</v>
      </c>
      <c r="N147" s="40">
        <f>IFERROR(INDEX('LV &amp; HV augex'!$D$10:$P$18,MATCH($C147,'LV &amp; HV augex'!$C$10:$C$18,0),MATCH(N$19,'LV &amp; HV augex'!$D$9:$P$9,0))*INDEX('LV &amp; HV augex'!$D$28:$J$52,MATCH($B147,'LV &amp; HV augex'!$L$28:$L$52,0),MATCH($C147,'LV &amp; HV augex'!$D$27:$J$27,0)),0)*'Financial inputs'!$D$11</f>
        <v>5714.6293679621067</v>
      </c>
      <c r="O147" s="40">
        <f>IFERROR(INDEX('LV &amp; HV augex'!$D$10:$P$18,MATCH($C147,'LV &amp; HV augex'!$C$10:$C$18,0),MATCH(O$19,'LV &amp; HV augex'!$D$9:$P$9,0))*INDEX('LV &amp; HV augex'!$D$28:$J$52,MATCH($B147,'LV &amp; HV augex'!$L$28:$L$52,0),MATCH($C147,'LV &amp; HV augex'!$D$27:$J$27,0)),0)*'Financial inputs'!$D$11</f>
        <v>5714.6293679621067</v>
      </c>
      <c r="P147" s="40">
        <f>IFERROR(INDEX('LV &amp; HV augex'!$D$10:$P$18,MATCH($C147,'LV &amp; HV augex'!$C$10:$C$18,0),MATCH(P$19,'LV &amp; HV augex'!$D$9:$P$9,0))*INDEX('LV &amp; HV augex'!$D$28:$J$52,MATCH($B147,'LV &amp; HV augex'!$L$28:$L$52,0),MATCH($C147,'LV &amp; HV augex'!$D$27:$J$27,0)),0)*'Financial inputs'!$D$11</f>
        <v>5714.6293679621067</v>
      </c>
    </row>
    <row r="148" spans="2:16" ht="15.5">
      <c r="B148" s="2" t="str">
        <f t="shared" si="7"/>
        <v>West Lake Macquarie</v>
      </c>
      <c r="C148" s="35" t="str" cm="1">
        <f t="array" ref="C148">INDEX(augex_categories,COUNTIFS($B$20:$B148,$B$20))</f>
        <v>HV Reinforcement OH (New)</v>
      </c>
      <c r="D148" s="35" t="str">
        <f>IF(COUNTIF('LV &amp; HV augex'!$C$10:$C$13,C148), "LV", IF(COUNTIF('LV &amp; HV augex'!$C$15:$C$17, C148), "HV", "Error"))</f>
        <v>HV</v>
      </c>
      <c r="E148" s="35" t="str">
        <f>INDEX('Growing &amp; falling'!$D$14:$D$39,MATCH($B148,'Growing &amp; falling'!$B$14:$B$39,0))</f>
        <v>Decline</v>
      </c>
      <c r="F148" s="35" t="str">
        <f t="shared" si="6"/>
        <v>$2024 real</v>
      </c>
      <c r="G148" s="40">
        <f>IFERROR(INDEX('LV &amp; HV augex'!$D$10:$P$18,MATCH($C148,'LV &amp; HV augex'!$C$10:$C$18,0),MATCH(G$19,'LV &amp; HV augex'!$D$9:$P$9,0))*INDEX('LV &amp; HV augex'!$D$28:$J$52,MATCH($B148,'LV &amp; HV augex'!$L$28:$L$52,0),MATCH($C148,'LV &amp; HV augex'!$D$27:$J$27,0)),0)*'Financial inputs'!$D$11</f>
        <v>40429.128163132482</v>
      </c>
      <c r="H148" s="40">
        <f>IFERROR(INDEX('LV &amp; HV augex'!$D$10:$P$18,MATCH($C148,'LV &amp; HV augex'!$C$10:$C$18,0),MATCH(H$19,'LV &amp; HV augex'!$D$9:$P$9,0))*INDEX('LV &amp; HV augex'!$D$28:$J$52,MATCH($B148,'LV &amp; HV augex'!$L$28:$L$52,0),MATCH($C148,'LV &amp; HV augex'!$D$27:$J$27,0)),0)*'Financial inputs'!$D$11</f>
        <v>39851.548978396808</v>
      </c>
      <c r="I148" s="40">
        <f>IFERROR(INDEX('LV &amp; HV augex'!$D$10:$P$18,MATCH($C148,'LV &amp; HV augex'!$C$10:$C$18,0),MATCH(I$19,'LV &amp; HV augex'!$D$9:$P$9,0))*INDEX('LV &amp; HV augex'!$D$28:$J$52,MATCH($B148,'LV &amp; HV augex'!$L$28:$L$52,0),MATCH($C148,'LV &amp; HV augex'!$D$27:$J$27,0)),0)*'Financial inputs'!$D$11</f>
        <v>40284.703892607642</v>
      </c>
      <c r="J148" s="40">
        <f>IFERROR(INDEX('LV &amp; HV augex'!$D$10:$P$18,MATCH($C148,'LV &amp; HV augex'!$C$10:$C$18,0),MATCH(J$19,'LV &amp; HV augex'!$D$9:$P$9,0))*INDEX('LV &amp; HV augex'!$D$28:$J$52,MATCH($B148,'LV &amp; HV augex'!$L$28:$L$52,0),MATCH($C148,'LV &amp; HV augex'!$D$27:$J$27,0)),0)*'Financial inputs'!$D$11</f>
        <v>40284.703892607642</v>
      </c>
      <c r="K148" s="40">
        <f>IFERROR(INDEX('LV &amp; HV augex'!$D$10:$P$18,MATCH($C148,'LV &amp; HV augex'!$C$10:$C$18,0),MATCH(K$19,'LV &amp; HV augex'!$D$9:$P$9,0))*INDEX('LV &amp; HV augex'!$D$28:$J$52,MATCH($B148,'LV &amp; HV augex'!$L$28:$L$52,0),MATCH($C148,'LV &amp; HV augex'!$D$27:$J$27,0)),0)*'Financial inputs'!$D$11</f>
        <v>40284.703892607642</v>
      </c>
      <c r="L148" s="40">
        <f>IFERROR(INDEX('LV &amp; HV augex'!$D$10:$P$18,MATCH($C148,'LV &amp; HV augex'!$C$10:$C$18,0),MATCH(L$19,'LV &amp; HV augex'!$D$9:$P$9,0))*INDEX('LV &amp; HV augex'!$D$28:$J$52,MATCH($B148,'LV &amp; HV augex'!$L$28:$L$52,0),MATCH($C148,'LV &amp; HV augex'!$D$27:$J$27,0)),0)*'Financial inputs'!$D$11</f>
        <v>40284.703892607642</v>
      </c>
      <c r="M148" s="40">
        <f>IFERROR(INDEX('LV &amp; HV augex'!$D$10:$P$18,MATCH($C148,'LV &amp; HV augex'!$C$10:$C$18,0),MATCH(M$19,'LV &amp; HV augex'!$D$9:$P$9,0))*INDEX('LV &amp; HV augex'!$D$28:$J$52,MATCH($B148,'LV &amp; HV augex'!$L$28:$L$52,0),MATCH($C148,'LV &amp; HV augex'!$D$27:$J$27,0)),0)*'Financial inputs'!$D$11</f>
        <v>40284.703892607642</v>
      </c>
      <c r="N148" s="40">
        <f>IFERROR(INDEX('LV &amp; HV augex'!$D$10:$P$18,MATCH($C148,'LV &amp; HV augex'!$C$10:$C$18,0),MATCH(N$19,'LV &amp; HV augex'!$D$9:$P$9,0))*INDEX('LV &amp; HV augex'!$D$28:$J$52,MATCH($B148,'LV &amp; HV augex'!$L$28:$L$52,0),MATCH($C148,'LV &amp; HV augex'!$D$27:$J$27,0)),0)*'Financial inputs'!$D$11</f>
        <v>40284.703892607642</v>
      </c>
      <c r="O148" s="40">
        <f>IFERROR(INDEX('LV &amp; HV augex'!$D$10:$P$18,MATCH($C148,'LV &amp; HV augex'!$C$10:$C$18,0),MATCH(O$19,'LV &amp; HV augex'!$D$9:$P$9,0))*INDEX('LV &amp; HV augex'!$D$28:$J$52,MATCH($B148,'LV &amp; HV augex'!$L$28:$L$52,0),MATCH($C148,'LV &amp; HV augex'!$D$27:$J$27,0)),0)*'Financial inputs'!$D$11</f>
        <v>40284.703892607642</v>
      </c>
      <c r="P148" s="40">
        <f>IFERROR(INDEX('LV &amp; HV augex'!$D$10:$P$18,MATCH($C148,'LV &amp; HV augex'!$C$10:$C$18,0),MATCH(P$19,'LV &amp; HV augex'!$D$9:$P$9,0))*INDEX('LV &amp; HV augex'!$D$28:$J$52,MATCH($B148,'LV &amp; HV augex'!$L$28:$L$52,0),MATCH($C148,'LV &amp; HV augex'!$D$27:$J$27,0)),0)*'Financial inputs'!$D$11</f>
        <v>40284.703892607642</v>
      </c>
    </row>
    <row r="149" spans="2:16" ht="15.5">
      <c r="B149" s="2" t="str">
        <f t="shared" si="7"/>
        <v>System wide</v>
      </c>
      <c r="C149" s="35" t="str" cm="1">
        <f t="array" ref="C149">INDEX(augex_categories,COUNTIFS($B$20:$B149,$B$20))</f>
        <v>HV Reinforcement OH (New)</v>
      </c>
      <c r="D149" s="35" t="str">
        <f>IF(COUNTIF('LV &amp; HV augex'!$C$10:$C$13,C149), "LV", IF(COUNTIF('LV &amp; HV augex'!$C$15:$C$17, C149), "HV", "Error"))</f>
        <v>HV</v>
      </c>
      <c r="E149" s="35" t="str">
        <f>INDEX('Growing &amp; falling'!$D$14:$D$39,MATCH($B149,'Growing &amp; falling'!$B$14:$B$39,0))</f>
        <v>System wide</v>
      </c>
      <c r="F149" s="35" t="str">
        <f t="shared" si="6"/>
        <v>$2024 real</v>
      </c>
      <c r="G149" s="40">
        <f>IFERROR(INDEX('LV &amp; HV augex'!$D$10:$P$18,MATCH($C149,'LV &amp; HV augex'!$C$10:$C$18,0),MATCH(G$19,'LV &amp; HV augex'!$D$9:$P$9,0))*INDEX('LV &amp; HV augex'!$D$28:$J$52,MATCH($B149,'LV &amp; HV augex'!$L$28:$L$52,0),MATCH($C149,'LV &amp; HV augex'!$D$27:$J$27,0)),0)*'Financial inputs'!$D$11</f>
        <v>0</v>
      </c>
      <c r="H149" s="40">
        <f>IFERROR(INDEX('LV &amp; HV augex'!$D$10:$P$18,MATCH($C149,'LV &amp; HV augex'!$C$10:$C$18,0),MATCH(H$19,'LV &amp; HV augex'!$D$9:$P$9,0))*INDEX('LV &amp; HV augex'!$D$28:$J$52,MATCH($B149,'LV &amp; HV augex'!$L$28:$L$52,0),MATCH($C149,'LV &amp; HV augex'!$D$27:$J$27,0)),0)*'Financial inputs'!$D$11</f>
        <v>0</v>
      </c>
      <c r="I149" s="40">
        <f>IFERROR(INDEX('LV &amp; HV augex'!$D$10:$P$18,MATCH($C149,'LV &amp; HV augex'!$C$10:$C$18,0),MATCH(I$19,'LV &amp; HV augex'!$D$9:$P$9,0))*INDEX('LV &amp; HV augex'!$D$28:$J$52,MATCH($B149,'LV &amp; HV augex'!$L$28:$L$52,0),MATCH($C149,'LV &amp; HV augex'!$D$27:$J$27,0)),0)*'Financial inputs'!$D$11</f>
        <v>0</v>
      </c>
      <c r="J149" s="40">
        <f>IFERROR(INDEX('LV &amp; HV augex'!$D$10:$P$18,MATCH($C149,'LV &amp; HV augex'!$C$10:$C$18,0),MATCH(J$19,'LV &amp; HV augex'!$D$9:$P$9,0))*INDEX('LV &amp; HV augex'!$D$28:$J$52,MATCH($B149,'LV &amp; HV augex'!$L$28:$L$52,0),MATCH($C149,'LV &amp; HV augex'!$D$27:$J$27,0)),0)*'Financial inputs'!$D$11</f>
        <v>0</v>
      </c>
      <c r="K149" s="40">
        <f>IFERROR(INDEX('LV &amp; HV augex'!$D$10:$P$18,MATCH($C149,'LV &amp; HV augex'!$C$10:$C$18,0),MATCH(K$19,'LV &amp; HV augex'!$D$9:$P$9,0))*INDEX('LV &amp; HV augex'!$D$28:$J$52,MATCH($B149,'LV &amp; HV augex'!$L$28:$L$52,0),MATCH($C149,'LV &amp; HV augex'!$D$27:$J$27,0)),0)*'Financial inputs'!$D$11</f>
        <v>0</v>
      </c>
      <c r="L149" s="40">
        <f>IFERROR(INDEX('LV &amp; HV augex'!$D$10:$P$18,MATCH($C149,'LV &amp; HV augex'!$C$10:$C$18,0),MATCH(L$19,'LV &amp; HV augex'!$D$9:$P$9,0))*INDEX('LV &amp; HV augex'!$D$28:$J$52,MATCH($B149,'LV &amp; HV augex'!$L$28:$L$52,0),MATCH($C149,'LV &amp; HV augex'!$D$27:$J$27,0)),0)*'Financial inputs'!$D$11</f>
        <v>0</v>
      </c>
      <c r="M149" s="40">
        <f>IFERROR(INDEX('LV &amp; HV augex'!$D$10:$P$18,MATCH($C149,'LV &amp; HV augex'!$C$10:$C$18,0),MATCH(M$19,'LV &amp; HV augex'!$D$9:$P$9,0))*INDEX('LV &amp; HV augex'!$D$28:$J$52,MATCH($B149,'LV &amp; HV augex'!$L$28:$L$52,0),MATCH($C149,'LV &amp; HV augex'!$D$27:$J$27,0)),0)*'Financial inputs'!$D$11</f>
        <v>0</v>
      </c>
      <c r="N149" s="40">
        <f>IFERROR(INDEX('LV &amp; HV augex'!$D$10:$P$18,MATCH($C149,'LV &amp; HV augex'!$C$10:$C$18,0),MATCH(N$19,'LV &amp; HV augex'!$D$9:$P$9,0))*INDEX('LV &amp; HV augex'!$D$28:$J$52,MATCH($B149,'LV &amp; HV augex'!$L$28:$L$52,0),MATCH($C149,'LV &amp; HV augex'!$D$27:$J$27,0)),0)*'Financial inputs'!$D$11</f>
        <v>0</v>
      </c>
      <c r="O149" s="40">
        <f>IFERROR(INDEX('LV &amp; HV augex'!$D$10:$P$18,MATCH($C149,'LV &amp; HV augex'!$C$10:$C$18,0),MATCH(O$19,'LV &amp; HV augex'!$D$9:$P$9,0))*INDEX('LV &amp; HV augex'!$D$28:$J$52,MATCH($B149,'LV &amp; HV augex'!$L$28:$L$52,0),MATCH($C149,'LV &amp; HV augex'!$D$27:$J$27,0)),0)*'Financial inputs'!$D$11</f>
        <v>0</v>
      </c>
      <c r="P149" s="40">
        <f>IFERROR(INDEX('LV &amp; HV augex'!$D$10:$P$18,MATCH($C149,'LV &amp; HV augex'!$C$10:$C$18,0),MATCH(P$19,'LV &amp; HV augex'!$D$9:$P$9,0))*INDEX('LV &amp; HV augex'!$D$28:$J$52,MATCH($B149,'LV &amp; HV augex'!$L$28:$L$52,0),MATCH($C149,'LV &amp; HV augex'!$D$27:$J$27,0)),0)*'Financial inputs'!$D$11</f>
        <v>0</v>
      </c>
    </row>
    <row r="150" spans="2:16" ht="15.5">
      <c r="B150" s="2" t="str">
        <f t="shared" si="7"/>
        <v>Auburn / Homebush</v>
      </c>
      <c r="C150" s="35" t="str" cm="1">
        <f t="array" ref="C150">INDEX(augex_categories,COUNTIFS($B$20:$B150,$B$20))</f>
        <v>HV Reinforcement OH (Upgrade)</v>
      </c>
      <c r="D150" s="35" t="str">
        <f>IF(COUNTIF('LV &amp; HV augex'!$C$10:$C$13,C150), "LV", IF(COUNTIF('LV &amp; HV augex'!$C$15:$C$17, C150), "HV", "Error"))</f>
        <v>HV</v>
      </c>
      <c r="E150" s="35" t="str">
        <f>INDEX('Growing &amp; falling'!$D$14:$D$39,MATCH($B150,'Growing &amp; falling'!$B$14:$B$39,0))</f>
        <v>Growth</v>
      </c>
      <c r="F150" s="35" t="str">
        <f t="shared" ref="F150:F213" si="8">F149</f>
        <v>$2024 real</v>
      </c>
      <c r="G150" s="40">
        <f>IFERROR(INDEX('LV &amp; HV augex'!$D$10:$P$18,MATCH($C150,'LV &amp; HV augex'!$C$10:$C$18,0),MATCH(G$19,'LV &amp; HV augex'!$D$9:$P$9,0))*INDEX('LV &amp; HV augex'!$D$28:$J$52,MATCH($B150,'LV &amp; HV augex'!$L$28:$L$52,0),MATCH($C150,'LV &amp; HV augex'!$D$27:$J$27,0)),0)*'Financial inputs'!$D$11</f>
        <v>307011.42221536121</v>
      </c>
      <c r="H150" s="40">
        <f>IFERROR(INDEX('LV &amp; HV augex'!$D$10:$P$18,MATCH($C150,'LV &amp; HV augex'!$C$10:$C$18,0),MATCH(H$19,'LV &amp; HV augex'!$D$9:$P$9,0))*INDEX('LV &amp; HV augex'!$D$28:$J$52,MATCH($B150,'LV &amp; HV augex'!$L$28:$L$52,0),MATCH($C150,'LV &amp; HV augex'!$D$27:$J$27,0)),0)*'Financial inputs'!$D$11</f>
        <v>302625.57445882441</v>
      </c>
      <c r="I150" s="40">
        <f>IFERROR(INDEX('LV &amp; HV augex'!$D$10:$P$18,MATCH($C150,'LV &amp; HV augex'!$C$10:$C$18,0),MATCH(I$19,'LV &amp; HV augex'!$D$9:$P$9,0))*INDEX('LV &amp; HV augex'!$D$28:$J$52,MATCH($B150,'LV &amp; HV augex'!$L$28:$L$52,0),MATCH($C150,'LV &amp; HV augex'!$D$27:$J$27,0)),0)*'Financial inputs'!$D$11</f>
        <v>305914.96027622698</v>
      </c>
      <c r="J150" s="40">
        <f>IFERROR(INDEX('LV &amp; HV augex'!$D$10:$P$18,MATCH($C150,'LV &amp; HV augex'!$C$10:$C$18,0),MATCH(J$19,'LV &amp; HV augex'!$D$9:$P$9,0))*INDEX('LV &amp; HV augex'!$D$28:$J$52,MATCH($B150,'LV &amp; HV augex'!$L$28:$L$52,0),MATCH($C150,'LV &amp; HV augex'!$D$27:$J$27,0)),0)*'Financial inputs'!$D$11</f>
        <v>305914.96027622698</v>
      </c>
      <c r="K150" s="40">
        <f>IFERROR(INDEX('LV &amp; HV augex'!$D$10:$P$18,MATCH($C150,'LV &amp; HV augex'!$C$10:$C$18,0),MATCH(K$19,'LV &amp; HV augex'!$D$9:$P$9,0))*INDEX('LV &amp; HV augex'!$D$28:$J$52,MATCH($B150,'LV &amp; HV augex'!$L$28:$L$52,0),MATCH($C150,'LV &amp; HV augex'!$D$27:$J$27,0)),0)*'Financial inputs'!$D$11</f>
        <v>305914.96027622698</v>
      </c>
      <c r="L150" s="40">
        <f>IFERROR(INDEX('LV &amp; HV augex'!$D$10:$P$18,MATCH($C150,'LV &amp; HV augex'!$C$10:$C$18,0),MATCH(L$19,'LV &amp; HV augex'!$D$9:$P$9,0))*INDEX('LV &amp; HV augex'!$D$28:$J$52,MATCH($B150,'LV &amp; HV augex'!$L$28:$L$52,0),MATCH($C150,'LV &amp; HV augex'!$D$27:$J$27,0)),0)*'Financial inputs'!$D$11</f>
        <v>305914.96027622698</v>
      </c>
      <c r="M150" s="40">
        <f>IFERROR(INDEX('LV &amp; HV augex'!$D$10:$P$18,MATCH($C150,'LV &amp; HV augex'!$C$10:$C$18,0),MATCH(M$19,'LV &amp; HV augex'!$D$9:$P$9,0))*INDEX('LV &amp; HV augex'!$D$28:$J$52,MATCH($B150,'LV &amp; HV augex'!$L$28:$L$52,0),MATCH($C150,'LV &amp; HV augex'!$D$27:$J$27,0)),0)*'Financial inputs'!$D$11</f>
        <v>305914.96027622698</v>
      </c>
      <c r="N150" s="40">
        <f>IFERROR(INDEX('LV &amp; HV augex'!$D$10:$P$18,MATCH($C150,'LV &amp; HV augex'!$C$10:$C$18,0),MATCH(N$19,'LV &amp; HV augex'!$D$9:$P$9,0))*INDEX('LV &amp; HV augex'!$D$28:$J$52,MATCH($B150,'LV &amp; HV augex'!$L$28:$L$52,0),MATCH($C150,'LV &amp; HV augex'!$D$27:$J$27,0)),0)*'Financial inputs'!$D$11</f>
        <v>305914.96027622698</v>
      </c>
      <c r="O150" s="40">
        <f>IFERROR(INDEX('LV &amp; HV augex'!$D$10:$P$18,MATCH($C150,'LV &amp; HV augex'!$C$10:$C$18,0),MATCH(O$19,'LV &amp; HV augex'!$D$9:$P$9,0))*INDEX('LV &amp; HV augex'!$D$28:$J$52,MATCH($B150,'LV &amp; HV augex'!$L$28:$L$52,0),MATCH($C150,'LV &amp; HV augex'!$D$27:$J$27,0)),0)*'Financial inputs'!$D$11</f>
        <v>305914.96027622698</v>
      </c>
      <c r="P150" s="40">
        <f>IFERROR(INDEX('LV &amp; HV augex'!$D$10:$P$18,MATCH($C150,'LV &amp; HV augex'!$C$10:$C$18,0),MATCH(P$19,'LV &amp; HV augex'!$D$9:$P$9,0))*INDEX('LV &amp; HV augex'!$D$28:$J$52,MATCH($B150,'LV &amp; HV augex'!$L$28:$L$52,0),MATCH($C150,'LV &amp; HV augex'!$D$27:$J$27,0)),0)*'Financial inputs'!$D$11</f>
        <v>305914.96027622698</v>
      </c>
    </row>
    <row r="151" spans="2:16" ht="15.5">
      <c r="B151" s="2" t="str">
        <f t="shared" si="7"/>
        <v>Camperdown &amp; Blackwattle Bay</v>
      </c>
      <c r="C151" s="35" t="str" cm="1">
        <f t="array" ref="C151">INDEX(augex_categories,COUNTIFS($B$20:$B151,$B$20))</f>
        <v>HV Reinforcement OH (Upgrade)</v>
      </c>
      <c r="D151" s="35" t="str">
        <f>IF(COUNTIF('LV &amp; HV augex'!$C$10:$C$13,C151), "LV", IF(COUNTIF('LV &amp; HV augex'!$C$15:$C$17, C151), "HV", "Error"))</f>
        <v>HV</v>
      </c>
      <c r="E151" s="35" t="str">
        <f>INDEX('Growing &amp; falling'!$D$14:$D$39,MATCH($B151,'Growing &amp; falling'!$B$14:$B$39,0))</f>
        <v>Growth</v>
      </c>
      <c r="F151" s="35" t="str">
        <f t="shared" si="8"/>
        <v>$2024 real</v>
      </c>
      <c r="G151" s="40">
        <f>IFERROR(INDEX('LV &amp; HV augex'!$D$10:$P$18,MATCH($C151,'LV &amp; HV augex'!$C$10:$C$18,0),MATCH(G$19,'LV &amp; HV augex'!$D$9:$P$9,0))*INDEX('LV &amp; HV augex'!$D$28:$J$52,MATCH($B151,'LV &amp; HV augex'!$L$28:$L$52,0),MATCH($C151,'LV &amp; HV augex'!$D$27:$J$27,0)),0)*'Financial inputs'!$D$11</f>
        <v>0</v>
      </c>
      <c r="H151" s="40">
        <f>IFERROR(INDEX('LV &amp; HV augex'!$D$10:$P$18,MATCH($C151,'LV &amp; HV augex'!$C$10:$C$18,0),MATCH(H$19,'LV &amp; HV augex'!$D$9:$P$9,0))*INDEX('LV &amp; HV augex'!$D$28:$J$52,MATCH($B151,'LV &amp; HV augex'!$L$28:$L$52,0),MATCH($C151,'LV &amp; HV augex'!$D$27:$J$27,0)),0)*'Financial inputs'!$D$11</f>
        <v>0</v>
      </c>
      <c r="I151" s="40">
        <f>IFERROR(INDEX('LV &amp; HV augex'!$D$10:$P$18,MATCH($C151,'LV &amp; HV augex'!$C$10:$C$18,0),MATCH(I$19,'LV &amp; HV augex'!$D$9:$P$9,0))*INDEX('LV &amp; HV augex'!$D$28:$J$52,MATCH($B151,'LV &amp; HV augex'!$L$28:$L$52,0),MATCH($C151,'LV &amp; HV augex'!$D$27:$J$27,0)),0)*'Financial inputs'!$D$11</f>
        <v>0</v>
      </c>
      <c r="J151" s="40">
        <f>IFERROR(INDEX('LV &amp; HV augex'!$D$10:$P$18,MATCH($C151,'LV &amp; HV augex'!$C$10:$C$18,0),MATCH(J$19,'LV &amp; HV augex'!$D$9:$P$9,0))*INDEX('LV &amp; HV augex'!$D$28:$J$52,MATCH($B151,'LV &amp; HV augex'!$L$28:$L$52,0),MATCH($C151,'LV &amp; HV augex'!$D$27:$J$27,0)),0)*'Financial inputs'!$D$11</f>
        <v>0</v>
      </c>
      <c r="K151" s="40">
        <f>IFERROR(INDEX('LV &amp; HV augex'!$D$10:$P$18,MATCH($C151,'LV &amp; HV augex'!$C$10:$C$18,0),MATCH(K$19,'LV &amp; HV augex'!$D$9:$P$9,0))*INDEX('LV &amp; HV augex'!$D$28:$J$52,MATCH($B151,'LV &amp; HV augex'!$L$28:$L$52,0),MATCH($C151,'LV &amp; HV augex'!$D$27:$J$27,0)),0)*'Financial inputs'!$D$11</f>
        <v>0</v>
      </c>
      <c r="L151" s="40">
        <f>IFERROR(INDEX('LV &amp; HV augex'!$D$10:$P$18,MATCH($C151,'LV &amp; HV augex'!$C$10:$C$18,0),MATCH(L$19,'LV &amp; HV augex'!$D$9:$P$9,0))*INDEX('LV &amp; HV augex'!$D$28:$J$52,MATCH($B151,'LV &amp; HV augex'!$L$28:$L$52,0),MATCH($C151,'LV &amp; HV augex'!$D$27:$J$27,0)),0)*'Financial inputs'!$D$11</f>
        <v>0</v>
      </c>
      <c r="M151" s="40">
        <f>IFERROR(INDEX('LV &amp; HV augex'!$D$10:$P$18,MATCH($C151,'LV &amp; HV augex'!$C$10:$C$18,0),MATCH(M$19,'LV &amp; HV augex'!$D$9:$P$9,0))*INDEX('LV &amp; HV augex'!$D$28:$J$52,MATCH($B151,'LV &amp; HV augex'!$L$28:$L$52,0),MATCH($C151,'LV &amp; HV augex'!$D$27:$J$27,0)),0)*'Financial inputs'!$D$11</f>
        <v>0</v>
      </c>
      <c r="N151" s="40">
        <f>IFERROR(INDEX('LV &amp; HV augex'!$D$10:$P$18,MATCH($C151,'LV &amp; HV augex'!$C$10:$C$18,0),MATCH(N$19,'LV &amp; HV augex'!$D$9:$P$9,0))*INDEX('LV &amp; HV augex'!$D$28:$J$52,MATCH($B151,'LV &amp; HV augex'!$L$28:$L$52,0),MATCH($C151,'LV &amp; HV augex'!$D$27:$J$27,0)),0)*'Financial inputs'!$D$11</f>
        <v>0</v>
      </c>
      <c r="O151" s="40">
        <f>IFERROR(INDEX('LV &amp; HV augex'!$D$10:$P$18,MATCH($C151,'LV &amp; HV augex'!$C$10:$C$18,0),MATCH(O$19,'LV &amp; HV augex'!$D$9:$P$9,0))*INDEX('LV &amp; HV augex'!$D$28:$J$52,MATCH($B151,'LV &amp; HV augex'!$L$28:$L$52,0),MATCH($C151,'LV &amp; HV augex'!$D$27:$J$27,0)),0)*'Financial inputs'!$D$11</f>
        <v>0</v>
      </c>
      <c r="P151" s="40">
        <f>IFERROR(INDEX('LV &amp; HV augex'!$D$10:$P$18,MATCH($C151,'LV &amp; HV augex'!$C$10:$C$18,0),MATCH(P$19,'LV &amp; HV augex'!$D$9:$P$9,0))*INDEX('LV &amp; HV augex'!$D$28:$J$52,MATCH($B151,'LV &amp; HV augex'!$L$28:$L$52,0),MATCH($C151,'LV &amp; HV augex'!$D$27:$J$27,0)),0)*'Financial inputs'!$D$11</f>
        <v>0</v>
      </c>
    </row>
    <row r="152" spans="2:16" ht="15.5">
      <c r="B152" s="2" t="str">
        <f t="shared" si="7"/>
        <v>Canterbury Bankstown</v>
      </c>
      <c r="C152" s="35" t="str" cm="1">
        <f t="array" ref="C152">INDEX(augex_categories,COUNTIFS($B$20:$B152,$B$20))</f>
        <v>HV Reinforcement OH (Upgrade)</v>
      </c>
      <c r="D152" s="35" t="str">
        <f>IF(COUNTIF('LV &amp; HV augex'!$C$10:$C$13,C152), "LV", IF(COUNTIF('LV &amp; HV augex'!$C$15:$C$17, C152), "HV", "Error"))</f>
        <v>HV</v>
      </c>
      <c r="E152" s="35" t="str">
        <f>INDEX('Growing &amp; falling'!$D$14:$D$39,MATCH($B152,'Growing &amp; falling'!$B$14:$B$39,0))</f>
        <v>Growth</v>
      </c>
      <c r="F152" s="35" t="str">
        <f t="shared" si="8"/>
        <v>$2024 real</v>
      </c>
      <c r="G152" s="40">
        <f>IFERROR(INDEX('LV &amp; HV augex'!$D$10:$P$18,MATCH($C152,'LV &amp; HV augex'!$C$10:$C$18,0),MATCH(G$19,'LV &amp; HV augex'!$D$9:$P$9,0))*INDEX('LV &amp; HV augex'!$D$28:$J$52,MATCH($B152,'LV &amp; HV augex'!$L$28:$L$52,0),MATCH($C152,'LV &amp; HV augex'!$D$27:$J$27,0)),0)*'Financial inputs'!$D$11</f>
        <v>183399.22895833096</v>
      </c>
      <c r="H152" s="40">
        <f>IFERROR(INDEX('LV &amp; HV augex'!$D$10:$P$18,MATCH($C152,'LV &amp; HV augex'!$C$10:$C$18,0),MATCH(H$19,'LV &amp; HV augex'!$D$9:$P$9,0))*INDEX('LV &amp; HV augex'!$D$28:$J$52,MATCH($B152,'LV &amp; HV augex'!$L$28:$L$52,0),MATCH($C152,'LV &amp; HV augex'!$D$27:$J$27,0)),0)*'Financial inputs'!$D$11</f>
        <v>180779.25771728304</v>
      </c>
      <c r="I152" s="40">
        <f>IFERROR(INDEX('LV &amp; HV augex'!$D$10:$P$18,MATCH($C152,'LV &amp; HV augex'!$C$10:$C$18,0),MATCH(I$19,'LV &amp; HV augex'!$D$9:$P$9,0))*INDEX('LV &amp; HV augex'!$D$28:$J$52,MATCH($B152,'LV &amp; HV augex'!$L$28:$L$52,0),MATCH($C152,'LV &amp; HV augex'!$D$27:$J$27,0)),0)*'Financial inputs'!$D$11</f>
        <v>182744.23614806897</v>
      </c>
      <c r="J152" s="40">
        <f>IFERROR(INDEX('LV &amp; HV augex'!$D$10:$P$18,MATCH($C152,'LV &amp; HV augex'!$C$10:$C$18,0),MATCH(J$19,'LV &amp; HV augex'!$D$9:$P$9,0))*INDEX('LV &amp; HV augex'!$D$28:$J$52,MATCH($B152,'LV &amp; HV augex'!$L$28:$L$52,0),MATCH($C152,'LV &amp; HV augex'!$D$27:$J$27,0)),0)*'Financial inputs'!$D$11</f>
        <v>182744.23614806897</v>
      </c>
      <c r="K152" s="40">
        <f>IFERROR(INDEX('LV &amp; HV augex'!$D$10:$P$18,MATCH($C152,'LV &amp; HV augex'!$C$10:$C$18,0),MATCH(K$19,'LV &amp; HV augex'!$D$9:$P$9,0))*INDEX('LV &amp; HV augex'!$D$28:$J$52,MATCH($B152,'LV &amp; HV augex'!$L$28:$L$52,0),MATCH($C152,'LV &amp; HV augex'!$D$27:$J$27,0)),0)*'Financial inputs'!$D$11</f>
        <v>182744.23614806897</v>
      </c>
      <c r="L152" s="40">
        <f>IFERROR(INDEX('LV &amp; HV augex'!$D$10:$P$18,MATCH($C152,'LV &amp; HV augex'!$C$10:$C$18,0),MATCH(L$19,'LV &amp; HV augex'!$D$9:$P$9,0))*INDEX('LV &amp; HV augex'!$D$28:$J$52,MATCH($B152,'LV &amp; HV augex'!$L$28:$L$52,0),MATCH($C152,'LV &amp; HV augex'!$D$27:$J$27,0)),0)*'Financial inputs'!$D$11</f>
        <v>182744.23614806897</v>
      </c>
      <c r="M152" s="40">
        <f>IFERROR(INDEX('LV &amp; HV augex'!$D$10:$P$18,MATCH($C152,'LV &amp; HV augex'!$C$10:$C$18,0),MATCH(M$19,'LV &amp; HV augex'!$D$9:$P$9,0))*INDEX('LV &amp; HV augex'!$D$28:$J$52,MATCH($B152,'LV &amp; HV augex'!$L$28:$L$52,0),MATCH($C152,'LV &amp; HV augex'!$D$27:$J$27,0)),0)*'Financial inputs'!$D$11</f>
        <v>182744.23614806897</v>
      </c>
      <c r="N152" s="40">
        <f>IFERROR(INDEX('LV &amp; HV augex'!$D$10:$P$18,MATCH($C152,'LV &amp; HV augex'!$C$10:$C$18,0),MATCH(N$19,'LV &amp; HV augex'!$D$9:$P$9,0))*INDEX('LV &amp; HV augex'!$D$28:$J$52,MATCH($B152,'LV &amp; HV augex'!$L$28:$L$52,0),MATCH($C152,'LV &amp; HV augex'!$D$27:$J$27,0)),0)*'Financial inputs'!$D$11</f>
        <v>182744.23614806897</v>
      </c>
      <c r="O152" s="40">
        <f>IFERROR(INDEX('LV &amp; HV augex'!$D$10:$P$18,MATCH($C152,'LV &amp; HV augex'!$C$10:$C$18,0),MATCH(O$19,'LV &amp; HV augex'!$D$9:$P$9,0))*INDEX('LV &amp; HV augex'!$D$28:$J$52,MATCH($B152,'LV &amp; HV augex'!$L$28:$L$52,0),MATCH($C152,'LV &amp; HV augex'!$D$27:$J$27,0)),0)*'Financial inputs'!$D$11</f>
        <v>182744.23614806897</v>
      </c>
      <c r="P152" s="40">
        <f>IFERROR(INDEX('LV &amp; HV augex'!$D$10:$P$18,MATCH($C152,'LV &amp; HV augex'!$C$10:$C$18,0),MATCH(P$19,'LV &amp; HV augex'!$D$9:$P$9,0))*INDEX('LV &amp; HV augex'!$D$28:$J$52,MATCH($B152,'LV &amp; HV augex'!$L$28:$L$52,0),MATCH($C152,'LV &amp; HV augex'!$D$27:$J$27,0)),0)*'Financial inputs'!$D$11</f>
        <v>182744.23614806897</v>
      </c>
    </row>
    <row r="153" spans="2:16" ht="15.5">
      <c r="B153" s="2" t="str">
        <f t="shared" si="7"/>
        <v>Carlingford</v>
      </c>
      <c r="C153" s="35" t="str" cm="1">
        <f t="array" ref="C153">INDEX(augex_categories,COUNTIFS($B$20:$B153,$B$20))</f>
        <v>HV Reinforcement OH (Upgrade)</v>
      </c>
      <c r="D153" s="35" t="str">
        <f>IF(COUNTIF('LV &amp; HV augex'!$C$10:$C$13,C153), "LV", IF(COUNTIF('LV &amp; HV augex'!$C$15:$C$17, C153), "HV", "Error"))</f>
        <v>HV</v>
      </c>
      <c r="E153" s="35" t="str">
        <f>INDEX('Growing &amp; falling'!$D$14:$D$39,MATCH($B153,'Growing &amp; falling'!$B$14:$B$39,0))</f>
        <v>Growth</v>
      </c>
      <c r="F153" s="35" t="str">
        <f t="shared" si="8"/>
        <v>$2024 real</v>
      </c>
      <c r="G153" s="40">
        <f>IFERROR(INDEX('LV &amp; HV augex'!$D$10:$P$18,MATCH($C153,'LV &amp; HV augex'!$C$10:$C$18,0),MATCH(G$19,'LV &amp; HV augex'!$D$9:$P$9,0))*INDEX('LV &amp; HV augex'!$D$28:$J$52,MATCH($B153,'LV &amp; HV augex'!$L$28:$L$52,0),MATCH($C153,'LV &amp; HV augex'!$D$27:$J$27,0)),0)*'Financial inputs'!$D$11</f>
        <v>45567.933972888735</v>
      </c>
      <c r="H153" s="40">
        <f>IFERROR(INDEX('LV &amp; HV augex'!$D$10:$P$18,MATCH($C153,'LV &amp; HV augex'!$C$10:$C$18,0),MATCH(H$19,'LV &amp; HV augex'!$D$9:$P$9,0))*INDEX('LV &amp; HV augex'!$D$28:$J$52,MATCH($B153,'LV &amp; HV augex'!$L$28:$L$52,0),MATCH($C153,'LV &amp; HV augex'!$D$27:$J$27,0)),0)*'Financial inputs'!$D$11</f>
        <v>44916.967896307986</v>
      </c>
      <c r="I153" s="40">
        <f>IFERROR(INDEX('LV &amp; HV augex'!$D$10:$P$18,MATCH($C153,'LV &amp; HV augex'!$C$10:$C$18,0),MATCH(I$19,'LV &amp; HV augex'!$D$9:$P$9,0))*INDEX('LV &amp; HV augex'!$D$28:$J$52,MATCH($B153,'LV &amp; HV augex'!$L$28:$L$52,0),MATCH($C153,'LV &amp; HV augex'!$D$27:$J$27,0)),0)*'Financial inputs'!$D$11</f>
        <v>45405.192453743548</v>
      </c>
      <c r="J153" s="40">
        <f>IFERROR(INDEX('LV &amp; HV augex'!$D$10:$P$18,MATCH($C153,'LV &amp; HV augex'!$C$10:$C$18,0),MATCH(J$19,'LV &amp; HV augex'!$D$9:$P$9,0))*INDEX('LV &amp; HV augex'!$D$28:$J$52,MATCH($B153,'LV &amp; HV augex'!$L$28:$L$52,0),MATCH($C153,'LV &amp; HV augex'!$D$27:$J$27,0)),0)*'Financial inputs'!$D$11</f>
        <v>45405.192453743548</v>
      </c>
      <c r="K153" s="40">
        <f>IFERROR(INDEX('LV &amp; HV augex'!$D$10:$P$18,MATCH($C153,'LV &amp; HV augex'!$C$10:$C$18,0),MATCH(K$19,'LV &amp; HV augex'!$D$9:$P$9,0))*INDEX('LV &amp; HV augex'!$D$28:$J$52,MATCH($B153,'LV &amp; HV augex'!$L$28:$L$52,0),MATCH($C153,'LV &amp; HV augex'!$D$27:$J$27,0)),0)*'Financial inputs'!$D$11</f>
        <v>45405.192453743548</v>
      </c>
      <c r="L153" s="40">
        <f>IFERROR(INDEX('LV &amp; HV augex'!$D$10:$P$18,MATCH($C153,'LV &amp; HV augex'!$C$10:$C$18,0),MATCH(L$19,'LV &amp; HV augex'!$D$9:$P$9,0))*INDEX('LV &amp; HV augex'!$D$28:$J$52,MATCH($B153,'LV &amp; HV augex'!$L$28:$L$52,0),MATCH($C153,'LV &amp; HV augex'!$D$27:$J$27,0)),0)*'Financial inputs'!$D$11</f>
        <v>45405.192453743548</v>
      </c>
      <c r="M153" s="40">
        <f>IFERROR(INDEX('LV &amp; HV augex'!$D$10:$P$18,MATCH($C153,'LV &amp; HV augex'!$C$10:$C$18,0),MATCH(M$19,'LV &amp; HV augex'!$D$9:$P$9,0))*INDEX('LV &amp; HV augex'!$D$28:$J$52,MATCH($B153,'LV &amp; HV augex'!$L$28:$L$52,0),MATCH($C153,'LV &amp; HV augex'!$D$27:$J$27,0)),0)*'Financial inputs'!$D$11</f>
        <v>45405.192453743548</v>
      </c>
      <c r="N153" s="40">
        <f>IFERROR(INDEX('LV &amp; HV augex'!$D$10:$P$18,MATCH($C153,'LV &amp; HV augex'!$C$10:$C$18,0),MATCH(N$19,'LV &amp; HV augex'!$D$9:$P$9,0))*INDEX('LV &amp; HV augex'!$D$28:$J$52,MATCH($B153,'LV &amp; HV augex'!$L$28:$L$52,0),MATCH($C153,'LV &amp; HV augex'!$D$27:$J$27,0)),0)*'Financial inputs'!$D$11</f>
        <v>45405.192453743548</v>
      </c>
      <c r="O153" s="40">
        <f>IFERROR(INDEX('LV &amp; HV augex'!$D$10:$P$18,MATCH($C153,'LV &amp; HV augex'!$C$10:$C$18,0),MATCH(O$19,'LV &amp; HV augex'!$D$9:$P$9,0))*INDEX('LV &amp; HV augex'!$D$28:$J$52,MATCH($B153,'LV &amp; HV augex'!$L$28:$L$52,0),MATCH($C153,'LV &amp; HV augex'!$D$27:$J$27,0)),0)*'Financial inputs'!$D$11</f>
        <v>45405.192453743548</v>
      </c>
      <c r="P153" s="40">
        <f>IFERROR(INDEX('LV &amp; HV augex'!$D$10:$P$18,MATCH($C153,'LV &amp; HV augex'!$C$10:$C$18,0),MATCH(P$19,'LV &amp; HV augex'!$D$9:$P$9,0))*INDEX('LV &amp; HV augex'!$D$28:$J$52,MATCH($B153,'LV &amp; HV augex'!$L$28:$L$52,0),MATCH($C153,'LV &amp; HV augex'!$D$27:$J$27,0)),0)*'Financial inputs'!$D$11</f>
        <v>45405.192453743548</v>
      </c>
    </row>
    <row r="154" spans="2:16" ht="15.5">
      <c r="B154" s="2" t="str">
        <f t="shared" si="7"/>
        <v>Eastern Suburbs</v>
      </c>
      <c r="C154" s="35" t="str" cm="1">
        <f t="array" ref="C154">INDEX(augex_categories,COUNTIFS($B$20:$B154,$B$20))</f>
        <v>HV Reinforcement OH (Upgrade)</v>
      </c>
      <c r="D154" s="35" t="str">
        <f>IF(COUNTIF('LV &amp; HV augex'!$C$10:$C$13,C154), "LV", IF(COUNTIF('LV &amp; HV augex'!$C$15:$C$17, C154), "HV", "Error"))</f>
        <v>HV</v>
      </c>
      <c r="E154" s="35" t="str">
        <f>INDEX('Growing &amp; falling'!$D$14:$D$39,MATCH($B154,'Growing &amp; falling'!$B$14:$B$39,0))</f>
        <v>Growth</v>
      </c>
      <c r="F154" s="35" t="str">
        <f t="shared" si="8"/>
        <v>$2024 real</v>
      </c>
      <c r="G154" s="40">
        <f>IFERROR(INDEX('LV &amp; HV augex'!$D$10:$P$18,MATCH($C154,'LV &amp; HV augex'!$C$10:$C$18,0),MATCH(G$19,'LV &amp; HV augex'!$D$9:$P$9,0))*INDEX('LV &amp; HV augex'!$D$28:$J$52,MATCH($B154,'LV &amp; HV augex'!$L$28:$L$52,0),MATCH($C154,'LV &amp; HV augex'!$D$27:$J$27,0)),0)*'Financial inputs'!$D$11</f>
        <v>83047.472831076331</v>
      </c>
      <c r="H154" s="40">
        <f>IFERROR(INDEX('LV &amp; HV augex'!$D$10:$P$18,MATCH($C154,'LV &amp; HV augex'!$C$10:$C$18,0),MATCH(H$19,'LV &amp; HV augex'!$D$9:$P$9,0))*INDEX('LV &amp; HV augex'!$D$28:$J$52,MATCH($B154,'LV &amp; HV augex'!$L$28:$L$52,0),MATCH($C154,'LV &amp; HV augex'!$D$27:$J$27,0)),0)*'Financial inputs'!$D$11</f>
        <v>81861.088396992549</v>
      </c>
      <c r="I154" s="40">
        <f>IFERROR(INDEX('LV &amp; HV augex'!$D$10:$P$18,MATCH($C154,'LV &amp; HV augex'!$C$10:$C$18,0),MATCH(I$19,'LV &amp; HV augex'!$D$9:$P$9,0))*INDEX('LV &amp; HV augex'!$D$28:$J$52,MATCH($B154,'LV &amp; HV augex'!$L$28:$L$52,0),MATCH($C154,'LV &amp; HV augex'!$D$27:$J$27,0)),0)*'Financial inputs'!$D$11</f>
        <v>82750.876722555375</v>
      </c>
      <c r="J154" s="40">
        <f>IFERROR(INDEX('LV &amp; HV augex'!$D$10:$P$18,MATCH($C154,'LV &amp; HV augex'!$C$10:$C$18,0),MATCH(J$19,'LV &amp; HV augex'!$D$9:$P$9,0))*INDEX('LV &amp; HV augex'!$D$28:$J$52,MATCH($B154,'LV &amp; HV augex'!$L$28:$L$52,0),MATCH($C154,'LV &amp; HV augex'!$D$27:$J$27,0)),0)*'Financial inputs'!$D$11</f>
        <v>82750.876722555375</v>
      </c>
      <c r="K154" s="40">
        <f>IFERROR(INDEX('LV &amp; HV augex'!$D$10:$P$18,MATCH($C154,'LV &amp; HV augex'!$C$10:$C$18,0),MATCH(K$19,'LV &amp; HV augex'!$D$9:$P$9,0))*INDEX('LV &amp; HV augex'!$D$28:$J$52,MATCH($B154,'LV &amp; HV augex'!$L$28:$L$52,0),MATCH($C154,'LV &amp; HV augex'!$D$27:$J$27,0)),0)*'Financial inputs'!$D$11</f>
        <v>82750.876722555375</v>
      </c>
      <c r="L154" s="40">
        <f>IFERROR(INDEX('LV &amp; HV augex'!$D$10:$P$18,MATCH($C154,'LV &amp; HV augex'!$C$10:$C$18,0),MATCH(L$19,'LV &amp; HV augex'!$D$9:$P$9,0))*INDEX('LV &amp; HV augex'!$D$28:$J$52,MATCH($B154,'LV &amp; HV augex'!$L$28:$L$52,0),MATCH($C154,'LV &amp; HV augex'!$D$27:$J$27,0)),0)*'Financial inputs'!$D$11</f>
        <v>82750.876722555375</v>
      </c>
      <c r="M154" s="40">
        <f>IFERROR(INDEX('LV &amp; HV augex'!$D$10:$P$18,MATCH($C154,'LV &amp; HV augex'!$C$10:$C$18,0),MATCH(M$19,'LV &amp; HV augex'!$D$9:$P$9,0))*INDEX('LV &amp; HV augex'!$D$28:$J$52,MATCH($B154,'LV &amp; HV augex'!$L$28:$L$52,0),MATCH($C154,'LV &amp; HV augex'!$D$27:$J$27,0)),0)*'Financial inputs'!$D$11</f>
        <v>82750.876722555375</v>
      </c>
      <c r="N154" s="40">
        <f>IFERROR(INDEX('LV &amp; HV augex'!$D$10:$P$18,MATCH($C154,'LV &amp; HV augex'!$C$10:$C$18,0),MATCH(N$19,'LV &amp; HV augex'!$D$9:$P$9,0))*INDEX('LV &amp; HV augex'!$D$28:$J$52,MATCH($B154,'LV &amp; HV augex'!$L$28:$L$52,0),MATCH($C154,'LV &amp; HV augex'!$D$27:$J$27,0)),0)*'Financial inputs'!$D$11</f>
        <v>82750.876722555375</v>
      </c>
      <c r="O154" s="40">
        <f>IFERROR(INDEX('LV &amp; HV augex'!$D$10:$P$18,MATCH($C154,'LV &amp; HV augex'!$C$10:$C$18,0),MATCH(O$19,'LV &amp; HV augex'!$D$9:$P$9,0))*INDEX('LV &amp; HV augex'!$D$28:$J$52,MATCH($B154,'LV &amp; HV augex'!$L$28:$L$52,0),MATCH($C154,'LV &amp; HV augex'!$D$27:$J$27,0)),0)*'Financial inputs'!$D$11</f>
        <v>82750.876722555375</v>
      </c>
      <c r="P154" s="40">
        <f>IFERROR(INDEX('LV &amp; HV augex'!$D$10:$P$18,MATCH($C154,'LV &amp; HV augex'!$C$10:$C$18,0),MATCH(P$19,'LV &amp; HV augex'!$D$9:$P$9,0))*INDEX('LV &amp; HV augex'!$D$28:$J$52,MATCH($B154,'LV &amp; HV augex'!$L$28:$L$52,0),MATCH($C154,'LV &amp; HV augex'!$D$27:$J$27,0)),0)*'Financial inputs'!$D$11</f>
        <v>82750.876722555375</v>
      </c>
    </row>
    <row r="155" spans="2:16" ht="15.5">
      <c r="B155" s="2" t="str">
        <f t="shared" si="7"/>
        <v>Greater Cessnock</v>
      </c>
      <c r="C155" s="35" t="str" cm="1">
        <f t="array" ref="C155">INDEX(augex_categories,COUNTIFS($B$20:$B155,$B$20))</f>
        <v>HV Reinforcement OH (Upgrade)</v>
      </c>
      <c r="D155" s="35" t="str">
        <f>IF(COUNTIF('LV &amp; HV augex'!$C$10:$C$13,C155), "LV", IF(COUNTIF('LV &amp; HV augex'!$C$15:$C$17, C155), "HV", "Error"))</f>
        <v>HV</v>
      </c>
      <c r="E155" s="35" t="str">
        <f>INDEX('Growing &amp; falling'!$D$14:$D$39,MATCH($B155,'Growing &amp; falling'!$B$14:$B$39,0))</f>
        <v>Growth</v>
      </c>
      <c r="F155" s="35" t="str">
        <f t="shared" si="8"/>
        <v>$2024 real</v>
      </c>
      <c r="G155" s="40">
        <f>IFERROR(INDEX('LV &amp; HV augex'!$D$10:$P$18,MATCH($C155,'LV &amp; HV augex'!$C$10:$C$18,0),MATCH(G$19,'LV &amp; HV augex'!$D$9:$P$9,0))*INDEX('LV &amp; HV augex'!$D$28:$J$52,MATCH($B155,'LV &amp; HV augex'!$L$28:$L$52,0),MATCH($C155,'LV &amp; HV augex'!$D$27:$J$27,0)),0)*'Financial inputs'!$D$11</f>
        <v>248927.30026454775</v>
      </c>
      <c r="H155" s="40">
        <f>IFERROR(INDEX('LV &amp; HV augex'!$D$10:$P$18,MATCH($C155,'LV &amp; HV augex'!$C$10:$C$18,0),MATCH(H$19,'LV &amp; HV augex'!$D$9:$P$9,0))*INDEX('LV &amp; HV augex'!$D$28:$J$52,MATCH($B155,'LV &amp; HV augex'!$L$28:$L$52,0),MATCH($C155,'LV &amp; HV augex'!$D$27:$J$27,0)),0)*'Financial inputs'!$D$11</f>
        <v>245371.2200590361</v>
      </c>
      <c r="I155" s="40">
        <f>IFERROR(INDEX('LV &amp; HV augex'!$D$10:$P$18,MATCH($C155,'LV &amp; HV augex'!$C$10:$C$18,0),MATCH(I$19,'LV &amp; HV augex'!$D$9:$P$9,0))*INDEX('LV &amp; HV augex'!$D$28:$J$52,MATCH($B155,'LV &amp; HV augex'!$L$28:$L$52,0),MATCH($C155,'LV &amp; HV augex'!$D$27:$J$27,0)),0)*'Financial inputs'!$D$11</f>
        <v>248038.28021316984</v>
      </c>
      <c r="J155" s="40">
        <f>IFERROR(INDEX('LV &amp; HV augex'!$D$10:$P$18,MATCH($C155,'LV &amp; HV augex'!$C$10:$C$18,0),MATCH(J$19,'LV &amp; HV augex'!$D$9:$P$9,0))*INDEX('LV &amp; HV augex'!$D$28:$J$52,MATCH($B155,'LV &amp; HV augex'!$L$28:$L$52,0),MATCH($C155,'LV &amp; HV augex'!$D$27:$J$27,0)),0)*'Financial inputs'!$D$11</f>
        <v>248038.28021316984</v>
      </c>
      <c r="K155" s="40">
        <f>IFERROR(INDEX('LV &amp; HV augex'!$D$10:$P$18,MATCH($C155,'LV &amp; HV augex'!$C$10:$C$18,0),MATCH(K$19,'LV &amp; HV augex'!$D$9:$P$9,0))*INDEX('LV &amp; HV augex'!$D$28:$J$52,MATCH($B155,'LV &amp; HV augex'!$L$28:$L$52,0),MATCH($C155,'LV &amp; HV augex'!$D$27:$J$27,0)),0)*'Financial inputs'!$D$11</f>
        <v>248038.28021316984</v>
      </c>
      <c r="L155" s="40">
        <f>IFERROR(INDEX('LV &amp; HV augex'!$D$10:$P$18,MATCH($C155,'LV &amp; HV augex'!$C$10:$C$18,0),MATCH(L$19,'LV &amp; HV augex'!$D$9:$P$9,0))*INDEX('LV &amp; HV augex'!$D$28:$J$52,MATCH($B155,'LV &amp; HV augex'!$L$28:$L$52,0),MATCH($C155,'LV &amp; HV augex'!$D$27:$J$27,0)),0)*'Financial inputs'!$D$11</f>
        <v>248038.28021316984</v>
      </c>
      <c r="M155" s="40">
        <f>IFERROR(INDEX('LV &amp; HV augex'!$D$10:$P$18,MATCH($C155,'LV &amp; HV augex'!$C$10:$C$18,0),MATCH(M$19,'LV &amp; HV augex'!$D$9:$P$9,0))*INDEX('LV &amp; HV augex'!$D$28:$J$52,MATCH($B155,'LV &amp; HV augex'!$L$28:$L$52,0),MATCH($C155,'LV &amp; HV augex'!$D$27:$J$27,0)),0)*'Financial inputs'!$D$11</f>
        <v>248038.28021316984</v>
      </c>
      <c r="N155" s="40">
        <f>IFERROR(INDEX('LV &amp; HV augex'!$D$10:$P$18,MATCH($C155,'LV &amp; HV augex'!$C$10:$C$18,0),MATCH(N$19,'LV &amp; HV augex'!$D$9:$P$9,0))*INDEX('LV &amp; HV augex'!$D$28:$J$52,MATCH($B155,'LV &amp; HV augex'!$L$28:$L$52,0),MATCH($C155,'LV &amp; HV augex'!$D$27:$J$27,0)),0)*'Financial inputs'!$D$11</f>
        <v>248038.28021316984</v>
      </c>
      <c r="O155" s="40">
        <f>IFERROR(INDEX('LV &amp; HV augex'!$D$10:$P$18,MATCH($C155,'LV &amp; HV augex'!$C$10:$C$18,0),MATCH(O$19,'LV &amp; HV augex'!$D$9:$P$9,0))*INDEX('LV &amp; HV augex'!$D$28:$J$52,MATCH($B155,'LV &amp; HV augex'!$L$28:$L$52,0),MATCH($C155,'LV &amp; HV augex'!$D$27:$J$27,0)),0)*'Financial inputs'!$D$11</f>
        <v>248038.28021316984</v>
      </c>
      <c r="P155" s="40">
        <f>IFERROR(INDEX('LV &amp; HV augex'!$D$10:$P$18,MATCH($C155,'LV &amp; HV augex'!$C$10:$C$18,0),MATCH(P$19,'LV &amp; HV augex'!$D$9:$P$9,0))*INDEX('LV &amp; HV augex'!$D$28:$J$52,MATCH($B155,'LV &amp; HV augex'!$L$28:$L$52,0),MATCH($C155,'LV &amp; HV augex'!$D$27:$J$27,0)),0)*'Financial inputs'!$D$11</f>
        <v>248038.28021316984</v>
      </c>
    </row>
    <row r="156" spans="2:16" ht="15.5">
      <c r="B156" s="2" t="str">
        <f t="shared" si="7"/>
        <v>Lower Central Coast</v>
      </c>
      <c r="C156" s="35" t="str" cm="1">
        <f t="array" ref="C156">INDEX(augex_categories,COUNTIFS($B$20:$B156,$B$20))</f>
        <v>HV Reinforcement OH (Upgrade)</v>
      </c>
      <c r="D156" s="35" t="str">
        <f>IF(COUNTIF('LV &amp; HV augex'!$C$10:$C$13,C156), "LV", IF(COUNTIF('LV &amp; HV augex'!$C$15:$C$17, C156), "HV", "Error"))</f>
        <v>HV</v>
      </c>
      <c r="E156" s="35" t="str">
        <f>INDEX('Growing &amp; falling'!$D$14:$D$39,MATCH($B156,'Growing &amp; falling'!$B$14:$B$39,0))</f>
        <v>Growth</v>
      </c>
      <c r="F156" s="35" t="str">
        <f t="shared" si="8"/>
        <v>$2024 real</v>
      </c>
      <c r="G156" s="40">
        <f>IFERROR(INDEX('LV &amp; HV augex'!$D$10:$P$18,MATCH($C156,'LV &amp; HV augex'!$C$10:$C$18,0),MATCH(G$19,'LV &amp; HV augex'!$D$9:$P$9,0))*INDEX('LV &amp; HV augex'!$D$28:$J$52,MATCH($B156,'LV &amp; HV augex'!$L$28:$L$52,0),MATCH($C156,'LV &amp; HV augex'!$D$27:$J$27,0)),0)*'Financial inputs'!$D$11</f>
        <v>233172.41995958856</v>
      </c>
      <c r="H156" s="40">
        <f>IFERROR(INDEX('LV &amp; HV augex'!$D$10:$P$18,MATCH($C156,'LV &amp; HV augex'!$C$10:$C$18,0),MATCH(H$19,'LV &amp; HV augex'!$D$9:$P$9,0))*INDEX('LV &amp; HV augex'!$D$28:$J$52,MATCH($B156,'LV &amp; HV augex'!$L$28:$L$52,0),MATCH($C156,'LV &amp; HV augex'!$D$27:$J$27,0)),0)*'Financial inputs'!$D$11</f>
        <v>229841.40794841771</v>
      </c>
      <c r="I156" s="40">
        <f>IFERROR(INDEX('LV &amp; HV augex'!$D$10:$P$18,MATCH($C156,'LV &amp; HV augex'!$C$10:$C$18,0),MATCH(I$19,'LV &amp; HV augex'!$D$9:$P$9,0))*INDEX('LV &amp; HV augex'!$D$28:$J$52,MATCH($B156,'LV &amp; HV augex'!$L$28:$L$52,0),MATCH($C156,'LV &amp; HV augex'!$D$27:$J$27,0)),0)*'Financial inputs'!$D$11</f>
        <v>232339.66695679585</v>
      </c>
      <c r="J156" s="40">
        <f>IFERROR(INDEX('LV &amp; HV augex'!$D$10:$P$18,MATCH($C156,'LV &amp; HV augex'!$C$10:$C$18,0),MATCH(J$19,'LV &amp; HV augex'!$D$9:$P$9,0))*INDEX('LV &amp; HV augex'!$D$28:$J$52,MATCH($B156,'LV &amp; HV augex'!$L$28:$L$52,0),MATCH($C156,'LV &amp; HV augex'!$D$27:$J$27,0)),0)*'Financial inputs'!$D$11</f>
        <v>232339.66695679585</v>
      </c>
      <c r="K156" s="40">
        <f>IFERROR(INDEX('LV &amp; HV augex'!$D$10:$P$18,MATCH($C156,'LV &amp; HV augex'!$C$10:$C$18,0),MATCH(K$19,'LV &amp; HV augex'!$D$9:$P$9,0))*INDEX('LV &amp; HV augex'!$D$28:$J$52,MATCH($B156,'LV &amp; HV augex'!$L$28:$L$52,0),MATCH($C156,'LV &amp; HV augex'!$D$27:$J$27,0)),0)*'Financial inputs'!$D$11</f>
        <v>232339.66695679585</v>
      </c>
      <c r="L156" s="40">
        <f>IFERROR(INDEX('LV &amp; HV augex'!$D$10:$P$18,MATCH($C156,'LV &amp; HV augex'!$C$10:$C$18,0),MATCH(L$19,'LV &amp; HV augex'!$D$9:$P$9,0))*INDEX('LV &amp; HV augex'!$D$28:$J$52,MATCH($B156,'LV &amp; HV augex'!$L$28:$L$52,0),MATCH($C156,'LV &amp; HV augex'!$D$27:$J$27,0)),0)*'Financial inputs'!$D$11</f>
        <v>232339.66695679585</v>
      </c>
      <c r="M156" s="40">
        <f>IFERROR(INDEX('LV &amp; HV augex'!$D$10:$P$18,MATCH($C156,'LV &amp; HV augex'!$C$10:$C$18,0),MATCH(M$19,'LV &amp; HV augex'!$D$9:$P$9,0))*INDEX('LV &amp; HV augex'!$D$28:$J$52,MATCH($B156,'LV &amp; HV augex'!$L$28:$L$52,0),MATCH($C156,'LV &amp; HV augex'!$D$27:$J$27,0)),0)*'Financial inputs'!$D$11</f>
        <v>232339.66695679585</v>
      </c>
      <c r="N156" s="40">
        <f>IFERROR(INDEX('LV &amp; HV augex'!$D$10:$P$18,MATCH($C156,'LV &amp; HV augex'!$C$10:$C$18,0),MATCH(N$19,'LV &amp; HV augex'!$D$9:$P$9,0))*INDEX('LV &amp; HV augex'!$D$28:$J$52,MATCH($B156,'LV &amp; HV augex'!$L$28:$L$52,0),MATCH($C156,'LV &amp; HV augex'!$D$27:$J$27,0)),0)*'Financial inputs'!$D$11</f>
        <v>232339.66695679585</v>
      </c>
      <c r="O156" s="40">
        <f>IFERROR(INDEX('LV &amp; HV augex'!$D$10:$P$18,MATCH($C156,'LV &amp; HV augex'!$C$10:$C$18,0),MATCH(O$19,'LV &amp; HV augex'!$D$9:$P$9,0))*INDEX('LV &amp; HV augex'!$D$28:$J$52,MATCH($B156,'LV &amp; HV augex'!$L$28:$L$52,0),MATCH($C156,'LV &amp; HV augex'!$D$27:$J$27,0)),0)*'Financial inputs'!$D$11</f>
        <v>232339.66695679585</v>
      </c>
      <c r="P156" s="40">
        <f>IFERROR(INDEX('LV &amp; HV augex'!$D$10:$P$18,MATCH($C156,'LV &amp; HV augex'!$C$10:$C$18,0),MATCH(P$19,'LV &amp; HV augex'!$D$9:$P$9,0))*INDEX('LV &amp; HV augex'!$D$28:$J$52,MATCH($B156,'LV &amp; HV augex'!$L$28:$L$52,0),MATCH($C156,'LV &amp; HV augex'!$D$27:$J$27,0)),0)*'Financial inputs'!$D$11</f>
        <v>232339.66695679585</v>
      </c>
    </row>
    <row r="157" spans="2:16" ht="15.5">
      <c r="B157" s="2" t="str">
        <f t="shared" si="7"/>
        <v>Lower North Shore</v>
      </c>
      <c r="C157" s="35" t="str" cm="1">
        <f t="array" ref="C157">INDEX(augex_categories,COUNTIFS($B$20:$B157,$B$20))</f>
        <v>HV Reinforcement OH (Upgrade)</v>
      </c>
      <c r="D157" s="35" t="str">
        <f>IF(COUNTIF('LV &amp; HV augex'!$C$10:$C$13,C157), "LV", IF(COUNTIF('LV &amp; HV augex'!$C$15:$C$17, C157), "HV", "Error"))</f>
        <v>HV</v>
      </c>
      <c r="E157" s="35" t="str">
        <f>INDEX('Growing &amp; falling'!$D$14:$D$39,MATCH($B157,'Growing &amp; falling'!$B$14:$B$39,0))</f>
        <v>Growth</v>
      </c>
      <c r="F157" s="35" t="str">
        <f t="shared" si="8"/>
        <v>$2024 real</v>
      </c>
      <c r="G157" s="40">
        <f>IFERROR(INDEX('LV &amp; HV augex'!$D$10:$P$18,MATCH($C157,'LV &amp; HV augex'!$C$10:$C$18,0),MATCH(G$19,'LV &amp; HV augex'!$D$9:$P$9,0))*INDEX('LV &amp; HV augex'!$D$28:$J$52,MATCH($B157,'LV &amp; HV augex'!$L$28:$L$52,0),MATCH($C157,'LV &amp; HV augex'!$D$27:$J$27,0)),0)*'Financial inputs'!$D$11</f>
        <v>13528.495647254424</v>
      </c>
      <c r="H157" s="40">
        <f>IFERROR(INDEX('LV &amp; HV augex'!$D$10:$P$18,MATCH($C157,'LV &amp; HV augex'!$C$10:$C$18,0),MATCH(H$19,'LV &amp; HV augex'!$D$9:$P$9,0))*INDEX('LV &amp; HV augex'!$D$28:$J$52,MATCH($B157,'LV &amp; HV augex'!$L$28:$L$52,0),MATCH($C157,'LV &amp; HV augex'!$D$27:$J$27,0)),0)*'Financial inputs'!$D$11</f>
        <v>13335.232732618604</v>
      </c>
      <c r="I157" s="40">
        <f>IFERROR(INDEX('LV &amp; HV augex'!$D$10:$P$18,MATCH($C157,'LV &amp; HV augex'!$C$10:$C$18,0),MATCH(I$19,'LV &amp; HV augex'!$D$9:$P$9,0))*INDEX('LV &amp; HV augex'!$D$28:$J$52,MATCH($B157,'LV &amp; HV augex'!$L$28:$L$52,0),MATCH($C157,'LV &amp; HV augex'!$D$27:$J$27,0)),0)*'Financial inputs'!$D$11</f>
        <v>13480.17991859547</v>
      </c>
      <c r="J157" s="40">
        <f>IFERROR(INDEX('LV &amp; HV augex'!$D$10:$P$18,MATCH($C157,'LV &amp; HV augex'!$C$10:$C$18,0),MATCH(J$19,'LV &amp; HV augex'!$D$9:$P$9,0))*INDEX('LV &amp; HV augex'!$D$28:$J$52,MATCH($B157,'LV &amp; HV augex'!$L$28:$L$52,0),MATCH($C157,'LV &amp; HV augex'!$D$27:$J$27,0)),0)*'Financial inputs'!$D$11</f>
        <v>13480.17991859547</v>
      </c>
      <c r="K157" s="40">
        <f>IFERROR(INDEX('LV &amp; HV augex'!$D$10:$P$18,MATCH($C157,'LV &amp; HV augex'!$C$10:$C$18,0),MATCH(K$19,'LV &amp; HV augex'!$D$9:$P$9,0))*INDEX('LV &amp; HV augex'!$D$28:$J$52,MATCH($B157,'LV &amp; HV augex'!$L$28:$L$52,0),MATCH($C157,'LV &amp; HV augex'!$D$27:$J$27,0)),0)*'Financial inputs'!$D$11</f>
        <v>13480.17991859547</v>
      </c>
      <c r="L157" s="40">
        <f>IFERROR(INDEX('LV &amp; HV augex'!$D$10:$P$18,MATCH($C157,'LV &amp; HV augex'!$C$10:$C$18,0),MATCH(L$19,'LV &amp; HV augex'!$D$9:$P$9,0))*INDEX('LV &amp; HV augex'!$D$28:$J$52,MATCH($B157,'LV &amp; HV augex'!$L$28:$L$52,0),MATCH($C157,'LV &amp; HV augex'!$D$27:$J$27,0)),0)*'Financial inputs'!$D$11</f>
        <v>13480.17991859547</v>
      </c>
      <c r="M157" s="40">
        <f>IFERROR(INDEX('LV &amp; HV augex'!$D$10:$P$18,MATCH($C157,'LV &amp; HV augex'!$C$10:$C$18,0),MATCH(M$19,'LV &amp; HV augex'!$D$9:$P$9,0))*INDEX('LV &amp; HV augex'!$D$28:$J$52,MATCH($B157,'LV &amp; HV augex'!$L$28:$L$52,0),MATCH($C157,'LV &amp; HV augex'!$D$27:$J$27,0)),0)*'Financial inputs'!$D$11</f>
        <v>13480.17991859547</v>
      </c>
      <c r="N157" s="40">
        <f>IFERROR(INDEX('LV &amp; HV augex'!$D$10:$P$18,MATCH($C157,'LV &amp; HV augex'!$C$10:$C$18,0),MATCH(N$19,'LV &amp; HV augex'!$D$9:$P$9,0))*INDEX('LV &amp; HV augex'!$D$28:$J$52,MATCH($B157,'LV &amp; HV augex'!$L$28:$L$52,0),MATCH($C157,'LV &amp; HV augex'!$D$27:$J$27,0)),0)*'Financial inputs'!$D$11</f>
        <v>13480.17991859547</v>
      </c>
      <c r="O157" s="40">
        <f>IFERROR(INDEX('LV &amp; HV augex'!$D$10:$P$18,MATCH($C157,'LV &amp; HV augex'!$C$10:$C$18,0),MATCH(O$19,'LV &amp; HV augex'!$D$9:$P$9,0))*INDEX('LV &amp; HV augex'!$D$28:$J$52,MATCH($B157,'LV &amp; HV augex'!$L$28:$L$52,0),MATCH($C157,'LV &amp; HV augex'!$D$27:$J$27,0)),0)*'Financial inputs'!$D$11</f>
        <v>13480.17991859547</v>
      </c>
      <c r="P157" s="40">
        <f>IFERROR(INDEX('LV &amp; HV augex'!$D$10:$P$18,MATCH($C157,'LV &amp; HV augex'!$C$10:$C$18,0),MATCH(P$19,'LV &amp; HV augex'!$D$9:$P$9,0))*INDEX('LV &amp; HV augex'!$D$28:$J$52,MATCH($B157,'LV &amp; HV augex'!$L$28:$L$52,0),MATCH($C157,'LV &amp; HV augex'!$D$27:$J$27,0)),0)*'Financial inputs'!$D$11</f>
        <v>13480.17991859547</v>
      </c>
    </row>
    <row r="158" spans="2:16" ht="15.5">
      <c r="B158" s="2" t="str">
        <f t="shared" si="7"/>
        <v>Maitland</v>
      </c>
      <c r="C158" s="35" t="str" cm="1">
        <f t="array" ref="C158">INDEX(augex_categories,COUNTIFS($B$20:$B158,$B$20))</f>
        <v>HV Reinforcement OH (Upgrade)</v>
      </c>
      <c r="D158" s="35" t="str">
        <f>IF(COUNTIF('LV &amp; HV augex'!$C$10:$C$13,C158), "LV", IF(COUNTIF('LV &amp; HV augex'!$C$15:$C$17, C158), "HV", "Error"))</f>
        <v>HV</v>
      </c>
      <c r="E158" s="35" t="str">
        <f>INDEX('Growing &amp; falling'!$D$14:$D$39,MATCH($B158,'Growing &amp; falling'!$B$14:$B$39,0))</f>
        <v>Growth</v>
      </c>
      <c r="F158" s="35" t="str">
        <f t="shared" si="8"/>
        <v>$2024 real</v>
      </c>
      <c r="G158" s="40">
        <f>IFERROR(INDEX('LV &amp; HV augex'!$D$10:$P$18,MATCH($C158,'LV &amp; HV augex'!$C$10:$C$18,0),MATCH(G$19,'LV &amp; HV augex'!$D$9:$P$9,0))*INDEX('LV &amp; HV augex'!$D$28:$J$52,MATCH($B158,'LV &amp; HV augex'!$L$28:$L$52,0),MATCH($C158,'LV &amp; HV augex'!$D$27:$J$27,0)),0)*'Financial inputs'!$D$11</f>
        <v>641458.8780381463</v>
      </c>
      <c r="H158" s="40">
        <f>IFERROR(INDEX('LV &amp; HV augex'!$D$10:$P$18,MATCH($C158,'LV &amp; HV augex'!$C$10:$C$18,0),MATCH(H$19,'LV &amp; HV augex'!$D$9:$P$9,0))*INDEX('LV &amp; HV augex'!$D$28:$J$52,MATCH($B158,'LV &amp; HV augex'!$L$28:$L$52,0),MATCH($C158,'LV &amp; HV augex'!$D$27:$J$27,0)),0)*'Financial inputs'!$D$11</f>
        <v>632295.24184228934</v>
      </c>
      <c r="I158" s="40">
        <f>IFERROR(INDEX('LV &amp; HV augex'!$D$10:$P$18,MATCH($C158,'LV &amp; HV augex'!$C$10:$C$18,0),MATCH(I$19,'LV &amp; HV augex'!$D$9:$P$9,0))*INDEX('LV &amp; HV augex'!$D$28:$J$52,MATCH($B158,'LV &amp; HV augex'!$L$28:$L$52,0),MATCH($C158,'LV &amp; HV augex'!$D$27:$J$27,0)),0)*'Financial inputs'!$D$11</f>
        <v>639167.96898918203</v>
      </c>
      <c r="J158" s="40">
        <f>IFERROR(INDEX('LV &amp; HV augex'!$D$10:$P$18,MATCH($C158,'LV &amp; HV augex'!$C$10:$C$18,0),MATCH(J$19,'LV &amp; HV augex'!$D$9:$P$9,0))*INDEX('LV &amp; HV augex'!$D$28:$J$52,MATCH($B158,'LV &amp; HV augex'!$L$28:$L$52,0),MATCH($C158,'LV &amp; HV augex'!$D$27:$J$27,0)),0)*'Financial inputs'!$D$11</f>
        <v>639167.96898918203</v>
      </c>
      <c r="K158" s="40">
        <f>IFERROR(INDEX('LV &amp; HV augex'!$D$10:$P$18,MATCH($C158,'LV &amp; HV augex'!$C$10:$C$18,0),MATCH(K$19,'LV &amp; HV augex'!$D$9:$P$9,0))*INDEX('LV &amp; HV augex'!$D$28:$J$52,MATCH($B158,'LV &amp; HV augex'!$L$28:$L$52,0),MATCH($C158,'LV &amp; HV augex'!$D$27:$J$27,0)),0)*'Financial inputs'!$D$11</f>
        <v>639167.96898918203</v>
      </c>
      <c r="L158" s="40">
        <f>IFERROR(INDEX('LV &amp; HV augex'!$D$10:$P$18,MATCH($C158,'LV &amp; HV augex'!$C$10:$C$18,0),MATCH(L$19,'LV &amp; HV augex'!$D$9:$P$9,0))*INDEX('LV &amp; HV augex'!$D$28:$J$52,MATCH($B158,'LV &amp; HV augex'!$L$28:$L$52,0),MATCH($C158,'LV &amp; HV augex'!$D$27:$J$27,0)),0)*'Financial inputs'!$D$11</f>
        <v>639167.96898918203</v>
      </c>
      <c r="M158" s="40">
        <f>IFERROR(INDEX('LV &amp; HV augex'!$D$10:$P$18,MATCH($C158,'LV &amp; HV augex'!$C$10:$C$18,0),MATCH(M$19,'LV &amp; HV augex'!$D$9:$P$9,0))*INDEX('LV &amp; HV augex'!$D$28:$J$52,MATCH($B158,'LV &amp; HV augex'!$L$28:$L$52,0),MATCH($C158,'LV &amp; HV augex'!$D$27:$J$27,0)),0)*'Financial inputs'!$D$11</f>
        <v>639167.96898918203</v>
      </c>
      <c r="N158" s="40">
        <f>IFERROR(INDEX('LV &amp; HV augex'!$D$10:$P$18,MATCH($C158,'LV &amp; HV augex'!$C$10:$C$18,0),MATCH(N$19,'LV &amp; HV augex'!$D$9:$P$9,0))*INDEX('LV &amp; HV augex'!$D$28:$J$52,MATCH($B158,'LV &amp; HV augex'!$L$28:$L$52,0),MATCH($C158,'LV &amp; HV augex'!$D$27:$J$27,0)),0)*'Financial inputs'!$D$11</f>
        <v>639167.96898918203</v>
      </c>
      <c r="O158" s="40">
        <f>IFERROR(INDEX('LV &amp; HV augex'!$D$10:$P$18,MATCH($C158,'LV &amp; HV augex'!$C$10:$C$18,0),MATCH(O$19,'LV &amp; HV augex'!$D$9:$P$9,0))*INDEX('LV &amp; HV augex'!$D$28:$J$52,MATCH($B158,'LV &amp; HV augex'!$L$28:$L$52,0),MATCH($C158,'LV &amp; HV augex'!$D$27:$J$27,0)),0)*'Financial inputs'!$D$11</f>
        <v>639167.96898918203</v>
      </c>
      <c r="P158" s="40">
        <f>IFERROR(INDEX('LV &amp; HV augex'!$D$10:$P$18,MATCH($C158,'LV &amp; HV augex'!$C$10:$C$18,0),MATCH(P$19,'LV &amp; HV augex'!$D$9:$P$9,0))*INDEX('LV &amp; HV augex'!$D$28:$J$52,MATCH($B158,'LV &amp; HV augex'!$L$28:$L$52,0),MATCH($C158,'LV &amp; HV augex'!$D$27:$J$27,0)),0)*'Financial inputs'!$D$11</f>
        <v>639167.96898918203</v>
      </c>
    </row>
    <row r="159" spans="2:16" ht="15.75" customHeight="1">
      <c r="B159" s="2" t="str">
        <f t="shared" si="7"/>
        <v>Manly Warringah</v>
      </c>
      <c r="C159" s="35" t="str" cm="1">
        <f t="array" ref="C159">INDEX(augex_categories,COUNTIFS($B$20:$B159,$B$20))</f>
        <v>HV Reinforcement OH (Upgrade)</v>
      </c>
      <c r="D159" s="35" t="str">
        <f>IF(COUNTIF('LV &amp; HV augex'!$C$10:$C$13,C159), "LV", IF(COUNTIF('LV &amp; HV augex'!$C$15:$C$17, C159), "HV", "Error"))</f>
        <v>HV</v>
      </c>
      <c r="E159" s="35" t="str">
        <f>INDEX('Growing &amp; falling'!$D$14:$D$39,MATCH($B159,'Growing &amp; falling'!$B$14:$B$39,0))</f>
        <v>Growth</v>
      </c>
      <c r="F159" s="35" t="str">
        <f t="shared" si="8"/>
        <v>$2024 real</v>
      </c>
      <c r="G159" s="40">
        <f>IFERROR(INDEX('LV &amp; HV augex'!$D$10:$P$18,MATCH($C159,'LV &amp; HV augex'!$C$10:$C$18,0),MATCH(G$19,'LV &amp; HV augex'!$D$9:$P$9,0))*INDEX('LV &amp; HV augex'!$D$28:$J$52,MATCH($B159,'LV &amp; HV augex'!$L$28:$L$52,0),MATCH($C159,'LV &amp; HV augex'!$D$27:$J$27,0)),0)*'Financial inputs'!$D$11</f>
        <v>39913.289661467657</v>
      </c>
      <c r="H159" s="40">
        <f>IFERROR(INDEX('LV &amp; HV augex'!$D$10:$P$18,MATCH($C159,'LV &amp; HV augex'!$C$10:$C$18,0),MATCH(H$19,'LV &amp; HV augex'!$D$9:$P$9,0))*INDEX('LV &amp; HV augex'!$D$28:$J$52,MATCH($B159,'LV &amp; HV augex'!$L$28:$L$52,0),MATCH($C159,'LV &amp; HV augex'!$D$27:$J$27,0)),0)*'Financial inputs'!$D$11</f>
        <v>39343.103670814344</v>
      </c>
      <c r="I159" s="40">
        <f>IFERROR(INDEX('LV &amp; HV augex'!$D$10:$P$18,MATCH($C159,'LV &amp; HV augex'!$C$10:$C$18,0),MATCH(I$19,'LV &amp; HV augex'!$D$9:$P$9,0))*INDEX('LV &amp; HV augex'!$D$28:$J$52,MATCH($B159,'LV &amp; HV augex'!$L$28:$L$52,0),MATCH($C159,'LV &amp; HV augex'!$D$27:$J$27,0)),0)*'Financial inputs'!$D$11</f>
        <v>39770.743163804334</v>
      </c>
      <c r="J159" s="40">
        <f>IFERROR(INDEX('LV &amp; HV augex'!$D$10:$P$18,MATCH($C159,'LV &amp; HV augex'!$C$10:$C$18,0),MATCH(J$19,'LV &amp; HV augex'!$D$9:$P$9,0))*INDEX('LV &amp; HV augex'!$D$28:$J$52,MATCH($B159,'LV &amp; HV augex'!$L$28:$L$52,0),MATCH($C159,'LV &amp; HV augex'!$D$27:$J$27,0)),0)*'Financial inputs'!$D$11</f>
        <v>39770.743163804334</v>
      </c>
      <c r="K159" s="40">
        <f>IFERROR(INDEX('LV &amp; HV augex'!$D$10:$P$18,MATCH($C159,'LV &amp; HV augex'!$C$10:$C$18,0),MATCH(K$19,'LV &amp; HV augex'!$D$9:$P$9,0))*INDEX('LV &amp; HV augex'!$D$28:$J$52,MATCH($B159,'LV &amp; HV augex'!$L$28:$L$52,0),MATCH($C159,'LV &amp; HV augex'!$D$27:$J$27,0)),0)*'Financial inputs'!$D$11</f>
        <v>39770.743163804334</v>
      </c>
      <c r="L159" s="40">
        <f>IFERROR(INDEX('LV &amp; HV augex'!$D$10:$P$18,MATCH($C159,'LV &amp; HV augex'!$C$10:$C$18,0),MATCH(L$19,'LV &amp; HV augex'!$D$9:$P$9,0))*INDEX('LV &amp; HV augex'!$D$28:$J$52,MATCH($B159,'LV &amp; HV augex'!$L$28:$L$52,0),MATCH($C159,'LV &amp; HV augex'!$D$27:$J$27,0)),0)*'Financial inputs'!$D$11</f>
        <v>39770.743163804334</v>
      </c>
      <c r="M159" s="40">
        <f>IFERROR(INDEX('LV &amp; HV augex'!$D$10:$P$18,MATCH($C159,'LV &amp; HV augex'!$C$10:$C$18,0),MATCH(M$19,'LV &amp; HV augex'!$D$9:$P$9,0))*INDEX('LV &amp; HV augex'!$D$28:$J$52,MATCH($B159,'LV &amp; HV augex'!$L$28:$L$52,0),MATCH($C159,'LV &amp; HV augex'!$D$27:$J$27,0)),0)*'Financial inputs'!$D$11</f>
        <v>39770.743163804334</v>
      </c>
      <c r="N159" s="40">
        <f>IFERROR(INDEX('LV &amp; HV augex'!$D$10:$P$18,MATCH($C159,'LV &amp; HV augex'!$C$10:$C$18,0),MATCH(N$19,'LV &amp; HV augex'!$D$9:$P$9,0))*INDEX('LV &amp; HV augex'!$D$28:$J$52,MATCH($B159,'LV &amp; HV augex'!$L$28:$L$52,0),MATCH($C159,'LV &amp; HV augex'!$D$27:$J$27,0)),0)*'Financial inputs'!$D$11</f>
        <v>39770.743163804334</v>
      </c>
      <c r="O159" s="40">
        <f>IFERROR(INDEX('LV &amp; HV augex'!$D$10:$P$18,MATCH($C159,'LV &amp; HV augex'!$C$10:$C$18,0),MATCH(O$19,'LV &amp; HV augex'!$D$9:$P$9,0))*INDEX('LV &amp; HV augex'!$D$28:$J$52,MATCH($B159,'LV &amp; HV augex'!$L$28:$L$52,0),MATCH($C159,'LV &amp; HV augex'!$D$27:$J$27,0)),0)*'Financial inputs'!$D$11</f>
        <v>39770.743163804334</v>
      </c>
      <c r="P159" s="40">
        <f>IFERROR(INDEX('LV &amp; HV augex'!$D$10:$P$18,MATCH($C159,'LV &amp; HV augex'!$C$10:$C$18,0),MATCH(P$19,'LV &amp; HV augex'!$D$9:$P$9,0))*INDEX('LV &amp; HV augex'!$D$28:$J$52,MATCH($B159,'LV &amp; HV augex'!$L$28:$L$52,0),MATCH($C159,'LV &amp; HV augex'!$D$27:$J$27,0)),0)*'Financial inputs'!$D$11</f>
        <v>39770.743163804334</v>
      </c>
    </row>
    <row r="160" spans="2:16" ht="15.5">
      <c r="B160" s="2" t="str">
        <f t="shared" si="7"/>
        <v>Newcastle Inner City</v>
      </c>
      <c r="C160" s="35" t="str" cm="1">
        <f t="array" ref="C160">INDEX(augex_categories,COUNTIFS($B$20:$B160,$B$20))</f>
        <v>HV Reinforcement OH (Upgrade)</v>
      </c>
      <c r="D160" s="35" t="str">
        <f>IF(COUNTIF('LV &amp; HV augex'!$C$10:$C$13,C160), "LV", IF(COUNTIF('LV &amp; HV augex'!$C$15:$C$17, C160), "HV", "Error"))</f>
        <v>HV</v>
      </c>
      <c r="E160" s="35" t="str">
        <f>INDEX('Growing &amp; falling'!$D$14:$D$39,MATCH($B160,'Growing &amp; falling'!$B$14:$B$39,0))</f>
        <v>Decline</v>
      </c>
      <c r="F160" s="35" t="str">
        <f t="shared" si="8"/>
        <v>$2024 real</v>
      </c>
      <c r="G160" s="40">
        <f>IFERROR(INDEX('LV &amp; HV augex'!$D$10:$P$18,MATCH($C160,'LV &amp; HV augex'!$C$10:$C$18,0),MATCH(G$19,'LV &amp; HV augex'!$D$9:$P$9,0))*INDEX('LV &amp; HV augex'!$D$28:$J$52,MATCH($B160,'LV &amp; HV augex'!$L$28:$L$52,0),MATCH($C160,'LV &amp; HV augex'!$D$27:$J$27,0)),0)*'Financial inputs'!$D$11</f>
        <v>67877.372416449754</v>
      </c>
      <c r="H160" s="40">
        <f>IFERROR(INDEX('LV &amp; HV augex'!$D$10:$P$18,MATCH($C160,'LV &amp; HV augex'!$C$10:$C$18,0),MATCH(H$19,'LV &amp; HV augex'!$D$9:$P$9,0))*INDEX('LV &amp; HV augex'!$D$28:$J$52,MATCH($B160,'LV &amp; HV augex'!$L$28:$L$52,0),MATCH($C160,'LV &amp; HV augex'!$D$27:$J$27,0)),0)*'Financial inputs'!$D$11</f>
        <v>66907.702234851531</v>
      </c>
      <c r="I160" s="40">
        <f>IFERROR(INDEX('LV &amp; HV augex'!$D$10:$P$18,MATCH($C160,'LV &amp; HV augex'!$C$10:$C$18,0),MATCH(I$19,'LV &amp; HV augex'!$D$9:$P$9,0))*INDEX('LV &amp; HV augex'!$D$28:$J$52,MATCH($B160,'LV &amp; HV augex'!$L$28:$L$52,0),MATCH($C160,'LV &amp; HV augex'!$D$27:$J$27,0)),0)*'Financial inputs'!$D$11</f>
        <v>67634.954871050199</v>
      </c>
      <c r="J160" s="40">
        <f>IFERROR(INDEX('LV &amp; HV augex'!$D$10:$P$18,MATCH($C160,'LV &amp; HV augex'!$C$10:$C$18,0),MATCH(J$19,'LV &amp; HV augex'!$D$9:$P$9,0))*INDEX('LV &amp; HV augex'!$D$28:$J$52,MATCH($B160,'LV &amp; HV augex'!$L$28:$L$52,0),MATCH($C160,'LV &amp; HV augex'!$D$27:$J$27,0)),0)*'Financial inputs'!$D$11</f>
        <v>67634.954871050199</v>
      </c>
      <c r="K160" s="40">
        <f>IFERROR(INDEX('LV &amp; HV augex'!$D$10:$P$18,MATCH($C160,'LV &amp; HV augex'!$C$10:$C$18,0),MATCH(K$19,'LV &amp; HV augex'!$D$9:$P$9,0))*INDEX('LV &amp; HV augex'!$D$28:$J$52,MATCH($B160,'LV &amp; HV augex'!$L$28:$L$52,0),MATCH($C160,'LV &amp; HV augex'!$D$27:$J$27,0)),0)*'Financial inputs'!$D$11</f>
        <v>67634.954871050199</v>
      </c>
      <c r="L160" s="40">
        <f>IFERROR(INDEX('LV &amp; HV augex'!$D$10:$P$18,MATCH($C160,'LV &amp; HV augex'!$C$10:$C$18,0),MATCH(L$19,'LV &amp; HV augex'!$D$9:$P$9,0))*INDEX('LV &amp; HV augex'!$D$28:$J$52,MATCH($B160,'LV &amp; HV augex'!$L$28:$L$52,0),MATCH($C160,'LV &amp; HV augex'!$D$27:$J$27,0)),0)*'Financial inputs'!$D$11</f>
        <v>67634.954871050199</v>
      </c>
      <c r="M160" s="40">
        <f>IFERROR(INDEX('LV &amp; HV augex'!$D$10:$P$18,MATCH($C160,'LV &amp; HV augex'!$C$10:$C$18,0),MATCH(M$19,'LV &amp; HV augex'!$D$9:$P$9,0))*INDEX('LV &amp; HV augex'!$D$28:$J$52,MATCH($B160,'LV &amp; HV augex'!$L$28:$L$52,0),MATCH($C160,'LV &amp; HV augex'!$D$27:$J$27,0)),0)*'Financial inputs'!$D$11</f>
        <v>67634.954871050199</v>
      </c>
      <c r="N160" s="40">
        <f>IFERROR(INDEX('LV &amp; HV augex'!$D$10:$P$18,MATCH($C160,'LV &amp; HV augex'!$C$10:$C$18,0),MATCH(N$19,'LV &amp; HV augex'!$D$9:$P$9,0))*INDEX('LV &amp; HV augex'!$D$28:$J$52,MATCH($B160,'LV &amp; HV augex'!$L$28:$L$52,0),MATCH($C160,'LV &amp; HV augex'!$D$27:$J$27,0)),0)*'Financial inputs'!$D$11</f>
        <v>67634.954871050199</v>
      </c>
      <c r="O160" s="40">
        <f>IFERROR(INDEX('LV &amp; HV augex'!$D$10:$P$18,MATCH($C160,'LV &amp; HV augex'!$C$10:$C$18,0),MATCH(O$19,'LV &amp; HV augex'!$D$9:$P$9,0))*INDEX('LV &amp; HV augex'!$D$28:$J$52,MATCH($B160,'LV &amp; HV augex'!$L$28:$L$52,0),MATCH($C160,'LV &amp; HV augex'!$D$27:$J$27,0)),0)*'Financial inputs'!$D$11</f>
        <v>67634.954871050199</v>
      </c>
      <c r="P160" s="40">
        <f>IFERROR(INDEX('LV &amp; HV augex'!$D$10:$P$18,MATCH($C160,'LV &amp; HV augex'!$C$10:$C$18,0),MATCH(P$19,'LV &amp; HV augex'!$D$9:$P$9,0))*INDEX('LV &amp; HV augex'!$D$28:$J$52,MATCH($B160,'LV &amp; HV augex'!$L$28:$L$52,0),MATCH($C160,'LV &amp; HV augex'!$D$27:$J$27,0)),0)*'Financial inputs'!$D$11</f>
        <v>67634.954871050199</v>
      </c>
    </row>
    <row r="161" spans="2:16" ht="15.5">
      <c r="B161" s="2" t="str">
        <f t="shared" si="7"/>
        <v>Newcastle Port</v>
      </c>
      <c r="C161" s="35" t="str" cm="1">
        <f t="array" ref="C161">INDEX(augex_categories,COUNTIFS($B$20:$B161,$B$20))</f>
        <v>HV Reinforcement OH (Upgrade)</v>
      </c>
      <c r="D161" s="35" t="str">
        <f>IF(COUNTIF('LV &amp; HV augex'!$C$10:$C$13,C161), "LV", IF(COUNTIF('LV &amp; HV augex'!$C$15:$C$17, C161), "HV", "Error"))</f>
        <v>HV</v>
      </c>
      <c r="E161" s="35" t="str">
        <f>INDEX('Growing &amp; falling'!$D$14:$D$39,MATCH($B161,'Growing &amp; falling'!$B$14:$B$39,0))</f>
        <v>Growth</v>
      </c>
      <c r="F161" s="35" t="str">
        <f t="shared" si="8"/>
        <v>$2024 real</v>
      </c>
      <c r="G161" s="40">
        <f>IFERROR(INDEX('LV &amp; HV augex'!$D$10:$P$18,MATCH($C161,'LV &amp; HV augex'!$C$10:$C$18,0),MATCH(G$19,'LV &amp; HV augex'!$D$9:$P$9,0))*INDEX('LV &amp; HV augex'!$D$28:$J$52,MATCH($B161,'LV &amp; HV augex'!$L$28:$L$52,0),MATCH($C161,'LV &amp; HV augex'!$D$27:$J$27,0)),0)*'Financial inputs'!$D$11</f>
        <v>0</v>
      </c>
      <c r="H161" s="40">
        <f>IFERROR(INDEX('LV &amp; HV augex'!$D$10:$P$18,MATCH($C161,'LV &amp; HV augex'!$C$10:$C$18,0),MATCH(H$19,'LV &amp; HV augex'!$D$9:$P$9,0))*INDEX('LV &amp; HV augex'!$D$28:$J$52,MATCH($B161,'LV &amp; HV augex'!$L$28:$L$52,0),MATCH($C161,'LV &amp; HV augex'!$D$27:$J$27,0)),0)*'Financial inputs'!$D$11</f>
        <v>0</v>
      </c>
      <c r="I161" s="40">
        <f>IFERROR(INDEX('LV &amp; HV augex'!$D$10:$P$18,MATCH($C161,'LV &amp; HV augex'!$C$10:$C$18,0),MATCH(I$19,'LV &amp; HV augex'!$D$9:$P$9,0))*INDEX('LV &amp; HV augex'!$D$28:$J$52,MATCH($B161,'LV &amp; HV augex'!$L$28:$L$52,0),MATCH($C161,'LV &amp; HV augex'!$D$27:$J$27,0)),0)*'Financial inputs'!$D$11</f>
        <v>0</v>
      </c>
      <c r="J161" s="40">
        <f>IFERROR(INDEX('LV &amp; HV augex'!$D$10:$P$18,MATCH($C161,'LV &amp; HV augex'!$C$10:$C$18,0),MATCH(J$19,'LV &amp; HV augex'!$D$9:$P$9,0))*INDEX('LV &amp; HV augex'!$D$28:$J$52,MATCH($B161,'LV &amp; HV augex'!$L$28:$L$52,0),MATCH($C161,'LV &amp; HV augex'!$D$27:$J$27,0)),0)*'Financial inputs'!$D$11</f>
        <v>0</v>
      </c>
      <c r="K161" s="40">
        <f>IFERROR(INDEX('LV &amp; HV augex'!$D$10:$P$18,MATCH($C161,'LV &amp; HV augex'!$C$10:$C$18,0),MATCH(K$19,'LV &amp; HV augex'!$D$9:$P$9,0))*INDEX('LV &amp; HV augex'!$D$28:$J$52,MATCH($B161,'LV &amp; HV augex'!$L$28:$L$52,0),MATCH($C161,'LV &amp; HV augex'!$D$27:$J$27,0)),0)*'Financial inputs'!$D$11</f>
        <v>0</v>
      </c>
      <c r="L161" s="40">
        <f>IFERROR(INDEX('LV &amp; HV augex'!$D$10:$P$18,MATCH($C161,'LV &amp; HV augex'!$C$10:$C$18,0),MATCH(L$19,'LV &amp; HV augex'!$D$9:$P$9,0))*INDEX('LV &amp; HV augex'!$D$28:$J$52,MATCH($B161,'LV &amp; HV augex'!$L$28:$L$52,0),MATCH($C161,'LV &amp; HV augex'!$D$27:$J$27,0)),0)*'Financial inputs'!$D$11</f>
        <v>0</v>
      </c>
      <c r="M161" s="40">
        <f>IFERROR(INDEX('LV &amp; HV augex'!$D$10:$P$18,MATCH($C161,'LV &amp; HV augex'!$C$10:$C$18,0),MATCH(M$19,'LV &amp; HV augex'!$D$9:$P$9,0))*INDEX('LV &amp; HV augex'!$D$28:$J$52,MATCH($B161,'LV &amp; HV augex'!$L$28:$L$52,0),MATCH($C161,'LV &amp; HV augex'!$D$27:$J$27,0)),0)*'Financial inputs'!$D$11</f>
        <v>0</v>
      </c>
      <c r="N161" s="40">
        <f>IFERROR(INDEX('LV &amp; HV augex'!$D$10:$P$18,MATCH($C161,'LV &amp; HV augex'!$C$10:$C$18,0),MATCH(N$19,'LV &amp; HV augex'!$D$9:$P$9,0))*INDEX('LV &amp; HV augex'!$D$28:$J$52,MATCH($B161,'LV &amp; HV augex'!$L$28:$L$52,0),MATCH($C161,'LV &amp; HV augex'!$D$27:$J$27,0)),0)*'Financial inputs'!$D$11</f>
        <v>0</v>
      </c>
      <c r="O161" s="40">
        <f>IFERROR(INDEX('LV &amp; HV augex'!$D$10:$P$18,MATCH($C161,'LV &amp; HV augex'!$C$10:$C$18,0),MATCH(O$19,'LV &amp; HV augex'!$D$9:$P$9,0))*INDEX('LV &amp; HV augex'!$D$28:$J$52,MATCH($B161,'LV &amp; HV augex'!$L$28:$L$52,0),MATCH($C161,'LV &amp; HV augex'!$D$27:$J$27,0)),0)*'Financial inputs'!$D$11</f>
        <v>0</v>
      </c>
      <c r="P161" s="40">
        <f>IFERROR(INDEX('LV &amp; HV augex'!$D$10:$P$18,MATCH($C161,'LV &amp; HV augex'!$C$10:$C$18,0),MATCH(P$19,'LV &amp; HV augex'!$D$9:$P$9,0))*INDEX('LV &amp; HV augex'!$D$28:$J$52,MATCH($B161,'LV &amp; HV augex'!$L$28:$L$52,0),MATCH($C161,'LV &amp; HV augex'!$D$27:$J$27,0)),0)*'Financial inputs'!$D$11</f>
        <v>0</v>
      </c>
    </row>
    <row r="162" spans="2:16" ht="15.5">
      <c r="B162" s="2" t="str">
        <f t="shared" si="7"/>
        <v>Newcastle Western Corridor</v>
      </c>
      <c r="C162" s="35" t="str" cm="1">
        <f t="array" ref="C162">INDEX(augex_categories,COUNTIFS($B$20:$B162,$B$20))</f>
        <v>HV Reinforcement OH (Upgrade)</v>
      </c>
      <c r="D162" s="35" t="str">
        <f>IF(COUNTIF('LV &amp; HV augex'!$C$10:$C$13,C162), "LV", IF(COUNTIF('LV &amp; HV augex'!$C$15:$C$17, C162), "HV", "Error"))</f>
        <v>HV</v>
      </c>
      <c r="E162" s="35" t="str">
        <f>INDEX('Growing &amp; falling'!$D$14:$D$39,MATCH($B162,'Growing &amp; falling'!$B$14:$B$39,0))</f>
        <v>Decline</v>
      </c>
      <c r="F162" s="35" t="str">
        <f t="shared" si="8"/>
        <v>$2024 real</v>
      </c>
      <c r="G162" s="40">
        <f>IFERROR(INDEX('LV &amp; HV augex'!$D$10:$P$18,MATCH($C162,'LV &amp; HV augex'!$C$10:$C$18,0),MATCH(G$19,'LV &amp; HV augex'!$D$9:$P$9,0))*INDEX('LV &amp; HV augex'!$D$28:$J$52,MATCH($B162,'LV &amp; HV augex'!$L$28:$L$52,0),MATCH($C162,'LV &amp; HV augex'!$D$27:$J$27,0)),0)*'Financial inputs'!$D$11</f>
        <v>109285.75251862318</v>
      </c>
      <c r="H162" s="40">
        <f>IFERROR(INDEX('LV &amp; HV augex'!$D$10:$P$18,MATCH($C162,'LV &amp; HV augex'!$C$10:$C$18,0),MATCH(H$19,'LV &amp; HV augex'!$D$9:$P$9,0))*INDEX('LV &amp; HV augex'!$D$28:$J$52,MATCH($B162,'LV &amp; HV augex'!$L$28:$L$52,0),MATCH($C162,'LV &amp; HV augex'!$D$27:$J$27,0)),0)*'Financial inputs'!$D$11</f>
        <v>107724.53805615599</v>
      </c>
      <c r="I162" s="40">
        <f>IFERROR(INDEX('LV &amp; HV augex'!$D$10:$P$18,MATCH($C162,'LV &amp; HV augex'!$C$10:$C$18,0),MATCH(I$19,'LV &amp; HV augex'!$D$9:$P$9,0))*INDEX('LV &amp; HV augex'!$D$28:$J$52,MATCH($B162,'LV &amp; HV augex'!$L$28:$L$52,0),MATCH($C162,'LV &amp; HV augex'!$D$27:$J$27,0)),0)*'Financial inputs'!$D$11</f>
        <v>108895.44890300637</v>
      </c>
      <c r="J162" s="40">
        <f>IFERROR(INDEX('LV &amp; HV augex'!$D$10:$P$18,MATCH($C162,'LV &amp; HV augex'!$C$10:$C$18,0),MATCH(J$19,'LV &amp; HV augex'!$D$9:$P$9,0))*INDEX('LV &amp; HV augex'!$D$28:$J$52,MATCH($B162,'LV &amp; HV augex'!$L$28:$L$52,0),MATCH($C162,'LV &amp; HV augex'!$D$27:$J$27,0)),0)*'Financial inputs'!$D$11</f>
        <v>108895.44890300637</v>
      </c>
      <c r="K162" s="40">
        <f>IFERROR(INDEX('LV &amp; HV augex'!$D$10:$P$18,MATCH($C162,'LV &amp; HV augex'!$C$10:$C$18,0),MATCH(K$19,'LV &amp; HV augex'!$D$9:$P$9,0))*INDEX('LV &amp; HV augex'!$D$28:$J$52,MATCH($B162,'LV &amp; HV augex'!$L$28:$L$52,0),MATCH($C162,'LV &amp; HV augex'!$D$27:$J$27,0)),0)*'Financial inputs'!$D$11</f>
        <v>108895.44890300637</v>
      </c>
      <c r="L162" s="40">
        <f>IFERROR(INDEX('LV &amp; HV augex'!$D$10:$P$18,MATCH($C162,'LV &amp; HV augex'!$C$10:$C$18,0),MATCH(L$19,'LV &amp; HV augex'!$D$9:$P$9,0))*INDEX('LV &amp; HV augex'!$D$28:$J$52,MATCH($B162,'LV &amp; HV augex'!$L$28:$L$52,0),MATCH($C162,'LV &amp; HV augex'!$D$27:$J$27,0)),0)*'Financial inputs'!$D$11</f>
        <v>108895.44890300637</v>
      </c>
      <c r="M162" s="40">
        <f>IFERROR(INDEX('LV &amp; HV augex'!$D$10:$P$18,MATCH($C162,'LV &amp; HV augex'!$C$10:$C$18,0),MATCH(M$19,'LV &amp; HV augex'!$D$9:$P$9,0))*INDEX('LV &amp; HV augex'!$D$28:$J$52,MATCH($B162,'LV &amp; HV augex'!$L$28:$L$52,0),MATCH($C162,'LV &amp; HV augex'!$D$27:$J$27,0)),0)*'Financial inputs'!$D$11</f>
        <v>108895.44890300637</v>
      </c>
      <c r="N162" s="40">
        <f>IFERROR(INDEX('LV &amp; HV augex'!$D$10:$P$18,MATCH($C162,'LV &amp; HV augex'!$C$10:$C$18,0),MATCH(N$19,'LV &amp; HV augex'!$D$9:$P$9,0))*INDEX('LV &amp; HV augex'!$D$28:$J$52,MATCH($B162,'LV &amp; HV augex'!$L$28:$L$52,0),MATCH($C162,'LV &amp; HV augex'!$D$27:$J$27,0)),0)*'Financial inputs'!$D$11</f>
        <v>108895.44890300637</v>
      </c>
      <c r="O162" s="40">
        <f>IFERROR(INDEX('LV &amp; HV augex'!$D$10:$P$18,MATCH($C162,'LV &amp; HV augex'!$C$10:$C$18,0),MATCH(O$19,'LV &amp; HV augex'!$D$9:$P$9,0))*INDEX('LV &amp; HV augex'!$D$28:$J$52,MATCH($B162,'LV &amp; HV augex'!$L$28:$L$52,0),MATCH($C162,'LV &amp; HV augex'!$D$27:$J$27,0)),0)*'Financial inputs'!$D$11</f>
        <v>108895.44890300637</v>
      </c>
      <c r="P162" s="40">
        <f>IFERROR(INDEX('LV &amp; HV augex'!$D$10:$P$18,MATCH($C162,'LV &amp; HV augex'!$C$10:$C$18,0),MATCH(P$19,'LV &amp; HV augex'!$D$9:$P$9,0))*INDEX('LV &amp; HV augex'!$D$28:$J$52,MATCH($B162,'LV &amp; HV augex'!$L$28:$L$52,0),MATCH($C162,'LV &amp; HV augex'!$D$27:$J$27,0)),0)*'Financial inputs'!$D$11</f>
        <v>108895.44890300637</v>
      </c>
    </row>
    <row r="163" spans="2:16" ht="15.5">
      <c r="B163" s="2" t="str">
        <f t="shared" si="7"/>
        <v>North East Lake Macquarie</v>
      </c>
      <c r="C163" s="35" t="str" cm="1">
        <f t="array" ref="C163">INDEX(augex_categories,COUNTIFS($B$20:$B163,$B$20))</f>
        <v>HV Reinforcement OH (Upgrade)</v>
      </c>
      <c r="D163" s="35" t="str">
        <f>IF(COUNTIF('LV &amp; HV augex'!$C$10:$C$13,C163), "LV", IF(COUNTIF('LV &amp; HV augex'!$C$15:$C$17, C163), "HV", "Error"))</f>
        <v>HV</v>
      </c>
      <c r="E163" s="35" t="str">
        <f>INDEX('Growing &amp; falling'!$D$14:$D$39,MATCH($B163,'Growing &amp; falling'!$B$14:$B$39,0))</f>
        <v>Decline</v>
      </c>
      <c r="F163" s="35" t="str">
        <f t="shared" si="8"/>
        <v>$2024 real</v>
      </c>
      <c r="G163" s="40">
        <f>IFERROR(INDEX('LV &amp; HV augex'!$D$10:$P$18,MATCH($C163,'LV &amp; HV augex'!$C$10:$C$18,0),MATCH(G$19,'LV &amp; HV augex'!$D$9:$P$9,0))*INDEX('LV &amp; HV augex'!$D$28:$J$52,MATCH($B163,'LV &amp; HV augex'!$L$28:$L$52,0),MATCH($C163,'LV &amp; HV augex'!$D$27:$J$27,0)),0)*'Financial inputs'!$D$11</f>
        <v>26872.888344091283</v>
      </c>
      <c r="H163" s="40">
        <f>IFERROR(INDEX('LV &amp; HV augex'!$D$10:$P$18,MATCH($C163,'LV &amp; HV augex'!$C$10:$C$18,0),MATCH(H$19,'LV &amp; HV augex'!$D$9:$P$9,0))*INDEX('LV &amp; HV augex'!$D$28:$J$52,MATCH($B163,'LV &amp; HV augex'!$L$28:$L$52,0),MATCH($C163,'LV &amp; HV augex'!$D$27:$J$27,0)),0)*'Financial inputs'!$D$11</f>
        <v>26488.992539156308</v>
      </c>
      <c r="I163" s="40">
        <f>IFERROR(INDEX('LV &amp; HV augex'!$D$10:$P$18,MATCH($C163,'LV &amp; HV augex'!$C$10:$C$18,0),MATCH(I$19,'LV &amp; HV augex'!$D$9:$P$9,0))*INDEX('LV &amp; HV augex'!$D$28:$J$52,MATCH($B163,'LV &amp; HV augex'!$L$28:$L$52,0),MATCH($C163,'LV &amp; HV augex'!$D$27:$J$27,0)),0)*'Financial inputs'!$D$11</f>
        <v>26776.914392857539</v>
      </c>
      <c r="J163" s="40">
        <f>IFERROR(INDEX('LV &amp; HV augex'!$D$10:$P$18,MATCH($C163,'LV &amp; HV augex'!$C$10:$C$18,0),MATCH(J$19,'LV &amp; HV augex'!$D$9:$P$9,0))*INDEX('LV &amp; HV augex'!$D$28:$J$52,MATCH($B163,'LV &amp; HV augex'!$L$28:$L$52,0),MATCH($C163,'LV &amp; HV augex'!$D$27:$J$27,0)),0)*'Financial inputs'!$D$11</f>
        <v>26776.914392857539</v>
      </c>
      <c r="K163" s="40">
        <f>IFERROR(INDEX('LV &amp; HV augex'!$D$10:$P$18,MATCH($C163,'LV &amp; HV augex'!$C$10:$C$18,0),MATCH(K$19,'LV &amp; HV augex'!$D$9:$P$9,0))*INDEX('LV &amp; HV augex'!$D$28:$J$52,MATCH($B163,'LV &amp; HV augex'!$L$28:$L$52,0),MATCH($C163,'LV &amp; HV augex'!$D$27:$J$27,0)),0)*'Financial inputs'!$D$11</f>
        <v>26776.914392857539</v>
      </c>
      <c r="L163" s="40">
        <f>IFERROR(INDEX('LV &amp; HV augex'!$D$10:$P$18,MATCH($C163,'LV &amp; HV augex'!$C$10:$C$18,0),MATCH(L$19,'LV &amp; HV augex'!$D$9:$P$9,0))*INDEX('LV &amp; HV augex'!$D$28:$J$52,MATCH($B163,'LV &amp; HV augex'!$L$28:$L$52,0),MATCH($C163,'LV &amp; HV augex'!$D$27:$J$27,0)),0)*'Financial inputs'!$D$11</f>
        <v>26776.914392857539</v>
      </c>
      <c r="M163" s="40">
        <f>IFERROR(INDEX('LV &amp; HV augex'!$D$10:$P$18,MATCH($C163,'LV &amp; HV augex'!$C$10:$C$18,0),MATCH(M$19,'LV &amp; HV augex'!$D$9:$P$9,0))*INDEX('LV &amp; HV augex'!$D$28:$J$52,MATCH($B163,'LV &amp; HV augex'!$L$28:$L$52,0),MATCH($C163,'LV &amp; HV augex'!$D$27:$J$27,0)),0)*'Financial inputs'!$D$11</f>
        <v>26776.914392857539</v>
      </c>
      <c r="N163" s="40">
        <f>IFERROR(INDEX('LV &amp; HV augex'!$D$10:$P$18,MATCH($C163,'LV &amp; HV augex'!$C$10:$C$18,0),MATCH(N$19,'LV &amp; HV augex'!$D$9:$P$9,0))*INDEX('LV &amp; HV augex'!$D$28:$J$52,MATCH($B163,'LV &amp; HV augex'!$L$28:$L$52,0),MATCH($C163,'LV &amp; HV augex'!$D$27:$J$27,0)),0)*'Financial inputs'!$D$11</f>
        <v>26776.914392857539</v>
      </c>
      <c r="O163" s="40">
        <f>IFERROR(INDEX('LV &amp; HV augex'!$D$10:$P$18,MATCH($C163,'LV &amp; HV augex'!$C$10:$C$18,0),MATCH(O$19,'LV &amp; HV augex'!$D$9:$P$9,0))*INDEX('LV &amp; HV augex'!$D$28:$J$52,MATCH($B163,'LV &amp; HV augex'!$L$28:$L$52,0),MATCH($C163,'LV &amp; HV augex'!$D$27:$J$27,0)),0)*'Financial inputs'!$D$11</f>
        <v>26776.914392857539</v>
      </c>
      <c r="P163" s="40">
        <f>IFERROR(INDEX('LV &amp; HV augex'!$D$10:$P$18,MATCH($C163,'LV &amp; HV augex'!$C$10:$C$18,0),MATCH(P$19,'LV &amp; HV augex'!$D$9:$P$9,0))*INDEX('LV &amp; HV augex'!$D$28:$J$52,MATCH($B163,'LV &amp; HV augex'!$L$28:$L$52,0),MATCH($C163,'LV &amp; HV augex'!$D$27:$J$27,0)),0)*'Financial inputs'!$D$11</f>
        <v>26776.914392857539</v>
      </c>
    </row>
    <row r="164" spans="2:16" ht="15.5">
      <c r="B164" s="2" t="str">
        <f t="shared" si="7"/>
        <v>North West</v>
      </c>
      <c r="C164" s="35" t="str" cm="1">
        <f t="array" ref="C164">INDEX(augex_categories,COUNTIFS($B$20:$B164,$B$20))</f>
        <v>HV Reinforcement OH (Upgrade)</v>
      </c>
      <c r="D164" s="35" t="str">
        <f>IF(COUNTIF('LV &amp; HV augex'!$C$10:$C$13,C164), "LV", IF(COUNTIF('LV &amp; HV augex'!$C$15:$C$17, C164), "HV", "Error"))</f>
        <v>HV</v>
      </c>
      <c r="E164" s="35" t="str">
        <f>INDEX('Growing &amp; falling'!$D$14:$D$39,MATCH($B164,'Growing &amp; falling'!$B$14:$B$39,0))</f>
        <v>Growth</v>
      </c>
      <c r="F164" s="35" t="str">
        <f t="shared" si="8"/>
        <v>$2024 real</v>
      </c>
      <c r="G164" s="40">
        <f>IFERROR(INDEX('LV &amp; HV augex'!$D$10:$P$18,MATCH($C164,'LV &amp; HV augex'!$C$10:$C$18,0),MATCH(G$19,'LV &amp; HV augex'!$D$9:$P$9,0))*INDEX('LV &amp; HV augex'!$D$28:$J$52,MATCH($B164,'LV &amp; HV augex'!$L$28:$L$52,0),MATCH($C164,'LV &amp; HV augex'!$D$27:$J$27,0)),0)*'Financial inputs'!$D$11</f>
        <v>62022.60112120652</v>
      </c>
      <c r="H164" s="40">
        <f>IFERROR(INDEX('LV &amp; HV augex'!$D$10:$P$18,MATCH($C164,'LV &amp; HV augex'!$C$10:$C$18,0),MATCH(H$19,'LV &amp; HV augex'!$D$9:$P$9,0))*INDEX('LV &amp; HV augex'!$D$28:$J$52,MATCH($B164,'LV &amp; HV augex'!$L$28:$L$52,0),MATCH($C164,'LV &amp; HV augex'!$D$27:$J$27,0)),0)*'Financial inputs'!$D$11</f>
        <v>61136.569963084963</v>
      </c>
      <c r="I164" s="40">
        <f>IFERROR(INDEX('LV &amp; HV augex'!$D$10:$P$18,MATCH($C164,'LV &amp; HV augex'!$C$10:$C$18,0),MATCH(I$19,'LV &amp; HV augex'!$D$9:$P$9,0))*INDEX('LV &amp; HV augex'!$D$28:$J$52,MATCH($B164,'LV &amp; HV augex'!$L$28:$L$52,0),MATCH($C164,'LV &amp; HV augex'!$D$27:$J$27,0)),0)*'Financial inputs'!$D$11</f>
        <v>61801.093331676129</v>
      </c>
      <c r="J164" s="40">
        <f>IFERROR(INDEX('LV &amp; HV augex'!$D$10:$P$18,MATCH($C164,'LV &amp; HV augex'!$C$10:$C$18,0),MATCH(J$19,'LV &amp; HV augex'!$D$9:$P$9,0))*INDEX('LV &amp; HV augex'!$D$28:$J$52,MATCH($B164,'LV &amp; HV augex'!$L$28:$L$52,0),MATCH($C164,'LV &amp; HV augex'!$D$27:$J$27,0)),0)*'Financial inputs'!$D$11</f>
        <v>61801.093331676129</v>
      </c>
      <c r="K164" s="40">
        <f>IFERROR(INDEX('LV &amp; HV augex'!$D$10:$P$18,MATCH($C164,'LV &amp; HV augex'!$C$10:$C$18,0),MATCH(K$19,'LV &amp; HV augex'!$D$9:$P$9,0))*INDEX('LV &amp; HV augex'!$D$28:$J$52,MATCH($B164,'LV &amp; HV augex'!$L$28:$L$52,0),MATCH($C164,'LV &amp; HV augex'!$D$27:$J$27,0)),0)*'Financial inputs'!$D$11</f>
        <v>61801.093331676129</v>
      </c>
      <c r="L164" s="40">
        <f>IFERROR(INDEX('LV &amp; HV augex'!$D$10:$P$18,MATCH($C164,'LV &amp; HV augex'!$C$10:$C$18,0),MATCH(L$19,'LV &amp; HV augex'!$D$9:$P$9,0))*INDEX('LV &amp; HV augex'!$D$28:$J$52,MATCH($B164,'LV &amp; HV augex'!$L$28:$L$52,0),MATCH($C164,'LV &amp; HV augex'!$D$27:$J$27,0)),0)*'Financial inputs'!$D$11</f>
        <v>61801.093331676129</v>
      </c>
      <c r="M164" s="40">
        <f>IFERROR(INDEX('LV &amp; HV augex'!$D$10:$P$18,MATCH($C164,'LV &amp; HV augex'!$C$10:$C$18,0),MATCH(M$19,'LV &amp; HV augex'!$D$9:$P$9,0))*INDEX('LV &amp; HV augex'!$D$28:$J$52,MATCH($B164,'LV &amp; HV augex'!$L$28:$L$52,0),MATCH($C164,'LV &amp; HV augex'!$D$27:$J$27,0)),0)*'Financial inputs'!$D$11</f>
        <v>61801.093331676129</v>
      </c>
      <c r="N164" s="40">
        <f>IFERROR(INDEX('LV &amp; HV augex'!$D$10:$P$18,MATCH($C164,'LV &amp; HV augex'!$C$10:$C$18,0),MATCH(N$19,'LV &amp; HV augex'!$D$9:$P$9,0))*INDEX('LV &amp; HV augex'!$D$28:$J$52,MATCH($B164,'LV &amp; HV augex'!$L$28:$L$52,0),MATCH($C164,'LV &amp; HV augex'!$D$27:$J$27,0)),0)*'Financial inputs'!$D$11</f>
        <v>61801.093331676129</v>
      </c>
      <c r="O164" s="40">
        <f>IFERROR(INDEX('LV &amp; HV augex'!$D$10:$P$18,MATCH($C164,'LV &amp; HV augex'!$C$10:$C$18,0),MATCH(O$19,'LV &amp; HV augex'!$D$9:$P$9,0))*INDEX('LV &amp; HV augex'!$D$28:$J$52,MATCH($B164,'LV &amp; HV augex'!$L$28:$L$52,0),MATCH($C164,'LV &amp; HV augex'!$D$27:$J$27,0)),0)*'Financial inputs'!$D$11</f>
        <v>61801.093331676129</v>
      </c>
      <c r="P164" s="40">
        <f>IFERROR(INDEX('LV &amp; HV augex'!$D$10:$P$18,MATCH($C164,'LV &amp; HV augex'!$C$10:$C$18,0),MATCH(P$19,'LV &amp; HV augex'!$D$9:$P$9,0))*INDEX('LV &amp; HV augex'!$D$28:$J$52,MATCH($B164,'LV &amp; HV augex'!$L$28:$L$52,0),MATCH($C164,'LV &amp; HV augex'!$D$27:$J$27,0)),0)*'Financial inputs'!$D$11</f>
        <v>61801.093331676129</v>
      </c>
    </row>
    <row r="165" spans="2:16" ht="15.5">
      <c r="B165" s="2" t="str">
        <f t="shared" si="7"/>
        <v>Pittwater &amp; Terrey Hills</v>
      </c>
      <c r="C165" s="35" t="str" cm="1">
        <f t="array" ref="C165">INDEX(augex_categories,COUNTIFS($B$20:$B165,$B$20))</f>
        <v>HV Reinforcement OH (Upgrade)</v>
      </c>
      <c r="D165" s="35" t="str">
        <f>IF(COUNTIF('LV &amp; HV augex'!$C$10:$C$13,C165), "LV", IF(COUNTIF('LV &amp; HV augex'!$C$15:$C$17, C165), "HV", "Error"))</f>
        <v>HV</v>
      </c>
      <c r="E165" s="35" t="str">
        <f>INDEX('Growing &amp; falling'!$D$14:$D$39,MATCH($B165,'Growing &amp; falling'!$B$14:$B$39,0))</f>
        <v>Decline</v>
      </c>
      <c r="F165" s="35" t="str">
        <f t="shared" si="8"/>
        <v>$2024 real</v>
      </c>
      <c r="G165" s="40">
        <f>IFERROR(INDEX('LV &amp; HV augex'!$D$10:$P$18,MATCH($C165,'LV &amp; HV augex'!$C$10:$C$18,0),MATCH(G$19,'LV &amp; HV augex'!$D$9:$P$9,0))*INDEX('LV &amp; HV augex'!$D$28:$J$52,MATCH($B165,'LV &amp; HV augex'!$L$28:$L$52,0),MATCH($C165,'LV &amp; HV augex'!$D$27:$J$27,0)),0)*'Financial inputs'!$D$11</f>
        <v>197748.8829382298</v>
      </c>
      <c r="H165" s="40">
        <f>IFERROR(INDEX('LV &amp; HV augex'!$D$10:$P$18,MATCH($C165,'LV &amp; HV augex'!$C$10:$C$18,0),MATCH(H$19,'LV &amp; HV augex'!$D$9:$P$9,0))*INDEX('LV &amp; HV augex'!$D$28:$J$52,MATCH($B165,'LV &amp; HV augex'!$L$28:$L$52,0),MATCH($C165,'LV &amp; HV augex'!$D$27:$J$27,0)),0)*'Financial inputs'!$D$11</f>
        <v>194923.91802867048</v>
      </c>
      <c r="I165" s="40">
        <f>IFERROR(INDEX('LV &amp; HV augex'!$D$10:$P$18,MATCH($C165,'LV &amp; HV augex'!$C$10:$C$18,0),MATCH(I$19,'LV &amp; HV augex'!$D$9:$P$9,0))*INDEX('LV &amp; HV augex'!$D$28:$J$52,MATCH($B165,'LV &amp; HV augex'!$L$28:$L$52,0),MATCH($C165,'LV &amp; HV augex'!$D$27:$J$27,0)),0)*'Financial inputs'!$D$11</f>
        <v>197042.64171083999</v>
      </c>
      <c r="J165" s="40">
        <f>IFERROR(INDEX('LV &amp; HV augex'!$D$10:$P$18,MATCH($C165,'LV &amp; HV augex'!$C$10:$C$18,0),MATCH(J$19,'LV &amp; HV augex'!$D$9:$P$9,0))*INDEX('LV &amp; HV augex'!$D$28:$J$52,MATCH($B165,'LV &amp; HV augex'!$L$28:$L$52,0),MATCH($C165,'LV &amp; HV augex'!$D$27:$J$27,0)),0)*'Financial inputs'!$D$11</f>
        <v>197042.64171083999</v>
      </c>
      <c r="K165" s="40">
        <f>IFERROR(INDEX('LV &amp; HV augex'!$D$10:$P$18,MATCH($C165,'LV &amp; HV augex'!$C$10:$C$18,0),MATCH(K$19,'LV &amp; HV augex'!$D$9:$P$9,0))*INDEX('LV &amp; HV augex'!$D$28:$J$52,MATCH($B165,'LV &amp; HV augex'!$L$28:$L$52,0),MATCH($C165,'LV &amp; HV augex'!$D$27:$J$27,0)),0)*'Financial inputs'!$D$11</f>
        <v>197042.64171083999</v>
      </c>
      <c r="L165" s="40">
        <f>IFERROR(INDEX('LV &amp; HV augex'!$D$10:$P$18,MATCH($C165,'LV &amp; HV augex'!$C$10:$C$18,0),MATCH(L$19,'LV &amp; HV augex'!$D$9:$P$9,0))*INDEX('LV &amp; HV augex'!$D$28:$J$52,MATCH($B165,'LV &amp; HV augex'!$L$28:$L$52,0),MATCH($C165,'LV &amp; HV augex'!$D$27:$J$27,0)),0)*'Financial inputs'!$D$11</f>
        <v>197042.64171083999</v>
      </c>
      <c r="M165" s="40">
        <f>IFERROR(INDEX('LV &amp; HV augex'!$D$10:$P$18,MATCH($C165,'LV &amp; HV augex'!$C$10:$C$18,0),MATCH(M$19,'LV &amp; HV augex'!$D$9:$P$9,0))*INDEX('LV &amp; HV augex'!$D$28:$J$52,MATCH($B165,'LV &amp; HV augex'!$L$28:$L$52,0),MATCH($C165,'LV &amp; HV augex'!$D$27:$J$27,0)),0)*'Financial inputs'!$D$11</f>
        <v>197042.64171083999</v>
      </c>
      <c r="N165" s="40">
        <f>IFERROR(INDEX('LV &amp; HV augex'!$D$10:$P$18,MATCH($C165,'LV &amp; HV augex'!$C$10:$C$18,0),MATCH(N$19,'LV &amp; HV augex'!$D$9:$P$9,0))*INDEX('LV &amp; HV augex'!$D$28:$J$52,MATCH($B165,'LV &amp; HV augex'!$L$28:$L$52,0),MATCH($C165,'LV &amp; HV augex'!$D$27:$J$27,0)),0)*'Financial inputs'!$D$11</f>
        <v>197042.64171083999</v>
      </c>
      <c r="O165" s="40">
        <f>IFERROR(INDEX('LV &amp; HV augex'!$D$10:$P$18,MATCH($C165,'LV &amp; HV augex'!$C$10:$C$18,0),MATCH(O$19,'LV &amp; HV augex'!$D$9:$P$9,0))*INDEX('LV &amp; HV augex'!$D$28:$J$52,MATCH($B165,'LV &amp; HV augex'!$L$28:$L$52,0),MATCH($C165,'LV &amp; HV augex'!$D$27:$J$27,0)),0)*'Financial inputs'!$D$11</f>
        <v>197042.64171083999</v>
      </c>
      <c r="P165" s="40">
        <f>IFERROR(INDEX('LV &amp; HV augex'!$D$10:$P$18,MATCH($C165,'LV &amp; HV augex'!$C$10:$C$18,0),MATCH(P$19,'LV &amp; HV augex'!$D$9:$P$9,0))*INDEX('LV &amp; HV augex'!$D$28:$J$52,MATCH($B165,'LV &amp; HV augex'!$L$28:$L$52,0),MATCH($C165,'LV &amp; HV augex'!$D$27:$J$27,0)),0)*'Financial inputs'!$D$11</f>
        <v>197042.64171083999</v>
      </c>
    </row>
    <row r="166" spans="2:16" ht="15.5">
      <c r="B166" s="2" t="str">
        <f t="shared" si="7"/>
        <v>Port Stephens</v>
      </c>
      <c r="C166" s="35" t="str" cm="1">
        <f t="array" ref="C166">INDEX(augex_categories,COUNTIFS($B$20:$B166,$B$20))</f>
        <v>HV Reinforcement OH (Upgrade)</v>
      </c>
      <c r="D166" s="35" t="str">
        <f>IF(COUNTIF('LV &amp; HV augex'!$C$10:$C$13,C166), "LV", IF(COUNTIF('LV &amp; HV augex'!$C$15:$C$17, C166), "HV", "Error"))</f>
        <v>HV</v>
      </c>
      <c r="E166" s="35" t="str">
        <f>INDEX('Growing &amp; falling'!$D$14:$D$39,MATCH($B166,'Growing &amp; falling'!$B$14:$B$39,0))</f>
        <v>Decline</v>
      </c>
      <c r="F166" s="35" t="str">
        <f t="shared" si="8"/>
        <v>$2024 real</v>
      </c>
      <c r="G166" s="40">
        <f>IFERROR(INDEX('LV &amp; HV augex'!$D$10:$P$18,MATCH($C166,'LV &amp; HV augex'!$C$10:$C$18,0),MATCH(G$19,'LV &amp; HV augex'!$D$9:$P$9,0))*INDEX('LV &amp; HV augex'!$D$28:$J$52,MATCH($B166,'LV &amp; HV augex'!$L$28:$L$52,0),MATCH($C166,'LV &amp; HV augex'!$D$27:$J$27,0)),0)*'Financial inputs'!$D$11</f>
        <v>95506.010266612953</v>
      </c>
      <c r="H166" s="40">
        <f>IFERROR(INDEX('LV &amp; HV augex'!$D$10:$P$18,MATCH($C166,'LV &amp; HV augex'!$C$10:$C$18,0),MATCH(H$19,'LV &amp; HV augex'!$D$9:$P$9,0))*INDEX('LV &amp; HV augex'!$D$28:$J$52,MATCH($B166,'LV &amp; HV augex'!$L$28:$L$52,0),MATCH($C166,'LV &amp; HV augex'!$D$27:$J$27,0)),0)*'Financial inputs'!$D$11</f>
        <v>94141.647931683998</v>
      </c>
      <c r="I166" s="40">
        <f>IFERROR(INDEX('LV &amp; HV augex'!$D$10:$P$18,MATCH($C166,'LV &amp; HV augex'!$C$10:$C$18,0),MATCH(I$19,'LV &amp; HV augex'!$D$9:$P$9,0))*INDEX('LV &amp; HV augex'!$D$28:$J$52,MATCH($B166,'LV &amp; HV augex'!$L$28:$L$52,0),MATCH($C166,'LV &amp; HV augex'!$D$27:$J$27,0)),0)*'Financial inputs'!$D$11</f>
        <v>95164.919682880718</v>
      </c>
      <c r="J166" s="40">
        <f>IFERROR(INDEX('LV &amp; HV augex'!$D$10:$P$18,MATCH($C166,'LV &amp; HV augex'!$C$10:$C$18,0),MATCH(J$19,'LV &amp; HV augex'!$D$9:$P$9,0))*INDEX('LV &amp; HV augex'!$D$28:$J$52,MATCH($B166,'LV &amp; HV augex'!$L$28:$L$52,0),MATCH($C166,'LV &amp; HV augex'!$D$27:$J$27,0)),0)*'Financial inputs'!$D$11</f>
        <v>95164.919682880718</v>
      </c>
      <c r="K166" s="40">
        <f>IFERROR(INDEX('LV &amp; HV augex'!$D$10:$P$18,MATCH($C166,'LV &amp; HV augex'!$C$10:$C$18,0),MATCH(K$19,'LV &amp; HV augex'!$D$9:$P$9,0))*INDEX('LV &amp; HV augex'!$D$28:$J$52,MATCH($B166,'LV &amp; HV augex'!$L$28:$L$52,0),MATCH($C166,'LV &amp; HV augex'!$D$27:$J$27,0)),0)*'Financial inputs'!$D$11</f>
        <v>95164.919682880718</v>
      </c>
      <c r="L166" s="40">
        <f>IFERROR(INDEX('LV &amp; HV augex'!$D$10:$P$18,MATCH($C166,'LV &amp; HV augex'!$C$10:$C$18,0),MATCH(L$19,'LV &amp; HV augex'!$D$9:$P$9,0))*INDEX('LV &amp; HV augex'!$D$28:$J$52,MATCH($B166,'LV &amp; HV augex'!$L$28:$L$52,0),MATCH($C166,'LV &amp; HV augex'!$D$27:$J$27,0)),0)*'Financial inputs'!$D$11</f>
        <v>95164.919682880718</v>
      </c>
      <c r="M166" s="40">
        <f>IFERROR(INDEX('LV &amp; HV augex'!$D$10:$P$18,MATCH($C166,'LV &amp; HV augex'!$C$10:$C$18,0),MATCH(M$19,'LV &amp; HV augex'!$D$9:$P$9,0))*INDEX('LV &amp; HV augex'!$D$28:$J$52,MATCH($B166,'LV &amp; HV augex'!$L$28:$L$52,0),MATCH($C166,'LV &amp; HV augex'!$D$27:$J$27,0)),0)*'Financial inputs'!$D$11</f>
        <v>95164.919682880718</v>
      </c>
      <c r="N166" s="40">
        <f>IFERROR(INDEX('LV &amp; HV augex'!$D$10:$P$18,MATCH($C166,'LV &amp; HV augex'!$C$10:$C$18,0),MATCH(N$19,'LV &amp; HV augex'!$D$9:$P$9,0))*INDEX('LV &amp; HV augex'!$D$28:$J$52,MATCH($B166,'LV &amp; HV augex'!$L$28:$L$52,0),MATCH($C166,'LV &amp; HV augex'!$D$27:$J$27,0)),0)*'Financial inputs'!$D$11</f>
        <v>95164.919682880718</v>
      </c>
      <c r="O166" s="40">
        <f>IFERROR(INDEX('LV &amp; HV augex'!$D$10:$P$18,MATCH($C166,'LV &amp; HV augex'!$C$10:$C$18,0),MATCH(O$19,'LV &amp; HV augex'!$D$9:$P$9,0))*INDEX('LV &amp; HV augex'!$D$28:$J$52,MATCH($B166,'LV &amp; HV augex'!$L$28:$L$52,0),MATCH($C166,'LV &amp; HV augex'!$D$27:$J$27,0)),0)*'Financial inputs'!$D$11</f>
        <v>95164.919682880718</v>
      </c>
      <c r="P166" s="40">
        <f>IFERROR(INDEX('LV &amp; HV augex'!$D$10:$P$18,MATCH($C166,'LV &amp; HV augex'!$C$10:$C$18,0),MATCH(P$19,'LV &amp; HV augex'!$D$9:$P$9,0))*INDEX('LV &amp; HV augex'!$D$28:$J$52,MATCH($B166,'LV &amp; HV augex'!$L$28:$L$52,0),MATCH($C166,'LV &amp; HV augex'!$D$27:$J$27,0)),0)*'Financial inputs'!$D$11</f>
        <v>95164.919682880718</v>
      </c>
    </row>
    <row r="167" spans="2:16" ht="15.5">
      <c r="B167" s="2" t="str">
        <f t="shared" si="7"/>
        <v>Singleton</v>
      </c>
      <c r="C167" s="35" t="str" cm="1">
        <f t="array" ref="C167">INDEX(augex_categories,COUNTIFS($B$20:$B167,$B$20))</f>
        <v>HV Reinforcement OH (Upgrade)</v>
      </c>
      <c r="D167" s="35" t="str">
        <f>IF(COUNTIF('LV &amp; HV augex'!$C$10:$C$13,C167), "LV", IF(COUNTIF('LV &amp; HV augex'!$C$15:$C$17, C167), "HV", "Error"))</f>
        <v>HV</v>
      </c>
      <c r="E167" s="35" t="str">
        <f>INDEX('Growing &amp; falling'!$D$14:$D$39,MATCH($B167,'Growing &amp; falling'!$B$14:$B$39,0))</f>
        <v>Decline</v>
      </c>
      <c r="F167" s="35" t="str">
        <f t="shared" si="8"/>
        <v>$2024 real</v>
      </c>
      <c r="G167" s="40">
        <f>IFERROR(INDEX('LV &amp; HV augex'!$D$10:$P$18,MATCH($C167,'LV &amp; HV augex'!$C$10:$C$18,0),MATCH(G$19,'LV &amp; HV augex'!$D$9:$P$9,0))*INDEX('LV &amp; HV augex'!$D$28:$J$52,MATCH($B167,'LV &amp; HV augex'!$L$28:$L$52,0),MATCH($C167,'LV &amp; HV augex'!$D$27:$J$27,0)),0)*'Financial inputs'!$D$11</f>
        <v>166704.9138357112</v>
      </c>
      <c r="H167" s="40">
        <f>IFERROR(INDEX('LV &amp; HV augex'!$D$10:$P$18,MATCH($C167,'LV &amp; HV augex'!$C$10:$C$18,0),MATCH(H$19,'LV &amp; HV augex'!$D$9:$P$9,0))*INDEX('LV &amp; HV augex'!$D$28:$J$52,MATCH($B167,'LV &amp; HV augex'!$L$28:$L$52,0),MATCH($C167,'LV &amp; HV augex'!$D$27:$J$27,0)),0)*'Financial inputs'!$D$11</f>
        <v>164323.43119550787</v>
      </c>
      <c r="I167" s="40">
        <f>IFERROR(INDEX('LV &amp; HV augex'!$D$10:$P$18,MATCH($C167,'LV &amp; HV augex'!$C$10:$C$18,0),MATCH(I$19,'LV &amp; HV augex'!$D$9:$P$9,0))*INDEX('LV &amp; HV augex'!$D$28:$J$52,MATCH($B167,'LV &amp; HV augex'!$L$28:$L$52,0),MATCH($C167,'LV &amp; HV augex'!$D$27:$J$27,0)),0)*'Financial inputs'!$D$11</f>
        <v>166109.54317566039</v>
      </c>
      <c r="J167" s="40">
        <f>IFERROR(INDEX('LV &amp; HV augex'!$D$10:$P$18,MATCH($C167,'LV &amp; HV augex'!$C$10:$C$18,0),MATCH(J$19,'LV &amp; HV augex'!$D$9:$P$9,0))*INDEX('LV &amp; HV augex'!$D$28:$J$52,MATCH($B167,'LV &amp; HV augex'!$L$28:$L$52,0),MATCH($C167,'LV &amp; HV augex'!$D$27:$J$27,0)),0)*'Financial inputs'!$D$11</f>
        <v>166109.54317566039</v>
      </c>
      <c r="K167" s="40">
        <f>IFERROR(INDEX('LV &amp; HV augex'!$D$10:$P$18,MATCH($C167,'LV &amp; HV augex'!$C$10:$C$18,0),MATCH(K$19,'LV &amp; HV augex'!$D$9:$P$9,0))*INDEX('LV &amp; HV augex'!$D$28:$J$52,MATCH($B167,'LV &amp; HV augex'!$L$28:$L$52,0),MATCH($C167,'LV &amp; HV augex'!$D$27:$J$27,0)),0)*'Financial inputs'!$D$11</f>
        <v>166109.54317566039</v>
      </c>
      <c r="L167" s="40">
        <f>IFERROR(INDEX('LV &amp; HV augex'!$D$10:$P$18,MATCH($C167,'LV &amp; HV augex'!$C$10:$C$18,0),MATCH(L$19,'LV &amp; HV augex'!$D$9:$P$9,0))*INDEX('LV &amp; HV augex'!$D$28:$J$52,MATCH($B167,'LV &amp; HV augex'!$L$28:$L$52,0),MATCH($C167,'LV &amp; HV augex'!$D$27:$J$27,0)),0)*'Financial inputs'!$D$11</f>
        <v>166109.54317566039</v>
      </c>
      <c r="M167" s="40">
        <f>IFERROR(INDEX('LV &amp; HV augex'!$D$10:$P$18,MATCH($C167,'LV &amp; HV augex'!$C$10:$C$18,0),MATCH(M$19,'LV &amp; HV augex'!$D$9:$P$9,0))*INDEX('LV &amp; HV augex'!$D$28:$J$52,MATCH($B167,'LV &amp; HV augex'!$L$28:$L$52,0),MATCH($C167,'LV &amp; HV augex'!$D$27:$J$27,0)),0)*'Financial inputs'!$D$11</f>
        <v>166109.54317566039</v>
      </c>
      <c r="N167" s="40">
        <f>IFERROR(INDEX('LV &amp; HV augex'!$D$10:$P$18,MATCH($C167,'LV &amp; HV augex'!$C$10:$C$18,0),MATCH(N$19,'LV &amp; HV augex'!$D$9:$P$9,0))*INDEX('LV &amp; HV augex'!$D$28:$J$52,MATCH($B167,'LV &amp; HV augex'!$L$28:$L$52,0),MATCH($C167,'LV &amp; HV augex'!$D$27:$J$27,0)),0)*'Financial inputs'!$D$11</f>
        <v>166109.54317566039</v>
      </c>
      <c r="O167" s="40">
        <f>IFERROR(INDEX('LV &amp; HV augex'!$D$10:$P$18,MATCH($C167,'LV &amp; HV augex'!$C$10:$C$18,0),MATCH(O$19,'LV &amp; HV augex'!$D$9:$P$9,0))*INDEX('LV &amp; HV augex'!$D$28:$J$52,MATCH($B167,'LV &amp; HV augex'!$L$28:$L$52,0),MATCH($C167,'LV &amp; HV augex'!$D$27:$J$27,0)),0)*'Financial inputs'!$D$11</f>
        <v>166109.54317566039</v>
      </c>
      <c r="P167" s="40">
        <f>IFERROR(INDEX('LV &amp; HV augex'!$D$10:$P$18,MATCH($C167,'LV &amp; HV augex'!$C$10:$C$18,0),MATCH(P$19,'LV &amp; HV augex'!$D$9:$P$9,0))*INDEX('LV &amp; HV augex'!$D$28:$J$52,MATCH($B167,'LV &amp; HV augex'!$L$28:$L$52,0),MATCH($C167,'LV &amp; HV augex'!$D$27:$J$27,0)),0)*'Financial inputs'!$D$11</f>
        <v>166109.54317566039</v>
      </c>
    </row>
    <row r="168" spans="2:16" ht="15.5">
      <c r="B168" s="2" t="str">
        <f t="shared" si="7"/>
        <v>St George</v>
      </c>
      <c r="C168" s="35" t="str" cm="1">
        <f t="array" ref="C168">INDEX(augex_categories,COUNTIFS($B$20:$B168,$B$20))</f>
        <v>HV Reinforcement OH (Upgrade)</v>
      </c>
      <c r="D168" s="35" t="str">
        <f>IF(COUNTIF('LV &amp; HV augex'!$C$10:$C$13,C168), "LV", IF(COUNTIF('LV &amp; HV augex'!$C$15:$C$17, C168), "HV", "Error"))</f>
        <v>HV</v>
      </c>
      <c r="E168" s="35" t="str">
        <f>INDEX('Growing &amp; falling'!$D$14:$D$39,MATCH($B168,'Growing &amp; falling'!$B$14:$B$39,0))</f>
        <v>Decline</v>
      </c>
      <c r="F168" s="35" t="str">
        <f t="shared" si="8"/>
        <v>$2024 real</v>
      </c>
      <c r="G168" s="40">
        <f>IFERROR(INDEX('LV &amp; HV augex'!$D$10:$P$18,MATCH($C168,'LV &amp; HV augex'!$C$10:$C$18,0),MATCH(G$19,'LV &amp; HV augex'!$D$9:$P$9,0))*INDEX('LV &amp; HV augex'!$D$28:$J$52,MATCH($B168,'LV &amp; HV augex'!$L$28:$L$52,0),MATCH($C168,'LV &amp; HV augex'!$D$27:$J$27,0)),0)*'Financial inputs'!$D$11</f>
        <v>0</v>
      </c>
      <c r="H168" s="40">
        <f>IFERROR(INDEX('LV &amp; HV augex'!$D$10:$P$18,MATCH($C168,'LV &amp; HV augex'!$C$10:$C$18,0),MATCH(H$19,'LV &amp; HV augex'!$D$9:$P$9,0))*INDEX('LV &amp; HV augex'!$D$28:$J$52,MATCH($B168,'LV &amp; HV augex'!$L$28:$L$52,0),MATCH($C168,'LV &amp; HV augex'!$D$27:$J$27,0)),0)*'Financial inputs'!$D$11</f>
        <v>0</v>
      </c>
      <c r="I168" s="40">
        <f>IFERROR(INDEX('LV &amp; HV augex'!$D$10:$P$18,MATCH($C168,'LV &amp; HV augex'!$C$10:$C$18,0),MATCH(I$19,'LV &amp; HV augex'!$D$9:$P$9,0))*INDEX('LV &amp; HV augex'!$D$28:$J$52,MATCH($B168,'LV &amp; HV augex'!$L$28:$L$52,0),MATCH($C168,'LV &amp; HV augex'!$D$27:$J$27,0)),0)*'Financial inputs'!$D$11</f>
        <v>0</v>
      </c>
      <c r="J168" s="40">
        <f>IFERROR(INDEX('LV &amp; HV augex'!$D$10:$P$18,MATCH($C168,'LV &amp; HV augex'!$C$10:$C$18,0),MATCH(J$19,'LV &amp; HV augex'!$D$9:$P$9,0))*INDEX('LV &amp; HV augex'!$D$28:$J$52,MATCH($B168,'LV &amp; HV augex'!$L$28:$L$52,0),MATCH($C168,'LV &amp; HV augex'!$D$27:$J$27,0)),0)*'Financial inputs'!$D$11</f>
        <v>0</v>
      </c>
      <c r="K168" s="40">
        <f>IFERROR(INDEX('LV &amp; HV augex'!$D$10:$P$18,MATCH($C168,'LV &amp; HV augex'!$C$10:$C$18,0),MATCH(K$19,'LV &amp; HV augex'!$D$9:$P$9,0))*INDEX('LV &amp; HV augex'!$D$28:$J$52,MATCH($B168,'LV &amp; HV augex'!$L$28:$L$52,0),MATCH($C168,'LV &amp; HV augex'!$D$27:$J$27,0)),0)*'Financial inputs'!$D$11</f>
        <v>0</v>
      </c>
      <c r="L168" s="40">
        <f>IFERROR(INDEX('LV &amp; HV augex'!$D$10:$P$18,MATCH($C168,'LV &amp; HV augex'!$C$10:$C$18,0),MATCH(L$19,'LV &amp; HV augex'!$D$9:$P$9,0))*INDEX('LV &amp; HV augex'!$D$28:$J$52,MATCH($B168,'LV &amp; HV augex'!$L$28:$L$52,0),MATCH($C168,'LV &amp; HV augex'!$D$27:$J$27,0)),0)*'Financial inputs'!$D$11</f>
        <v>0</v>
      </c>
      <c r="M168" s="40">
        <f>IFERROR(INDEX('LV &amp; HV augex'!$D$10:$P$18,MATCH($C168,'LV &amp; HV augex'!$C$10:$C$18,0),MATCH(M$19,'LV &amp; HV augex'!$D$9:$P$9,0))*INDEX('LV &amp; HV augex'!$D$28:$J$52,MATCH($B168,'LV &amp; HV augex'!$L$28:$L$52,0),MATCH($C168,'LV &amp; HV augex'!$D$27:$J$27,0)),0)*'Financial inputs'!$D$11</f>
        <v>0</v>
      </c>
      <c r="N168" s="40">
        <f>IFERROR(INDEX('LV &amp; HV augex'!$D$10:$P$18,MATCH($C168,'LV &amp; HV augex'!$C$10:$C$18,0),MATCH(N$19,'LV &amp; HV augex'!$D$9:$P$9,0))*INDEX('LV &amp; HV augex'!$D$28:$J$52,MATCH($B168,'LV &amp; HV augex'!$L$28:$L$52,0),MATCH($C168,'LV &amp; HV augex'!$D$27:$J$27,0)),0)*'Financial inputs'!$D$11</f>
        <v>0</v>
      </c>
      <c r="O168" s="40">
        <f>IFERROR(INDEX('LV &amp; HV augex'!$D$10:$P$18,MATCH($C168,'LV &amp; HV augex'!$C$10:$C$18,0),MATCH(O$19,'LV &amp; HV augex'!$D$9:$P$9,0))*INDEX('LV &amp; HV augex'!$D$28:$J$52,MATCH($B168,'LV &amp; HV augex'!$L$28:$L$52,0),MATCH($C168,'LV &amp; HV augex'!$D$27:$J$27,0)),0)*'Financial inputs'!$D$11</f>
        <v>0</v>
      </c>
      <c r="P168" s="40">
        <f>IFERROR(INDEX('LV &amp; HV augex'!$D$10:$P$18,MATCH($C168,'LV &amp; HV augex'!$C$10:$C$18,0),MATCH(P$19,'LV &amp; HV augex'!$D$9:$P$9,0))*INDEX('LV &amp; HV augex'!$D$28:$J$52,MATCH($B168,'LV &amp; HV augex'!$L$28:$L$52,0),MATCH($C168,'LV &amp; HV augex'!$D$27:$J$27,0)),0)*'Financial inputs'!$D$11</f>
        <v>0</v>
      </c>
    </row>
    <row r="169" spans="2:16" ht="15.5">
      <c r="B169" s="2" t="str">
        <f t="shared" si="7"/>
        <v>Sutherland</v>
      </c>
      <c r="C169" s="35" t="str" cm="1">
        <f t="array" ref="C169">INDEX(augex_categories,COUNTIFS($B$20:$B169,$B$20))</f>
        <v>HV Reinforcement OH (Upgrade)</v>
      </c>
      <c r="D169" s="35" t="str">
        <f>IF(COUNTIF('LV &amp; HV augex'!$C$10:$C$13,C169), "LV", IF(COUNTIF('LV &amp; HV augex'!$C$15:$C$17, C169), "HV", "Error"))</f>
        <v>HV</v>
      </c>
      <c r="E169" s="35" t="str">
        <f>INDEX('Growing &amp; falling'!$D$14:$D$39,MATCH($B169,'Growing &amp; falling'!$B$14:$B$39,0))</f>
        <v>Decline</v>
      </c>
      <c r="F169" s="35" t="str">
        <f t="shared" si="8"/>
        <v>$2024 real</v>
      </c>
      <c r="G169" s="40">
        <f>IFERROR(INDEX('LV &amp; HV augex'!$D$10:$P$18,MATCH($C169,'LV &amp; HV augex'!$C$10:$C$18,0),MATCH(G$19,'LV &amp; HV augex'!$D$9:$P$9,0))*INDEX('LV &amp; HV augex'!$D$28:$J$52,MATCH($B169,'LV &amp; HV augex'!$L$28:$L$52,0),MATCH($C169,'LV &amp; HV augex'!$D$27:$J$27,0)),0)*'Financial inputs'!$D$11</f>
        <v>10175.999721630782</v>
      </c>
      <c r="H169" s="40">
        <f>IFERROR(INDEX('LV &amp; HV augex'!$D$10:$P$18,MATCH($C169,'LV &amp; HV augex'!$C$10:$C$18,0),MATCH(H$19,'LV &amp; HV augex'!$D$9:$P$9,0))*INDEX('LV &amp; HV augex'!$D$28:$J$52,MATCH($B169,'LV &amp; HV augex'!$L$28:$L$52,0),MATCH($C169,'LV &amp; HV augex'!$D$27:$J$27,0)),0)*'Financial inputs'!$D$11</f>
        <v>10030.629281574888</v>
      </c>
      <c r="I169" s="40">
        <f>IFERROR(INDEX('LV &amp; HV augex'!$D$10:$P$18,MATCH($C169,'LV &amp; HV augex'!$C$10:$C$18,0),MATCH(I$19,'LV &amp; HV augex'!$D$9:$P$9,0))*INDEX('LV &amp; HV augex'!$D$28:$J$52,MATCH($B169,'LV &amp; HV augex'!$L$28:$L$52,0),MATCH($C169,'LV &amp; HV augex'!$D$27:$J$27,0)),0)*'Financial inputs'!$D$11</f>
        <v>10139.657111616809</v>
      </c>
      <c r="J169" s="40">
        <f>IFERROR(INDEX('LV &amp; HV augex'!$D$10:$P$18,MATCH($C169,'LV &amp; HV augex'!$C$10:$C$18,0),MATCH(J$19,'LV &amp; HV augex'!$D$9:$P$9,0))*INDEX('LV &amp; HV augex'!$D$28:$J$52,MATCH($B169,'LV &amp; HV augex'!$L$28:$L$52,0),MATCH($C169,'LV &amp; HV augex'!$D$27:$J$27,0)),0)*'Financial inputs'!$D$11</f>
        <v>10139.657111616809</v>
      </c>
      <c r="K169" s="40">
        <f>IFERROR(INDEX('LV &amp; HV augex'!$D$10:$P$18,MATCH($C169,'LV &amp; HV augex'!$C$10:$C$18,0),MATCH(K$19,'LV &amp; HV augex'!$D$9:$P$9,0))*INDEX('LV &amp; HV augex'!$D$28:$J$52,MATCH($B169,'LV &amp; HV augex'!$L$28:$L$52,0),MATCH($C169,'LV &amp; HV augex'!$D$27:$J$27,0)),0)*'Financial inputs'!$D$11</f>
        <v>10139.657111616809</v>
      </c>
      <c r="L169" s="40">
        <f>IFERROR(INDEX('LV &amp; HV augex'!$D$10:$P$18,MATCH($C169,'LV &amp; HV augex'!$C$10:$C$18,0),MATCH(L$19,'LV &amp; HV augex'!$D$9:$P$9,0))*INDEX('LV &amp; HV augex'!$D$28:$J$52,MATCH($B169,'LV &amp; HV augex'!$L$28:$L$52,0),MATCH($C169,'LV &amp; HV augex'!$D$27:$J$27,0)),0)*'Financial inputs'!$D$11</f>
        <v>10139.657111616809</v>
      </c>
      <c r="M169" s="40">
        <f>IFERROR(INDEX('LV &amp; HV augex'!$D$10:$P$18,MATCH($C169,'LV &amp; HV augex'!$C$10:$C$18,0),MATCH(M$19,'LV &amp; HV augex'!$D$9:$P$9,0))*INDEX('LV &amp; HV augex'!$D$28:$J$52,MATCH($B169,'LV &amp; HV augex'!$L$28:$L$52,0),MATCH($C169,'LV &amp; HV augex'!$D$27:$J$27,0)),0)*'Financial inputs'!$D$11</f>
        <v>10139.657111616809</v>
      </c>
      <c r="N169" s="40">
        <f>IFERROR(INDEX('LV &amp; HV augex'!$D$10:$P$18,MATCH($C169,'LV &amp; HV augex'!$C$10:$C$18,0),MATCH(N$19,'LV &amp; HV augex'!$D$9:$P$9,0))*INDEX('LV &amp; HV augex'!$D$28:$J$52,MATCH($B169,'LV &amp; HV augex'!$L$28:$L$52,0),MATCH($C169,'LV &amp; HV augex'!$D$27:$J$27,0)),0)*'Financial inputs'!$D$11</f>
        <v>10139.657111616809</v>
      </c>
      <c r="O169" s="40">
        <f>IFERROR(INDEX('LV &amp; HV augex'!$D$10:$P$18,MATCH($C169,'LV &amp; HV augex'!$C$10:$C$18,0),MATCH(O$19,'LV &amp; HV augex'!$D$9:$P$9,0))*INDEX('LV &amp; HV augex'!$D$28:$J$52,MATCH($B169,'LV &amp; HV augex'!$L$28:$L$52,0),MATCH($C169,'LV &amp; HV augex'!$D$27:$J$27,0)),0)*'Financial inputs'!$D$11</f>
        <v>10139.657111616809</v>
      </c>
      <c r="P169" s="40">
        <f>IFERROR(INDEX('LV &amp; HV augex'!$D$10:$P$18,MATCH($C169,'LV &amp; HV augex'!$C$10:$C$18,0),MATCH(P$19,'LV &amp; HV augex'!$D$9:$P$9,0))*INDEX('LV &amp; HV augex'!$D$28:$J$52,MATCH($B169,'LV &amp; HV augex'!$L$28:$L$52,0),MATCH($C169,'LV &amp; HV augex'!$D$27:$J$27,0)),0)*'Financial inputs'!$D$11</f>
        <v>10139.657111616809</v>
      </c>
    </row>
    <row r="170" spans="2:16" ht="15.5">
      <c r="B170" s="2" t="str">
        <f t="shared" si="7"/>
        <v>Sydney CBD</v>
      </c>
      <c r="C170" s="35" t="str" cm="1">
        <f t="array" ref="C170">INDEX(augex_categories,COUNTIFS($B$20:$B170,$B$20))</f>
        <v>HV Reinforcement OH (Upgrade)</v>
      </c>
      <c r="D170" s="35" t="str">
        <f>IF(COUNTIF('LV &amp; HV augex'!$C$10:$C$13,C170), "LV", IF(COUNTIF('LV &amp; HV augex'!$C$15:$C$17, C170), "HV", "Error"))</f>
        <v>HV</v>
      </c>
      <c r="E170" s="35" t="str">
        <f>INDEX('Growing &amp; falling'!$D$14:$D$39,MATCH($B170,'Growing &amp; falling'!$B$14:$B$39,0))</f>
        <v>Growth</v>
      </c>
      <c r="F170" s="35" t="str">
        <f t="shared" si="8"/>
        <v>$2024 real</v>
      </c>
      <c r="G170" s="40">
        <f>IFERROR(INDEX('LV &amp; HV augex'!$D$10:$P$18,MATCH($C170,'LV &amp; HV augex'!$C$10:$C$18,0),MATCH(G$19,'LV &amp; HV augex'!$D$9:$P$9,0))*INDEX('LV &amp; HV augex'!$D$28:$J$52,MATCH($B170,'LV &amp; HV augex'!$L$28:$L$52,0),MATCH($C170,'LV &amp; HV augex'!$D$27:$J$27,0)),0)*'Financial inputs'!$D$11</f>
        <v>12494.408631975701</v>
      </c>
      <c r="H170" s="40">
        <f>IFERROR(INDEX('LV &amp; HV augex'!$D$10:$P$18,MATCH($C170,'LV &amp; HV augex'!$C$10:$C$18,0),MATCH(H$19,'LV &amp; HV augex'!$D$9:$P$9,0))*INDEX('LV &amp; HV augex'!$D$28:$J$52,MATCH($B170,'LV &amp; HV augex'!$L$28:$L$52,0),MATCH($C170,'LV &amp; HV augex'!$D$27:$J$27,0)),0)*'Financial inputs'!$D$11</f>
        <v>12315.918288937701</v>
      </c>
      <c r="I170" s="40">
        <f>IFERROR(INDEX('LV &amp; HV augex'!$D$10:$P$18,MATCH($C170,'LV &amp; HV augex'!$C$10:$C$18,0),MATCH(I$19,'LV &amp; HV augex'!$D$9:$P$9,0))*INDEX('LV &amp; HV augex'!$D$28:$J$52,MATCH($B170,'LV &amp; HV augex'!$L$28:$L$52,0),MATCH($C170,'LV &amp; HV augex'!$D$27:$J$27,0)),0)*'Financial inputs'!$D$11</f>
        <v>12449.786046216201</v>
      </c>
      <c r="J170" s="40">
        <f>IFERROR(INDEX('LV &amp; HV augex'!$D$10:$P$18,MATCH($C170,'LV &amp; HV augex'!$C$10:$C$18,0),MATCH(J$19,'LV &amp; HV augex'!$D$9:$P$9,0))*INDEX('LV &amp; HV augex'!$D$28:$J$52,MATCH($B170,'LV &amp; HV augex'!$L$28:$L$52,0),MATCH($C170,'LV &amp; HV augex'!$D$27:$J$27,0)),0)*'Financial inputs'!$D$11</f>
        <v>12449.786046216201</v>
      </c>
      <c r="K170" s="40">
        <f>IFERROR(INDEX('LV &amp; HV augex'!$D$10:$P$18,MATCH($C170,'LV &amp; HV augex'!$C$10:$C$18,0),MATCH(K$19,'LV &amp; HV augex'!$D$9:$P$9,0))*INDEX('LV &amp; HV augex'!$D$28:$J$52,MATCH($B170,'LV &amp; HV augex'!$L$28:$L$52,0),MATCH($C170,'LV &amp; HV augex'!$D$27:$J$27,0)),0)*'Financial inputs'!$D$11</f>
        <v>12449.786046216201</v>
      </c>
      <c r="L170" s="40">
        <f>IFERROR(INDEX('LV &amp; HV augex'!$D$10:$P$18,MATCH($C170,'LV &amp; HV augex'!$C$10:$C$18,0),MATCH(L$19,'LV &amp; HV augex'!$D$9:$P$9,0))*INDEX('LV &amp; HV augex'!$D$28:$J$52,MATCH($B170,'LV &amp; HV augex'!$L$28:$L$52,0),MATCH($C170,'LV &amp; HV augex'!$D$27:$J$27,0)),0)*'Financial inputs'!$D$11</f>
        <v>12449.786046216201</v>
      </c>
      <c r="M170" s="40">
        <f>IFERROR(INDEX('LV &amp; HV augex'!$D$10:$P$18,MATCH($C170,'LV &amp; HV augex'!$C$10:$C$18,0),MATCH(M$19,'LV &amp; HV augex'!$D$9:$P$9,0))*INDEX('LV &amp; HV augex'!$D$28:$J$52,MATCH($B170,'LV &amp; HV augex'!$L$28:$L$52,0),MATCH($C170,'LV &amp; HV augex'!$D$27:$J$27,0)),0)*'Financial inputs'!$D$11</f>
        <v>12449.786046216201</v>
      </c>
      <c r="N170" s="40">
        <f>IFERROR(INDEX('LV &amp; HV augex'!$D$10:$P$18,MATCH($C170,'LV &amp; HV augex'!$C$10:$C$18,0),MATCH(N$19,'LV &amp; HV augex'!$D$9:$P$9,0))*INDEX('LV &amp; HV augex'!$D$28:$J$52,MATCH($B170,'LV &amp; HV augex'!$L$28:$L$52,0),MATCH($C170,'LV &amp; HV augex'!$D$27:$J$27,0)),0)*'Financial inputs'!$D$11</f>
        <v>12449.786046216201</v>
      </c>
      <c r="O170" s="40">
        <f>IFERROR(INDEX('LV &amp; HV augex'!$D$10:$P$18,MATCH($C170,'LV &amp; HV augex'!$C$10:$C$18,0),MATCH(O$19,'LV &amp; HV augex'!$D$9:$P$9,0))*INDEX('LV &amp; HV augex'!$D$28:$J$52,MATCH($B170,'LV &amp; HV augex'!$L$28:$L$52,0),MATCH($C170,'LV &amp; HV augex'!$D$27:$J$27,0)),0)*'Financial inputs'!$D$11</f>
        <v>12449.786046216201</v>
      </c>
      <c r="P170" s="40">
        <f>IFERROR(INDEX('LV &amp; HV augex'!$D$10:$P$18,MATCH($C170,'LV &amp; HV augex'!$C$10:$C$18,0),MATCH(P$19,'LV &amp; HV augex'!$D$9:$P$9,0))*INDEX('LV &amp; HV augex'!$D$28:$J$52,MATCH($B170,'LV &amp; HV augex'!$L$28:$L$52,0),MATCH($C170,'LV &amp; HV augex'!$D$27:$J$27,0)),0)*'Financial inputs'!$D$11</f>
        <v>12449.786046216201</v>
      </c>
    </row>
    <row r="171" spans="2:16" ht="15.5">
      <c r="B171" s="2" t="str">
        <f t="shared" si="7"/>
        <v>Upper Central Coast</v>
      </c>
      <c r="C171" s="35" t="str" cm="1">
        <f t="array" ref="C171">INDEX(augex_categories,COUNTIFS($B$20:$B171,$B$20))</f>
        <v>HV Reinforcement OH (Upgrade)</v>
      </c>
      <c r="D171" s="35" t="str">
        <f>IF(COUNTIF('LV &amp; HV augex'!$C$10:$C$13,C171), "LV", IF(COUNTIF('LV &amp; HV augex'!$C$15:$C$17, C171), "HV", "Error"))</f>
        <v>HV</v>
      </c>
      <c r="E171" s="35" t="str">
        <f>INDEX('Growing &amp; falling'!$D$14:$D$39,MATCH($B171,'Growing &amp; falling'!$B$14:$B$39,0))</f>
        <v>Growth</v>
      </c>
      <c r="F171" s="35" t="str">
        <f t="shared" si="8"/>
        <v>$2024 real</v>
      </c>
      <c r="G171" s="40">
        <f>IFERROR(INDEX('LV &amp; HV augex'!$D$10:$P$18,MATCH($C171,'LV &amp; HV augex'!$C$10:$C$18,0),MATCH(G$19,'LV &amp; HV augex'!$D$9:$P$9,0))*INDEX('LV &amp; HV augex'!$D$28:$J$52,MATCH($B171,'LV &amp; HV augex'!$L$28:$L$52,0),MATCH($C171,'LV &amp; HV augex'!$D$27:$J$27,0)),0)*'Financial inputs'!$D$11</f>
        <v>87359.290709384601</v>
      </c>
      <c r="H171" s="40">
        <f>IFERROR(INDEX('LV &amp; HV augex'!$D$10:$P$18,MATCH($C171,'LV &amp; HV augex'!$C$10:$C$18,0),MATCH(H$19,'LV &amp; HV augex'!$D$9:$P$9,0))*INDEX('LV &amp; HV augex'!$D$28:$J$52,MATCH($B171,'LV &amp; HV augex'!$L$28:$L$52,0),MATCH($C171,'LV &amp; HV augex'!$D$27:$J$27,0)),0)*'Financial inputs'!$D$11</f>
        <v>86111.30929421226</v>
      </c>
      <c r="I171" s="40">
        <f>IFERROR(INDEX('LV &amp; HV augex'!$D$10:$P$18,MATCH($C171,'LV &amp; HV augex'!$C$10:$C$18,0),MATCH(I$19,'LV &amp; HV augex'!$D$9:$P$9,0))*INDEX('LV &amp; HV augex'!$D$28:$J$52,MATCH($B171,'LV &amp; HV augex'!$L$28:$L$52,0),MATCH($C171,'LV &amp; HV augex'!$D$27:$J$27,0)),0)*'Financial inputs'!$D$11</f>
        <v>87047.295355591516</v>
      </c>
      <c r="J171" s="40">
        <f>IFERROR(INDEX('LV &amp; HV augex'!$D$10:$P$18,MATCH($C171,'LV &amp; HV augex'!$C$10:$C$18,0),MATCH(J$19,'LV &amp; HV augex'!$D$9:$P$9,0))*INDEX('LV &amp; HV augex'!$D$28:$J$52,MATCH($B171,'LV &amp; HV augex'!$L$28:$L$52,0),MATCH($C171,'LV &amp; HV augex'!$D$27:$J$27,0)),0)*'Financial inputs'!$D$11</f>
        <v>87047.295355591516</v>
      </c>
      <c r="K171" s="40">
        <f>IFERROR(INDEX('LV &amp; HV augex'!$D$10:$P$18,MATCH($C171,'LV &amp; HV augex'!$C$10:$C$18,0),MATCH(K$19,'LV &amp; HV augex'!$D$9:$P$9,0))*INDEX('LV &amp; HV augex'!$D$28:$J$52,MATCH($B171,'LV &amp; HV augex'!$L$28:$L$52,0),MATCH($C171,'LV &amp; HV augex'!$D$27:$J$27,0)),0)*'Financial inputs'!$D$11</f>
        <v>87047.295355591516</v>
      </c>
      <c r="L171" s="40">
        <f>IFERROR(INDEX('LV &amp; HV augex'!$D$10:$P$18,MATCH($C171,'LV &amp; HV augex'!$C$10:$C$18,0),MATCH(L$19,'LV &amp; HV augex'!$D$9:$P$9,0))*INDEX('LV &amp; HV augex'!$D$28:$J$52,MATCH($B171,'LV &amp; HV augex'!$L$28:$L$52,0),MATCH($C171,'LV &amp; HV augex'!$D$27:$J$27,0)),0)*'Financial inputs'!$D$11</f>
        <v>87047.295355591516</v>
      </c>
      <c r="M171" s="40">
        <f>IFERROR(INDEX('LV &amp; HV augex'!$D$10:$P$18,MATCH($C171,'LV &amp; HV augex'!$C$10:$C$18,0),MATCH(M$19,'LV &amp; HV augex'!$D$9:$P$9,0))*INDEX('LV &amp; HV augex'!$D$28:$J$52,MATCH($B171,'LV &amp; HV augex'!$L$28:$L$52,0),MATCH($C171,'LV &amp; HV augex'!$D$27:$J$27,0)),0)*'Financial inputs'!$D$11</f>
        <v>87047.295355591516</v>
      </c>
      <c r="N171" s="40">
        <f>IFERROR(INDEX('LV &amp; HV augex'!$D$10:$P$18,MATCH($C171,'LV &amp; HV augex'!$C$10:$C$18,0),MATCH(N$19,'LV &amp; HV augex'!$D$9:$P$9,0))*INDEX('LV &amp; HV augex'!$D$28:$J$52,MATCH($B171,'LV &amp; HV augex'!$L$28:$L$52,0),MATCH($C171,'LV &amp; HV augex'!$D$27:$J$27,0)),0)*'Financial inputs'!$D$11</f>
        <v>87047.295355591516</v>
      </c>
      <c r="O171" s="40">
        <f>IFERROR(INDEX('LV &amp; HV augex'!$D$10:$P$18,MATCH($C171,'LV &amp; HV augex'!$C$10:$C$18,0),MATCH(O$19,'LV &amp; HV augex'!$D$9:$P$9,0))*INDEX('LV &amp; HV augex'!$D$28:$J$52,MATCH($B171,'LV &amp; HV augex'!$L$28:$L$52,0),MATCH($C171,'LV &amp; HV augex'!$D$27:$J$27,0)),0)*'Financial inputs'!$D$11</f>
        <v>87047.295355591516</v>
      </c>
      <c r="P171" s="40">
        <f>IFERROR(INDEX('LV &amp; HV augex'!$D$10:$P$18,MATCH($C171,'LV &amp; HV augex'!$C$10:$C$18,0),MATCH(P$19,'LV &amp; HV augex'!$D$9:$P$9,0))*INDEX('LV &amp; HV augex'!$D$28:$J$52,MATCH($B171,'LV &amp; HV augex'!$L$28:$L$52,0),MATCH($C171,'LV &amp; HV augex'!$D$27:$J$27,0)),0)*'Financial inputs'!$D$11</f>
        <v>87047.295355591516</v>
      </c>
    </row>
    <row r="172" spans="2:16" ht="15.5">
      <c r="B172" s="2" t="str">
        <f t="shared" si="7"/>
        <v>Upper Hunter</v>
      </c>
      <c r="C172" s="35" t="str" cm="1">
        <f t="array" ref="C172">INDEX(augex_categories,COUNTIFS($B$20:$B172,$B$20))</f>
        <v>HV Reinforcement OH (Upgrade)</v>
      </c>
      <c r="D172" s="35" t="str">
        <f>IF(COUNTIF('LV &amp; HV augex'!$C$10:$C$13,C172), "LV", IF(COUNTIF('LV &amp; HV augex'!$C$15:$C$17, C172), "HV", "Error"))</f>
        <v>HV</v>
      </c>
      <c r="E172" s="35" t="str">
        <f>INDEX('Growing &amp; falling'!$D$14:$D$39,MATCH($B172,'Growing &amp; falling'!$B$14:$B$39,0))</f>
        <v>Decline</v>
      </c>
      <c r="F172" s="35" t="str">
        <f t="shared" si="8"/>
        <v>$2024 real</v>
      </c>
      <c r="G172" s="40">
        <f>IFERROR(INDEX('LV &amp; HV augex'!$D$10:$P$18,MATCH($C172,'LV &amp; HV augex'!$C$10:$C$18,0),MATCH(G$19,'LV &amp; HV augex'!$D$9:$P$9,0))*INDEX('LV &amp; HV augex'!$D$28:$J$52,MATCH($B172,'LV &amp; HV augex'!$L$28:$L$52,0),MATCH($C172,'LV &amp; HV augex'!$D$27:$J$27,0)),0)*'Financial inputs'!$D$11</f>
        <v>0</v>
      </c>
      <c r="H172" s="40">
        <f>IFERROR(INDEX('LV &amp; HV augex'!$D$10:$P$18,MATCH($C172,'LV &amp; HV augex'!$C$10:$C$18,0),MATCH(H$19,'LV &amp; HV augex'!$D$9:$P$9,0))*INDEX('LV &amp; HV augex'!$D$28:$J$52,MATCH($B172,'LV &amp; HV augex'!$L$28:$L$52,0),MATCH($C172,'LV &amp; HV augex'!$D$27:$J$27,0)),0)*'Financial inputs'!$D$11</f>
        <v>0</v>
      </c>
      <c r="I172" s="40">
        <f>IFERROR(INDEX('LV &amp; HV augex'!$D$10:$P$18,MATCH($C172,'LV &amp; HV augex'!$C$10:$C$18,0),MATCH(I$19,'LV &amp; HV augex'!$D$9:$P$9,0))*INDEX('LV &amp; HV augex'!$D$28:$J$52,MATCH($B172,'LV &amp; HV augex'!$L$28:$L$52,0),MATCH($C172,'LV &amp; HV augex'!$D$27:$J$27,0)),0)*'Financial inputs'!$D$11</f>
        <v>0</v>
      </c>
      <c r="J172" s="40">
        <f>IFERROR(INDEX('LV &amp; HV augex'!$D$10:$P$18,MATCH($C172,'LV &amp; HV augex'!$C$10:$C$18,0),MATCH(J$19,'LV &amp; HV augex'!$D$9:$P$9,0))*INDEX('LV &amp; HV augex'!$D$28:$J$52,MATCH($B172,'LV &amp; HV augex'!$L$28:$L$52,0),MATCH($C172,'LV &amp; HV augex'!$D$27:$J$27,0)),0)*'Financial inputs'!$D$11</f>
        <v>0</v>
      </c>
      <c r="K172" s="40">
        <f>IFERROR(INDEX('LV &amp; HV augex'!$D$10:$P$18,MATCH($C172,'LV &amp; HV augex'!$C$10:$C$18,0),MATCH(K$19,'LV &amp; HV augex'!$D$9:$P$9,0))*INDEX('LV &amp; HV augex'!$D$28:$J$52,MATCH($B172,'LV &amp; HV augex'!$L$28:$L$52,0),MATCH($C172,'LV &amp; HV augex'!$D$27:$J$27,0)),0)*'Financial inputs'!$D$11</f>
        <v>0</v>
      </c>
      <c r="L172" s="40">
        <f>IFERROR(INDEX('LV &amp; HV augex'!$D$10:$P$18,MATCH($C172,'LV &amp; HV augex'!$C$10:$C$18,0),MATCH(L$19,'LV &amp; HV augex'!$D$9:$P$9,0))*INDEX('LV &amp; HV augex'!$D$28:$J$52,MATCH($B172,'LV &amp; HV augex'!$L$28:$L$52,0),MATCH($C172,'LV &amp; HV augex'!$D$27:$J$27,0)),0)*'Financial inputs'!$D$11</f>
        <v>0</v>
      </c>
      <c r="M172" s="40">
        <f>IFERROR(INDEX('LV &amp; HV augex'!$D$10:$P$18,MATCH($C172,'LV &amp; HV augex'!$C$10:$C$18,0),MATCH(M$19,'LV &amp; HV augex'!$D$9:$P$9,0))*INDEX('LV &amp; HV augex'!$D$28:$J$52,MATCH($B172,'LV &amp; HV augex'!$L$28:$L$52,0),MATCH($C172,'LV &amp; HV augex'!$D$27:$J$27,0)),0)*'Financial inputs'!$D$11</f>
        <v>0</v>
      </c>
      <c r="N172" s="40">
        <f>IFERROR(INDEX('LV &amp; HV augex'!$D$10:$P$18,MATCH($C172,'LV &amp; HV augex'!$C$10:$C$18,0),MATCH(N$19,'LV &amp; HV augex'!$D$9:$P$9,0))*INDEX('LV &amp; HV augex'!$D$28:$J$52,MATCH($B172,'LV &amp; HV augex'!$L$28:$L$52,0),MATCH($C172,'LV &amp; HV augex'!$D$27:$J$27,0)),0)*'Financial inputs'!$D$11</f>
        <v>0</v>
      </c>
      <c r="O172" s="40">
        <f>IFERROR(INDEX('LV &amp; HV augex'!$D$10:$P$18,MATCH($C172,'LV &amp; HV augex'!$C$10:$C$18,0),MATCH(O$19,'LV &amp; HV augex'!$D$9:$P$9,0))*INDEX('LV &amp; HV augex'!$D$28:$J$52,MATCH($B172,'LV &amp; HV augex'!$L$28:$L$52,0),MATCH($C172,'LV &amp; HV augex'!$D$27:$J$27,0)),0)*'Financial inputs'!$D$11</f>
        <v>0</v>
      </c>
      <c r="P172" s="40">
        <f>IFERROR(INDEX('LV &amp; HV augex'!$D$10:$P$18,MATCH($C172,'LV &amp; HV augex'!$C$10:$C$18,0),MATCH(P$19,'LV &amp; HV augex'!$D$9:$P$9,0))*INDEX('LV &amp; HV augex'!$D$28:$J$52,MATCH($B172,'LV &amp; HV augex'!$L$28:$L$52,0),MATCH($C172,'LV &amp; HV augex'!$D$27:$J$27,0)),0)*'Financial inputs'!$D$11</f>
        <v>0</v>
      </c>
    </row>
    <row r="173" spans="2:16" ht="15.5">
      <c r="B173" s="2" t="str">
        <f t="shared" si="7"/>
        <v>Upper North Shore</v>
      </c>
      <c r="C173" s="35" t="str" cm="1">
        <f t="array" ref="C173">INDEX(augex_categories,COUNTIFS($B$20:$B173,$B$20))</f>
        <v>HV Reinforcement OH (Upgrade)</v>
      </c>
      <c r="D173" s="35" t="str">
        <f>IF(COUNTIF('LV &amp; HV augex'!$C$10:$C$13,C173), "LV", IF(COUNTIF('LV &amp; HV augex'!$C$15:$C$17, C173), "HV", "Error"))</f>
        <v>HV</v>
      </c>
      <c r="E173" s="35" t="str">
        <f>INDEX('Growing &amp; falling'!$D$14:$D$39,MATCH($B173,'Growing &amp; falling'!$B$14:$B$39,0))</f>
        <v>Decline</v>
      </c>
      <c r="F173" s="35" t="str">
        <f t="shared" si="8"/>
        <v>$2024 real</v>
      </c>
      <c r="G173" s="40">
        <f>IFERROR(INDEX('LV &amp; HV augex'!$D$10:$P$18,MATCH($C173,'LV &amp; HV augex'!$C$10:$C$18,0),MATCH(G$19,'LV &amp; HV augex'!$D$9:$P$9,0))*INDEX('LV &amp; HV augex'!$D$28:$J$52,MATCH($B173,'LV &amp; HV augex'!$L$28:$L$52,0),MATCH($C173,'LV &amp; HV augex'!$D$27:$J$27,0)),0)*'Financial inputs'!$D$11</f>
        <v>18520.787437265313</v>
      </c>
      <c r="H173" s="40">
        <f>IFERROR(INDEX('LV &amp; HV augex'!$D$10:$P$18,MATCH($C173,'LV &amp; HV augex'!$C$10:$C$18,0),MATCH(H$19,'LV &amp; HV augex'!$D$9:$P$9,0))*INDEX('LV &amp; HV augex'!$D$28:$J$52,MATCH($B173,'LV &amp; HV augex'!$L$28:$L$52,0),MATCH($C173,'LV &amp; HV augex'!$D$27:$J$27,0)),0)*'Financial inputs'!$D$11</f>
        <v>18256.206551496038</v>
      </c>
      <c r="I173" s="40">
        <f>IFERROR(INDEX('LV &amp; HV augex'!$D$10:$P$18,MATCH($C173,'LV &amp; HV augex'!$C$10:$C$18,0),MATCH(I$19,'LV &amp; HV augex'!$D$9:$P$9,0))*INDEX('LV &amp; HV augex'!$D$28:$J$52,MATCH($B173,'LV &amp; HV augex'!$L$28:$L$52,0),MATCH($C173,'LV &amp; HV augex'!$D$27:$J$27,0)),0)*'Financial inputs'!$D$11</f>
        <v>18454.642215822998</v>
      </c>
      <c r="J173" s="40">
        <f>IFERROR(INDEX('LV &amp; HV augex'!$D$10:$P$18,MATCH($C173,'LV &amp; HV augex'!$C$10:$C$18,0),MATCH(J$19,'LV &amp; HV augex'!$D$9:$P$9,0))*INDEX('LV &amp; HV augex'!$D$28:$J$52,MATCH($B173,'LV &amp; HV augex'!$L$28:$L$52,0),MATCH($C173,'LV &amp; HV augex'!$D$27:$J$27,0)),0)*'Financial inputs'!$D$11</f>
        <v>18454.642215822998</v>
      </c>
      <c r="K173" s="40">
        <f>IFERROR(INDEX('LV &amp; HV augex'!$D$10:$P$18,MATCH($C173,'LV &amp; HV augex'!$C$10:$C$18,0),MATCH(K$19,'LV &amp; HV augex'!$D$9:$P$9,0))*INDEX('LV &amp; HV augex'!$D$28:$J$52,MATCH($B173,'LV &amp; HV augex'!$L$28:$L$52,0),MATCH($C173,'LV &amp; HV augex'!$D$27:$J$27,0)),0)*'Financial inputs'!$D$11</f>
        <v>18454.642215822998</v>
      </c>
      <c r="L173" s="40">
        <f>IFERROR(INDEX('LV &amp; HV augex'!$D$10:$P$18,MATCH($C173,'LV &amp; HV augex'!$C$10:$C$18,0),MATCH(L$19,'LV &amp; HV augex'!$D$9:$P$9,0))*INDEX('LV &amp; HV augex'!$D$28:$J$52,MATCH($B173,'LV &amp; HV augex'!$L$28:$L$52,0),MATCH($C173,'LV &amp; HV augex'!$D$27:$J$27,0)),0)*'Financial inputs'!$D$11</f>
        <v>18454.642215822998</v>
      </c>
      <c r="M173" s="40">
        <f>IFERROR(INDEX('LV &amp; HV augex'!$D$10:$P$18,MATCH($C173,'LV &amp; HV augex'!$C$10:$C$18,0),MATCH(M$19,'LV &amp; HV augex'!$D$9:$P$9,0))*INDEX('LV &amp; HV augex'!$D$28:$J$52,MATCH($B173,'LV &amp; HV augex'!$L$28:$L$52,0),MATCH($C173,'LV &amp; HV augex'!$D$27:$J$27,0)),0)*'Financial inputs'!$D$11</f>
        <v>18454.642215822998</v>
      </c>
      <c r="N173" s="40">
        <f>IFERROR(INDEX('LV &amp; HV augex'!$D$10:$P$18,MATCH($C173,'LV &amp; HV augex'!$C$10:$C$18,0),MATCH(N$19,'LV &amp; HV augex'!$D$9:$P$9,0))*INDEX('LV &amp; HV augex'!$D$28:$J$52,MATCH($B173,'LV &amp; HV augex'!$L$28:$L$52,0),MATCH($C173,'LV &amp; HV augex'!$D$27:$J$27,0)),0)*'Financial inputs'!$D$11</f>
        <v>18454.642215822998</v>
      </c>
      <c r="O173" s="40">
        <f>IFERROR(INDEX('LV &amp; HV augex'!$D$10:$P$18,MATCH($C173,'LV &amp; HV augex'!$C$10:$C$18,0),MATCH(O$19,'LV &amp; HV augex'!$D$9:$P$9,0))*INDEX('LV &amp; HV augex'!$D$28:$J$52,MATCH($B173,'LV &amp; HV augex'!$L$28:$L$52,0),MATCH($C173,'LV &amp; HV augex'!$D$27:$J$27,0)),0)*'Financial inputs'!$D$11</f>
        <v>18454.642215822998</v>
      </c>
      <c r="P173" s="40">
        <f>IFERROR(INDEX('LV &amp; HV augex'!$D$10:$P$18,MATCH($C173,'LV &amp; HV augex'!$C$10:$C$18,0),MATCH(P$19,'LV &amp; HV augex'!$D$9:$P$9,0))*INDEX('LV &amp; HV augex'!$D$28:$J$52,MATCH($B173,'LV &amp; HV augex'!$L$28:$L$52,0),MATCH($C173,'LV &amp; HV augex'!$D$27:$J$27,0)),0)*'Financial inputs'!$D$11</f>
        <v>18454.642215822998</v>
      </c>
    </row>
    <row r="174" spans="2:16" ht="15.5">
      <c r="B174" s="2" t="str">
        <f t="shared" si="7"/>
        <v>West Lake Macquarie</v>
      </c>
      <c r="C174" s="35" t="str" cm="1">
        <f t="array" ref="C174">INDEX(augex_categories,COUNTIFS($B$20:$B174,$B$20))</f>
        <v>HV Reinforcement OH (Upgrade)</v>
      </c>
      <c r="D174" s="35" t="str">
        <f>IF(COUNTIF('LV &amp; HV augex'!$C$10:$C$13,C174), "LV", IF(COUNTIF('LV &amp; HV augex'!$C$15:$C$17, C174), "HV", "Error"))</f>
        <v>HV</v>
      </c>
      <c r="E174" s="35" t="str">
        <f>INDEX('Growing &amp; falling'!$D$14:$D$39,MATCH($B174,'Growing &amp; falling'!$B$14:$B$39,0))</f>
        <v>Decline</v>
      </c>
      <c r="F174" s="35" t="str">
        <f t="shared" si="8"/>
        <v>$2024 real</v>
      </c>
      <c r="G174" s="40">
        <f>IFERROR(INDEX('LV &amp; HV augex'!$D$10:$P$18,MATCH($C174,'LV &amp; HV augex'!$C$10:$C$18,0),MATCH(G$19,'LV &amp; HV augex'!$D$9:$P$9,0))*INDEX('LV &amp; HV augex'!$D$28:$J$52,MATCH($B174,'LV &amp; HV augex'!$L$28:$L$52,0),MATCH($C174,'LV &amp; HV augex'!$D$27:$J$27,0)),0)*'Financial inputs'!$D$11</f>
        <v>130560.42478468361</v>
      </c>
      <c r="H174" s="40">
        <f>IFERROR(INDEX('LV &amp; HV augex'!$D$10:$P$18,MATCH($C174,'LV &amp; HV augex'!$C$10:$C$18,0),MATCH(H$19,'LV &amp; HV augex'!$D$9:$P$9,0))*INDEX('LV &amp; HV augex'!$D$28:$J$52,MATCH($B174,'LV &amp; HV augex'!$L$28:$L$52,0),MATCH($C174,'LV &amp; HV augex'!$D$27:$J$27,0)),0)*'Financial inputs'!$D$11</f>
        <v>128695.28849104852</v>
      </c>
      <c r="I174" s="40">
        <f>IFERROR(INDEX('LV &amp; HV augex'!$D$10:$P$18,MATCH($C174,'LV &amp; HV augex'!$C$10:$C$18,0),MATCH(I$19,'LV &amp; HV augex'!$D$9:$P$9,0))*INDEX('LV &amp; HV augex'!$D$28:$J$52,MATCH($B174,'LV &amp; HV augex'!$L$28:$L$52,0),MATCH($C174,'LV &amp; HV augex'!$D$27:$J$27,0)),0)*'Financial inputs'!$D$11</f>
        <v>130094.14071127484</v>
      </c>
      <c r="J174" s="40">
        <f>IFERROR(INDEX('LV &amp; HV augex'!$D$10:$P$18,MATCH($C174,'LV &amp; HV augex'!$C$10:$C$18,0),MATCH(J$19,'LV &amp; HV augex'!$D$9:$P$9,0))*INDEX('LV &amp; HV augex'!$D$28:$J$52,MATCH($B174,'LV &amp; HV augex'!$L$28:$L$52,0),MATCH($C174,'LV &amp; HV augex'!$D$27:$J$27,0)),0)*'Financial inputs'!$D$11</f>
        <v>130094.14071127484</v>
      </c>
      <c r="K174" s="40">
        <f>IFERROR(INDEX('LV &amp; HV augex'!$D$10:$P$18,MATCH($C174,'LV &amp; HV augex'!$C$10:$C$18,0),MATCH(K$19,'LV &amp; HV augex'!$D$9:$P$9,0))*INDEX('LV &amp; HV augex'!$D$28:$J$52,MATCH($B174,'LV &amp; HV augex'!$L$28:$L$52,0),MATCH($C174,'LV &amp; HV augex'!$D$27:$J$27,0)),0)*'Financial inputs'!$D$11</f>
        <v>130094.14071127484</v>
      </c>
      <c r="L174" s="40">
        <f>IFERROR(INDEX('LV &amp; HV augex'!$D$10:$P$18,MATCH($C174,'LV &amp; HV augex'!$C$10:$C$18,0),MATCH(L$19,'LV &amp; HV augex'!$D$9:$P$9,0))*INDEX('LV &amp; HV augex'!$D$28:$J$52,MATCH($B174,'LV &amp; HV augex'!$L$28:$L$52,0),MATCH($C174,'LV &amp; HV augex'!$D$27:$J$27,0)),0)*'Financial inputs'!$D$11</f>
        <v>130094.14071127484</v>
      </c>
      <c r="M174" s="40">
        <f>IFERROR(INDEX('LV &amp; HV augex'!$D$10:$P$18,MATCH($C174,'LV &amp; HV augex'!$C$10:$C$18,0),MATCH(M$19,'LV &amp; HV augex'!$D$9:$P$9,0))*INDEX('LV &amp; HV augex'!$D$28:$J$52,MATCH($B174,'LV &amp; HV augex'!$L$28:$L$52,0),MATCH($C174,'LV &amp; HV augex'!$D$27:$J$27,0)),0)*'Financial inputs'!$D$11</f>
        <v>130094.14071127484</v>
      </c>
      <c r="N174" s="40">
        <f>IFERROR(INDEX('LV &amp; HV augex'!$D$10:$P$18,MATCH($C174,'LV &amp; HV augex'!$C$10:$C$18,0),MATCH(N$19,'LV &amp; HV augex'!$D$9:$P$9,0))*INDEX('LV &amp; HV augex'!$D$28:$J$52,MATCH($B174,'LV &amp; HV augex'!$L$28:$L$52,0),MATCH($C174,'LV &amp; HV augex'!$D$27:$J$27,0)),0)*'Financial inputs'!$D$11</f>
        <v>130094.14071127484</v>
      </c>
      <c r="O174" s="40">
        <f>IFERROR(INDEX('LV &amp; HV augex'!$D$10:$P$18,MATCH($C174,'LV &amp; HV augex'!$C$10:$C$18,0),MATCH(O$19,'LV &amp; HV augex'!$D$9:$P$9,0))*INDEX('LV &amp; HV augex'!$D$28:$J$52,MATCH($B174,'LV &amp; HV augex'!$L$28:$L$52,0),MATCH($C174,'LV &amp; HV augex'!$D$27:$J$27,0)),0)*'Financial inputs'!$D$11</f>
        <v>130094.14071127484</v>
      </c>
      <c r="P174" s="40">
        <f>IFERROR(INDEX('LV &amp; HV augex'!$D$10:$P$18,MATCH($C174,'LV &amp; HV augex'!$C$10:$C$18,0),MATCH(P$19,'LV &amp; HV augex'!$D$9:$P$9,0))*INDEX('LV &amp; HV augex'!$D$28:$J$52,MATCH($B174,'LV &amp; HV augex'!$L$28:$L$52,0),MATCH($C174,'LV &amp; HV augex'!$D$27:$J$27,0)),0)*'Financial inputs'!$D$11</f>
        <v>130094.14071127484</v>
      </c>
    </row>
    <row r="175" spans="2:16" ht="15.5">
      <c r="B175" s="2" t="str">
        <f t="shared" ref="B175:B227" si="9">B149</f>
        <v>System wide</v>
      </c>
      <c r="C175" s="35" t="str" cm="1">
        <f t="array" ref="C175">INDEX(augex_categories,COUNTIFS($B$20:$B175,$B$20))</f>
        <v>HV Reinforcement OH (Upgrade)</v>
      </c>
      <c r="D175" s="35" t="str">
        <f>IF(COUNTIF('LV &amp; HV augex'!$C$10:$C$13,C175), "LV", IF(COUNTIF('LV &amp; HV augex'!$C$15:$C$17, C175), "HV", "Error"))</f>
        <v>HV</v>
      </c>
      <c r="E175" s="35" t="str">
        <f>INDEX('Growing &amp; falling'!$D$14:$D$39,MATCH($B175,'Growing &amp; falling'!$B$14:$B$39,0))</f>
        <v>System wide</v>
      </c>
      <c r="F175" s="35" t="str">
        <f t="shared" si="8"/>
        <v>$2024 real</v>
      </c>
      <c r="G175" s="40">
        <f>IFERROR(INDEX('LV &amp; HV augex'!$D$10:$P$18,MATCH($C175,'LV &amp; HV augex'!$C$10:$C$18,0),MATCH(G$19,'LV &amp; HV augex'!$D$9:$P$9,0))*INDEX('LV &amp; HV augex'!$D$28:$J$52,MATCH($B175,'LV &amp; HV augex'!$L$28:$L$52,0),MATCH($C175,'LV &amp; HV augex'!$D$27:$J$27,0)),0)*'Financial inputs'!$D$11</f>
        <v>0</v>
      </c>
      <c r="H175" s="40">
        <f>IFERROR(INDEX('LV &amp; HV augex'!$D$10:$P$18,MATCH($C175,'LV &amp; HV augex'!$C$10:$C$18,0),MATCH(H$19,'LV &amp; HV augex'!$D$9:$P$9,0))*INDEX('LV &amp; HV augex'!$D$28:$J$52,MATCH($B175,'LV &amp; HV augex'!$L$28:$L$52,0),MATCH($C175,'LV &amp; HV augex'!$D$27:$J$27,0)),0)*'Financial inputs'!$D$11</f>
        <v>0</v>
      </c>
      <c r="I175" s="40">
        <f>IFERROR(INDEX('LV &amp; HV augex'!$D$10:$P$18,MATCH($C175,'LV &amp; HV augex'!$C$10:$C$18,0),MATCH(I$19,'LV &amp; HV augex'!$D$9:$P$9,0))*INDEX('LV &amp; HV augex'!$D$28:$J$52,MATCH($B175,'LV &amp; HV augex'!$L$28:$L$52,0),MATCH($C175,'LV &amp; HV augex'!$D$27:$J$27,0)),0)*'Financial inputs'!$D$11</f>
        <v>0</v>
      </c>
      <c r="J175" s="40">
        <f>IFERROR(INDEX('LV &amp; HV augex'!$D$10:$P$18,MATCH($C175,'LV &amp; HV augex'!$C$10:$C$18,0),MATCH(J$19,'LV &amp; HV augex'!$D$9:$P$9,0))*INDEX('LV &amp; HV augex'!$D$28:$J$52,MATCH($B175,'LV &amp; HV augex'!$L$28:$L$52,0),MATCH($C175,'LV &amp; HV augex'!$D$27:$J$27,0)),0)*'Financial inputs'!$D$11</f>
        <v>0</v>
      </c>
      <c r="K175" s="40">
        <f>IFERROR(INDEX('LV &amp; HV augex'!$D$10:$P$18,MATCH($C175,'LV &amp; HV augex'!$C$10:$C$18,0),MATCH(K$19,'LV &amp; HV augex'!$D$9:$P$9,0))*INDEX('LV &amp; HV augex'!$D$28:$J$52,MATCH($B175,'LV &amp; HV augex'!$L$28:$L$52,0),MATCH($C175,'LV &amp; HV augex'!$D$27:$J$27,0)),0)*'Financial inputs'!$D$11</f>
        <v>0</v>
      </c>
      <c r="L175" s="40">
        <f>IFERROR(INDEX('LV &amp; HV augex'!$D$10:$P$18,MATCH($C175,'LV &amp; HV augex'!$C$10:$C$18,0),MATCH(L$19,'LV &amp; HV augex'!$D$9:$P$9,0))*INDEX('LV &amp; HV augex'!$D$28:$J$52,MATCH($B175,'LV &amp; HV augex'!$L$28:$L$52,0),MATCH($C175,'LV &amp; HV augex'!$D$27:$J$27,0)),0)*'Financial inputs'!$D$11</f>
        <v>0</v>
      </c>
      <c r="M175" s="40">
        <f>IFERROR(INDEX('LV &amp; HV augex'!$D$10:$P$18,MATCH($C175,'LV &amp; HV augex'!$C$10:$C$18,0),MATCH(M$19,'LV &amp; HV augex'!$D$9:$P$9,0))*INDEX('LV &amp; HV augex'!$D$28:$J$52,MATCH($B175,'LV &amp; HV augex'!$L$28:$L$52,0),MATCH($C175,'LV &amp; HV augex'!$D$27:$J$27,0)),0)*'Financial inputs'!$D$11</f>
        <v>0</v>
      </c>
      <c r="N175" s="40">
        <f>IFERROR(INDEX('LV &amp; HV augex'!$D$10:$P$18,MATCH($C175,'LV &amp; HV augex'!$C$10:$C$18,0),MATCH(N$19,'LV &amp; HV augex'!$D$9:$P$9,0))*INDEX('LV &amp; HV augex'!$D$28:$J$52,MATCH($B175,'LV &amp; HV augex'!$L$28:$L$52,0),MATCH($C175,'LV &amp; HV augex'!$D$27:$J$27,0)),0)*'Financial inputs'!$D$11</f>
        <v>0</v>
      </c>
      <c r="O175" s="40">
        <f>IFERROR(INDEX('LV &amp; HV augex'!$D$10:$P$18,MATCH($C175,'LV &amp; HV augex'!$C$10:$C$18,0),MATCH(O$19,'LV &amp; HV augex'!$D$9:$P$9,0))*INDEX('LV &amp; HV augex'!$D$28:$J$52,MATCH($B175,'LV &amp; HV augex'!$L$28:$L$52,0),MATCH($C175,'LV &amp; HV augex'!$D$27:$J$27,0)),0)*'Financial inputs'!$D$11</f>
        <v>0</v>
      </c>
      <c r="P175" s="40">
        <f>IFERROR(INDEX('LV &amp; HV augex'!$D$10:$P$18,MATCH($C175,'LV &amp; HV augex'!$C$10:$C$18,0),MATCH(P$19,'LV &amp; HV augex'!$D$9:$P$9,0))*INDEX('LV &amp; HV augex'!$D$28:$J$52,MATCH($B175,'LV &amp; HV augex'!$L$28:$L$52,0),MATCH($C175,'LV &amp; HV augex'!$D$27:$J$27,0)),0)*'Financial inputs'!$D$11</f>
        <v>0</v>
      </c>
    </row>
    <row r="176" spans="2:16" ht="15.5">
      <c r="B176" s="2" t="str">
        <f t="shared" si="9"/>
        <v>Auburn / Homebush</v>
      </c>
      <c r="C176" s="35" t="str" cm="1">
        <f t="array" ref="C176">INDEX(augex_categories,COUNTIFS($B$20:$B176,$B$20))</f>
        <v>HV Reinforcement UG (New)</v>
      </c>
      <c r="D176" s="35" t="str">
        <f>IF(COUNTIF('LV &amp; HV augex'!$C$10:$C$13,C176), "LV", IF(COUNTIF('LV &amp; HV augex'!$C$15:$C$17, C176), "HV", "Error"))</f>
        <v>HV</v>
      </c>
      <c r="E176" s="35" t="str">
        <f>INDEX('Growing &amp; falling'!$D$14:$D$39,MATCH($B176,'Growing &amp; falling'!$B$14:$B$39,0))</f>
        <v>Growth</v>
      </c>
      <c r="F176" s="35" t="str">
        <f t="shared" si="8"/>
        <v>$2024 real</v>
      </c>
      <c r="G176" s="40">
        <f>IFERROR(INDEX('LV &amp; HV augex'!$D$10:$P$18,MATCH($C176,'LV &amp; HV augex'!$C$10:$C$18,0),MATCH(G$19,'LV &amp; HV augex'!$D$9:$P$9,0))*INDEX('LV &amp; HV augex'!$D$28:$J$52,MATCH($B176,'LV &amp; HV augex'!$L$28:$L$52,0),MATCH($C176,'LV &amp; HV augex'!$D$27:$J$27,0)),0)*'Financial inputs'!$D$11</f>
        <v>744622.96660802106</v>
      </c>
      <c r="H176" s="40">
        <f>IFERROR(INDEX('LV &amp; HV augex'!$D$10:$P$18,MATCH($C176,'LV &amp; HV augex'!$C$10:$C$18,0),MATCH(H$19,'LV &amp; HV augex'!$D$9:$P$9,0))*INDEX('LV &amp; HV augex'!$D$28:$J$52,MATCH($B176,'LV &amp; HV augex'!$L$28:$L$52,0),MATCH($C176,'LV &amp; HV augex'!$D$27:$J$27,0)),0)*'Financial inputs'!$D$11</f>
        <v>733985.76100937615</v>
      </c>
      <c r="I176" s="40">
        <f>IFERROR(INDEX('LV &amp; HV augex'!$D$10:$P$18,MATCH($C176,'LV &amp; HV augex'!$C$10:$C$18,0),MATCH(I$19,'LV &amp; HV augex'!$D$9:$P$9,0))*INDEX('LV &amp; HV augex'!$D$28:$J$52,MATCH($B176,'LV &amp; HV augex'!$L$28:$L$52,0),MATCH($C176,'LV &amp; HV augex'!$D$27:$J$27,0)),0)*'Financial inputs'!$D$11</f>
        <v>741963.73451695265</v>
      </c>
      <c r="J176" s="40">
        <f>IFERROR(INDEX('LV &amp; HV augex'!$D$10:$P$18,MATCH($C176,'LV &amp; HV augex'!$C$10:$C$18,0),MATCH(J$19,'LV &amp; HV augex'!$D$9:$P$9,0))*INDEX('LV &amp; HV augex'!$D$28:$J$52,MATCH($B176,'LV &amp; HV augex'!$L$28:$L$52,0),MATCH($C176,'LV &amp; HV augex'!$D$27:$J$27,0)),0)*'Financial inputs'!$D$11</f>
        <v>741963.73451695265</v>
      </c>
      <c r="K176" s="40">
        <f>IFERROR(INDEX('LV &amp; HV augex'!$D$10:$P$18,MATCH($C176,'LV &amp; HV augex'!$C$10:$C$18,0),MATCH(K$19,'LV &amp; HV augex'!$D$9:$P$9,0))*INDEX('LV &amp; HV augex'!$D$28:$J$52,MATCH($B176,'LV &amp; HV augex'!$L$28:$L$52,0),MATCH($C176,'LV &amp; HV augex'!$D$27:$J$27,0)),0)*'Financial inputs'!$D$11</f>
        <v>741963.73451695265</v>
      </c>
      <c r="L176" s="40">
        <f>IFERROR(INDEX('LV &amp; HV augex'!$D$10:$P$18,MATCH($C176,'LV &amp; HV augex'!$C$10:$C$18,0),MATCH(L$19,'LV &amp; HV augex'!$D$9:$P$9,0))*INDEX('LV &amp; HV augex'!$D$28:$J$52,MATCH($B176,'LV &amp; HV augex'!$L$28:$L$52,0),MATCH($C176,'LV &amp; HV augex'!$D$27:$J$27,0)),0)*'Financial inputs'!$D$11</f>
        <v>741963.73451695265</v>
      </c>
      <c r="M176" s="40">
        <f>IFERROR(INDEX('LV &amp; HV augex'!$D$10:$P$18,MATCH($C176,'LV &amp; HV augex'!$C$10:$C$18,0),MATCH(M$19,'LV &amp; HV augex'!$D$9:$P$9,0))*INDEX('LV &amp; HV augex'!$D$28:$J$52,MATCH($B176,'LV &amp; HV augex'!$L$28:$L$52,0),MATCH($C176,'LV &amp; HV augex'!$D$27:$J$27,0)),0)*'Financial inputs'!$D$11</f>
        <v>741963.73451695265</v>
      </c>
      <c r="N176" s="40">
        <f>IFERROR(INDEX('LV &amp; HV augex'!$D$10:$P$18,MATCH($C176,'LV &amp; HV augex'!$C$10:$C$18,0),MATCH(N$19,'LV &amp; HV augex'!$D$9:$P$9,0))*INDEX('LV &amp; HV augex'!$D$28:$J$52,MATCH($B176,'LV &amp; HV augex'!$L$28:$L$52,0),MATCH($C176,'LV &amp; HV augex'!$D$27:$J$27,0)),0)*'Financial inputs'!$D$11</f>
        <v>741963.73451695265</v>
      </c>
      <c r="O176" s="40">
        <f>IFERROR(INDEX('LV &amp; HV augex'!$D$10:$P$18,MATCH($C176,'LV &amp; HV augex'!$C$10:$C$18,0),MATCH(O$19,'LV &amp; HV augex'!$D$9:$P$9,0))*INDEX('LV &amp; HV augex'!$D$28:$J$52,MATCH($B176,'LV &amp; HV augex'!$L$28:$L$52,0),MATCH($C176,'LV &amp; HV augex'!$D$27:$J$27,0)),0)*'Financial inputs'!$D$11</f>
        <v>741963.73451695265</v>
      </c>
      <c r="P176" s="40">
        <f>IFERROR(INDEX('LV &amp; HV augex'!$D$10:$P$18,MATCH($C176,'LV &amp; HV augex'!$C$10:$C$18,0),MATCH(P$19,'LV &amp; HV augex'!$D$9:$P$9,0))*INDEX('LV &amp; HV augex'!$D$28:$J$52,MATCH($B176,'LV &amp; HV augex'!$L$28:$L$52,0),MATCH($C176,'LV &amp; HV augex'!$D$27:$J$27,0)),0)*'Financial inputs'!$D$11</f>
        <v>741963.73451695265</v>
      </c>
    </row>
    <row r="177" spans="2:16" ht="15.5">
      <c r="B177" s="2" t="str">
        <f t="shared" si="9"/>
        <v>Camperdown &amp; Blackwattle Bay</v>
      </c>
      <c r="C177" s="35" t="str" cm="1">
        <f t="array" ref="C177">INDEX(augex_categories,COUNTIFS($B$20:$B177,$B$20))</f>
        <v>HV Reinforcement UG (New)</v>
      </c>
      <c r="D177" s="35" t="str">
        <f>IF(COUNTIF('LV &amp; HV augex'!$C$10:$C$13,C177), "LV", IF(COUNTIF('LV &amp; HV augex'!$C$15:$C$17, C177), "HV", "Error"))</f>
        <v>HV</v>
      </c>
      <c r="E177" s="35" t="str">
        <f>INDEX('Growing &amp; falling'!$D$14:$D$39,MATCH($B177,'Growing &amp; falling'!$B$14:$B$39,0))</f>
        <v>Growth</v>
      </c>
      <c r="F177" s="35" t="str">
        <f t="shared" si="8"/>
        <v>$2024 real</v>
      </c>
      <c r="G177" s="40">
        <f>IFERROR(INDEX('LV &amp; HV augex'!$D$10:$P$18,MATCH($C177,'LV &amp; HV augex'!$C$10:$C$18,0),MATCH(G$19,'LV &amp; HV augex'!$D$9:$P$9,0))*INDEX('LV &amp; HV augex'!$D$28:$J$52,MATCH($B177,'LV &amp; HV augex'!$L$28:$L$52,0),MATCH($C177,'LV &amp; HV augex'!$D$27:$J$27,0)),0)*'Financial inputs'!$D$11</f>
        <v>0</v>
      </c>
      <c r="H177" s="40">
        <f>IFERROR(INDEX('LV &amp; HV augex'!$D$10:$P$18,MATCH($C177,'LV &amp; HV augex'!$C$10:$C$18,0),MATCH(H$19,'LV &amp; HV augex'!$D$9:$P$9,0))*INDEX('LV &amp; HV augex'!$D$28:$J$52,MATCH($B177,'LV &amp; HV augex'!$L$28:$L$52,0),MATCH($C177,'LV &amp; HV augex'!$D$27:$J$27,0)),0)*'Financial inputs'!$D$11</f>
        <v>0</v>
      </c>
      <c r="I177" s="40">
        <f>IFERROR(INDEX('LV &amp; HV augex'!$D$10:$P$18,MATCH($C177,'LV &amp; HV augex'!$C$10:$C$18,0),MATCH(I$19,'LV &amp; HV augex'!$D$9:$P$9,0))*INDEX('LV &amp; HV augex'!$D$28:$J$52,MATCH($B177,'LV &amp; HV augex'!$L$28:$L$52,0),MATCH($C177,'LV &amp; HV augex'!$D$27:$J$27,0)),0)*'Financial inputs'!$D$11</f>
        <v>0</v>
      </c>
      <c r="J177" s="40">
        <f>IFERROR(INDEX('LV &amp; HV augex'!$D$10:$P$18,MATCH($C177,'LV &amp; HV augex'!$C$10:$C$18,0),MATCH(J$19,'LV &amp; HV augex'!$D$9:$P$9,0))*INDEX('LV &amp; HV augex'!$D$28:$J$52,MATCH($B177,'LV &amp; HV augex'!$L$28:$L$52,0),MATCH($C177,'LV &amp; HV augex'!$D$27:$J$27,0)),0)*'Financial inputs'!$D$11</f>
        <v>0</v>
      </c>
      <c r="K177" s="40">
        <f>IFERROR(INDEX('LV &amp; HV augex'!$D$10:$P$18,MATCH($C177,'LV &amp; HV augex'!$C$10:$C$18,0),MATCH(K$19,'LV &amp; HV augex'!$D$9:$P$9,0))*INDEX('LV &amp; HV augex'!$D$28:$J$52,MATCH($B177,'LV &amp; HV augex'!$L$28:$L$52,0),MATCH($C177,'LV &amp; HV augex'!$D$27:$J$27,0)),0)*'Financial inputs'!$D$11</f>
        <v>0</v>
      </c>
      <c r="L177" s="40">
        <f>IFERROR(INDEX('LV &amp; HV augex'!$D$10:$P$18,MATCH($C177,'LV &amp; HV augex'!$C$10:$C$18,0),MATCH(L$19,'LV &amp; HV augex'!$D$9:$P$9,0))*INDEX('LV &amp; HV augex'!$D$28:$J$52,MATCH($B177,'LV &amp; HV augex'!$L$28:$L$52,0),MATCH($C177,'LV &amp; HV augex'!$D$27:$J$27,0)),0)*'Financial inputs'!$D$11</f>
        <v>0</v>
      </c>
      <c r="M177" s="40">
        <f>IFERROR(INDEX('LV &amp; HV augex'!$D$10:$P$18,MATCH($C177,'LV &amp; HV augex'!$C$10:$C$18,0),MATCH(M$19,'LV &amp; HV augex'!$D$9:$P$9,0))*INDEX('LV &amp; HV augex'!$D$28:$J$52,MATCH($B177,'LV &amp; HV augex'!$L$28:$L$52,0),MATCH($C177,'LV &amp; HV augex'!$D$27:$J$27,0)),0)*'Financial inputs'!$D$11</f>
        <v>0</v>
      </c>
      <c r="N177" s="40">
        <f>IFERROR(INDEX('LV &amp; HV augex'!$D$10:$P$18,MATCH($C177,'LV &amp; HV augex'!$C$10:$C$18,0),MATCH(N$19,'LV &amp; HV augex'!$D$9:$P$9,0))*INDEX('LV &amp; HV augex'!$D$28:$J$52,MATCH($B177,'LV &amp; HV augex'!$L$28:$L$52,0),MATCH($C177,'LV &amp; HV augex'!$D$27:$J$27,0)),0)*'Financial inputs'!$D$11</f>
        <v>0</v>
      </c>
      <c r="O177" s="40">
        <f>IFERROR(INDEX('LV &amp; HV augex'!$D$10:$P$18,MATCH($C177,'LV &amp; HV augex'!$C$10:$C$18,0),MATCH(O$19,'LV &amp; HV augex'!$D$9:$P$9,0))*INDEX('LV &amp; HV augex'!$D$28:$J$52,MATCH($B177,'LV &amp; HV augex'!$L$28:$L$52,0),MATCH($C177,'LV &amp; HV augex'!$D$27:$J$27,0)),0)*'Financial inputs'!$D$11</f>
        <v>0</v>
      </c>
      <c r="P177" s="40">
        <f>IFERROR(INDEX('LV &amp; HV augex'!$D$10:$P$18,MATCH($C177,'LV &amp; HV augex'!$C$10:$C$18,0),MATCH(P$19,'LV &amp; HV augex'!$D$9:$P$9,0))*INDEX('LV &amp; HV augex'!$D$28:$J$52,MATCH($B177,'LV &amp; HV augex'!$L$28:$L$52,0),MATCH($C177,'LV &amp; HV augex'!$D$27:$J$27,0)),0)*'Financial inputs'!$D$11</f>
        <v>0</v>
      </c>
    </row>
    <row r="178" spans="2:16" ht="15.5">
      <c r="B178" s="2" t="str">
        <f t="shared" si="9"/>
        <v>Canterbury Bankstown</v>
      </c>
      <c r="C178" s="35" t="str" cm="1">
        <f t="array" ref="C178">INDEX(augex_categories,COUNTIFS($B$20:$B178,$B$20))</f>
        <v>HV Reinforcement UG (New)</v>
      </c>
      <c r="D178" s="35" t="str">
        <f>IF(COUNTIF('LV &amp; HV augex'!$C$10:$C$13,C178), "LV", IF(COUNTIF('LV &amp; HV augex'!$C$15:$C$17, C178), "HV", "Error"))</f>
        <v>HV</v>
      </c>
      <c r="E178" s="35" t="str">
        <f>INDEX('Growing &amp; falling'!$D$14:$D$39,MATCH($B178,'Growing &amp; falling'!$B$14:$B$39,0))</f>
        <v>Growth</v>
      </c>
      <c r="F178" s="35" t="str">
        <f t="shared" si="8"/>
        <v>$2024 real</v>
      </c>
      <c r="G178" s="40">
        <f>IFERROR(INDEX('LV &amp; HV augex'!$D$10:$P$18,MATCH($C178,'LV &amp; HV augex'!$C$10:$C$18,0),MATCH(G$19,'LV &amp; HV augex'!$D$9:$P$9,0))*INDEX('LV &amp; HV augex'!$D$28:$J$52,MATCH($B178,'LV &amp; HV augex'!$L$28:$L$52,0),MATCH($C178,'LV &amp; HV augex'!$D$27:$J$27,0)),0)*'Financial inputs'!$D$11</f>
        <v>444814.97448906046</v>
      </c>
      <c r="H178" s="40">
        <f>IFERROR(INDEX('LV &amp; HV augex'!$D$10:$P$18,MATCH($C178,'LV &amp; HV augex'!$C$10:$C$18,0),MATCH(H$19,'LV &amp; HV augex'!$D$9:$P$9,0))*INDEX('LV &amp; HV augex'!$D$28:$J$52,MATCH($B178,'LV &amp; HV augex'!$L$28:$L$52,0),MATCH($C178,'LV &amp; HV augex'!$D$27:$J$27,0)),0)*'Financial inputs'!$D$11</f>
        <v>438460.63336720405</v>
      </c>
      <c r="I178" s="40">
        <f>IFERROR(INDEX('LV &amp; HV augex'!$D$10:$P$18,MATCH($C178,'LV &amp; HV augex'!$C$10:$C$18,0),MATCH(I$19,'LV &amp; HV augex'!$D$9:$P$9,0))*INDEX('LV &amp; HV augex'!$D$28:$J$52,MATCH($B178,'LV &amp; HV augex'!$L$28:$L$52,0),MATCH($C178,'LV &amp; HV augex'!$D$27:$J$27,0)),0)*'Financial inputs'!$D$11</f>
        <v>443226.43061142892</v>
      </c>
      <c r="J178" s="40">
        <f>IFERROR(INDEX('LV &amp; HV augex'!$D$10:$P$18,MATCH($C178,'LV &amp; HV augex'!$C$10:$C$18,0),MATCH(J$19,'LV &amp; HV augex'!$D$9:$P$9,0))*INDEX('LV &amp; HV augex'!$D$28:$J$52,MATCH($B178,'LV &amp; HV augex'!$L$28:$L$52,0),MATCH($C178,'LV &amp; HV augex'!$D$27:$J$27,0)),0)*'Financial inputs'!$D$11</f>
        <v>443226.43061142892</v>
      </c>
      <c r="K178" s="40">
        <f>IFERROR(INDEX('LV &amp; HV augex'!$D$10:$P$18,MATCH($C178,'LV &amp; HV augex'!$C$10:$C$18,0),MATCH(K$19,'LV &amp; HV augex'!$D$9:$P$9,0))*INDEX('LV &amp; HV augex'!$D$28:$J$52,MATCH($B178,'LV &amp; HV augex'!$L$28:$L$52,0),MATCH($C178,'LV &amp; HV augex'!$D$27:$J$27,0)),0)*'Financial inputs'!$D$11</f>
        <v>443226.43061142892</v>
      </c>
      <c r="L178" s="40">
        <f>IFERROR(INDEX('LV &amp; HV augex'!$D$10:$P$18,MATCH($C178,'LV &amp; HV augex'!$C$10:$C$18,0),MATCH(L$19,'LV &amp; HV augex'!$D$9:$P$9,0))*INDEX('LV &amp; HV augex'!$D$28:$J$52,MATCH($B178,'LV &amp; HV augex'!$L$28:$L$52,0),MATCH($C178,'LV &amp; HV augex'!$D$27:$J$27,0)),0)*'Financial inputs'!$D$11</f>
        <v>443226.43061142892</v>
      </c>
      <c r="M178" s="40">
        <f>IFERROR(INDEX('LV &amp; HV augex'!$D$10:$P$18,MATCH($C178,'LV &amp; HV augex'!$C$10:$C$18,0),MATCH(M$19,'LV &amp; HV augex'!$D$9:$P$9,0))*INDEX('LV &amp; HV augex'!$D$28:$J$52,MATCH($B178,'LV &amp; HV augex'!$L$28:$L$52,0),MATCH($C178,'LV &amp; HV augex'!$D$27:$J$27,0)),0)*'Financial inputs'!$D$11</f>
        <v>443226.43061142892</v>
      </c>
      <c r="N178" s="40">
        <f>IFERROR(INDEX('LV &amp; HV augex'!$D$10:$P$18,MATCH($C178,'LV &amp; HV augex'!$C$10:$C$18,0),MATCH(N$19,'LV &amp; HV augex'!$D$9:$P$9,0))*INDEX('LV &amp; HV augex'!$D$28:$J$52,MATCH($B178,'LV &amp; HV augex'!$L$28:$L$52,0),MATCH($C178,'LV &amp; HV augex'!$D$27:$J$27,0)),0)*'Financial inputs'!$D$11</f>
        <v>443226.43061142892</v>
      </c>
      <c r="O178" s="40">
        <f>IFERROR(INDEX('LV &amp; HV augex'!$D$10:$P$18,MATCH($C178,'LV &amp; HV augex'!$C$10:$C$18,0),MATCH(O$19,'LV &amp; HV augex'!$D$9:$P$9,0))*INDEX('LV &amp; HV augex'!$D$28:$J$52,MATCH($B178,'LV &amp; HV augex'!$L$28:$L$52,0),MATCH($C178,'LV &amp; HV augex'!$D$27:$J$27,0)),0)*'Financial inputs'!$D$11</f>
        <v>443226.43061142892</v>
      </c>
      <c r="P178" s="40">
        <f>IFERROR(INDEX('LV &amp; HV augex'!$D$10:$P$18,MATCH($C178,'LV &amp; HV augex'!$C$10:$C$18,0),MATCH(P$19,'LV &amp; HV augex'!$D$9:$P$9,0))*INDEX('LV &amp; HV augex'!$D$28:$J$52,MATCH($B178,'LV &amp; HV augex'!$L$28:$L$52,0),MATCH($C178,'LV &amp; HV augex'!$D$27:$J$27,0)),0)*'Financial inputs'!$D$11</f>
        <v>443226.43061142892</v>
      </c>
    </row>
    <row r="179" spans="2:16" ht="15.5">
      <c r="B179" s="2" t="str">
        <f t="shared" si="9"/>
        <v>Carlingford</v>
      </c>
      <c r="C179" s="35" t="str" cm="1">
        <f t="array" ref="C179">INDEX(augex_categories,COUNTIFS($B$20:$B179,$B$20))</f>
        <v>HV Reinforcement UG (New)</v>
      </c>
      <c r="D179" s="35" t="str">
        <f>IF(COUNTIF('LV &amp; HV augex'!$C$10:$C$13,C179), "LV", IF(COUNTIF('LV &amp; HV augex'!$C$15:$C$17, C179), "HV", "Error"))</f>
        <v>HV</v>
      </c>
      <c r="E179" s="35" t="str">
        <f>INDEX('Growing &amp; falling'!$D$14:$D$39,MATCH($B179,'Growing &amp; falling'!$B$14:$B$39,0))</f>
        <v>Growth</v>
      </c>
      <c r="F179" s="35" t="str">
        <f t="shared" si="8"/>
        <v>$2024 real</v>
      </c>
      <c r="G179" s="40">
        <f>IFERROR(INDEX('LV &amp; HV augex'!$D$10:$P$18,MATCH($C179,'LV &amp; HV augex'!$C$10:$C$18,0),MATCH(G$19,'LV &amp; HV augex'!$D$9:$P$9,0))*INDEX('LV &amp; HV augex'!$D$28:$J$52,MATCH($B179,'LV &amp; HV augex'!$L$28:$L$52,0),MATCH($C179,'LV &amp; HV augex'!$D$27:$J$27,0)),0)*'Financial inputs'!$D$11</f>
        <v>110520.0905303422</v>
      </c>
      <c r="H179" s="40">
        <f>IFERROR(INDEX('LV &amp; HV augex'!$D$10:$P$18,MATCH($C179,'LV &amp; HV augex'!$C$10:$C$18,0),MATCH(H$19,'LV &amp; HV augex'!$D$9:$P$9,0))*INDEX('LV &amp; HV augex'!$D$28:$J$52,MATCH($B179,'LV &amp; HV augex'!$L$28:$L$52,0),MATCH($C179,'LV &amp; HV augex'!$D$27:$J$27,0)),0)*'Financial inputs'!$D$11</f>
        <v>108941.27147899411</v>
      </c>
      <c r="I179" s="40">
        <f>IFERROR(INDEX('LV &amp; HV augex'!$D$10:$P$18,MATCH($C179,'LV &amp; HV augex'!$C$10:$C$18,0),MATCH(I$19,'LV &amp; HV augex'!$D$9:$P$9,0))*INDEX('LV &amp; HV augex'!$D$28:$J$52,MATCH($B179,'LV &amp; HV augex'!$L$28:$L$52,0),MATCH($C179,'LV &amp; HV augex'!$D$27:$J$27,0)),0)*'Financial inputs'!$D$11</f>
        <v>110125.3960545797</v>
      </c>
      <c r="J179" s="40">
        <f>IFERROR(INDEX('LV &amp; HV augex'!$D$10:$P$18,MATCH($C179,'LV &amp; HV augex'!$C$10:$C$18,0),MATCH(J$19,'LV &amp; HV augex'!$D$9:$P$9,0))*INDEX('LV &amp; HV augex'!$D$28:$J$52,MATCH($B179,'LV &amp; HV augex'!$L$28:$L$52,0),MATCH($C179,'LV &amp; HV augex'!$D$27:$J$27,0)),0)*'Financial inputs'!$D$11</f>
        <v>110125.3960545797</v>
      </c>
      <c r="K179" s="40">
        <f>IFERROR(INDEX('LV &amp; HV augex'!$D$10:$P$18,MATCH($C179,'LV &amp; HV augex'!$C$10:$C$18,0),MATCH(K$19,'LV &amp; HV augex'!$D$9:$P$9,0))*INDEX('LV &amp; HV augex'!$D$28:$J$52,MATCH($B179,'LV &amp; HV augex'!$L$28:$L$52,0),MATCH($C179,'LV &amp; HV augex'!$D$27:$J$27,0)),0)*'Financial inputs'!$D$11</f>
        <v>110125.3960545797</v>
      </c>
      <c r="L179" s="40">
        <f>IFERROR(INDEX('LV &amp; HV augex'!$D$10:$P$18,MATCH($C179,'LV &amp; HV augex'!$C$10:$C$18,0),MATCH(L$19,'LV &amp; HV augex'!$D$9:$P$9,0))*INDEX('LV &amp; HV augex'!$D$28:$J$52,MATCH($B179,'LV &amp; HV augex'!$L$28:$L$52,0),MATCH($C179,'LV &amp; HV augex'!$D$27:$J$27,0)),0)*'Financial inputs'!$D$11</f>
        <v>110125.3960545797</v>
      </c>
      <c r="M179" s="40">
        <f>IFERROR(INDEX('LV &amp; HV augex'!$D$10:$P$18,MATCH($C179,'LV &amp; HV augex'!$C$10:$C$18,0),MATCH(M$19,'LV &amp; HV augex'!$D$9:$P$9,0))*INDEX('LV &amp; HV augex'!$D$28:$J$52,MATCH($B179,'LV &amp; HV augex'!$L$28:$L$52,0),MATCH($C179,'LV &amp; HV augex'!$D$27:$J$27,0)),0)*'Financial inputs'!$D$11</f>
        <v>110125.3960545797</v>
      </c>
      <c r="N179" s="40">
        <f>IFERROR(INDEX('LV &amp; HV augex'!$D$10:$P$18,MATCH($C179,'LV &amp; HV augex'!$C$10:$C$18,0),MATCH(N$19,'LV &amp; HV augex'!$D$9:$P$9,0))*INDEX('LV &amp; HV augex'!$D$28:$J$52,MATCH($B179,'LV &amp; HV augex'!$L$28:$L$52,0),MATCH($C179,'LV &amp; HV augex'!$D$27:$J$27,0)),0)*'Financial inputs'!$D$11</f>
        <v>110125.3960545797</v>
      </c>
      <c r="O179" s="40">
        <f>IFERROR(INDEX('LV &amp; HV augex'!$D$10:$P$18,MATCH($C179,'LV &amp; HV augex'!$C$10:$C$18,0),MATCH(O$19,'LV &amp; HV augex'!$D$9:$P$9,0))*INDEX('LV &amp; HV augex'!$D$28:$J$52,MATCH($B179,'LV &amp; HV augex'!$L$28:$L$52,0),MATCH($C179,'LV &amp; HV augex'!$D$27:$J$27,0)),0)*'Financial inputs'!$D$11</f>
        <v>110125.3960545797</v>
      </c>
      <c r="P179" s="40">
        <f>IFERROR(INDEX('LV &amp; HV augex'!$D$10:$P$18,MATCH($C179,'LV &amp; HV augex'!$C$10:$C$18,0),MATCH(P$19,'LV &amp; HV augex'!$D$9:$P$9,0))*INDEX('LV &amp; HV augex'!$D$28:$J$52,MATCH($B179,'LV &amp; HV augex'!$L$28:$L$52,0),MATCH($C179,'LV &amp; HV augex'!$D$27:$J$27,0)),0)*'Financial inputs'!$D$11</f>
        <v>110125.3960545797</v>
      </c>
    </row>
    <row r="180" spans="2:16" ht="15.5">
      <c r="B180" s="2" t="str">
        <f t="shared" si="9"/>
        <v>Eastern Suburbs</v>
      </c>
      <c r="C180" s="35" t="str" cm="1">
        <f t="array" ref="C180">INDEX(augex_categories,COUNTIFS($B$20:$B180,$B$20))</f>
        <v>HV Reinforcement UG (New)</v>
      </c>
      <c r="D180" s="35" t="str">
        <f>IF(COUNTIF('LV &amp; HV augex'!$C$10:$C$13,C180), "LV", IF(COUNTIF('LV &amp; HV augex'!$C$15:$C$17, C180), "HV", "Error"))</f>
        <v>HV</v>
      </c>
      <c r="E180" s="35" t="str">
        <f>INDEX('Growing &amp; falling'!$D$14:$D$39,MATCH($B180,'Growing &amp; falling'!$B$14:$B$39,0))</f>
        <v>Growth</v>
      </c>
      <c r="F180" s="35" t="str">
        <f t="shared" si="8"/>
        <v>$2024 real</v>
      </c>
      <c r="G180" s="40">
        <f>IFERROR(INDEX('LV &amp; HV augex'!$D$10:$P$18,MATCH($C180,'LV &amp; HV augex'!$C$10:$C$18,0),MATCH(G$19,'LV &amp; HV augex'!$D$9:$P$9,0))*INDEX('LV &amp; HV augex'!$D$28:$J$52,MATCH($B180,'LV &amp; HV augex'!$L$28:$L$52,0),MATCH($C180,'LV &amp; HV augex'!$D$27:$J$27,0)),0)*'Financial inputs'!$D$11</f>
        <v>201422.65438383739</v>
      </c>
      <c r="H180" s="40">
        <f>IFERROR(INDEX('LV &amp; HV augex'!$D$10:$P$18,MATCH($C180,'LV &amp; HV augex'!$C$10:$C$18,0),MATCH(H$19,'LV &amp; HV augex'!$D$9:$P$9,0))*INDEX('LV &amp; HV augex'!$D$28:$J$52,MATCH($B180,'LV &amp; HV augex'!$L$28:$L$52,0),MATCH($C180,'LV &amp; HV augex'!$D$27:$J$27,0)),0)*'Financial inputs'!$D$11</f>
        <v>198545.259671362</v>
      </c>
      <c r="I180" s="40">
        <f>IFERROR(INDEX('LV &amp; HV augex'!$D$10:$P$18,MATCH($C180,'LV &amp; HV augex'!$C$10:$C$18,0),MATCH(I$19,'LV &amp; HV augex'!$D$9:$P$9,0))*INDEX('LV &amp; HV augex'!$D$28:$J$52,MATCH($B180,'LV &amp; HV augex'!$L$28:$L$52,0),MATCH($C180,'LV &amp; HV augex'!$D$27:$J$27,0)),0)*'Financial inputs'!$D$11</f>
        <v>200703.32445389227</v>
      </c>
      <c r="J180" s="40">
        <f>IFERROR(INDEX('LV &amp; HV augex'!$D$10:$P$18,MATCH($C180,'LV &amp; HV augex'!$C$10:$C$18,0),MATCH(J$19,'LV &amp; HV augex'!$D$9:$P$9,0))*INDEX('LV &amp; HV augex'!$D$28:$J$52,MATCH($B180,'LV &amp; HV augex'!$L$28:$L$52,0),MATCH($C180,'LV &amp; HV augex'!$D$27:$J$27,0)),0)*'Financial inputs'!$D$11</f>
        <v>200703.32445389227</v>
      </c>
      <c r="K180" s="40">
        <f>IFERROR(INDEX('LV &amp; HV augex'!$D$10:$P$18,MATCH($C180,'LV &amp; HV augex'!$C$10:$C$18,0),MATCH(K$19,'LV &amp; HV augex'!$D$9:$P$9,0))*INDEX('LV &amp; HV augex'!$D$28:$J$52,MATCH($B180,'LV &amp; HV augex'!$L$28:$L$52,0),MATCH($C180,'LV &amp; HV augex'!$D$27:$J$27,0)),0)*'Financial inputs'!$D$11</f>
        <v>200703.32445389227</v>
      </c>
      <c r="L180" s="40">
        <f>IFERROR(INDEX('LV &amp; HV augex'!$D$10:$P$18,MATCH($C180,'LV &amp; HV augex'!$C$10:$C$18,0),MATCH(L$19,'LV &amp; HV augex'!$D$9:$P$9,0))*INDEX('LV &amp; HV augex'!$D$28:$J$52,MATCH($B180,'LV &amp; HV augex'!$L$28:$L$52,0),MATCH($C180,'LV &amp; HV augex'!$D$27:$J$27,0)),0)*'Financial inputs'!$D$11</f>
        <v>200703.32445389227</v>
      </c>
      <c r="M180" s="40">
        <f>IFERROR(INDEX('LV &amp; HV augex'!$D$10:$P$18,MATCH($C180,'LV &amp; HV augex'!$C$10:$C$18,0),MATCH(M$19,'LV &amp; HV augex'!$D$9:$P$9,0))*INDEX('LV &amp; HV augex'!$D$28:$J$52,MATCH($B180,'LV &amp; HV augex'!$L$28:$L$52,0),MATCH($C180,'LV &amp; HV augex'!$D$27:$J$27,0)),0)*'Financial inputs'!$D$11</f>
        <v>200703.32445389227</v>
      </c>
      <c r="N180" s="40">
        <f>IFERROR(INDEX('LV &amp; HV augex'!$D$10:$P$18,MATCH($C180,'LV &amp; HV augex'!$C$10:$C$18,0),MATCH(N$19,'LV &amp; HV augex'!$D$9:$P$9,0))*INDEX('LV &amp; HV augex'!$D$28:$J$52,MATCH($B180,'LV &amp; HV augex'!$L$28:$L$52,0),MATCH($C180,'LV &amp; HV augex'!$D$27:$J$27,0)),0)*'Financial inputs'!$D$11</f>
        <v>200703.32445389227</v>
      </c>
      <c r="O180" s="40">
        <f>IFERROR(INDEX('LV &amp; HV augex'!$D$10:$P$18,MATCH($C180,'LV &amp; HV augex'!$C$10:$C$18,0),MATCH(O$19,'LV &amp; HV augex'!$D$9:$P$9,0))*INDEX('LV &amp; HV augex'!$D$28:$J$52,MATCH($B180,'LV &amp; HV augex'!$L$28:$L$52,0),MATCH($C180,'LV &amp; HV augex'!$D$27:$J$27,0)),0)*'Financial inputs'!$D$11</f>
        <v>200703.32445389227</v>
      </c>
      <c r="P180" s="40">
        <f>IFERROR(INDEX('LV &amp; HV augex'!$D$10:$P$18,MATCH($C180,'LV &amp; HV augex'!$C$10:$C$18,0),MATCH(P$19,'LV &amp; HV augex'!$D$9:$P$9,0))*INDEX('LV &amp; HV augex'!$D$28:$J$52,MATCH($B180,'LV &amp; HV augex'!$L$28:$L$52,0),MATCH($C180,'LV &amp; HV augex'!$D$27:$J$27,0)),0)*'Financial inputs'!$D$11</f>
        <v>200703.32445389227</v>
      </c>
    </row>
    <row r="181" spans="2:16" ht="15.5">
      <c r="B181" s="2" t="str">
        <f t="shared" si="9"/>
        <v>Greater Cessnock</v>
      </c>
      <c r="C181" s="35" t="str" cm="1">
        <f t="array" ref="C181">INDEX(augex_categories,COUNTIFS($B$20:$B181,$B$20))</f>
        <v>HV Reinforcement UG (New)</v>
      </c>
      <c r="D181" s="35" t="str">
        <f>IF(COUNTIF('LV &amp; HV augex'!$C$10:$C$13,C181), "LV", IF(COUNTIF('LV &amp; HV augex'!$C$15:$C$17, C181), "HV", "Error"))</f>
        <v>HV</v>
      </c>
      <c r="E181" s="35" t="str">
        <f>INDEX('Growing &amp; falling'!$D$14:$D$39,MATCH($B181,'Growing &amp; falling'!$B$14:$B$39,0))</f>
        <v>Growth</v>
      </c>
      <c r="F181" s="35" t="str">
        <f t="shared" si="8"/>
        <v>$2024 real</v>
      </c>
      <c r="G181" s="40">
        <f>IFERROR(INDEX('LV &amp; HV augex'!$D$10:$P$18,MATCH($C181,'LV &amp; HV augex'!$C$10:$C$18,0),MATCH(G$19,'LV &amp; HV augex'!$D$9:$P$9,0))*INDEX('LV &amp; HV augex'!$D$28:$J$52,MATCH($B181,'LV &amp; HV augex'!$L$28:$L$52,0),MATCH($C181,'LV &amp; HV augex'!$D$27:$J$27,0)),0)*'Financial inputs'!$D$11</f>
        <v>603746.21717718907</v>
      </c>
      <c r="H181" s="40">
        <f>IFERROR(INDEX('LV &amp; HV augex'!$D$10:$P$18,MATCH($C181,'LV &amp; HV augex'!$C$10:$C$18,0),MATCH(H$19,'LV &amp; HV augex'!$D$9:$P$9,0))*INDEX('LV &amp; HV augex'!$D$28:$J$52,MATCH($B181,'LV &amp; HV augex'!$L$28:$L$52,0),MATCH($C181,'LV &amp; HV augex'!$D$27:$J$27,0)),0)*'Financial inputs'!$D$11</f>
        <v>595121.48636775312</v>
      </c>
      <c r="I181" s="40">
        <f>IFERROR(INDEX('LV &amp; HV augex'!$D$10:$P$18,MATCH($C181,'LV &amp; HV augex'!$C$10:$C$18,0),MATCH(I$19,'LV &amp; HV augex'!$D$9:$P$9,0))*INDEX('LV &amp; HV augex'!$D$28:$J$52,MATCH($B181,'LV &amp; HV augex'!$L$28:$L$52,0),MATCH($C181,'LV &amp; HV augex'!$D$27:$J$27,0)),0)*'Financial inputs'!$D$11</f>
        <v>601590.09067078785</v>
      </c>
      <c r="J181" s="40">
        <f>IFERROR(INDEX('LV &amp; HV augex'!$D$10:$P$18,MATCH($C181,'LV &amp; HV augex'!$C$10:$C$18,0),MATCH(J$19,'LV &amp; HV augex'!$D$9:$P$9,0))*INDEX('LV &amp; HV augex'!$D$28:$J$52,MATCH($B181,'LV &amp; HV augex'!$L$28:$L$52,0),MATCH($C181,'LV &amp; HV augex'!$D$27:$J$27,0)),0)*'Financial inputs'!$D$11</f>
        <v>601590.09067078785</v>
      </c>
      <c r="K181" s="40">
        <f>IFERROR(INDEX('LV &amp; HV augex'!$D$10:$P$18,MATCH($C181,'LV &amp; HV augex'!$C$10:$C$18,0),MATCH(K$19,'LV &amp; HV augex'!$D$9:$P$9,0))*INDEX('LV &amp; HV augex'!$D$28:$J$52,MATCH($B181,'LV &amp; HV augex'!$L$28:$L$52,0),MATCH($C181,'LV &amp; HV augex'!$D$27:$J$27,0)),0)*'Financial inputs'!$D$11</f>
        <v>601590.09067078785</v>
      </c>
      <c r="L181" s="40">
        <f>IFERROR(INDEX('LV &amp; HV augex'!$D$10:$P$18,MATCH($C181,'LV &amp; HV augex'!$C$10:$C$18,0),MATCH(L$19,'LV &amp; HV augex'!$D$9:$P$9,0))*INDEX('LV &amp; HV augex'!$D$28:$J$52,MATCH($B181,'LV &amp; HV augex'!$L$28:$L$52,0),MATCH($C181,'LV &amp; HV augex'!$D$27:$J$27,0)),0)*'Financial inputs'!$D$11</f>
        <v>601590.09067078785</v>
      </c>
      <c r="M181" s="40">
        <f>IFERROR(INDEX('LV &amp; HV augex'!$D$10:$P$18,MATCH($C181,'LV &amp; HV augex'!$C$10:$C$18,0),MATCH(M$19,'LV &amp; HV augex'!$D$9:$P$9,0))*INDEX('LV &amp; HV augex'!$D$28:$J$52,MATCH($B181,'LV &amp; HV augex'!$L$28:$L$52,0),MATCH($C181,'LV &amp; HV augex'!$D$27:$J$27,0)),0)*'Financial inputs'!$D$11</f>
        <v>601590.09067078785</v>
      </c>
      <c r="N181" s="40">
        <f>IFERROR(INDEX('LV &amp; HV augex'!$D$10:$P$18,MATCH($C181,'LV &amp; HV augex'!$C$10:$C$18,0),MATCH(N$19,'LV &amp; HV augex'!$D$9:$P$9,0))*INDEX('LV &amp; HV augex'!$D$28:$J$52,MATCH($B181,'LV &amp; HV augex'!$L$28:$L$52,0),MATCH($C181,'LV &amp; HV augex'!$D$27:$J$27,0)),0)*'Financial inputs'!$D$11</f>
        <v>601590.09067078785</v>
      </c>
      <c r="O181" s="40">
        <f>IFERROR(INDEX('LV &amp; HV augex'!$D$10:$P$18,MATCH($C181,'LV &amp; HV augex'!$C$10:$C$18,0),MATCH(O$19,'LV &amp; HV augex'!$D$9:$P$9,0))*INDEX('LV &amp; HV augex'!$D$28:$J$52,MATCH($B181,'LV &amp; HV augex'!$L$28:$L$52,0),MATCH($C181,'LV &amp; HV augex'!$D$27:$J$27,0)),0)*'Financial inputs'!$D$11</f>
        <v>601590.09067078785</v>
      </c>
      <c r="P181" s="40">
        <f>IFERROR(INDEX('LV &amp; HV augex'!$D$10:$P$18,MATCH($C181,'LV &amp; HV augex'!$C$10:$C$18,0),MATCH(P$19,'LV &amp; HV augex'!$D$9:$P$9,0))*INDEX('LV &amp; HV augex'!$D$28:$J$52,MATCH($B181,'LV &amp; HV augex'!$L$28:$L$52,0),MATCH($C181,'LV &amp; HV augex'!$D$27:$J$27,0)),0)*'Financial inputs'!$D$11</f>
        <v>601590.09067078785</v>
      </c>
    </row>
    <row r="182" spans="2:16" ht="15.5">
      <c r="B182" s="2" t="str">
        <f t="shared" si="9"/>
        <v>Lower Central Coast</v>
      </c>
      <c r="C182" s="35" t="str" cm="1">
        <f t="array" ref="C182">INDEX(augex_categories,COUNTIFS($B$20:$B182,$B$20))</f>
        <v>HV Reinforcement UG (New)</v>
      </c>
      <c r="D182" s="35" t="str">
        <f>IF(COUNTIF('LV &amp; HV augex'!$C$10:$C$13,C182), "LV", IF(COUNTIF('LV &amp; HV augex'!$C$15:$C$17, C182), "HV", "Error"))</f>
        <v>HV</v>
      </c>
      <c r="E182" s="35" t="str">
        <f>INDEX('Growing &amp; falling'!$D$14:$D$39,MATCH($B182,'Growing &amp; falling'!$B$14:$B$39,0))</f>
        <v>Growth</v>
      </c>
      <c r="F182" s="35" t="str">
        <f t="shared" si="8"/>
        <v>$2024 real</v>
      </c>
      <c r="G182" s="40">
        <f>IFERROR(INDEX('LV &amp; HV augex'!$D$10:$P$18,MATCH($C182,'LV &amp; HV augex'!$C$10:$C$18,0),MATCH(G$19,'LV &amp; HV augex'!$D$9:$P$9,0))*INDEX('LV &amp; HV augex'!$D$28:$J$52,MATCH($B182,'LV &amp; HV augex'!$L$28:$L$52,0),MATCH($C182,'LV &amp; HV augex'!$D$27:$J$27,0)),0)*'Financial inputs'!$D$11</f>
        <v>565534.46066800074</v>
      </c>
      <c r="H182" s="40">
        <f>IFERROR(INDEX('LV &amp; HV augex'!$D$10:$P$18,MATCH($C182,'LV &amp; HV augex'!$C$10:$C$18,0),MATCH(H$19,'LV &amp; HV augex'!$D$9:$P$9,0))*INDEX('LV &amp; HV augex'!$D$28:$J$52,MATCH($B182,'LV &amp; HV augex'!$L$28:$L$52,0),MATCH($C182,'LV &amp; HV augex'!$D$27:$J$27,0)),0)*'Financial inputs'!$D$11</f>
        <v>557455.59847731714</v>
      </c>
      <c r="I182" s="40">
        <f>IFERROR(INDEX('LV &amp; HV augex'!$D$10:$P$18,MATCH($C182,'LV &amp; HV augex'!$C$10:$C$18,0),MATCH(I$19,'LV &amp; HV augex'!$D$9:$P$9,0))*INDEX('LV &amp; HV augex'!$D$28:$J$52,MATCH($B182,'LV &amp; HV augex'!$L$28:$L$52,0),MATCH($C182,'LV &amp; HV augex'!$D$27:$J$27,0)),0)*'Financial inputs'!$D$11</f>
        <v>563514.79775958415</v>
      </c>
      <c r="J182" s="40">
        <f>IFERROR(INDEX('LV &amp; HV augex'!$D$10:$P$18,MATCH($C182,'LV &amp; HV augex'!$C$10:$C$18,0),MATCH(J$19,'LV &amp; HV augex'!$D$9:$P$9,0))*INDEX('LV &amp; HV augex'!$D$28:$J$52,MATCH($B182,'LV &amp; HV augex'!$L$28:$L$52,0),MATCH($C182,'LV &amp; HV augex'!$D$27:$J$27,0)),0)*'Financial inputs'!$D$11</f>
        <v>563514.79775958415</v>
      </c>
      <c r="K182" s="40">
        <f>IFERROR(INDEX('LV &amp; HV augex'!$D$10:$P$18,MATCH($C182,'LV &amp; HV augex'!$C$10:$C$18,0),MATCH(K$19,'LV &amp; HV augex'!$D$9:$P$9,0))*INDEX('LV &amp; HV augex'!$D$28:$J$52,MATCH($B182,'LV &amp; HV augex'!$L$28:$L$52,0),MATCH($C182,'LV &amp; HV augex'!$D$27:$J$27,0)),0)*'Financial inputs'!$D$11</f>
        <v>563514.79775958415</v>
      </c>
      <c r="L182" s="40">
        <f>IFERROR(INDEX('LV &amp; HV augex'!$D$10:$P$18,MATCH($C182,'LV &amp; HV augex'!$C$10:$C$18,0),MATCH(L$19,'LV &amp; HV augex'!$D$9:$P$9,0))*INDEX('LV &amp; HV augex'!$D$28:$J$52,MATCH($B182,'LV &amp; HV augex'!$L$28:$L$52,0),MATCH($C182,'LV &amp; HV augex'!$D$27:$J$27,0)),0)*'Financial inputs'!$D$11</f>
        <v>563514.79775958415</v>
      </c>
      <c r="M182" s="40">
        <f>IFERROR(INDEX('LV &amp; HV augex'!$D$10:$P$18,MATCH($C182,'LV &amp; HV augex'!$C$10:$C$18,0),MATCH(M$19,'LV &amp; HV augex'!$D$9:$P$9,0))*INDEX('LV &amp; HV augex'!$D$28:$J$52,MATCH($B182,'LV &amp; HV augex'!$L$28:$L$52,0),MATCH($C182,'LV &amp; HV augex'!$D$27:$J$27,0)),0)*'Financial inputs'!$D$11</f>
        <v>563514.79775958415</v>
      </c>
      <c r="N182" s="40">
        <f>IFERROR(INDEX('LV &amp; HV augex'!$D$10:$P$18,MATCH($C182,'LV &amp; HV augex'!$C$10:$C$18,0),MATCH(N$19,'LV &amp; HV augex'!$D$9:$P$9,0))*INDEX('LV &amp; HV augex'!$D$28:$J$52,MATCH($B182,'LV &amp; HV augex'!$L$28:$L$52,0),MATCH($C182,'LV &amp; HV augex'!$D$27:$J$27,0)),0)*'Financial inputs'!$D$11</f>
        <v>563514.79775958415</v>
      </c>
      <c r="O182" s="40">
        <f>IFERROR(INDEX('LV &amp; HV augex'!$D$10:$P$18,MATCH($C182,'LV &amp; HV augex'!$C$10:$C$18,0),MATCH(O$19,'LV &amp; HV augex'!$D$9:$P$9,0))*INDEX('LV &amp; HV augex'!$D$28:$J$52,MATCH($B182,'LV &amp; HV augex'!$L$28:$L$52,0),MATCH($C182,'LV &amp; HV augex'!$D$27:$J$27,0)),0)*'Financial inputs'!$D$11</f>
        <v>563514.79775958415</v>
      </c>
      <c r="P182" s="40">
        <f>IFERROR(INDEX('LV &amp; HV augex'!$D$10:$P$18,MATCH($C182,'LV &amp; HV augex'!$C$10:$C$18,0),MATCH(P$19,'LV &amp; HV augex'!$D$9:$P$9,0))*INDEX('LV &amp; HV augex'!$D$28:$J$52,MATCH($B182,'LV &amp; HV augex'!$L$28:$L$52,0),MATCH($C182,'LV &amp; HV augex'!$D$27:$J$27,0)),0)*'Financial inputs'!$D$11</f>
        <v>563514.79775958415</v>
      </c>
    </row>
    <row r="183" spans="2:16" ht="15.5">
      <c r="B183" s="2" t="str">
        <f t="shared" si="9"/>
        <v>Lower North Shore</v>
      </c>
      <c r="C183" s="35" t="str" cm="1">
        <f t="array" ref="C183">INDEX(augex_categories,COUNTIFS($B$20:$B183,$B$20))</f>
        <v>HV Reinforcement UG (New)</v>
      </c>
      <c r="D183" s="35" t="str">
        <f>IF(COUNTIF('LV &amp; HV augex'!$C$10:$C$13,C183), "LV", IF(COUNTIF('LV &amp; HV augex'!$C$15:$C$17, C183), "HV", "Error"))</f>
        <v>HV</v>
      </c>
      <c r="E183" s="35" t="str">
        <f>INDEX('Growing &amp; falling'!$D$14:$D$39,MATCH($B183,'Growing &amp; falling'!$B$14:$B$39,0))</f>
        <v>Growth</v>
      </c>
      <c r="F183" s="35" t="str">
        <f t="shared" si="8"/>
        <v>$2024 real</v>
      </c>
      <c r="G183" s="40">
        <f>IFERROR(INDEX('LV &amp; HV augex'!$D$10:$P$18,MATCH($C183,'LV &amp; HV augex'!$C$10:$C$18,0),MATCH(G$19,'LV &amp; HV augex'!$D$9:$P$9,0))*INDEX('LV &amp; HV augex'!$D$28:$J$52,MATCH($B183,'LV &amp; HV augex'!$L$28:$L$52,0),MATCH($C183,'LV &amp; HV augex'!$D$27:$J$27,0)),0)*'Financial inputs'!$D$11</f>
        <v>32811.901556991179</v>
      </c>
      <c r="H183" s="40">
        <f>IFERROR(INDEX('LV &amp; HV augex'!$D$10:$P$18,MATCH($C183,'LV &amp; HV augex'!$C$10:$C$18,0),MATCH(H$19,'LV &amp; HV augex'!$D$9:$P$9,0))*INDEX('LV &amp; HV augex'!$D$28:$J$52,MATCH($B183,'LV &amp; HV augex'!$L$28:$L$52,0),MATCH($C183,'LV &amp; HV augex'!$D$27:$J$27,0)),0)*'Financial inputs'!$D$11</f>
        <v>32343.171798984753</v>
      </c>
      <c r="I183" s="40">
        <f>IFERROR(INDEX('LV &amp; HV augex'!$D$10:$P$18,MATCH($C183,'LV &amp; HV augex'!$C$10:$C$18,0),MATCH(I$19,'LV &amp; HV augex'!$D$9:$P$9,0))*INDEX('LV &amp; HV augex'!$D$28:$J$52,MATCH($B183,'LV &amp; HV augex'!$L$28:$L$52,0),MATCH($C183,'LV &amp; HV augex'!$D$27:$J$27,0)),0)*'Financial inputs'!$D$11</f>
        <v>32694.722171581147</v>
      </c>
      <c r="J183" s="40">
        <f>IFERROR(INDEX('LV &amp; HV augex'!$D$10:$P$18,MATCH($C183,'LV &amp; HV augex'!$C$10:$C$18,0),MATCH(J$19,'LV &amp; HV augex'!$D$9:$P$9,0))*INDEX('LV &amp; HV augex'!$D$28:$J$52,MATCH($B183,'LV &amp; HV augex'!$L$28:$L$52,0),MATCH($C183,'LV &amp; HV augex'!$D$27:$J$27,0)),0)*'Financial inputs'!$D$11</f>
        <v>32694.722171581147</v>
      </c>
      <c r="K183" s="40">
        <f>IFERROR(INDEX('LV &amp; HV augex'!$D$10:$P$18,MATCH($C183,'LV &amp; HV augex'!$C$10:$C$18,0),MATCH(K$19,'LV &amp; HV augex'!$D$9:$P$9,0))*INDEX('LV &amp; HV augex'!$D$28:$J$52,MATCH($B183,'LV &amp; HV augex'!$L$28:$L$52,0),MATCH($C183,'LV &amp; HV augex'!$D$27:$J$27,0)),0)*'Financial inputs'!$D$11</f>
        <v>32694.722171581147</v>
      </c>
      <c r="L183" s="40">
        <f>IFERROR(INDEX('LV &amp; HV augex'!$D$10:$P$18,MATCH($C183,'LV &amp; HV augex'!$C$10:$C$18,0),MATCH(L$19,'LV &amp; HV augex'!$D$9:$P$9,0))*INDEX('LV &amp; HV augex'!$D$28:$J$52,MATCH($B183,'LV &amp; HV augex'!$L$28:$L$52,0),MATCH($C183,'LV &amp; HV augex'!$D$27:$J$27,0)),0)*'Financial inputs'!$D$11</f>
        <v>32694.722171581147</v>
      </c>
      <c r="M183" s="40">
        <f>IFERROR(INDEX('LV &amp; HV augex'!$D$10:$P$18,MATCH($C183,'LV &amp; HV augex'!$C$10:$C$18,0),MATCH(M$19,'LV &amp; HV augex'!$D$9:$P$9,0))*INDEX('LV &amp; HV augex'!$D$28:$J$52,MATCH($B183,'LV &amp; HV augex'!$L$28:$L$52,0),MATCH($C183,'LV &amp; HV augex'!$D$27:$J$27,0)),0)*'Financial inputs'!$D$11</f>
        <v>32694.722171581147</v>
      </c>
      <c r="N183" s="40">
        <f>IFERROR(INDEX('LV &amp; HV augex'!$D$10:$P$18,MATCH($C183,'LV &amp; HV augex'!$C$10:$C$18,0),MATCH(N$19,'LV &amp; HV augex'!$D$9:$P$9,0))*INDEX('LV &amp; HV augex'!$D$28:$J$52,MATCH($B183,'LV &amp; HV augex'!$L$28:$L$52,0),MATCH($C183,'LV &amp; HV augex'!$D$27:$J$27,0)),0)*'Financial inputs'!$D$11</f>
        <v>32694.722171581147</v>
      </c>
      <c r="O183" s="40">
        <f>IFERROR(INDEX('LV &amp; HV augex'!$D$10:$P$18,MATCH($C183,'LV &amp; HV augex'!$C$10:$C$18,0),MATCH(O$19,'LV &amp; HV augex'!$D$9:$P$9,0))*INDEX('LV &amp; HV augex'!$D$28:$J$52,MATCH($B183,'LV &amp; HV augex'!$L$28:$L$52,0),MATCH($C183,'LV &amp; HV augex'!$D$27:$J$27,0)),0)*'Financial inputs'!$D$11</f>
        <v>32694.722171581147</v>
      </c>
      <c r="P183" s="40">
        <f>IFERROR(INDEX('LV &amp; HV augex'!$D$10:$P$18,MATCH($C183,'LV &amp; HV augex'!$C$10:$C$18,0),MATCH(P$19,'LV &amp; HV augex'!$D$9:$P$9,0))*INDEX('LV &amp; HV augex'!$D$28:$J$52,MATCH($B183,'LV &amp; HV augex'!$L$28:$L$52,0),MATCH($C183,'LV &amp; HV augex'!$D$27:$J$27,0)),0)*'Financial inputs'!$D$11</f>
        <v>32694.722171581147</v>
      </c>
    </row>
    <row r="184" spans="2:16" ht="15.5">
      <c r="B184" s="2" t="str">
        <f t="shared" si="9"/>
        <v>Maitland</v>
      </c>
      <c r="C184" s="35" t="str" cm="1">
        <f t="array" ref="C184">INDEX(augex_categories,COUNTIFS($B$20:$B184,$B$20))</f>
        <v>HV Reinforcement UG (New)</v>
      </c>
      <c r="D184" s="35" t="str">
        <f>IF(COUNTIF('LV &amp; HV augex'!$C$10:$C$13,C184), "LV", IF(COUNTIF('LV &amp; HV augex'!$C$15:$C$17, C184), "HV", "Error"))</f>
        <v>HV</v>
      </c>
      <c r="E184" s="35" t="str">
        <f>INDEX('Growing &amp; falling'!$D$14:$D$39,MATCH($B184,'Growing &amp; falling'!$B$14:$B$39,0))</f>
        <v>Growth</v>
      </c>
      <c r="F184" s="35" t="str">
        <f t="shared" si="8"/>
        <v>$2024 real</v>
      </c>
      <c r="G184" s="40">
        <f>IFERROR(INDEX('LV &amp; HV augex'!$D$10:$P$18,MATCH($C184,'LV &amp; HV augex'!$C$10:$C$18,0),MATCH(G$19,'LV &amp; HV augex'!$D$9:$P$9,0))*INDEX('LV &amp; HV augex'!$D$28:$J$52,MATCH($B184,'LV &amp; HV augex'!$L$28:$L$52,0),MATCH($C184,'LV &amp; HV augex'!$D$27:$J$27,0)),0)*'Financial inputs'!$D$11</f>
        <v>1555789.0624237447</v>
      </c>
      <c r="H184" s="40">
        <f>IFERROR(INDEX('LV &amp; HV augex'!$D$10:$P$18,MATCH($C184,'LV &amp; HV augex'!$C$10:$C$18,0),MATCH(H$19,'LV &amp; HV augex'!$D$9:$P$9,0))*INDEX('LV &amp; HV augex'!$D$28:$J$52,MATCH($B184,'LV &amp; HV augex'!$L$28:$L$52,0),MATCH($C184,'LV &amp; HV augex'!$D$27:$J$27,0)),0)*'Financial inputs'!$D$11</f>
        <v>1533564.0588081419</v>
      </c>
      <c r="I184" s="40">
        <f>IFERROR(INDEX('LV &amp; HV augex'!$D$10:$P$18,MATCH($C184,'LV &amp; HV augex'!$C$10:$C$18,0),MATCH(I$19,'LV &amp; HV augex'!$D$9:$P$9,0))*INDEX('LV &amp; HV augex'!$D$28:$J$52,MATCH($B184,'LV &amp; HV augex'!$L$28:$L$52,0),MATCH($C184,'LV &amp; HV augex'!$D$27:$J$27,0)),0)*'Financial inputs'!$D$11</f>
        <v>1550232.9563307827</v>
      </c>
      <c r="J184" s="40">
        <f>IFERROR(INDEX('LV &amp; HV augex'!$D$10:$P$18,MATCH($C184,'LV &amp; HV augex'!$C$10:$C$18,0),MATCH(J$19,'LV &amp; HV augex'!$D$9:$P$9,0))*INDEX('LV &amp; HV augex'!$D$28:$J$52,MATCH($B184,'LV &amp; HV augex'!$L$28:$L$52,0),MATCH($C184,'LV &amp; HV augex'!$D$27:$J$27,0)),0)*'Financial inputs'!$D$11</f>
        <v>1550232.9563307827</v>
      </c>
      <c r="K184" s="40">
        <f>IFERROR(INDEX('LV &amp; HV augex'!$D$10:$P$18,MATCH($C184,'LV &amp; HV augex'!$C$10:$C$18,0),MATCH(K$19,'LV &amp; HV augex'!$D$9:$P$9,0))*INDEX('LV &amp; HV augex'!$D$28:$J$52,MATCH($B184,'LV &amp; HV augex'!$L$28:$L$52,0),MATCH($C184,'LV &amp; HV augex'!$D$27:$J$27,0)),0)*'Financial inputs'!$D$11</f>
        <v>1550232.9563307827</v>
      </c>
      <c r="L184" s="40">
        <f>IFERROR(INDEX('LV &amp; HV augex'!$D$10:$P$18,MATCH($C184,'LV &amp; HV augex'!$C$10:$C$18,0),MATCH(L$19,'LV &amp; HV augex'!$D$9:$P$9,0))*INDEX('LV &amp; HV augex'!$D$28:$J$52,MATCH($B184,'LV &amp; HV augex'!$L$28:$L$52,0),MATCH($C184,'LV &amp; HV augex'!$D$27:$J$27,0)),0)*'Financial inputs'!$D$11</f>
        <v>1550232.9563307827</v>
      </c>
      <c r="M184" s="40">
        <f>IFERROR(INDEX('LV &amp; HV augex'!$D$10:$P$18,MATCH($C184,'LV &amp; HV augex'!$C$10:$C$18,0),MATCH(M$19,'LV &amp; HV augex'!$D$9:$P$9,0))*INDEX('LV &amp; HV augex'!$D$28:$J$52,MATCH($B184,'LV &amp; HV augex'!$L$28:$L$52,0),MATCH($C184,'LV &amp; HV augex'!$D$27:$J$27,0)),0)*'Financial inputs'!$D$11</f>
        <v>1550232.9563307827</v>
      </c>
      <c r="N184" s="40">
        <f>IFERROR(INDEX('LV &amp; HV augex'!$D$10:$P$18,MATCH($C184,'LV &amp; HV augex'!$C$10:$C$18,0),MATCH(N$19,'LV &amp; HV augex'!$D$9:$P$9,0))*INDEX('LV &amp; HV augex'!$D$28:$J$52,MATCH($B184,'LV &amp; HV augex'!$L$28:$L$52,0),MATCH($C184,'LV &amp; HV augex'!$D$27:$J$27,0)),0)*'Financial inputs'!$D$11</f>
        <v>1550232.9563307827</v>
      </c>
      <c r="O184" s="40">
        <f>IFERROR(INDEX('LV &amp; HV augex'!$D$10:$P$18,MATCH($C184,'LV &amp; HV augex'!$C$10:$C$18,0),MATCH(O$19,'LV &amp; HV augex'!$D$9:$P$9,0))*INDEX('LV &amp; HV augex'!$D$28:$J$52,MATCH($B184,'LV &amp; HV augex'!$L$28:$L$52,0),MATCH($C184,'LV &amp; HV augex'!$D$27:$J$27,0)),0)*'Financial inputs'!$D$11</f>
        <v>1550232.9563307827</v>
      </c>
      <c r="P184" s="40">
        <f>IFERROR(INDEX('LV &amp; HV augex'!$D$10:$P$18,MATCH($C184,'LV &amp; HV augex'!$C$10:$C$18,0),MATCH(P$19,'LV &amp; HV augex'!$D$9:$P$9,0))*INDEX('LV &amp; HV augex'!$D$28:$J$52,MATCH($B184,'LV &amp; HV augex'!$L$28:$L$52,0),MATCH($C184,'LV &amp; HV augex'!$D$27:$J$27,0)),0)*'Financial inputs'!$D$11</f>
        <v>1550232.9563307827</v>
      </c>
    </row>
    <row r="185" spans="2:16" ht="15.5">
      <c r="B185" s="2" t="str">
        <f t="shared" si="9"/>
        <v>Manly Warringah</v>
      </c>
      <c r="C185" s="35" t="str" cm="1">
        <f t="array" ref="C185">INDEX(augex_categories,COUNTIFS($B$20:$B185,$B$20))</f>
        <v>HV Reinforcement UG (New)</v>
      </c>
      <c r="D185" s="35" t="str">
        <f>IF(COUNTIF('LV &amp; HV augex'!$C$10:$C$13,C185), "LV", IF(COUNTIF('LV &amp; HV augex'!$C$15:$C$17, C185), "HV", "Error"))</f>
        <v>HV</v>
      </c>
      <c r="E185" s="35" t="str">
        <f>INDEX('Growing &amp; falling'!$D$14:$D$39,MATCH($B185,'Growing &amp; falling'!$B$14:$B$39,0))</f>
        <v>Growth</v>
      </c>
      <c r="F185" s="35" t="str">
        <f t="shared" si="8"/>
        <v>$2024 real</v>
      </c>
      <c r="G185" s="40">
        <f>IFERROR(INDEX('LV &amp; HV augex'!$D$10:$P$18,MATCH($C185,'LV &amp; HV augex'!$C$10:$C$18,0),MATCH(G$19,'LV &amp; HV augex'!$D$9:$P$9,0))*INDEX('LV &amp; HV augex'!$D$28:$J$52,MATCH($B185,'LV &amp; HV augex'!$L$28:$L$52,0),MATCH($C185,'LV &amp; HV augex'!$D$27:$J$27,0)),0)*'Financial inputs'!$D$11</f>
        <v>96805.362941705738</v>
      </c>
      <c r="H185" s="40">
        <f>IFERROR(INDEX('LV &amp; HV augex'!$D$10:$P$18,MATCH($C185,'LV &amp; HV augex'!$C$10:$C$18,0),MATCH(H$19,'LV &amp; HV augex'!$D$9:$P$9,0))*INDEX('LV &amp; HV augex'!$D$28:$J$52,MATCH($B185,'LV &amp; HV augex'!$L$28:$L$52,0),MATCH($C185,'LV &amp; HV augex'!$D$27:$J$27,0)),0)*'Financial inputs'!$D$11</f>
        <v>95422.463682832342</v>
      </c>
      <c r="I185" s="40">
        <f>IFERROR(INDEX('LV &amp; HV augex'!$D$10:$P$18,MATCH($C185,'LV &amp; HV augex'!$C$10:$C$18,0),MATCH(I$19,'LV &amp; HV augex'!$D$9:$P$9,0))*INDEX('LV &amp; HV augex'!$D$28:$J$52,MATCH($B185,'LV &amp; HV augex'!$L$28:$L$52,0),MATCH($C185,'LV &amp; HV augex'!$D$27:$J$27,0)),0)*'Financial inputs'!$D$11</f>
        <v>96459.6471375119</v>
      </c>
      <c r="J185" s="40">
        <f>IFERROR(INDEX('LV &amp; HV augex'!$D$10:$P$18,MATCH($C185,'LV &amp; HV augex'!$C$10:$C$18,0),MATCH(J$19,'LV &amp; HV augex'!$D$9:$P$9,0))*INDEX('LV &amp; HV augex'!$D$28:$J$52,MATCH($B185,'LV &amp; HV augex'!$L$28:$L$52,0),MATCH($C185,'LV &amp; HV augex'!$D$27:$J$27,0)),0)*'Financial inputs'!$D$11</f>
        <v>96459.6471375119</v>
      </c>
      <c r="K185" s="40">
        <f>IFERROR(INDEX('LV &amp; HV augex'!$D$10:$P$18,MATCH($C185,'LV &amp; HV augex'!$C$10:$C$18,0),MATCH(K$19,'LV &amp; HV augex'!$D$9:$P$9,0))*INDEX('LV &amp; HV augex'!$D$28:$J$52,MATCH($B185,'LV &amp; HV augex'!$L$28:$L$52,0),MATCH($C185,'LV &amp; HV augex'!$D$27:$J$27,0)),0)*'Financial inputs'!$D$11</f>
        <v>96459.6471375119</v>
      </c>
      <c r="L185" s="40">
        <f>IFERROR(INDEX('LV &amp; HV augex'!$D$10:$P$18,MATCH($C185,'LV &amp; HV augex'!$C$10:$C$18,0),MATCH(L$19,'LV &amp; HV augex'!$D$9:$P$9,0))*INDEX('LV &amp; HV augex'!$D$28:$J$52,MATCH($B185,'LV &amp; HV augex'!$L$28:$L$52,0),MATCH($C185,'LV &amp; HV augex'!$D$27:$J$27,0)),0)*'Financial inputs'!$D$11</f>
        <v>96459.6471375119</v>
      </c>
      <c r="M185" s="40">
        <f>IFERROR(INDEX('LV &amp; HV augex'!$D$10:$P$18,MATCH($C185,'LV &amp; HV augex'!$C$10:$C$18,0),MATCH(M$19,'LV &amp; HV augex'!$D$9:$P$9,0))*INDEX('LV &amp; HV augex'!$D$28:$J$52,MATCH($B185,'LV &amp; HV augex'!$L$28:$L$52,0),MATCH($C185,'LV &amp; HV augex'!$D$27:$J$27,0)),0)*'Financial inputs'!$D$11</f>
        <v>96459.6471375119</v>
      </c>
      <c r="N185" s="40">
        <f>IFERROR(INDEX('LV &amp; HV augex'!$D$10:$P$18,MATCH($C185,'LV &amp; HV augex'!$C$10:$C$18,0),MATCH(N$19,'LV &amp; HV augex'!$D$9:$P$9,0))*INDEX('LV &amp; HV augex'!$D$28:$J$52,MATCH($B185,'LV &amp; HV augex'!$L$28:$L$52,0),MATCH($C185,'LV &amp; HV augex'!$D$27:$J$27,0)),0)*'Financial inputs'!$D$11</f>
        <v>96459.6471375119</v>
      </c>
      <c r="O185" s="40">
        <f>IFERROR(INDEX('LV &amp; HV augex'!$D$10:$P$18,MATCH($C185,'LV &amp; HV augex'!$C$10:$C$18,0),MATCH(O$19,'LV &amp; HV augex'!$D$9:$P$9,0))*INDEX('LV &amp; HV augex'!$D$28:$J$52,MATCH($B185,'LV &amp; HV augex'!$L$28:$L$52,0),MATCH($C185,'LV &amp; HV augex'!$D$27:$J$27,0)),0)*'Financial inputs'!$D$11</f>
        <v>96459.6471375119</v>
      </c>
      <c r="P185" s="40">
        <f>IFERROR(INDEX('LV &amp; HV augex'!$D$10:$P$18,MATCH($C185,'LV &amp; HV augex'!$C$10:$C$18,0),MATCH(P$19,'LV &amp; HV augex'!$D$9:$P$9,0))*INDEX('LV &amp; HV augex'!$D$28:$J$52,MATCH($B185,'LV &amp; HV augex'!$L$28:$L$52,0),MATCH($C185,'LV &amp; HV augex'!$D$27:$J$27,0)),0)*'Financial inputs'!$D$11</f>
        <v>96459.6471375119</v>
      </c>
    </row>
    <row r="186" spans="2:16" ht="15.5">
      <c r="B186" s="2" t="str">
        <f t="shared" si="9"/>
        <v>Newcastle Inner City</v>
      </c>
      <c r="C186" s="35" t="str" cm="1">
        <f t="array" ref="C186">INDEX(augex_categories,COUNTIFS($B$20:$B186,$B$20))</f>
        <v>HV Reinforcement UG (New)</v>
      </c>
      <c r="D186" s="35" t="str">
        <f>IF(COUNTIF('LV &amp; HV augex'!$C$10:$C$13,C186), "LV", IF(COUNTIF('LV &amp; HV augex'!$C$15:$C$17, C186), "HV", "Error"))</f>
        <v>HV</v>
      </c>
      <c r="E186" s="35" t="str">
        <f>INDEX('Growing &amp; falling'!$D$14:$D$39,MATCH($B186,'Growing &amp; falling'!$B$14:$B$39,0))</f>
        <v>Decline</v>
      </c>
      <c r="F186" s="35" t="str">
        <f t="shared" si="8"/>
        <v>$2024 real</v>
      </c>
      <c r="G186" s="40">
        <f>IFERROR(INDEX('LV &amp; HV augex'!$D$10:$P$18,MATCH($C186,'LV &amp; HV augex'!$C$10:$C$18,0),MATCH(G$19,'LV &amp; HV augex'!$D$9:$P$9,0))*INDEX('LV &amp; HV augex'!$D$28:$J$52,MATCH($B186,'LV &amp; HV augex'!$L$28:$L$52,0),MATCH($C186,'LV &amp; HV augex'!$D$27:$J$27,0)),0)*'Financial inputs'!$D$11</f>
        <v>164629.21818862986</v>
      </c>
      <c r="H186" s="40">
        <f>IFERROR(INDEX('LV &amp; HV augex'!$D$10:$P$18,MATCH($C186,'LV &amp; HV augex'!$C$10:$C$18,0),MATCH(H$19,'LV &amp; HV augex'!$D$9:$P$9,0))*INDEX('LV &amp; HV augex'!$D$28:$J$52,MATCH($B186,'LV &amp; HV augex'!$L$28:$L$52,0),MATCH($C186,'LV &amp; HV augex'!$D$27:$J$27,0)),0)*'Financial inputs'!$D$11</f>
        <v>162277.43088156651</v>
      </c>
      <c r="I186" s="40">
        <f>IFERROR(INDEX('LV &amp; HV augex'!$D$10:$P$18,MATCH($C186,'LV &amp; HV augex'!$C$10:$C$18,0),MATCH(I$19,'LV &amp; HV augex'!$D$9:$P$9,0))*INDEX('LV &amp; HV augex'!$D$28:$J$52,MATCH($B186,'LV &amp; HV augex'!$L$28:$L$52,0),MATCH($C186,'LV &amp; HV augex'!$D$27:$J$27,0)),0)*'Financial inputs'!$D$11</f>
        <v>164041.28668534983</v>
      </c>
      <c r="J186" s="40">
        <f>IFERROR(INDEX('LV &amp; HV augex'!$D$10:$P$18,MATCH($C186,'LV &amp; HV augex'!$C$10:$C$18,0),MATCH(J$19,'LV &amp; HV augex'!$D$9:$P$9,0))*INDEX('LV &amp; HV augex'!$D$28:$J$52,MATCH($B186,'LV &amp; HV augex'!$L$28:$L$52,0),MATCH($C186,'LV &amp; HV augex'!$D$27:$J$27,0)),0)*'Financial inputs'!$D$11</f>
        <v>164041.28668534983</v>
      </c>
      <c r="K186" s="40">
        <f>IFERROR(INDEX('LV &amp; HV augex'!$D$10:$P$18,MATCH($C186,'LV &amp; HV augex'!$C$10:$C$18,0),MATCH(K$19,'LV &amp; HV augex'!$D$9:$P$9,0))*INDEX('LV &amp; HV augex'!$D$28:$J$52,MATCH($B186,'LV &amp; HV augex'!$L$28:$L$52,0),MATCH($C186,'LV &amp; HV augex'!$D$27:$J$27,0)),0)*'Financial inputs'!$D$11</f>
        <v>164041.28668534983</v>
      </c>
      <c r="L186" s="40">
        <f>IFERROR(INDEX('LV &amp; HV augex'!$D$10:$P$18,MATCH($C186,'LV &amp; HV augex'!$C$10:$C$18,0),MATCH(L$19,'LV &amp; HV augex'!$D$9:$P$9,0))*INDEX('LV &amp; HV augex'!$D$28:$J$52,MATCH($B186,'LV &amp; HV augex'!$L$28:$L$52,0),MATCH($C186,'LV &amp; HV augex'!$D$27:$J$27,0)),0)*'Financial inputs'!$D$11</f>
        <v>164041.28668534983</v>
      </c>
      <c r="M186" s="40">
        <f>IFERROR(INDEX('LV &amp; HV augex'!$D$10:$P$18,MATCH($C186,'LV &amp; HV augex'!$C$10:$C$18,0),MATCH(M$19,'LV &amp; HV augex'!$D$9:$P$9,0))*INDEX('LV &amp; HV augex'!$D$28:$J$52,MATCH($B186,'LV &amp; HV augex'!$L$28:$L$52,0),MATCH($C186,'LV &amp; HV augex'!$D$27:$J$27,0)),0)*'Financial inputs'!$D$11</f>
        <v>164041.28668534983</v>
      </c>
      <c r="N186" s="40">
        <f>IFERROR(INDEX('LV &amp; HV augex'!$D$10:$P$18,MATCH($C186,'LV &amp; HV augex'!$C$10:$C$18,0),MATCH(N$19,'LV &amp; HV augex'!$D$9:$P$9,0))*INDEX('LV &amp; HV augex'!$D$28:$J$52,MATCH($B186,'LV &amp; HV augex'!$L$28:$L$52,0),MATCH($C186,'LV &amp; HV augex'!$D$27:$J$27,0)),0)*'Financial inputs'!$D$11</f>
        <v>164041.28668534983</v>
      </c>
      <c r="O186" s="40">
        <f>IFERROR(INDEX('LV &amp; HV augex'!$D$10:$P$18,MATCH($C186,'LV &amp; HV augex'!$C$10:$C$18,0),MATCH(O$19,'LV &amp; HV augex'!$D$9:$P$9,0))*INDEX('LV &amp; HV augex'!$D$28:$J$52,MATCH($B186,'LV &amp; HV augex'!$L$28:$L$52,0),MATCH($C186,'LV &amp; HV augex'!$D$27:$J$27,0)),0)*'Financial inputs'!$D$11</f>
        <v>164041.28668534983</v>
      </c>
      <c r="P186" s="40">
        <f>IFERROR(INDEX('LV &amp; HV augex'!$D$10:$P$18,MATCH($C186,'LV &amp; HV augex'!$C$10:$C$18,0),MATCH(P$19,'LV &amp; HV augex'!$D$9:$P$9,0))*INDEX('LV &amp; HV augex'!$D$28:$J$52,MATCH($B186,'LV &amp; HV augex'!$L$28:$L$52,0),MATCH($C186,'LV &amp; HV augex'!$D$27:$J$27,0)),0)*'Financial inputs'!$D$11</f>
        <v>164041.28668534983</v>
      </c>
    </row>
    <row r="187" spans="2:16" ht="15.5">
      <c r="B187" s="2" t="str">
        <f t="shared" si="9"/>
        <v>Newcastle Port</v>
      </c>
      <c r="C187" s="35" t="str" cm="1">
        <f t="array" ref="C187">INDEX(augex_categories,COUNTIFS($B$20:$B187,$B$20))</f>
        <v>HV Reinforcement UG (New)</v>
      </c>
      <c r="D187" s="35" t="str">
        <f>IF(COUNTIF('LV &amp; HV augex'!$C$10:$C$13,C187), "LV", IF(COUNTIF('LV &amp; HV augex'!$C$15:$C$17, C187), "HV", "Error"))</f>
        <v>HV</v>
      </c>
      <c r="E187" s="35" t="str">
        <f>INDEX('Growing &amp; falling'!$D$14:$D$39,MATCH($B187,'Growing &amp; falling'!$B$14:$B$39,0))</f>
        <v>Growth</v>
      </c>
      <c r="F187" s="35" t="str">
        <f t="shared" si="8"/>
        <v>$2024 real</v>
      </c>
      <c r="G187" s="40">
        <f>IFERROR(INDEX('LV &amp; HV augex'!$D$10:$P$18,MATCH($C187,'LV &amp; HV augex'!$C$10:$C$18,0),MATCH(G$19,'LV &amp; HV augex'!$D$9:$P$9,0))*INDEX('LV &amp; HV augex'!$D$28:$J$52,MATCH($B187,'LV &amp; HV augex'!$L$28:$L$52,0),MATCH($C187,'LV &amp; HV augex'!$D$27:$J$27,0)),0)*'Financial inputs'!$D$11</f>
        <v>0</v>
      </c>
      <c r="H187" s="40">
        <f>IFERROR(INDEX('LV &amp; HV augex'!$D$10:$P$18,MATCH($C187,'LV &amp; HV augex'!$C$10:$C$18,0),MATCH(H$19,'LV &amp; HV augex'!$D$9:$P$9,0))*INDEX('LV &amp; HV augex'!$D$28:$J$52,MATCH($B187,'LV &amp; HV augex'!$L$28:$L$52,0),MATCH($C187,'LV &amp; HV augex'!$D$27:$J$27,0)),0)*'Financial inputs'!$D$11</f>
        <v>0</v>
      </c>
      <c r="I187" s="40">
        <f>IFERROR(INDEX('LV &amp; HV augex'!$D$10:$P$18,MATCH($C187,'LV &amp; HV augex'!$C$10:$C$18,0),MATCH(I$19,'LV &amp; HV augex'!$D$9:$P$9,0))*INDEX('LV &amp; HV augex'!$D$28:$J$52,MATCH($B187,'LV &amp; HV augex'!$L$28:$L$52,0),MATCH($C187,'LV &amp; HV augex'!$D$27:$J$27,0)),0)*'Financial inputs'!$D$11</f>
        <v>0</v>
      </c>
      <c r="J187" s="40">
        <f>IFERROR(INDEX('LV &amp; HV augex'!$D$10:$P$18,MATCH($C187,'LV &amp; HV augex'!$C$10:$C$18,0),MATCH(J$19,'LV &amp; HV augex'!$D$9:$P$9,0))*INDEX('LV &amp; HV augex'!$D$28:$J$52,MATCH($B187,'LV &amp; HV augex'!$L$28:$L$52,0),MATCH($C187,'LV &amp; HV augex'!$D$27:$J$27,0)),0)*'Financial inputs'!$D$11</f>
        <v>0</v>
      </c>
      <c r="K187" s="40">
        <f>IFERROR(INDEX('LV &amp; HV augex'!$D$10:$P$18,MATCH($C187,'LV &amp; HV augex'!$C$10:$C$18,0),MATCH(K$19,'LV &amp; HV augex'!$D$9:$P$9,0))*INDEX('LV &amp; HV augex'!$D$28:$J$52,MATCH($B187,'LV &amp; HV augex'!$L$28:$L$52,0),MATCH($C187,'LV &amp; HV augex'!$D$27:$J$27,0)),0)*'Financial inputs'!$D$11</f>
        <v>0</v>
      </c>
      <c r="L187" s="40">
        <f>IFERROR(INDEX('LV &amp; HV augex'!$D$10:$P$18,MATCH($C187,'LV &amp; HV augex'!$C$10:$C$18,0),MATCH(L$19,'LV &amp; HV augex'!$D$9:$P$9,0))*INDEX('LV &amp; HV augex'!$D$28:$J$52,MATCH($B187,'LV &amp; HV augex'!$L$28:$L$52,0),MATCH($C187,'LV &amp; HV augex'!$D$27:$J$27,0)),0)*'Financial inputs'!$D$11</f>
        <v>0</v>
      </c>
      <c r="M187" s="40">
        <f>IFERROR(INDEX('LV &amp; HV augex'!$D$10:$P$18,MATCH($C187,'LV &amp; HV augex'!$C$10:$C$18,0),MATCH(M$19,'LV &amp; HV augex'!$D$9:$P$9,0))*INDEX('LV &amp; HV augex'!$D$28:$J$52,MATCH($B187,'LV &amp; HV augex'!$L$28:$L$52,0),MATCH($C187,'LV &amp; HV augex'!$D$27:$J$27,0)),0)*'Financial inputs'!$D$11</f>
        <v>0</v>
      </c>
      <c r="N187" s="40">
        <f>IFERROR(INDEX('LV &amp; HV augex'!$D$10:$P$18,MATCH($C187,'LV &amp; HV augex'!$C$10:$C$18,0),MATCH(N$19,'LV &amp; HV augex'!$D$9:$P$9,0))*INDEX('LV &amp; HV augex'!$D$28:$J$52,MATCH($B187,'LV &amp; HV augex'!$L$28:$L$52,0),MATCH($C187,'LV &amp; HV augex'!$D$27:$J$27,0)),0)*'Financial inputs'!$D$11</f>
        <v>0</v>
      </c>
      <c r="O187" s="40">
        <f>IFERROR(INDEX('LV &amp; HV augex'!$D$10:$P$18,MATCH($C187,'LV &amp; HV augex'!$C$10:$C$18,0),MATCH(O$19,'LV &amp; HV augex'!$D$9:$P$9,0))*INDEX('LV &amp; HV augex'!$D$28:$J$52,MATCH($B187,'LV &amp; HV augex'!$L$28:$L$52,0),MATCH($C187,'LV &amp; HV augex'!$D$27:$J$27,0)),0)*'Financial inputs'!$D$11</f>
        <v>0</v>
      </c>
      <c r="P187" s="40">
        <f>IFERROR(INDEX('LV &amp; HV augex'!$D$10:$P$18,MATCH($C187,'LV &amp; HV augex'!$C$10:$C$18,0),MATCH(P$19,'LV &amp; HV augex'!$D$9:$P$9,0))*INDEX('LV &amp; HV augex'!$D$28:$J$52,MATCH($B187,'LV &amp; HV augex'!$L$28:$L$52,0),MATCH($C187,'LV &amp; HV augex'!$D$27:$J$27,0)),0)*'Financial inputs'!$D$11</f>
        <v>0</v>
      </c>
    </row>
    <row r="188" spans="2:16" ht="15.5">
      <c r="B188" s="2" t="str">
        <f t="shared" si="9"/>
        <v>Newcastle Western Corridor</v>
      </c>
      <c r="C188" s="35" t="str" cm="1">
        <f t="array" ref="C188">INDEX(augex_categories,COUNTIFS($B$20:$B188,$B$20))</f>
        <v>HV Reinforcement UG (New)</v>
      </c>
      <c r="D188" s="35" t="str">
        <f>IF(COUNTIF('LV &amp; HV augex'!$C$10:$C$13,C188), "LV", IF(COUNTIF('LV &amp; HV augex'!$C$15:$C$17, C188), "HV", "Error"))</f>
        <v>HV</v>
      </c>
      <c r="E188" s="35" t="str">
        <f>INDEX('Growing &amp; falling'!$D$14:$D$39,MATCH($B188,'Growing &amp; falling'!$B$14:$B$39,0))</f>
        <v>Decline</v>
      </c>
      <c r="F188" s="35" t="str">
        <f t="shared" si="8"/>
        <v>$2024 real</v>
      </c>
      <c r="G188" s="40">
        <f>IFERROR(INDEX('LV &amp; HV augex'!$D$10:$P$18,MATCH($C188,'LV &amp; HV augex'!$C$10:$C$18,0),MATCH(G$19,'LV &amp; HV augex'!$D$9:$P$9,0))*INDEX('LV &amp; HV augex'!$D$28:$J$52,MATCH($B188,'LV &amp; HV augex'!$L$28:$L$52,0),MATCH($C188,'LV &amp; HV augex'!$D$27:$J$27,0)),0)*'Financial inputs'!$D$11</f>
        <v>265060.76113130205</v>
      </c>
      <c r="H188" s="40">
        <f>IFERROR(INDEX('LV &amp; HV augex'!$D$10:$P$18,MATCH($C188,'LV &amp; HV augex'!$C$10:$C$18,0),MATCH(H$19,'LV &amp; HV augex'!$D$9:$P$9,0))*INDEX('LV &amp; HV augex'!$D$28:$J$52,MATCH($B188,'LV &amp; HV augex'!$L$28:$L$52,0),MATCH($C188,'LV &amp; HV augex'!$D$27:$J$27,0)),0)*'Financial inputs'!$D$11</f>
        <v>261274.27328614384</v>
      </c>
      <c r="I188" s="40">
        <f>IFERROR(INDEX('LV &amp; HV augex'!$D$10:$P$18,MATCH($C188,'LV &amp; HV augex'!$C$10:$C$18,0),MATCH(I$19,'LV &amp; HV augex'!$D$9:$P$9,0))*INDEX('LV &amp; HV augex'!$D$28:$J$52,MATCH($B188,'LV &amp; HV augex'!$L$28:$L$52,0),MATCH($C188,'LV &amp; HV augex'!$D$27:$J$27,0)),0)*'Financial inputs'!$D$11</f>
        <v>264114.1638415432</v>
      </c>
      <c r="J188" s="40">
        <f>IFERROR(INDEX('LV &amp; HV augex'!$D$10:$P$18,MATCH($C188,'LV &amp; HV augex'!$C$10:$C$18,0),MATCH(J$19,'LV &amp; HV augex'!$D$9:$P$9,0))*INDEX('LV &amp; HV augex'!$D$28:$J$52,MATCH($B188,'LV &amp; HV augex'!$L$28:$L$52,0),MATCH($C188,'LV &amp; HV augex'!$D$27:$J$27,0)),0)*'Financial inputs'!$D$11</f>
        <v>264114.1638415432</v>
      </c>
      <c r="K188" s="40">
        <f>IFERROR(INDEX('LV &amp; HV augex'!$D$10:$P$18,MATCH($C188,'LV &amp; HV augex'!$C$10:$C$18,0),MATCH(K$19,'LV &amp; HV augex'!$D$9:$P$9,0))*INDEX('LV &amp; HV augex'!$D$28:$J$52,MATCH($B188,'LV &amp; HV augex'!$L$28:$L$52,0),MATCH($C188,'LV &amp; HV augex'!$D$27:$J$27,0)),0)*'Financial inputs'!$D$11</f>
        <v>264114.1638415432</v>
      </c>
      <c r="L188" s="40">
        <f>IFERROR(INDEX('LV &amp; HV augex'!$D$10:$P$18,MATCH($C188,'LV &amp; HV augex'!$C$10:$C$18,0),MATCH(L$19,'LV &amp; HV augex'!$D$9:$P$9,0))*INDEX('LV &amp; HV augex'!$D$28:$J$52,MATCH($B188,'LV &amp; HV augex'!$L$28:$L$52,0),MATCH($C188,'LV &amp; HV augex'!$D$27:$J$27,0)),0)*'Financial inputs'!$D$11</f>
        <v>264114.1638415432</v>
      </c>
      <c r="M188" s="40">
        <f>IFERROR(INDEX('LV &amp; HV augex'!$D$10:$P$18,MATCH($C188,'LV &amp; HV augex'!$C$10:$C$18,0),MATCH(M$19,'LV &amp; HV augex'!$D$9:$P$9,0))*INDEX('LV &amp; HV augex'!$D$28:$J$52,MATCH($B188,'LV &amp; HV augex'!$L$28:$L$52,0),MATCH($C188,'LV &amp; HV augex'!$D$27:$J$27,0)),0)*'Financial inputs'!$D$11</f>
        <v>264114.1638415432</v>
      </c>
      <c r="N188" s="40">
        <f>IFERROR(INDEX('LV &amp; HV augex'!$D$10:$P$18,MATCH($C188,'LV &amp; HV augex'!$C$10:$C$18,0),MATCH(N$19,'LV &amp; HV augex'!$D$9:$P$9,0))*INDEX('LV &amp; HV augex'!$D$28:$J$52,MATCH($B188,'LV &amp; HV augex'!$L$28:$L$52,0),MATCH($C188,'LV &amp; HV augex'!$D$27:$J$27,0)),0)*'Financial inputs'!$D$11</f>
        <v>264114.1638415432</v>
      </c>
      <c r="O188" s="40">
        <f>IFERROR(INDEX('LV &amp; HV augex'!$D$10:$P$18,MATCH($C188,'LV &amp; HV augex'!$C$10:$C$18,0),MATCH(O$19,'LV &amp; HV augex'!$D$9:$P$9,0))*INDEX('LV &amp; HV augex'!$D$28:$J$52,MATCH($B188,'LV &amp; HV augex'!$L$28:$L$52,0),MATCH($C188,'LV &amp; HV augex'!$D$27:$J$27,0)),0)*'Financial inputs'!$D$11</f>
        <v>264114.1638415432</v>
      </c>
      <c r="P188" s="40">
        <f>IFERROR(INDEX('LV &amp; HV augex'!$D$10:$P$18,MATCH($C188,'LV &amp; HV augex'!$C$10:$C$18,0),MATCH(P$19,'LV &amp; HV augex'!$D$9:$P$9,0))*INDEX('LV &amp; HV augex'!$D$28:$J$52,MATCH($B188,'LV &amp; HV augex'!$L$28:$L$52,0),MATCH($C188,'LV &amp; HV augex'!$D$27:$J$27,0)),0)*'Financial inputs'!$D$11</f>
        <v>264114.1638415432</v>
      </c>
    </row>
    <row r="189" spans="2:16" ht="15.5">
      <c r="B189" s="2" t="str">
        <f t="shared" si="9"/>
        <v>North East Lake Macquarie</v>
      </c>
      <c r="C189" s="35" t="str" cm="1">
        <f t="array" ref="C189">INDEX(augex_categories,COUNTIFS($B$20:$B189,$B$20))</f>
        <v>HV Reinforcement UG (New)</v>
      </c>
      <c r="D189" s="35" t="str">
        <f>IF(COUNTIF('LV &amp; HV augex'!$C$10:$C$13,C189), "LV", IF(COUNTIF('LV &amp; HV augex'!$C$15:$C$17, C189), "HV", "Error"))</f>
        <v>HV</v>
      </c>
      <c r="E189" s="35" t="str">
        <f>INDEX('Growing &amp; falling'!$D$14:$D$39,MATCH($B189,'Growing &amp; falling'!$B$14:$B$39,0))</f>
        <v>Decline</v>
      </c>
      <c r="F189" s="35" t="str">
        <f t="shared" si="8"/>
        <v>$2024 real</v>
      </c>
      <c r="G189" s="40">
        <f>IFERROR(INDEX('LV &amp; HV augex'!$D$10:$P$18,MATCH($C189,'LV &amp; HV augex'!$C$10:$C$18,0),MATCH(G$19,'LV &amp; HV augex'!$D$9:$P$9,0))*INDEX('LV &amp; HV augex'!$D$28:$J$52,MATCH($B189,'LV &amp; HV augex'!$L$28:$L$52,0),MATCH($C189,'LV &amp; HV augex'!$D$27:$J$27,0)),0)*'Financial inputs'!$D$11</f>
        <v>65177.281339280926</v>
      </c>
      <c r="H189" s="40">
        <f>IFERROR(INDEX('LV &amp; HV augex'!$D$10:$P$18,MATCH($C189,'LV &amp; HV augex'!$C$10:$C$18,0),MATCH(H$19,'LV &amp; HV augex'!$D$9:$P$9,0))*INDEX('LV &amp; HV augex'!$D$28:$J$52,MATCH($B189,'LV &amp; HV augex'!$L$28:$L$52,0),MATCH($C189,'LV &amp; HV augex'!$D$27:$J$27,0)),0)*'Financial inputs'!$D$11</f>
        <v>64246.200546641863</v>
      </c>
      <c r="I189" s="40">
        <f>IFERROR(INDEX('LV &amp; HV augex'!$D$10:$P$18,MATCH($C189,'LV &amp; HV augex'!$C$10:$C$18,0),MATCH(I$19,'LV &amp; HV augex'!$D$9:$P$9,0))*INDEX('LV &amp; HV augex'!$D$28:$J$52,MATCH($B189,'LV &amp; HV augex'!$L$28:$L$52,0),MATCH($C189,'LV &amp; HV augex'!$D$27:$J$27,0)),0)*'Financial inputs'!$D$11</f>
        <v>64944.517207742603</v>
      </c>
      <c r="J189" s="40">
        <f>IFERROR(INDEX('LV &amp; HV augex'!$D$10:$P$18,MATCH($C189,'LV &amp; HV augex'!$C$10:$C$18,0),MATCH(J$19,'LV &amp; HV augex'!$D$9:$P$9,0))*INDEX('LV &amp; HV augex'!$D$28:$J$52,MATCH($B189,'LV &amp; HV augex'!$L$28:$L$52,0),MATCH($C189,'LV &amp; HV augex'!$D$27:$J$27,0)),0)*'Financial inputs'!$D$11</f>
        <v>64944.517207742603</v>
      </c>
      <c r="K189" s="40">
        <f>IFERROR(INDEX('LV &amp; HV augex'!$D$10:$P$18,MATCH($C189,'LV &amp; HV augex'!$C$10:$C$18,0),MATCH(K$19,'LV &amp; HV augex'!$D$9:$P$9,0))*INDEX('LV &amp; HV augex'!$D$28:$J$52,MATCH($B189,'LV &amp; HV augex'!$L$28:$L$52,0),MATCH($C189,'LV &amp; HV augex'!$D$27:$J$27,0)),0)*'Financial inputs'!$D$11</f>
        <v>64944.517207742603</v>
      </c>
      <c r="L189" s="40">
        <f>IFERROR(INDEX('LV &amp; HV augex'!$D$10:$P$18,MATCH($C189,'LV &amp; HV augex'!$C$10:$C$18,0),MATCH(L$19,'LV &amp; HV augex'!$D$9:$P$9,0))*INDEX('LV &amp; HV augex'!$D$28:$J$52,MATCH($B189,'LV &amp; HV augex'!$L$28:$L$52,0),MATCH($C189,'LV &amp; HV augex'!$D$27:$J$27,0)),0)*'Financial inputs'!$D$11</f>
        <v>64944.517207742603</v>
      </c>
      <c r="M189" s="40">
        <f>IFERROR(INDEX('LV &amp; HV augex'!$D$10:$P$18,MATCH($C189,'LV &amp; HV augex'!$C$10:$C$18,0),MATCH(M$19,'LV &amp; HV augex'!$D$9:$P$9,0))*INDEX('LV &amp; HV augex'!$D$28:$J$52,MATCH($B189,'LV &amp; HV augex'!$L$28:$L$52,0),MATCH($C189,'LV &amp; HV augex'!$D$27:$J$27,0)),0)*'Financial inputs'!$D$11</f>
        <v>64944.517207742603</v>
      </c>
      <c r="N189" s="40">
        <f>IFERROR(INDEX('LV &amp; HV augex'!$D$10:$P$18,MATCH($C189,'LV &amp; HV augex'!$C$10:$C$18,0),MATCH(N$19,'LV &amp; HV augex'!$D$9:$P$9,0))*INDEX('LV &amp; HV augex'!$D$28:$J$52,MATCH($B189,'LV &amp; HV augex'!$L$28:$L$52,0),MATCH($C189,'LV &amp; HV augex'!$D$27:$J$27,0)),0)*'Financial inputs'!$D$11</f>
        <v>64944.517207742603</v>
      </c>
      <c r="O189" s="40">
        <f>IFERROR(INDEX('LV &amp; HV augex'!$D$10:$P$18,MATCH($C189,'LV &amp; HV augex'!$C$10:$C$18,0),MATCH(O$19,'LV &amp; HV augex'!$D$9:$P$9,0))*INDEX('LV &amp; HV augex'!$D$28:$J$52,MATCH($B189,'LV &amp; HV augex'!$L$28:$L$52,0),MATCH($C189,'LV &amp; HV augex'!$D$27:$J$27,0)),0)*'Financial inputs'!$D$11</f>
        <v>64944.517207742603</v>
      </c>
      <c r="P189" s="40">
        <f>IFERROR(INDEX('LV &amp; HV augex'!$D$10:$P$18,MATCH($C189,'LV &amp; HV augex'!$C$10:$C$18,0),MATCH(P$19,'LV &amp; HV augex'!$D$9:$P$9,0))*INDEX('LV &amp; HV augex'!$D$28:$J$52,MATCH($B189,'LV &amp; HV augex'!$L$28:$L$52,0),MATCH($C189,'LV &amp; HV augex'!$D$27:$J$27,0)),0)*'Financial inputs'!$D$11</f>
        <v>64944.517207742603</v>
      </c>
    </row>
    <row r="190" spans="2:16" ht="15.5">
      <c r="B190" s="2" t="str">
        <f t="shared" si="9"/>
        <v>North West</v>
      </c>
      <c r="C190" s="35" t="str" cm="1">
        <f t="array" ref="C190">INDEX(augex_categories,COUNTIFS($B$20:$B190,$B$20))</f>
        <v>HV Reinforcement UG (New)</v>
      </c>
      <c r="D190" s="35" t="str">
        <f>IF(COUNTIF('LV &amp; HV augex'!$C$10:$C$13,C190), "LV", IF(COUNTIF('LV &amp; HV augex'!$C$15:$C$17, C190), "HV", "Error"))</f>
        <v>HV</v>
      </c>
      <c r="E190" s="35" t="str">
        <f>INDEX('Growing &amp; falling'!$D$14:$D$39,MATCH($B190,'Growing &amp; falling'!$B$14:$B$39,0))</f>
        <v>Growth</v>
      </c>
      <c r="F190" s="35" t="str">
        <f t="shared" si="8"/>
        <v>$2024 real</v>
      </c>
      <c r="G190" s="40">
        <f>IFERROR(INDEX('LV &amp; HV augex'!$D$10:$P$18,MATCH($C190,'LV &amp; HV augex'!$C$10:$C$18,0),MATCH(G$19,'LV &amp; HV augex'!$D$9:$P$9,0))*INDEX('LV &amp; HV augex'!$D$28:$J$52,MATCH($B190,'LV &amp; HV augex'!$L$28:$L$52,0),MATCH($C190,'LV &amp; HV augex'!$D$27:$J$27,0)),0)*'Financial inputs'!$D$11</f>
        <v>150429.10426707892</v>
      </c>
      <c r="H190" s="40">
        <f>IFERROR(INDEX('LV &amp; HV augex'!$D$10:$P$18,MATCH($C190,'LV &amp; HV augex'!$C$10:$C$18,0),MATCH(H$19,'LV &amp; HV augex'!$D$9:$P$9,0))*INDEX('LV &amp; HV augex'!$D$28:$J$52,MATCH($B190,'LV &amp; HV augex'!$L$28:$L$52,0),MATCH($C190,'LV &amp; HV augex'!$D$27:$J$27,0)),0)*'Financial inputs'!$D$11</f>
        <v>148280.17066998882</v>
      </c>
      <c r="I190" s="40">
        <f>IFERROR(INDEX('LV &amp; HV augex'!$D$10:$P$18,MATCH($C190,'LV &amp; HV augex'!$C$10:$C$18,0),MATCH(I$19,'LV &amp; HV augex'!$D$9:$P$9,0))*INDEX('LV &amp; HV augex'!$D$28:$J$52,MATCH($B190,'LV &amp; HV augex'!$L$28:$L$52,0),MATCH($C190,'LV &amp; HV augex'!$D$27:$J$27,0)),0)*'Financial inputs'!$D$11</f>
        <v>149891.88486956301</v>
      </c>
      <c r="J190" s="40">
        <f>IFERROR(INDEX('LV &amp; HV augex'!$D$10:$P$18,MATCH($C190,'LV &amp; HV augex'!$C$10:$C$18,0),MATCH(J$19,'LV &amp; HV augex'!$D$9:$P$9,0))*INDEX('LV &amp; HV augex'!$D$28:$J$52,MATCH($B190,'LV &amp; HV augex'!$L$28:$L$52,0),MATCH($C190,'LV &amp; HV augex'!$D$27:$J$27,0)),0)*'Financial inputs'!$D$11</f>
        <v>149891.88486956301</v>
      </c>
      <c r="K190" s="40">
        <f>IFERROR(INDEX('LV &amp; HV augex'!$D$10:$P$18,MATCH($C190,'LV &amp; HV augex'!$C$10:$C$18,0),MATCH(K$19,'LV &amp; HV augex'!$D$9:$P$9,0))*INDEX('LV &amp; HV augex'!$D$28:$J$52,MATCH($B190,'LV &amp; HV augex'!$L$28:$L$52,0),MATCH($C190,'LV &amp; HV augex'!$D$27:$J$27,0)),0)*'Financial inputs'!$D$11</f>
        <v>149891.88486956301</v>
      </c>
      <c r="L190" s="40">
        <f>IFERROR(INDEX('LV &amp; HV augex'!$D$10:$P$18,MATCH($C190,'LV &amp; HV augex'!$C$10:$C$18,0),MATCH(L$19,'LV &amp; HV augex'!$D$9:$P$9,0))*INDEX('LV &amp; HV augex'!$D$28:$J$52,MATCH($B190,'LV &amp; HV augex'!$L$28:$L$52,0),MATCH($C190,'LV &amp; HV augex'!$D$27:$J$27,0)),0)*'Financial inputs'!$D$11</f>
        <v>149891.88486956301</v>
      </c>
      <c r="M190" s="40">
        <f>IFERROR(INDEX('LV &amp; HV augex'!$D$10:$P$18,MATCH($C190,'LV &amp; HV augex'!$C$10:$C$18,0),MATCH(M$19,'LV &amp; HV augex'!$D$9:$P$9,0))*INDEX('LV &amp; HV augex'!$D$28:$J$52,MATCH($B190,'LV &amp; HV augex'!$L$28:$L$52,0),MATCH($C190,'LV &amp; HV augex'!$D$27:$J$27,0)),0)*'Financial inputs'!$D$11</f>
        <v>149891.88486956301</v>
      </c>
      <c r="N190" s="40">
        <f>IFERROR(INDEX('LV &amp; HV augex'!$D$10:$P$18,MATCH($C190,'LV &amp; HV augex'!$C$10:$C$18,0),MATCH(N$19,'LV &amp; HV augex'!$D$9:$P$9,0))*INDEX('LV &amp; HV augex'!$D$28:$J$52,MATCH($B190,'LV &amp; HV augex'!$L$28:$L$52,0),MATCH($C190,'LV &amp; HV augex'!$D$27:$J$27,0)),0)*'Financial inputs'!$D$11</f>
        <v>149891.88486956301</v>
      </c>
      <c r="O190" s="40">
        <f>IFERROR(INDEX('LV &amp; HV augex'!$D$10:$P$18,MATCH($C190,'LV &amp; HV augex'!$C$10:$C$18,0),MATCH(O$19,'LV &amp; HV augex'!$D$9:$P$9,0))*INDEX('LV &amp; HV augex'!$D$28:$J$52,MATCH($B190,'LV &amp; HV augex'!$L$28:$L$52,0),MATCH($C190,'LV &amp; HV augex'!$D$27:$J$27,0)),0)*'Financial inputs'!$D$11</f>
        <v>149891.88486956301</v>
      </c>
      <c r="P190" s="40">
        <f>IFERROR(INDEX('LV &amp; HV augex'!$D$10:$P$18,MATCH($C190,'LV &amp; HV augex'!$C$10:$C$18,0),MATCH(P$19,'LV &amp; HV augex'!$D$9:$P$9,0))*INDEX('LV &amp; HV augex'!$D$28:$J$52,MATCH($B190,'LV &amp; HV augex'!$L$28:$L$52,0),MATCH($C190,'LV &amp; HV augex'!$D$27:$J$27,0)),0)*'Financial inputs'!$D$11</f>
        <v>149891.88486956301</v>
      </c>
    </row>
    <row r="191" spans="2:16" ht="15.5">
      <c r="B191" s="2" t="str">
        <f t="shared" si="9"/>
        <v>Pittwater &amp; Terrey Hills</v>
      </c>
      <c r="C191" s="35" t="str" cm="1">
        <f t="array" ref="C191">INDEX(augex_categories,COUNTIFS($B$20:$B191,$B$20))</f>
        <v>HV Reinforcement UG (New)</v>
      </c>
      <c r="D191" s="35" t="str">
        <f>IF(COUNTIF('LV &amp; HV augex'!$C$10:$C$13,C191), "LV", IF(COUNTIF('LV &amp; HV augex'!$C$15:$C$17, C191), "HV", "Error"))</f>
        <v>HV</v>
      </c>
      <c r="E191" s="35" t="str">
        <f>INDEX('Growing &amp; falling'!$D$14:$D$39,MATCH($B191,'Growing &amp; falling'!$B$14:$B$39,0))</f>
        <v>Decline</v>
      </c>
      <c r="F191" s="35" t="str">
        <f t="shared" si="8"/>
        <v>$2024 real</v>
      </c>
      <c r="G191" s="40">
        <f>IFERROR(INDEX('LV &amp; HV augex'!$D$10:$P$18,MATCH($C191,'LV &amp; HV augex'!$C$10:$C$18,0),MATCH(G$19,'LV &amp; HV augex'!$D$9:$P$9,0))*INDEX('LV &amp; HV augex'!$D$28:$J$52,MATCH($B191,'LV &amp; HV augex'!$L$28:$L$52,0),MATCH($C191,'LV &amp; HV augex'!$D$27:$J$27,0)),0)*'Financial inputs'!$D$11</f>
        <v>479618.50668082217</v>
      </c>
      <c r="H191" s="40">
        <f>IFERROR(INDEX('LV &amp; HV augex'!$D$10:$P$18,MATCH($C191,'LV &amp; HV augex'!$C$10:$C$18,0),MATCH(H$19,'LV &amp; HV augex'!$D$9:$P$9,0))*INDEX('LV &amp; HV augex'!$D$28:$J$52,MATCH($B191,'LV &amp; HV augex'!$L$28:$L$52,0),MATCH($C191,'LV &amp; HV augex'!$D$27:$J$27,0)),0)*'Financial inputs'!$D$11</f>
        <v>472766.98464448337</v>
      </c>
      <c r="I191" s="40">
        <f>IFERROR(INDEX('LV &amp; HV augex'!$D$10:$P$18,MATCH($C191,'LV &amp; HV augex'!$C$10:$C$18,0),MATCH(I$19,'LV &amp; HV augex'!$D$9:$P$9,0))*INDEX('LV &amp; HV augex'!$D$28:$J$52,MATCH($B191,'LV &amp; HV augex'!$L$28:$L$52,0),MATCH($C191,'LV &amp; HV augex'!$D$27:$J$27,0)),0)*'Financial inputs'!$D$11</f>
        <v>477905.67081404006</v>
      </c>
      <c r="J191" s="40">
        <f>IFERROR(INDEX('LV &amp; HV augex'!$D$10:$P$18,MATCH($C191,'LV &amp; HV augex'!$C$10:$C$18,0),MATCH(J$19,'LV &amp; HV augex'!$D$9:$P$9,0))*INDEX('LV &amp; HV augex'!$D$28:$J$52,MATCH($B191,'LV &amp; HV augex'!$L$28:$L$52,0),MATCH($C191,'LV &amp; HV augex'!$D$27:$J$27,0)),0)*'Financial inputs'!$D$11</f>
        <v>477905.67081404006</v>
      </c>
      <c r="K191" s="40">
        <f>IFERROR(INDEX('LV &amp; HV augex'!$D$10:$P$18,MATCH($C191,'LV &amp; HV augex'!$C$10:$C$18,0),MATCH(K$19,'LV &amp; HV augex'!$D$9:$P$9,0))*INDEX('LV &amp; HV augex'!$D$28:$J$52,MATCH($B191,'LV &amp; HV augex'!$L$28:$L$52,0),MATCH($C191,'LV &amp; HV augex'!$D$27:$J$27,0)),0)*'Financial inputs'!$D$11</f>
        <v>477905.67081404006</v>
      </c>
      <c r="L191" s="40">
        <f>IFERROR(INDEX('LV &amp; HV augex'!$D$10:$P$18,MATCH($C191,'LV &amp; HV augex'!$C$10:$C$18,0),MATCH(L$19,'LV &amp; HV augex'!$D$9:$P$9,0))*INDEX('LV &amp; HV augex'!$D$28:$J$52,MATCH($B191,'LV &amp; HV augex'!$L$28:$L$52,0),MATCH($C191,'LV &amp; HV augex'!$D$27:$J$27,0)),0)*'Financial inputs'!$D$11</f>
        <v>477905.67081404006</v>
      </c>
      <c r="M191" s="40">
        <f>IFERROR(INDEX('LV &amp; HV augex'!$D$10:$P$18,MATCH($C191,'LV &amp; HV augex'!$C$10:$C$18,0),MATCH(M$19,'LV &amp; HV augex'!$D$9:$P$9,0))*INDEX('LV &amp; HV augex'!$D$28:$J$52,MATCH($B191,'LV &amp; HV augex'!$L$28:$L$52,0),MATCH($C191,'LV &amp; HV augex'!$D$27:$J$27,0)),0)*'Financial inputs'!$D$11</f>
        <v>477905.67081404006</v>
      </c>
      <c r="N191" s="40">
        <f>IFERROR(INDEX('LV &amp; HV augex'!$D$10:$P$18,MATCH($C191,'LV &amp; HV augex'!$C$10:$C$18,0),MATCH(N$19,'LV &amp; HV augex'!$D$9:$P$9,0))*INDEX('LV &amp; HV augex'!$D$28:$J$52,MATCH($B191,'LV &amp; HV augex'!$L$28:$L$52,0),MATCH($C191,'LV &amp; HV augex'!$D$27:$J$27,0)),0)*'Financial inputs'!$D$11</f>
        <v>477905.67081404006</v>
      </c>
      <c r="O191" s="40">
        <f>IFERROR(INDEX('LV &amp; HV augex'!$D$10:$P$18,MATCH($C191,'LV &amp; HV augex'!$C$10:$C$18,0),MATCH(O$19,'LV &amp; HV augex'!$D$9:$P$9,0))*INDEX('LV &amp; HV augex'!$D$28:$J$52,MATCH($B191,'LV &amp; HV augex'!$L$28:$L$52,0),MATCH($C191,'LV &amp; HV augex'!$D$27:$J$27,0)),0)*'Financial inputs'!$D$11</f>
        <v>477905.67081404006</v>
      </c>
      <c r="P191" s="40">
        <f>IFERROR(INDEX('LV &amp; HV augex'!$D$10:$P$18,MATCH($C191,'LV &amp; HV augex'!$C$10:$C$18,0),MATCH(P$19,'LV &amp; HV augex'!$D$9:$P$9,0))*INDEX('LV &amp; HV augex'!$D$28:$J$52,MATCH($B191,'LV &amp; HV augex'!$L$28:$L$52,0),MATCH($C191,'LV &amp; HV augex'!$D$27:$J$27,0)),0)*'Financial inputs'!$D$11</f>
        <v>477905.67081404006</v>
      </c>
    </row>
    <row r="192" spans="2:16" ht="15.5">
      <c r="B192" s="2" t="str">
        <f t="shared" si="9"/>
        <v>Port Stephens</v>
      </c>
      <c r="C192" s="35" t="str" cm="1">
        <f t="array" ref="C192">INDEX(augex_categories,COUNTIFS($B$20:$B192,$B$20))</f>
        <v>HV Reinforcement UG (New)</v>
      </c>
      <c r="D192" s="35" t="str">
        <f>IF(COUNTIF('LV &amp; HV augex'!$C$10:$C$13,C192), "LV", IF(COUNTIF('LV &amp; HV augex'!$C$15:$C$17, C192), "HV", "Error"))</f>
        <v>HV</v>
      </c>
      <c r="E192" s="35" t="str">
        <f>INDEX('Growing &amp; falling'!$D$14:$D$39,MATCH($B192,'Growing &amp; falling'!$B$14:$B$39,0))</f>
        <v>Decline</v>
      </c>
      <c r="F192" s="35" t="str">
        <f t="shared" si="8"/>
        <v>$2024 real</v>
      </c>
      <c r="G192" s="40">
        <f>IFERROR(INDEX('LV &amp; HV augex'!$D$10:$P$18,MATCH($C192,'LV &amp; HV augex'!$C$10:$C$18,0),MATCH(G$19,'LV &amp; HV augex'!$D$9:$P$9,0))*INDEX('LV &amp; HV augex'!$D$28:$J$52,MATCH($B192,'LV &amp; HV augex'!$L$28:$L$52,0),MATCH($C192,'LV &amp; HV augex'!$D$27:$J$27,0)),0)*'Financial inputs'!$D$11</f>
        <v>231639.48813518501</v>
      </c>
      <c r="H192" s="40">
        <f>IFERROR(INDEX('LV &amp; HV augex'!$D$10:$P$18,MATCH($C192,'LV &amp; HV augex'!$C$10:$C$18,0),MATCH(H$19,'LV &amp; HV augex'!$D$9:$P$9,0))*INDEX('LV &amp; HV augex'!$D$28:$J$52,MATCH($B192,'LV &amp; HV augex'!$L$28:$L$52,0),MATCH($C192,'LV &amp; HV augex'!$D$27:$J$27,0)),0)*'Financial inputs'!$D$11</f>
        <v>228330.43513715162</v>
      </c>
      <c r="I192" s="40">
        <f>IFERROR(INDEX('LV &amp; HV augex'!$D$10:$P$18,MATCH($C192,'LV &amp; HV augex'!$C$10:$C$18,0),MATCH(I$19,'LV &amp; HV augex'!$D$9:$P$9,0))*INDEX('LV &amp; HV augex'!$D$28:$J$52,MATCH($B192,'LV &amp; HV augex'!$L$28:$L$52,0),MATCH($C192,'LV &amp; HV augex'!$D$27:$J$27,0)),0)*'Financial inputs'!$D$11</f>
        <v>230812.24644639625</v>
      </c>
      <c r="J192" s="40">
        <f>IFERROR(INDEX('LV &amp; HV augex'!$D$10:$P$18,MATCH($C192,'LV &amp; HV augex'!$C$10:$C$18,0),MATCH(J$19,'LV &amp; HV augex'!$D$9:$P$9,0))*INDEX('LV &amp; HV augex'!$D$28:$J$52,MATCH($B192,'LV &amp; HV augex'!$L$28:$L$52,0),MATCH($C192,'LV &amp; HV augex'!$D$27:$J$27,0)),0)*'Financial inputs'!$D$11</f>
        <v>230812.24644639625</v>
      </c>
      <c r="K192" s="40">
        <f>IFERROR(INDEX('LV &amp; HV augex'!$D$10:$P$18,MATCH($C192,'LV &amp; HV augex'!$C$10:$C$18,0),MATCH(K$19,'LV &amp; HV augex'!$D$9:$P$9,0))*INDEX('LV &amp; HV augex'!$D$28:$J$52,MATCH($B192,'LV &amp; HV augex'!$L$28:$L$52,0),MATCH($C192,'LV &amp; HV augex'!$D$27:$J$27,0)),0)*'Financial inputs'!$D$11</f>
        <v>230812.24644639625</v>
      </c>
      <c r="L192" s="40">
        <f>IFERROR(INDEX('LV &amp; HV augex'!$D$10:$P$18,MATCH($C192,'LV &amp; HV augex'!$C$10:$C$18,0),MATCH(L$19,'LV &amp; HV augex'!$D$9:$P$9,0))*INDEX('LV &amp; HV augex'!$D$28:$J$52,MATCH($B192,'LV &amp; HV augex'!$L$28:$L$52,0),MATCH($C192,'LV &amp; HV augex'!$D$27:$J$27,0)),0)*'Financial inputs'!$D$11</f>
        <v>230812.24644639625</v>
      </c>
      <c r="M192" s="40">
        <f>IFERROR(INDEX('LV &amp; HV augex'!$D$10:$P$18,MATCH($C192,'LV &amp; HV augex'!$C$10:$C$18,0),MATCH(M$19,'LV &amp; HV augex'!$D$9:$P$9,0))*INDEX('LV &amp; HV augex'!$D$28:$J$52,MATCH($B192,'LV &amp; HV augex'!$L$28:$L$52,0),MATCH($C192,'LV &amp; HV augex'!$D$27:$J$27,0)),0)*'Financial inputs'!$D$11</f>
        <v>230812.24644639625</v>
      </c>
      <c r="N192" s="40">
        <f>IFERROR(INDEX('LV &amp; HV augex'!$D$10:$P$18,MATCH($C192,'LV &amp; HV augex'!$C$10:$C$18,0),MATCH(N$19,'LV &amp; HV augex'!$D$9:$P$9,0))*INDEX('LV &amp; HV augex'!$D$28:$J$52,MATCH($B192,'LV &amp; HV augex'!$L$28:$L$52,0),MATCH($C192,'LV &amp; HV augex'!$D$27:$J$27,0)),0)*'Financial inputs'!$D$11</f>
        <v>230812.24644639625</v>
      </c>
      <c r="O192" s="40">
        <f>IFERROR(INDEX('LV &amp; HV augex'!$D$10:$P$18,MATCH($C192,'LV &amp; HV augex'!$C$10:$C$18,0),MATCH(O$19,'LV &amp; HV augex'!$D$9:$P$9,0))*INDEX('LV &amp; HV augex'!$D$28:$J$52,MATCH($B192,'LV &amp; HV augex'!$L$28:$L$52,0),MATCH($C192,'LV &amp; HV augex'!$D$27:$J$27,0)),0)*'Financial inputs'!$D$11</f>
        <v>230812.24644639625</v>
      </c>
      <c r="P192" s="40">
        <f>IFERROR(INDEX('LV &amp; HV augex'!$D$10:$P$18,MATCH($C192,'LV &amp; HV augex'!$C$10:$C$18,0),MATCH(P$19,'LV &amp; HV augex'!$D$9:$P$9,0))*INDEX('LV &amp; HV augex'!$D$28:$J$52,MATCH($B192,'LV &amp; HV augex'!$L$28:$L$52,0),MATCH($C192,'LV &amp; HV augex'!$D$27:$J$27,0)),0)*'Financial inputs'!$D$11</f>
        <v>230812.24644639625</v>
      </c>
    </row>
    <row r="193" spans="2:16" ht="15.5">
      <c r="B193" s="2" t="str">
        <f t="shared" si="9"/>
        <v>Singleton</v>
      </c>
      <c r="C193" s="35" t="str" cm="1">
        <f t="array" ref="C193">INDEX(augex_categories,COUNTIFS($B$20:$B193,$B$20))</f>
        <v>HV Reinforcement UG (New)</v>
      </c>
      <c r="D193" s="35" t="str">
        <f>IF(COUNTIF('LV &amp; HV augex'!$C$10:$C$13,C193), "LV", IF(COUNTIF('LV &amp; HV augex'!$C$15:$C$17, C193), "HV", "Error"))</f>
        <v>HV</v>
      </c>
      <c r="E193" s="35" t="str">
        <f>INDEX('Growing &amp; falling'!$D$14:$D$39,MATCH($B193,'Growing &amp; falling'!$B$14:$B$39,0))</f>
        <v>Decline</v>
      </c>
      <c r="F193" s="35" t="str">
        <f t="shared" si="8"/>
        <v>$2024 real</v>
      </c>
      <c r="G193" s="40">
        <f>IFERROR(INDEX('LV &amp; HV augex'!$D$10:$P$18,MATCH($C193,'LV &amp; HV augex'!$C$10:$C$18,0),MATCH(G$19,'LV &amp; HV augex'!$D$9:$P$9,0))*INDEX('LV &amp; HV augex'!$D$28:$J$52,MATCH($B193,'LV &amp; HV augex'!$L$28:$L$52,0),MATCH($C193,'LV &amp; HV augex'!$D$27:$J$27,0)),0)*'Financial inputs'!$D$11</f>
        <v>404324.72053566121</v>
      </c>
      <c r="H193" s="40">
        <f>IFERROR(INDEX('LV &amp; HV augex'!$D$10:$P$18,MATCH($C193,'LV &amp; HV augex'!$C$10:$C$18,0),MATCH(H$19,'LV &amp; HV augex'!$D$9:$P$9,0))*INDEX('LV &amp; HV augex'!$D$28:$J$52,MATCH($B193,'LV &amp; HV augex'!$L$28:$L$52,0),MATCH($C193,'LV &amp; HV augex'!$D$27:$J$27,0)),0)*'Financial inputs'!$D$11</f>
        <v>398548.79718408332</v>
      </c>
      <c r="I193" s="40">
        <f>IFERROR(INDEX('LV &amp; HV augex'!$D$10:$P$18,MATCH($C193,'LV &amp; HV augex'!$C$10:$C$18,0),MATCH(I$19,'LV &amp; HV augex'!$D$9:$P$9,0))*INDEX('LV &amp; HV augex'!$D$28:$J$52,MATCH($B193,'LV &amp; HV augex'!$L$28:$L$52,0),MATCH($C193,'LV &amp; HV augex'!$D$27:$J$27,0)),0)*'Financial inputs'!$D$11</f>
        <v>402880.77733181603</v>
      </c>
      <c r="J193" s="40">
        <f>IFERROR(INDEX('LV &amp; HV augex'!$D$10:$P$18,MATCH($C193,'LV &amp; HV augex'!$C$10:$C$18,0),MATCH(J$19,'LV &amp; HV augex'!$D$9:$P$9,0))*INDEX('LV &amp; HV augex'!$D$28:$J$52,MATCH($B193,'LV &amp; HV augex'!$L$28:$L$52,0),MATCH($C193,'LV &amp; HV augex'!$D$27:$J$27,0)),0)*'Financial inputs'!$D$11</f>
        <v>402880.77733181603</v>
      </c>
      <c r="K193" s="40">
        <f>IFERROR(INDEX('LV &amp; HV augex'!$D$10:$P$18,MATCH($C193,'LV &amp; HV augex'!$C$10:$C$18,0),MATCH(K$19,'LV &amp; HV augex'!$D$9:$P$9,0))*INDEX('LV &amp; HV augex'!$D$28:$J$52,MATCH($B193,'LV &amp; HV augex'!$L$28:$L$52,0),MATCH($C193,'LV &amp; HV augex'!$D$27:$J$27,0)),0)*'Financial inputs'!$D$11</f>
        <v>402880.77733181603</v>
      </c>
      <c r="L193" s="40">
        <f>IFERROR(INDEX('LV &amp; HV augex'!$D$10:$P$18,MATCH($C193,'LV &amp; HV augex'!$C$10:$C$18,0),MATCH(L$19,'LV &amp; HV augex'!$D$9:$P$9,0))*INDEX('LV &amp; HV augex'!$D$28:$J$52,MATCH($B193,'LV &amp; HV augex'!$L$28:$L$52,0),MATCH($C193,'LV &amp; HV augex'!$D$27:$J$27,0)),0)*'Financial inputs'!$D$11</f>
        <v>402880.77733181603</v>
      </c>
      <c r="M193" s="40">
        <f>IFERROR(INDEX('LV &amp; HV augex'!$D$10:$P$18,MATCH($C193,'LV &amp; HV augex'!$C$10:$C$18,0),MATCH(M$19,'LV &amp; HV augex'!$D$9:$P$9,0))*INDEX('LV &amp; HV augex'!$D$28:$J$52,MATCH($B193,'LV &amp; HV augex'!$L$28:$L$52,0),MATCH($C193,'LV &amp; HV augex'!$D$27:$J$27,0)),0)*'Financial inputs'!$D$11</f>
        <v>402880.77733181603</v>
      </c>
      <c r="N193" s="40">
        <f>IFERROR(INDEX('LV &amp; HV augex'!$D$10:$P$18,MATCH($C193,'LV &amp; HV augex'!$C$10:$C$18,0),MATCH(N$19,'LV &amp; HV augex'!$D$9:$P$9,0))*INDEX('LV &amp; HV augex'!$D$28:$J$52,MATCH($B193,'LV &amp; HV augex'!$L$28:$L$52,0),MATCH($C193,'LV &amp; HV augex'!$D$27:$J$27,0)),0)*'Financial inputs'!$D$11</f>
        <v>402880.77733181603</v>
      </c>
      <c r="O193" s="40">
        <f>IFERROR(INDEX('LV &amp; HV augex'!$D$10:$P$18,MATCH($C193,'LV &amp; HV augex'!$C$10:$C$18,0),MATCH(O$19,'LV &amp; HV augex'!$D$9:$P$9,0))*INDEX('LV &amp; HV augex'!$D$28:$J$52,MATCH($B193,'LV &amp; HV augex'!$L$28:$L$52,0),MATCH($C193,'LV &amp; HV augex'!$D$27:$J$27,0)),0)*'Financial inputs'!$D$11</f>
        <v>402880.77733181603</v>
      </c>
      <c r="P193" s="40">
        <f>IFERROR(INDEX('LV &amp; HV augex'!$D$10:$P$18,MATCH($C193,'LV &amp; HV augex'!$C$10:$C$18,0),MATCH(P$19,'LV &amp; HV augex'!$D$9:$P$9,0))*INDEX('LV &amp; HV augex'!$D$28:$J$52,MATCH($B193,'LV &amp; HV augex'!$L$28:$L$52,0),MATCH($C193,'LV &amp; HV augex'!$D$27:$J$27,0)),0)*'Financial inputs'!$D$11</f>
        <v>402880.77733181603</v>
      </c>
    </row>
    <row r="194" spans="2:16" ht="15.5">
      <c r="B194" s="2" t="str">
        <f t="shared" si="9"/>
        <v>St George</v>
      </c>
      <c r="C194" s="35" t="str" cm="1">
        <f t="array" ref="C194">INDEX(augex_categories,COUNTIFS($B$20:$B194,$B$20))</f>
        <v>HV Reinforcement UG (New)</v>
      </c>
      <c r="D194" s="35" t="str">
        <f>IF(COUNTIF('LV &amp; HV augex'!$C$10:$C$13,C194), "LV", IF(COUNTIF('LV &amp; HV augex'!$C$15:$C$17, C194), "HV", "Error"))</f>
        <v>HV</v>
      </c>
      <c r="E194" s="35" t="str">
        <f>INDEX('Growing &amp; falling'!$D$14:$D$39,MATCH($B194,'Growing &amp; falling'!$B$14:$B$39,0))</f>
        <v>Decline</v>
      </c>
      <c r="F194" s="35" t="str">
        <f t="shared" si="8"/>
        <v>$2024 real</v>
      </c>
      <c r="G194" s="40">
        <f>IFERROR(INDEX('LV &amp; HV augex'!$D$10:$P$18,MATCH($C194,'LV &amp; HV augex'!$C$10:$C$18,0),MATCH(G$19,'LV &amp; HV augex'!$D$9:$P$9,0))*INDEX('LV &amp; HV augex'!$D$28:$J$52,MATCH($B194,'LV &amp; HV augex'!$L$28:$L$52,0),MATCH($C194,'LV &amp; HV augex'!$D$27:$J$27,0)),0)*'Financial inputs'!$D$11</f>
        <v>0</v>
      </c>
      <c r="H194" s="40">
        <f>IFERROR(INDEX('LV &amp; HV augex'!$D$10:$P$18,MATCH($C194,'LV &amp; HV augex'!$C$10:$C$18,0),MATCH(H$19,'LV &amp; HV augex'!$D$9:$P$9,0))*INDEX('LV &amp; HV augex'!$D$28:$J$52,MATCH($B194,'LV &amp; HV augex'!$L$28:$L$52,0),MATCH($C194,'LV &amp; HV augex'!$D$27:$J$27,0)),0)*'Financial inputs'!$D$11</f>
        <v>0</v>
      </c>
      <c r="I194" s="40">
        <f>IFERROR(INDEX('LV &amp; HV augex'!$D$10:$P$18,MATCH($C194,'LV &amp; HV augex'!$C$10:$C$18,0),MATCH(I$19,'LV &amp; HV augex'!$D$9:$P$9,0))*INDEX('LV &amp; HV augex'!$D$28:$J$52,MATCH($B194,'LV &amp; HV augex'!$L$28:$L$52,0),MATCH($C194,'LV &amp; HV augex'!$D$27:$J$27,0)),0)*'Financial inputs'!$D$11</f>
        <v>0</v>
      </c>
      <c r="J194" s="40">
        <f>IFERROR(INDEX('LV &amp; HV augex'!$D$10:$P$18,MATCH($C194,'LV &amp; HV augex'!$C$10:$C$18,0),MATCH(J$19,'LV &amp; HV augex'!$D$9:$P$9,0))*INDEX('LV &amp; HV augex'!$D$28:$J$52,MATCH($B194,'LV &amp; HV augex'!$L$28:$L$52,0),MATCH($C194,'LV &amp; HV augex'!$D$27:$J$27,0)),0)*'Financial inputs'!$D$11</f>
        <v>0</v>
      </c>
      <c r="K194" s="40">
        <f>IFERROR(INDEX('LV &amp; HV augex'!$D$10:$P$18,MATCH($C194,'LV &amp; HV augex'!$C$10:$C$18,0),MATCH(K$19,'LV &amp; HV augex'!$D$9:$P$9,0))*INDEX('LV &amp; HV augex'!$D$28:$J$52,MATCH($B194,'LV &amp; HV augex'!$L$28:$L$52,0),MATCH($C194,'LV &amp; HV augex'!$D$27:$J$27,0)),0)*'Financial inputs'!$D$11</f>
        <v>0</v>
      </c>
      <c r="L194" s="40">
        <f>IFERROR(INDEX('LV &amp; HV augex'!$D$10:$P$18,MATCH($C194,'LV &amp; HV augex'!$C$10:$C$18,0),MATCH(L$19,'LV &amp; HV augex'!$D$9:$P$9,0))*INDEX('LV &amp; HV augex'!$D$28:$J$52,MATCH($B194,'LV &amp; HV augex'!$L$28:$L$52,0),MATCH($C194,'LV &amp; HV augex'!$D$27:$J$27,0)),0)*'Financial inputs'!$D$11</f>
        <v>0</v>
      </c>
      <c r="M194" s="40">
        <f>IFERROR(INDEX('LV &amp; HV augex'!$D$10:$P$18,MATCH($C194,'LV &amp; HV augex'!$C$10:$C$18,0),MATCH(M$19,'LV &amp; HV augex'!$D$9:$P$9,0))*INDEX('LV &amp; HV augex'!$D$28:$J$52,MATCH($B194,'LV &amp; HV augex'!$L$28:$L$52,0),MATCH($C194,'LV &amp; HV augex'!$D$27:$J$27,0)),0)*'Financial inputs'!$D$11</f>
        <v>0</v>
      </c>
      <c r="N194" s="40">
        <f>IFERROR(INDEX('LV &amp; HV augex'!$D$10:$P$18,MATCH($C194,'LV &amp; HV augex'!$C$10:$C$18,0),MATCH(N$19,'LV &amp; HV augex'!$D$9:$P$9,0))*INDEX('LV &amp; HV augex'!$D$28:$J$52,MATCH($B194,'LV &amp; HV augex'!$L$28:$L$52,0),MATCH($C194,'LV &amp; HV augex'!$D$27:$J$27,0)),0)*'Financial inputs'!$D$11</f>
        <v>0</v>
      </c>
      <c r="O194" s="40">
        <f>IFERROR(INDEX('LV &amp; HV augex'!$D$10:$P$18,MATCH($C194,'LV &amp; HV augex'!$C$10:$C$18,0),MATCH(O$19,'LV &amp; HV augex'!$D$9:$P$9,0))*INDEX('LV &amp; HV augex'!$D$28:$J$52,MATCH($B194,'LV &amp; HV augex'!$L$28:$L$52,0),MATCH($C194,'LV &amp; HV augex'!$D$27:$J$27,0)),0)*'Financial inputs'!$D$11</f>
        <v>0</v>
      </c>
      <c r="P194" s="40">
        <f>IFERROR(INDEX('LV &amp; HV augex'!$D$10:$P$18,MATCH($C194,'LV &amp; HV augex'!$C$10:$C$18,0),MATCH(P$19,'LV &amp; HV augex'!$D$9:$P$9,0))*INDEX('LV &amp; HV augex'!$D$28:$J$52,MATCH($B194,'LV &amp; HV augex'!$L$28:$L$52,0),MATCH($C194,'LV &amp; HV augex'!$D$27:$J$27,0)),0)*'Financial inputs'!$D$11</f>
        <v>0</v>
      </c>
    </row>
    <row r="195" spans="2:16" ht="15.5">
      <c r="B195" s="2" t="str">
        <f t="shared" si="9"/>
        <v>Sutherland</v>
      </c>
      <c r="C195" s="35" t="str" cm="1">
        <f t="array" ref="C195">INDEX(augex_categories,COUNTIFS($B$20:$B195,$B$20))</f>
        <v>HV Reinforcement UG (New)</v>
      </c>
      <c r="D195" s="35" t="str">
        <f>IF(COUNTIF('LV &amp; HV augex'!$C$10:$C$13,C195), "LV", IF(COUNTIF('LV &amp; HV augex'!$C$15:$C$17, C195), "HV", "Error"))</f>
        <v>HV</v>
      </c>
      <c r="E195" s="35" t="str">
        <f>INDEX('Growing &amp; falling'!$D$14:$D$39,MATCH($B195,'Growing &amp; falling'!$B$14:$B$39,0))</f>
        <v>Decline</v>
      </c>
      <c r="F195" s="35" t="str">
        <f t="shared" si="8"/>
        <v>$2024 real</v>
      </c>
      <c r="G195" s="40">
        <f>IFERROR(INDEX('LV &amp; HV augex'!$D$10:$P$18,MATCH($C195,'LV &amp; HV augex'!$C$10:$C$18,0),MATCH(G$19,'LV &amp; HV augex'!$D$9:$P$9,0))*INDEX('LV &amp; HV augex'!$D$28:$J$52,MATCH($B195,'LV &amp; HV augex'!$L$28:$L$52,0),MATCH($C195,'LV &amp; HV augex'!$D$27:$J$27,0)),0)*'Financial inputs'!$D$11</f>
        <v>24680.785640632697</v>
      </c>
      <c r="H195" s="40">
        <f>IFERROR(INDEX('LV &amp; HV augex'!$D$10:$P$18,MATCH($C195,'LV &amp; HV augex'!$C$10:$C$18,0),MATCH(H$19,'LV &amp; HV augex'!$D$9:$P$9,0))*INDEX('LV &amp; HV augex'!$D$28:$J$52,MATCH($B195,'LV &amp; HV augex'!$L$28:$L$52,0),MATCH($C195,'LV &amp; HV augex'!$D$27:$J$27,0)),0)*'Financial inputs'!$D$11</f>
        <v>24328.211783837203</v>
      </c>
      <c r="I195" s="40">
        <f>IFERROR(INDEX('LV &amp; HV augex'!$D$10:$P$18,MATCH($C195,'LV &amp; HV augex'!$C$10:$C$18,0),MATCH(I$19,'LV &amp; HV augex'!$D$9:$P$9,0))*INDEX('LV &amp; HV augex'!$D$28:$J$52,MATCH($B195,'LV &amp; HV augex'!$L$28:$L$52,0),MATCH($C195,'LV &amp; HV augex'!$D$27:$J$27,0)),0)*'Financial inputs'!$D$11</f>
        <v>24592.644473691096</v>
      </c>
      <c r="J195" s="40">
        <f>IFERROR(INDEX('LV &amp; HV augex'!$D$10:$P$18,MATCH($C195,'LV &amp; HV augex'!$C$10:$C$18,0),MATCH(J$19,'LV &amp; HV augex'!$D$9:$P$9,0))*INDEX('LV &amp; HV augex'!$D$28:$J$52,MATCH($B195,'LV &amp; HV augex'!$L$28:$L$52,0),MATCH($C195,'LV &amp; HV augex'!$D$27:$J$27,0)),0)*'Financial inputs'!$D$11</f>
        <v>24592.644473691096</v>
      </c>
      <c r="K195" s="40">
        <f>IFERROR(INDEX('LV &amp; HV augex'!$D$10:$P$18,MATCH($C195,'LV &amp; HV augex'!$C$10:$C$18,0),MATCH(K$19,'LV &amp; HV augex'!$D$9:$P$9,0))*INDEX('LV &amp; HV augex'!$D$28:$J$52,MATCH($B195,'LV &amp; HV augex'!$L$28:$L$52,0),MATCH($C195,'LV &amp; HV augex'!$D$27:$J$27,0)),0)*'Financial inputs'!$D$11</f>
        <v>24592.644473691096</v>
      </c>
      <c r="L195" s="40">
        <f>IFERROR(INDEX('LV &amp; HV augex'!$D$10:$P$18,MATCH($C195,'LV &amp; HV augex'!$C$10:$C$18,0),MATCH(L$19,'LV &amp; HV augex'!$D$9:$P$9,0))*INDEX('LV &amp; HV augex'!$D$28:$J$52,MATCH($B195,'LV &amp; HV augex'!$L$28:$L$52,0),MATCH($C195,'LV &amp; HV augex'!$D$27:$J$27,0)),0)*'Financial inputs'!$D$11</f>
        <v>24592.644473691096</v>
      </c>
      <c r="M195" s="40">
        <f>IFERROR(INDEX('LV &amp; HV augex'!$D$10:$P$18,MATCH($C195,'LV &amp; HV augex'!$C$10:$C$18,0),MATCH(M$19,'LV &amp; HV augex'!$D$9:$P$9,0))*INDEX('LV &amp; HV augex'!$D$28:$J$52,MATCH($B195,'LV &amp; HV augex'!$L$28:$L$52,0),MATCH($C195,'LV &amp; HV augex'!$D$27:$J$27,0)),0)*'Financial inputs'!$D$11</f>
        <v>24592.644473691096</v>
      </c>
      <c r="N195" s="40">
        <f>IFERROR(INDEX('LV &amp; HV augex'!$D$10:$P$18,MATCH($C195,'LV &amp; HV augex'!$C$10:$C$18,0),MATCH(N$19,'LV &amp; HV augex'!$D$9:$P$9,0))*INDEX('LV &amp; HV augex'!$D$28:$J$52,MATCH($B195,'LV &amp; HV augex'!$L$28:$L$52,0),MATCH($C195,'LV &amp; HV augex'!$D$27:$J$27,0)),0)*'Financial inputs'!$D$11</f>
        <v>24592.644473691096</v>
      </c>
      <c r="O195" s="40">
        <f>IFERROR(INDEX('LV &amp; HV augex'!$D$10:$P$18,MATCH($C195,'LV &amp; HV augex'!$C$10:$C$18,0),MATCH(O$19,'LV &amp; HV augex'!$D$9:$P$9,0))*INDEX('LV &amp; HV augex'!$D$28:$J$52,MATCH($B195,'LV &amp; HV augex'!$L$28:$L$52,0),MATCH($C195,'LV &amp; HV augex'!$D$27:$J$27,0)),0)*'Financial inputs'!$D$11</f>
        <v>24592.644473691096</v>
      </c>
      <c r="P195" s="40">
        <f>IFERROR(INDEX('LV &amp; HV augex'!$D$10:$P$18,MATCH($C195,'LV &amp; HV augex'!$C$10:$C$18,0),MATCH(P$19,'LV &amp; HV augex'!$D$9:$P$9,0))*INDEX('LV &amp; HV augex'!$D$28:$J$52,MATCH($B195,'LV &amp; HV augex'!$L$28:$L$52,0),MATCH($C195,'LV &amp; HV augex'!$D$27:$J$27,0)),0)*'Financial inputs'!$D$11</f>
        <v>24592.644473691096</v>
      </c>
    </row>
    <row r="196" spans="2:16" ht="15.5">
      <c r="B196" s="2" t="str">
        <f t="shared" si="9"/>
        <v>Sydney CBD</v>
      </c>
      <c r="C196" s="35" t="str" cm="1">
        <f t="array" ref="C196">INDEX(augex_categories,COUNTIFS($B$20:$B196,$B$20))</f>
        <v>HV Reinforcement UG (New)</v>
      </c>
      <c r="D196" s="35" t="str">
        <f>IF(COUNTIF('LV &amp; HV augex'!$C$10:$C$13,C196), "LV", IF(COUNTIF('LV &amp; HV augex'!$C$15:$C$17, C196), "HV", "Error"))</f>
        <v>HV</v>
      </c>
      <c r="E196" s="35" t="str">
        <f>INDEX('Growing &amp; falling'!$D$14:$D$39,MATCH($B196,'Growing &amp; falling'!$B$14:$B$39,0))</f>
        <v>Growth</v>
      </c>
      <c r="F196" s="35" t="str">
        <f t="shared" si="8"/>
        <v>$2024 real</v>
      </c>
      <c r="G196" s="40">
        <f>IFERROR(INDEX('LV &amp; HV augex'!$D$10:$P$18,MATCH($C196,'LV &amp; HV augex'!$C$10:$C$18,0),MATCH(G$19,'LV &amp; HV augex'!$D$9:$P$9,0))*INDEX('LV &amp; HV augex'!$D$28:$J$52,MATCH($B196,'LV &amp; HV augex'!$L$28:$L$52,0),MATCH($C196,'LV &amp; HV augex'!$D$27:$J$27,0)),0)*'Financial inputs'!$D$11</f>
        <v>30303.835454787546</v>
      </c>
      <c r="H196" s="40">
        <f>IFERROR(INDEX('LV &amp; HV augex'!$D$10:$P$18,MATCH($C196,'LV &amp; HV augex'!$C$10:$C$18,0),MATCH(H$19,'LV &amp; HV augex'!$D$9:$P$9,0))*INDEX('LV &amp; HV augex'!$D$28:$J$52,MATCH($B196,'LV &amp; HV augex'!$L$28:$L$52,0),MATCH($C196,'LV &amp; HV augex'!$D$27:$J$27,0)),0)*'Financial inputs'!$D$11</f>
        <v>29870.934318755615</v>
      </c>
      <c r="I196" s="40">
        <f>IFERROR(INDEX('LV &amp; HV augex'!$D$10:$P$18,MATCH($C196,'LV &amp; HV augex'!$C$10:$C$18,0),MATCH(I$19,'LV &amp; HV augex'!$D$9:$P$9,0))*INDEX('LV &amp; HV augex'!$D$28:$J$52,MATCH($B196,'LV &amp; HV augex'!$L$28:$L$52,0),MATCH($C196,'LV &amp; HV augex'!$D$27:$J$27,0)),0)*'Financial inputs'!$D$11</f>
        <v>30195.612991423419</v>
      </c>
      <c r="J196" s="40">
        <f>IFERROR(INDEX('LV &amp; HV augex'!$D$10:$P$18,MATCH($C196,'LV &amp; HV augex'!$C$10:$C$18,0),MATCH(J$19,'LV &amp; HV augex'!$D$9:$P$9,0))*INDEX('LV &amp; HV augex'!$D$28:$J$52,MATCH($B196,'LV &amp; HV augex'!$L$28:$L$52,0),MATCH($C196,'LV &amp; HV augex'!$D$27:$J$27,0)),0)*'Financial inputs'!$D$11</f>
        <v>30195.612991423419</v>
      </c>
      <c r="K196" s="40">
        <f>IFERROR(INDEX('LV &amp; HV augex'!$D$10:$P$18,MATCH($C196,'LV &amp; HV augex'!$C$10:$C$18,0),MATCH(K$19,'LV &amp; HV augex'!$D$9:$P$9,0))*INDEX('LV &amp; HV augex'!$D$28:$J$52,MATCH($B196,'LV &amp; HV augex'!$L$28:$L$52,0),MATCH($C196,'LV &amp; HV augex'!$D$27:$J$27,0)),0)*'Financial inputs'!$D$11</f>
        <v>30195.612991423419</v>
      </c>
      <c r="L196" s="40">
        <f>IFERROR(INDEX('LV &amp; HV augex'!$D$10:$P$18,MATCH($C196,'LV &amp; HV augex'!$C$10:$C$18,0),MATCH(L$19,'LV &amp; HV augex'!$D$9:$P$9,0))*INDEX('LV &amp; HV augex'!$D$28:$J$52,MATCH($B196,'LV &amp; HV augex'!$L$28:$L$52,0),MATCH($C196,'LV &amp; HV augex'!$D$27:$J$27,0)),0)*'Financial inputs'!$D$11</f>
        <v>30195.612991423419</v>
      </c>
      <c r="M196" s="40">
        <f>IFERROR(INDEX('LV &amp; HV augex'!$D$10:$P$18,MATCH($C196,'LV &amp; HV augex'!$C$10:$C$18,0),MATCH(M$19,'LV &amp; HV augex'!$D$9:$P$9,0))*INDEX('LV &amp; HV augex'!$D$28:$J$52,MATCH($B196,'LV &amp; HV augex'!$L$28:$L$52,0),MATCH($C196,'LV &amp; HV augex'!$D$27:$J$27,0)),0)*'Financial inputs'!$D$11</f>
        <v>30195.612991423419</v>
      </c>
      <c r="N196" s="40">
        <f>IFERROR(INDEX('LV &amp; HV augex'!$D$10:$P$18,MATCH($C196,'LV &amp; HV augex'!$C$10:$C$18,0),MATCH(N$19,'LV &amp; HV augex'!$D$9:$P$9,0))*INDEX('LV &amp; HV augex'!$D$28:$J$52,MATCH($B196,'LV &amp; HV augex'!$L$28:$L$52,0),MATCH($C196,'LV &amp; HV augex'!$D$27:$J$27,0)),0)*'Financial inputs'!$D$11</f>
        <v>30195.612991423419</v>
      </c>
      <c r="O196" s="40">
        <f>IFERROR(INDEX('LV &amp; HV augex'!$D$10:$P$18,MATCH($C196,'LV &amp; HV augex'!$C$10:$C$18,0),MATCH(O$19,'LV &amp; HV augex'!$D$9:$P$9,0))*INDEX('LV &amp; HV augex'!$D$28:$J$52,MATCH($B196,'LV &amp; HV augex'!$L$28:$L$52,0),MATCH($C196,'LV &amp; HV augex'!$D$27:$J$27,0)),0)*'Financial inputs'!$D$11</f>
        <v>30195.612991423419</v>
      </c>
      <c r="P196" s="40">
        <f>IFERROR(INDEX('LV &amp; HV augex'!$D$10:$P$18,MATCH($C196,'LV &amp; HV augex'!$C$10:$C$18,0),MATCH(P$19,'LV &amp; HV augex'!$D$9:$P$9,0))*INDEX('LV &amp; HV augex'!$D$28:$J$52,MATCH($B196,'LV &amp; HV augex'!$L$28:$L$52,0),MATCH($C196,'LV &amp; HV augex'!$D$27:$J$27,0)),0)*'Financial inputs'!$D$11</f>
        <v>30195.612991423419</v>
      </c>
    </row>
    <row r="197" spans="2:16" ht="15.5">
      <c r="B197" s="2" t="str">
        <f t="shared" si="9"/>
        <v>Upper Central Coast</v>
      </c>
      <c r="C197" s="35" t="str" cm="1">
        <f t="array" ref="C197">INDEX(augex_categories,COUNTIFS($B$20:$B197,$B$20))</f>
        <v>HV Reinforcement UG (New)</v>
      </c>
      <c r="D197" s="35" t="str">
        <f>IF(COUNTIF('LV &amp; HV augex'!$C$10:$C$13,C197), "LV", IF(COUNTIF('LV &amp; HV augex'!$C$15:$C$17, C197), "HV", "Error"))</f>
        <v>HV</v>
      </c>
      <c r="E197" s="35" t="str">
        <f>INDEX('Growing &amp; falling'!$D$14:$D$39,MATCH($B197,'Growing &amp; falling'!$B$14:$B$39,0))</f>
        <v>Growth</v>
      </c>
      <c r="F197" s="35" t="str">
        <f t="shared" si="8"/>
        <v>$2024 real</v>
      </c>
      <c r="G197" s="40">
        <f>IFERROR(INDEX('LV &amp; HV augex'!$D$10:$P$18,MATCH($C197,'LV &amp; HV augex'!$C$10:$C$18,0),MATCH(G$19,'LV &amp; HV augex'!$D$9:$P$9,0))*INDEX('LV &amp; HV augex'!$D$28:$J$52,MATCH($B197,'LV &amp; HV augex'!$L$28:$L$52,0),MATCH($C197,'LV &amp; HV augex'!$D$27:$J$27,0)),0)*'Financial inputs'!$D$11</f>
        <v>211880.50183736699</v>
      </c>
      <c r="H197" s="40">
        <f>IFERROR(INDEX('LV &amp; HV augex'!$D$10:$P$18,MATCH($C197,'LV &amp; HV augex'!$C$10:$C$18,0),MATCH(H$19,'LV &amp; HV augex'!$D$9:$P$9,0))*INDEX('LV &amp; HV augex'!$D$28:$J$52,MATCH($B197,'LV &amp; HV augex'!$L$28:$L$52,0),MATCH($C197,'LV &amp; HV augex'!$D$27:$J$27,0)),0)*'Financial inputs'!$D$11</f>
        <v>208853.7130308722</v>
      </c>
      <c r="I197" s="40">
        <f>IFERROR(INDEX('LV &amp; HV augex'!$D$10:$P$18,MATCH($C197,'LV &amp; HV augex'!$C$10:$C$18,0),MATCH(I$19,'LV &amp; HV augex'!$D$9:$P$9,0))*INDEX('LV &amp; HV augex'!$D$28:$J$52,MATCH($B197,'LV &amp; HV augex'!$L$28:$L$52,0),MATCH($C197,'LV &amp; HV augex'!$D$27:$J$27,0)),0)*'Financial inputs'!$D$11</f>
        <v>211123.82435732067</v>
      </c>
      <c r="J197" s="40">
        <f>IFERROR(INDEX('LV &amp; HV augex'!$D$10:$P$18,MATCH($C197,'LV &amp; HV augex'!$C$10:$C$18,0),MATCH(J$19,'LV &amp; HV augex'!$D$9:$P$9,0))*INDEX('LV &amp; HV augex'!$D$28:$J$52,MATCH($B197,'LV &amp; HV augex'!$L$28:$L$52,0),MATCH($C197,'LV &amp; HV augex'!$D$27:$J$27,0)),0)*'Financial inputs'!$D$11</f>
        <v>211123.82435732067</v>
      </c>
      <c r="K197" s="40">
        <f>IFERROR(INDEX('LV &amp; HV augex'!$D$10:$P$18,MATCH($C197,'LV &amp; HV augex'!$C$10:$C$18,0),MATCH(K$19,'LV &amp; HV augex'!$D$9:$P$9,0))*INDEX('LV &amp; HV augex'!$D$28:$J$52,MATCH($B197,'LV &amp; HV augex'!$L$28:$L$52,0),MATCH($C197,'LV &amp; HV augex'!$D$27:$J$27,0)),0)*'Financial inputs'!$D$11</f>
        <v>211123.82435732067</v>
      </c>
      <c r="L197" s="40">
        <f>IFERROR(INDEX('LV &amp; HV augex'!$D$10:$P$18,MATCH($C197,'LV &amp; HV augex'!$C$10:$C$18,0),MATCH(L$19,'LV &amp; HV augex'!$D$9:$P$9,0))*INDEX('LV &amp; HV augex'!$D$28:$J$52,MATCH($B197,'LV &amp; HV augex'!$L$28:$L$52,0),MATCH($C197,'LV &amp; HV augex'!$D$27:$J$27,0)),0)*'Financial inputs'!$D$11</f>
        <v>211123.82435732067</v>
      </c>
      <c r="M197" s="40">
        <f>IFERROR(INDEX('LV &amp; HV augex'!$D$10:$P$18,MATCH($C197,'LV &amp; HV augex'!$C$10:$C$18,0),MATCH(M$19,'LV &amp; HV augex'!$D$9:$P$9,0))*INDEX('LV &amp; HV augex'!$D$28:$J$52,MATCH($B197,'LV &amp; HV augex'!$L$28:$L$52,0),MATCH($C197,'LV &amp; HV augex'!$D$27:$J$27,0)),0)*'Financial inputs'!$D$11</f>
        <v>211123.82435732067</v>
      </c>
      <c r="N197" s="40">
        <f>IFERROR(INDEX('LV &amp; HV augex'!$D$10:$P$18,MATCH($C197,'LV &amp; HV augex'!$C$10:$C$18,0),MATCH(N$19,'LV &amp; HV augex'!$D$9:$P$9,0))*INDEX('LV &amp; HV augex'!$D$28:$J$52,MATCH($B197,'LV &amp; HV augex'!$L$28:$L$52,0),MATCH($C197,'LV &amp; HV augex'!$D$27:$J$27,0)),0)*'Financial inputs'!$D$11</f>
        <v>211123.82435732067</v>
      </c>
      <c r="O197" s="40">
        <f>IFERROR(INDEX('LV &amp; HV augex'!$D$10:$P$18,MATCH($C197,'LV &amp; HV augex'!$C$10:$C$18,0),MATCH(O$19,'LV &amp; HV augex'!$D$9:$P$9,0))*INDEX('LV &amp; HV augex'!$D$28:$J$52,MATCH($B197,'LV &amp; HV augex'!$L$28:$L$52,0),MATCH($C197,'LV &amp; HV augex'!$D$27:$J$27,0)),0)*'Financial inputs'!$D$11</f>
        <v>211123.82435732067</v>
      </c>
      <c r="P197" s="40">
        <f>IFERROR(INDEX('LV &amp; HV augex'!$D$10:$P$18,MATCH($C197,'LV &amp; HV augex'!$C$10:$C$18,0),MATCH(P$19,'LV &amp; HV augex'!$D$9:$P$9,0))*INDEX('LV &amp; HV augex'!$D$28:$J$52,MATCH($B197,'LV &amp; HV augex'!$L$28:$L$52,0),MATCH($C197,'LV &amp; HV augex'!$D$27:$J$27,0)),0)*'Financial inputs'!$D$11</f>
        <v>211123.82435732067</v>
      </c>
    </row>
    <row r="198" spans="2:16" ht="15.5">
      <c r="B198" s="2" t="str">
        <f t="shared" si="9"/>
        <v>Upper Hunter</v>
      </c>
      <c r="C198" s="35" t="str" cm="1">
        <f t="array" ref="C198">INDEX(augex_categories,COUNTIFS($B$20:$B198,$B$20))</f>
        <v>HV Reinforcement UG (New)</v>
      </c>
      <c r="D198" s="35" t="str">
        <f>IF(COUNTIF('LV &amp; HV augex'!$C$10:$C$13,C198), "LV", IF(COUNTIF('LV &amp; HV augex'!$C$15:$C$17, C198), "HV", "Error"))</f>
        <v>HV</v>
      </c>
      <c r="E198" s="35" t="str">
        <f>INDEX('Growing &amp; falling'!$D$14:$D$39,MATCH($B198,'Growing &amp; falling'!$B$14:$B$39,0))</f>
        <v>Decline</v>
      </c>
      <c r="F198" s="35" t="str">
        <f t="shared" si="8"/>
        <v>$2024 real</v>
      </c>
      <c r="G198" s="40">
        <f>IFERROR(INDEX('LV &amp; HV augex'!$D$10:$P$18,MATCH($C198,'LV &amp; HV augex'!$C$10:$C$18,0),MATCH(G$19,'LV &amp; HV augex'!$D$9:$P$9,0))*INDEX('LV &amp; HV augex'!$D$28:$J$52,MATCH($B198,'LV &amp; HV augex'!$L$28:$L$52,0),MATCH($C198,'LV &amp; HV augex'!$D$27:$J$27,0)),0)*'Financial inputs'!$D$11</f>
        <v>0</v>
      </c>
      <c r="H198" s="40">
        <f>IFERROR(INDEX('LV &amp; HV augex'!$D$10:$P$18,MATCH($C198,'LV &amp; HV augex'!$C$10:$C$18,0),MATCH(H$19,'LV &amp; HV augex'!$D$9:$P$9,0))*INDEX('LV &amp; HV augex'!$D$28:$J$52,MATCH($B198,'LV &amp; HV augex'!$L$28:$L$52,0),MATCH($C198,'LV &amp; HV augex'!$D$27:$J$27,0)),0)*'Financial inputs'!$D$11</f>
        <v>0</v>
      </c>
      <c r="I198" s="40">
        <f>IFERROR(INDEX('LV &amp; HV augex'!$D$10:$P$18,MATCH($C198,'LV &amp; HV augex'!$C$10:$C$18,0),MATCH(I$19,'LV &amp; HV augex'!$D$9:$P$9,0))*INDEX('LV &amp; HV augex'!$D$28:$J$52,MATCH($B198,'LV &amp; HV augex'!$L$28:$L$52,0),MATCH($C198,'LV &amp; HV augex'!$D$27:$J$27,0)),0)*'Financial inputs'!$D$11</f>
        <v>0</v>
      </c>
      <c r="J198" s="40">
        <f>IFERROR(INDEX('LV &amp; HV augex'!$D$10:$P$18,MATCH($C198,'LV &amp; HV augex'!$C$10:$C$18,0),MATCH(J$19,'LV &amp; HV augex'!$D$9:$P$9,0))*INDEX('LV &amp; HV augex'!$D$28:$J$52,MATCH($B198,'LV &amp; HV augex'!$L$28:$L$52,0),MATCH($C198,'LV &amp; HV augex'!$D$27:$J$27,0)),0)*'Financial inputs'!$D$11</f>
        <v>0</v>
      </c>
      <c r="K198" s="40">
        <f>IFERROR(INDEX('LV &amp; HV augex'!$D$10:$P$18,MATCH($C198,'LV &amp; HV augex'!$C$10:$C$18,0),MATCH(K$19,'LV &amp; HV augex'!$D$9:$P$9,0))*INDEX('LV &amp; HV augex'!$D$28:$J$52,MATCH($B198,'LV &amp; HV augex'!$L$28:$L$52,0),MATCH($C198,'LV &amp; HV augex'!$D$27:$J$27,0)),0)*'Financial inputs'!$D$11</f>
        <v>0</v>
      </c>
      <c r="L198" s="40">
        <f>IFERROR(INDEX('LV &amp; HV augex'!$D$10:$P$18,MATCH($C198,'LV &amp; HV augex'!$C$10:$C$18,0),MATCH(L$19,'LV &amp; HV augex'!$D$9:$P$9,0))*INDEX('LV &amp; HV augex'!$D$28:$J$52,MATCH($B198,'LV &amp; HV augex'!$L$28:$L$52,0),MATCH($C198,'LV &amp; HV augex'!$D$27:$J$27,0)),0)*'Financial inputs'!$D$11</f>
        <v>0</v>
      </c>
      <c r="M198" s="40">
        <f>IFERROR(INDEX('LV &amp; HV augex'!$D$10:$P$18,MATCH($C198,'LV &amp; HV augex'!$C$10:$C$18,0),MATCH(M$19,'LV &amp; HV augex'!$D$9:$P$9,0))*INDEX('LV &amp; HV augex'!$D$28:$J$52,MATCH($B198,'LV &amp; HV augex'!$L$28:$L$52,0),MATCH($C198,'LV &amp; HV augex'!$D$27:$J$27,0)),0)*'Financial inputs'!$D$11</f>
        <v>0</v>
      </c>
      <c r="N198" s="40">
        <f>IFERROR(INDEX('LV &amp; HV augex'!$D$10:$P$18,MATCH($C198,'LV &amp; HV augex'!$C$10:$C$18,0),MATCH(N$19,'LV &amp; HV augex'!$D$9:$P$9,0))*INDEX('LV &amp; HV augex'!$D$28:$J$52,MATCH($B198,'LV &amp; HV augex'!$L$28:$L$52,0),MATCH($C198,'LV &amp; HV augex'!$D$27:$J$27,0)),0)*'Financial inputs'!$D$11</f>
        <v>0</v>
      </c>
      <c r="O198" s="40">
        <f>IFERROR(INDEX('LV &amp; HV augex'!$D$10:$P$18,MATCH($C198,'LV &amp; HV augex'!$C$10:$C$18,0),MATCH(O$19,'LV &amp; HV augex'!$D$9:$P$9,0))*INDEX('LV &amp; HV augex'!$D$28:$J$52,MATCH($B198,'LV &amp; HV augex'!$L$28:$L$52,0),MATCH($C198,'LV &amp; HV augex'!$D$27:$J$27,0)),0)*'Financial inputs'!$D$11</f>
        <v>0</v>
      </c>
      <c r="P198" s="40">
        <f>IFERROR(INDEX('LV &amp; HV augex'!$D$10:$P$18,MATCH($C198,'LV &amp; HV augex'!$C$10:$C$18,0),MATCH(P$19,'LV &amp; HV augex'!$D$9:$P$9,0))*INDEX('LV &amp; HV augex'!$D$28:$J$52,MATCH($B198,'LV &amp; HV augex'!$L$28:$L$52,0),MATCH($C198,'LV &amp; HV augex'!$D$27:$J$27,0)),0)*'Financial inputs'!$D$11</f>
        <v>0</v>
      </c>
    </row>
    <row r="199" spans="2:16" ht="15.5">
      <c r="B199" s="2" t="str">
        <f t="shared" si="9"/>
        <v>Upper North Shore</v>
      </c>
      <c r="C199" s="35" t="str" cm="1">
        <f t="array" ref="C199">INDEX(augex_categories,COUNTIFS($B$20:$B199,$B$20))</f>
        <v>HV Reinforcement UG (New)</v>
      </c>
      <c r="D199" s="35" t="str">
        <f>IF(COUNTIF('LV &amp; HV augex'!$C$10:$C$13,C199), "LV", IF(COUNTIF('LV &amp; HV augex'!$C$15:$C$17, C199), "HV", "Error"))</f>
        <v>HV</v>
      </c>
      <c r="E199" s="35" t="str">
        <f>INDEX('Growing &amp; falling'!$D$14:$D$39,MATCH($B199,'Growing &amp; falling'!$B$14:$B$39,0))</f>
        <v>Decline</v>
      </c>
      <c r="F199" s="35" t="str">
        <f t="shared" si="8"/>
        <v>$2024 real</v>
      </c>
      <c r="G199" s="40">
        <f>IFERROR(INDEX('LV &amp; HV augex'!$D$10:$P$18,MATCH($C199,'LV &amp; HV augex'!$C$10:$C$18,0),MATCH(G$19,'LV &amp; HV augex'!$D$9:$P$9,0))*INDEX('LV &amp; HV augex'!$D$28:$J$52,MATCH($B199,'LV &amp; HV augex'!$L$28:$L$52,0),MATCH($C199,'LV &amp; HV augex'!$D$27:$J$27,0)),0)*'Financial inputs'!$D$11</f>
        <v>44920.164813213378</v>
      </c>
      <c r="H199" s="40">
        <f>IFERROR(INDEX('LV &amp; HV augex'!$D$10:$P$18,MATCH($C199,'LV &amp; HV augex'!$C$10:$C$18,0),MATCH(H$19,'LV &amp; HV augex'!$D$9:$P$9,0))*INDEX('LV &amp; HV augex'!$D$28:$J$52,MATCH($B199,'LV &amp; HV augex'!$L$28:$L$52,0),MATCH($C199,'LV &amp; HV augex'!$D$27:$J$27,0)),0)*'Financial inputs'!$D$11</f>
        <v>44278.464180717725</v>
      </c>
      <c r="I199" s="40">
        <f>IFERROR(INDEX('LV &amp; HV augex'!$D$10:$P$18,MATCH($C199,'LV &amp; HV augex'!$C$10:$C$18,0),MATCH(I$19,'LV &amp; HV augex'!$D$9:$P$9,0))*INDEX('LV &amp; HV augex'!$D$28:$J$52,MATCH($B199,'LV &amp; HV augex'!$L$28:$L$52,0),MATCH($C199,'LV &amp; HV augex'!$D$27:$J$27,0)),0)*'Financial inputs'!$D$11</f>
        <v>44759.743836203335</v>
      </c>
      <c r="J199" s="40">
        <f>IFERROR(INDEX('LV &amp; HV augex'!$D$10:$P$18,MATCH($C199,'LV &amp; HV augex'!$C$10:$C$18,0),MATCH(J$19,'LV &amp; HV augex'!$D$9:$P$9,0))*INDEX('LV &amp; HV augex'!$D$28:$J$52,MATCH($B199,'LV &amp; HV augex'!$L$28:$L$52,0),MATCH($C199,'LV &amp; HV augex'!$D$27:$J$27,0)),0)*'Financial inputs'!$D$11</f>
        <v>44759.743836203335</v>
      </c>
      <c r="K199" s="40">
        <f>IFERROR(INDEX('LV &amp; HV augex'!$D$10:$P$18,MATCH($C199,'LV &amp; HV augex'!$C$10:$C$18,0),MATCH(K$19,'LV &amp; HV augex'!$D$9:$P$9,0))*INDEX('LV &amp; HV augex'!$D$28:$J$52,MATCH($B199,'LV &amp; HV augex'!$L$28:$L$52,0),MATCH($C199,'LV &amp; HV augex'!$D$27:$J$27,0)),0)*'Financial inputs'!$D$11</f>
        <v>44759.743836203335</v>
      </c>
      <c r="L199" s="40">
        <f>IFERROR(INDEX('LV &amp; HV augex'!$D$10:$P$18,MATCH($C199,'LV &amp; HV augex'!$C$10:$C$18,0),MATCH(L$19,'LV &amp; HV augex'!$D$9:$P$9,0))*INDEX('LV &amp; HV augex'!$D$28:$J$52,MATCH($B199,'LV &amp; HV augex'!$L$28:$L$52,0),MATCH($C199,'LV &amp; HV augex'!$D$27:$J$27,0)),0)*'Financial inputs'!$D$11</f>
        <v>44759.743836203335</v>
      </c>
      <c r="M199" s="40">
        <f>IFERROR(INDEX('LV &amp; HV augex'!$D$10:$P$18,MATCH($C199,'LV &amp; HV augex'!$C$10:$C$18,0),MATCH(M$19,'LV &amp; HV augex'!$D$9:$P$9,0))*INDEX('LV &amp; HV augex'!$D$28:$J$52,MATCH($B199,'LV &amp; HV augex'!$L$28:$L$52,0),MATCH($C199,'LV &amp; HV augex'!$D$27:$J$27,0)),0)*'Financial inputs'!$D$11</f>
        <v>44759.743836203335</v>
      </c>
      <c r="N199" s="40">
        <f>IFERROR(INDEX('LV &amp; HV augex'!$D$10:$P$18,MATCH($C199,'LV &amp; HV augex'!$C$10:$C$18,0),MATCH(N$19,'LV &amp; HV augex'!$D$9:$P$9,0))*INDEX('LV &amp; HV augex'!$D$28:$J$52,MATCH($B199,'LV &amp; HV augex'!$L$28:$L$52,0),MATCH($C199,'LV &amp; HV augex'!$D$27:$J$27,0)),0)*'Financial inputs'!$D$11</f>
        <v>44759.743836203335</v>
      </c>
      <c r="O199" s="40">
        <f>IFERROR(INDEX('LV &amp; HV augex'!$D$10:$P$18,MATCH($C199,'LV &amp; HV augex'!$C$10:$C$18,0),MATCH(O$19,'LV &amp; HV augex'!$D$9:$P$9,0))*INDEX('LV &amp; HV augex'!$D$28:$J$52,MATCH($B199,'LV &amp; HV augex'!$L$28:$L$52,0),MATCH($C199,'LV &amp; HV augex'!$D$27:$J$27,0)),0)*'Financial inputs'!$D$11</f>
        <v>44759.743836203335</v>
      </c>
      <c r="P199" s="40">
        <f>IFERROR(INDEX('LV &amp; HV augex'!$D$10:$P$18,MATCH($C199,'LV &amp; HV augex'!$C$10:$C$18,0),MATCH(P$19,'LV &amp; HV augex'!$D$9:$P$9,0))*INDEX('LV &amp; HV augex'!$D$28:$J$52,MATCH($B199,'LV &amp; HV augex'!$L$28:$L$52,0),MATCH($C199,'LV &amp; HV augex'!$D$27:$J$27,0)),0)*'Financial inputs'!$D$11</f>
        <v>44759.743836203335</v>
      </c>
    </row>
    <row r="200" spans="2:16" ht="15.5">
      <c r="B200" s="2" t="str">
        <f t="shared" si="9"/>
        <v>West Lake Macquarie</v>
      </c>
      <c r="C200" s="35" t="str" cm="1">
        <f t="array" ref="C200">INDEX(augex_categories,COUNTIFS($B$20:$B200,$B$20))</f>
        <v>HV Reinforcement UG (New)</v>
      </c>
      <c r="D200" s="35" t="str">
        <f>IF(COUNTIF('LV &amp; HV augex'!$C$10:$C$13,C200), "LV", IF(COUNTIF('LV &amp; HV augex'!$C$15:$C$17, C200), "HV", "Error"))</f>
        <v>HV</v>
      </c>
      <c r="E200" s="35" t="str">
        <f>INDEX('Growing &amp; falling'!$D$14:$D$39,MATCH($B200,'Growing &amp; falling'!$B$14:$B$39,0))</f>
        <v>Decline</v>
      </c>
      <c r="F200" s="35" t="str">
        <f t="shared" si="8"/>
        <v>$2024 real</v>
      </c>
      <c r="G200" s="40">
        <f>IFERROR(INDEX('LV &amp; HV augex'!$D$10:$P$18,MATCH($C200,'LV &amp; HV augex'!$C$10:$C$18,0),MATCH(G$19,'LV &amp; HV augex'!$D$9:$P$9,0))*INDEX('LV &amp; HV augex'!$D$28:$J$52,MATCH($B200,'LV &amp; HV augex'!$L$28:$L$52,0),MATCH($C200,'LV &amp; HV augex'!$D$27:$J$27,0)),0)*'Financial inputs'!$D$11</f>
        <v>316660.17545294511</v>
      </c>
      <c r="H200" s="40">
        <f>IFERROR(INDEX('LV &amp; HV augex'!$D$10:$P$18,MATCH($C200,'LV &amp; HV augex'!$C$10:$C$18,0),MATCH(H$19,'LV &amp; HV augex'!$D$9:$P$9,0))*INDEX('LV &amp; HV augex'!$D$28:$J$52,MATCH($B200,'LV &amp; HV augex'!$L$28:$L$52,0),MATCH($C200,'LV &amp; HV augex'!$D$27:$J$27,0)),0)*'Financial inputs'!$D$11</f>
        <v>312136.57150537975</v>
      </c>
      <c r="I200" s="40">
        <f>IFERROR(INDEX('LV &amp; HV augex'!$D$10:$P$18,MATCH($C200,'LV &amp; HV augex'!$C$10:$C$18,0),MATCH(I$19,'LV &amp; HV augex'!$D$9:$P$9,0))*INDEX('LV &amp; HV augex'!$D$28:$J$52,MATCH($B200,'LV &amp; HV augex'!$L$28:$L$52,0),MATCH($C200,'LV &amp; HV augex'!$D$27:$J$27,0)),0)*'Financial inputs'!$D$11</f>
        <v>315529.30394039472</v>
      </c>
      <c r="J200" s="40">
        <f>IFERROR(INDEX('LV &amp; HV augex'!$D$10:$P$18,MATCH($C200,'LV &amp; HV augex'!$C$10:$C$18,0),MATCH(J$19,'LV &amp; HV augex'!$D$9:$P$9,0))*INDEX('LV &amp; HV augex'!$D$28:$J$52,MATCH($B200,'LV &amp; HV augex'!$L$28:$L$52,0),MATCH($C200,'LV &amp; HV augex'!$D$27:$J$27,0)),0)*'Financial inputs'!$D$11</f>
        <v>315529.30394039472</v>
      </c>
      <c r="K200" s="40">
        <f>IFERROR(INDEX('LV &amp; HV augex'!$D$10:$P$18,MATCH($C200,'LV &amp; HV augex'!$C$10:$C$18,0),MATCH(K$19,'LV &amp; HV augex'!$D$9:$P$9,0))*INDEX('LV &amp; HV augex'!$D$28:$J$52,MATCH($B200,'LV &amp; HV augex'!$L$28:$L$52,0),MATCH($C200,'LV &amp; HV augex'!$D$27:$J$27,0)),0)*'Financial inputs'!$D$11</f>
        <v>315529.30394039472</v>
      </c>
      <c r="L200" s="40">
        <f>IFERROR(INDEX('LV &amp; HV augex'!$D$10:$P$18,MATCH($C200,'LV &amp; HV augex'!$C$10:$C$18,0),MATCH(L$19,'LV &amp; HV augex'!$D$9:$P$9,0))*INDEX('LV &amp; HV augex'!$D$28:$J$52,MATCH($B200,'LV &amp; HV augex'!$L$28:$L$52,0),MATCH($C200,'LV &amp; HV augex'!$D$27:$J$27,0)),0)*'Financial inputs'!$D$11</f>
        <v>315529.30394039472</v>
      </c>
      <c r="M200" s="40">
        <f>IFERROR(INDEX('LV &amp; HV augex'!$D$10:$P$18,MATCH($C200,'LV &amp; HV augex'!$C$10:$C$18,0),MATCH(M$19,'LV &amp; HV augex'!$D$9:$P$9,0))*INDEX('LV &amp; HV augex'!$D$28:$J$52,MATCH($B200,'LV &amp; HV augex'!$L$28:$L$52,0),MATCH($C200,'LV &amp; HV augex'!$D$27:$J$27,0)),0)*'Financial inputs'!$D$11</f>
        <v>315529.30394039472</v>
      </c>
      <c r="N200" s="40">
        <f>IFERROR(INDEX('LV &amp; HV augex'!$D$10:$P$18,MATCH($C200,'LV &amp; HV augex'!$C$10:$C$18,0),MATCH(N$19,'LV &amp; HV augex'!$D$9:$P$9,0))*INDEX('LV &amp; HV augex'!$D$28:$J$52,MATCH($B200,'LV &amp; HV augex'!$L$28:$L$52,0),MATCH($C200,'LV &amp; HV augex'!$D$27:$J$27,0)),0)*'Financial inputs'!$D$11</f>
        <v>315529.30394039472</v>
      </c>
      <c r="O200" s="40">
        <f>IFERROR(INDEX('LV &amp; HV augex'!$D$10:$P$18,MATCH($C200,'LV &amp; HV augex'!$C$10:$C$18,0),MATCH(O$19,'LV &amp; HV augex'!$D$9:$P$9,0))*INDEX('LV &amp; HV augex'!$D$28:$J$52,MATCH($B200,'LV &amp; HV augex'!$L$28:$L$52,0),MATCH($C200,'LV &amp; HV augex'!$D$27:$J$27,0)),0)*'Financial inputs'!$D$11</f>
        <v>315529.30394039472</v>
      </c>
      <c r="P200" s="40">
        <f>IFERROR(INDEX('LV &amp; HV augex'!$D$10:$P$18,MATCH($C200,'LV &amp; HV augex'!$C$10:$C$18,0),MATCH(P$19,'LV &amp; HV augex'!$D$9:$P$9,0))*INDEX('LV &amp; HV augex'!$D$28:$J$52,MATCH($B200,'LV &amp; HV augex'!$L$28:$L$52,0),MATCH($C200,'LV &amp; HV augex'!$D$27:$J$27,0)),0)*'Financial inputs'!$D$11</f>
        <v>315529.30394039472</v>
      </c>
    </row>
    <row r="201" spans="2:16" ht="15.5">
      <c r="B201" s="2" t="str">
        <f t="shared" si="9"/>
        <v>System wide</v>
      </c>
      <c r="C201" s="35" t="str" cm="1">
        <f t="array" ref="C201">INDEX(augex_categories,COUNTIFS($B$20:$B201,$B$20))</f>
        <v>HV Reinforcement UG (New)</v>
      </c>
      <c r="D201" s="35" t="str">
        <f>IF(COUNTIF('LV &amp; HV augex'!$C$10:$C$13,C201), "LV", IF(COUNTIF('LV &amp; HV augex'!$C$15:$C$17, C201), "HV", "Error"))</f>
        <v>HV</v>
      </c>
      <c r="E201" s="35" t="str">
        <f>INDEX('Growing &amp; falling'!$D$14:$D$39,MATCH($B201,'Growing &amp; falling'!$B$14:$B$39,0))</f>
        <v>System wide</v>
      </c>
      <c r="F201" s="35" t="str">
        <f t="shared" si="8"/>
        <v>$2024 real</v>
      </c>
      <c r="G201" s="40">
        <f>IFERROR(INDEX('LV &amp; HV augex'!$D$10:$P$18,MATCH($C201,'LV &amp; HV augex'!$C$10:$C$18,0),MATCH(G$19,'LV &amp; HV augex'!$D$9:$P$9,0))*INDEX('LV &amp; HV augex'!$D$28:$J$52,MATCH($B201,'LV &amp; HV augex'!$L$28:$L$52,0),MATCH($C201,'LV &amp; HV augex'!$D$27:$J$27,0)),0)*'Financial inputs'!$D$11</f>
        <v>0</v>
      </c>
      <c r="H201" s="40">
        <f>IFERROR(INDEX('LV &amp; HV augex'!$D$10:$P$18,MATCH($C201,'LV &amp; HV augex'!$C$10:$C$18,0),MATCH(H$19,'LV &amp; HV augex'!$D$9:$P$9,0))*INDEX('LV &amp; HV augex'!$D$28:$J$52,MATCH($B201,'LV &amp; HV augex'!$L$28:$L$52,0),MATCH($C201,'LV &amp; HV augex'!$D$27:$J$27,0)),0)*'Financial inputs'!$D$11</f>
        <v>0</v>
      </c>
      <c r="I201" s="40">
        <f>IFERROR(INDEX('LV &amp; HV augex'!$D$10:$P$18,MATCH($C201,'LV &amp; HV augex'!$C$10:$C$18,0),MATCH(I$19,'LV &amp; HV augex'!$D$9:$P$9,0))*INDEX('LV &amp; HV augex'!$D$28:$J$52,MATCH($B201,'LV &amp; HV augex'!$L$28:$L$52,0),MATCH($C201,'LV &amp; HV augex'!$D$27:$J$27,0)),0)*'Financial inputs'!$D$11</f>
        <v>0</v>
      </c>
      <c r="J201" s="40">
        <f>IFERROR(INDEX('LV &amp; HV augex'!$D$10:$P$18,MATCH($C201,'LV &amp; HV augex'!$C$10:$C$18,0),MATCH(J$19,'LV &amp; HV augex'!$D$9:$P$9,0))*INDEX('LV &amp; HV augex'!$D$28:$J$52,MATCH($B201,'LV &amp; HV augex'!$L$28:$L$52,0),MATCH($C201,'LV &amp; HV augex'!$D$27:$J$27,0)),0)*'Financial inputs'!$D$11</f>
        <v>0</v>
      </c>
      <c r="K201" s="40">
        <f>IFERROR(INDEX('LV &amp; HV augex'!$D$10:$P$18,MATCH($C201,'LV &amp; HV augex'!$C$10:$C$18,0),MATCH(K$19,'LV &amp; HV augex'!$D$9:$P$9,0))*INDEX('LV &amp; HV augex'!$D$28:$J$52,MATCH($B201,'LV &amp; HV augex'!$L$28:$L$52,0),MATCH($C201,'LV &amp; HV augex'!$D$27:$J$27,0)),0)*'Financial inputs'!$D$11</f>
        <v>0</v>
      </c>
      <c r="L201" s="40">
        <f>IFERROR(INDEX('LV &amp; HV augex'!$D$10:$P$18,MATCH($C201,'LV &amp; HV augex'!$C$10:$C$18,0),MATCH(L$19,'LV &amp; HV augex'!$D$9:$P$9,0))*INDEX('LV &amp; HV augex'!$D$28:$J$52,MATCH($B201,'LV &amp; HV augex'!$L$28:$L$52,0),MATCH($C201,'LV &amp; HV augex'!$D$27:$J$27,0)),0)*'Financial inputs'!$D$11</f>
        <v>0</v>
      </c>
      <c r="M201" s="40">
        <f>IFERROR(INDEX('LV &amp; HV augex'!$D$10:$P$18,MATCH($C201,'LV &amp; HV augex'!$C$10:$C$18,0),MATCH(M$19,'LV &amp; HV augex'!$D$9:$P$9,0))*INDEX('LV &amp; HV augex'!$D$28:$J$52,MATCH($B201,'LV &amp; HV augex'!$L$28:$L$52,0),MATCH($C201,'LV &amp; HV augex'!$D$27:$J$27,0)),0)*'Financial inputs'!$D$11</f>
        <v>0</v>
      </c>
      <c r="N201" s="40">
        <f>IFERROR(INDEX('LV &amp; HV augex'!$D$10:$P$18,MATCH($C201,'LV &amp; HV augex'!$C$10:$C$18,0),MATCH(N$19,'LV &amp; HV augex'!$D$9:$P$9,0))*INDEX('LV &amp; HV augex'!$D$28:$J$52,MATCH($B201,'LV &amp; HV augex'!$L$28:$L$52,0),MATCH($C201,'LV &amp; HV augex'!$D$27:$J$27,0)),0)*'Financial inputs'!$D$11</f>
        <v>0</v>
      </c>
      <c r="O201" s="40">
        <f>IFERROR(INDEX('LV &amp; HV augex'!$D$10:$P$18,MATCH($C201,'LV &amp; HV augex'!$C$10:$C$18,0),MATCH(O$19,'LV &amp; HV augex'!$D$9:$P$9,0))*INDEX('LV &amp; HV augex'!$D$28:$J$52,MATCH($B201,'LV &amp; HV augex'!$L$28:$L$52,0),MATCH($C201,'LV &amp; HV augex'!$D$27:$J$27,0)),0)*'Financial inputs'!$D$11</f>
        <v>0</v>
      </c>
      <c r="P201" s="40">
        <f>IFERROR(INDEX('LV &amp; HV augex'!$D$10:$P$18,MATCH($C201,'LV &amp; HV augex'!$C$10:$C$18,0),MATCH(P$19,'LV &amp; HV augex'!$D$9:$P$9,0))*INDEX('LV &amp; HV augex'!$D$28:$J$52,MATCH($B201,'LV &amp; HV augex'!$L$28:$L$52,0),MATCH($C201,'LV &amp; HV augex'!$D$27:$J$27,0)),0)*'Financial inputs'!$D$11</f>
        <v>0</v>
      </c>
    </row>
    <row r="202" spans="2:16" ht="15.5">
      <c r="B202" s="50" t="str">
        <f t="shared" si="9"/>
        <v>Auburn / Homebush</v>
      </c>
      <c r="C202" s="51" t="str">
        <f>'ST augex'!$I$10</f>
        <v>Total Asset Category</v>
      </c>
      <c r="D202" s="51" t="str">
        <f>IF(C202='ST augex'!$I$10, "ST", "Error")</f>
        <v>ST</v>
      </c>
      <c r="E202" s="51" t="str">
        <f>INDEX('Growing &amp; falling'!$D$14:$D$39,MATCH($B202,'Growing &amp; falling'!$B$14:$B$39,0))</f>
        <v>Growth</v>
      </c>
      <c r="F202" s="51" t="str">
        <f t="shared" si="8"/>
        <v>$2024 real</v>
      </c>
      <c r="G202" s="41">
        <f>SUMIFS('ST augex'!J:J,'ST augex'!$B:$B,$B202,'ST augex'!$I:$I,$C202)*(10^3)*'Financial inputs'!$D$12</f>
        <v>724582.47044876963</v>
      </c>
      <c r="H202" s="41">
        <f>SUMIFS('ST augex'!K:K,'ST augex'!$B:$B,$B202,'ST augex'!$I:$I,$C202)*(10^3)*'Financial inputs'!$D$12</f>
        <v>0</v>
      </c>
      <c r="I202" s="41">
        <f>SUMIFS('ST augex'!L:L,'ST augex'!$B:$B,$B202,'ST augex'!$I:$I,$C202)*(10^3)*'Financial inputs'!$D$12</f>
        <v>0</v>
      </c>
      <c r="J202" s="41">
        <f>SUMIFS('ST augex'!M:M,'ST augex'!$B:$B,$B202,'ST augex'!$I:$I,$C202)*(10^3)*'Financial inputs'!$D$12</f>
        <v>0</v>
      </c>
      <c r="K202" s="41">
        <f>SUMIFS('ST augex'!N:N,'ST augex'!$B:$B,$B202,'ST augex'!$I:$I,$C202)*(10^3)*'Financial inputs'!$D$12</f>
        <v>0</v>
      </c>
      <c r="L202" s="41">
        <f>SUMIFS('ST augex'!O:O,'ST augex'!$B:$B,$B202,'ST augex'!$I:$I,$C202)*(10^3)*'Financial inputs'!$D$12</f>
        <v>0</v>
      </c>
      <c r="M202" s="41">
        <f>SUMIFS('ST augex'!P:P,'ST augex'!$B:$B,$B202,'ST augex'!$I:$I,$C202)*(10^3)*'Financial inputs'!$D$12</f>
        <v>0</v>
      </c>
      <c r="N202" s="41">
        <f>SUMIFS('ST augex'!Q:Q,'ST augex'!$B:$B,$B202,'ST augex'!$I:$I,$C202)*(10^3)*'Financial inputs'!$D$12</f>
        <v>0</v>
      </c>
      <c r="O202" s="41">
        <f>SUMIFS('ST augex'!R:R,'ST augex'!$B:$B,$B202,'ST augex'!$I:$I,$C202)*(10^3)*'Financial inputs'!$D$12</f>
        <v>0</v>
      </c>
      <c r="P202" s="41">
        <f>SUMIFS('ST augex'!S:S,'ST augex'!$B:$B,$B202,'ST augex'!$I:$I,$C202)*(10^3)*'Financial inputs'!$D$12</f>
        <v>0</v>
      </c>
    </row>
    <row r="203" spans="2:16" ht="15.5">
      <c r="B203" s="2" t="str">
        <f t="shared" si="9"/>
        <v>Camperdown &amp; Blackwattle Bay</v>
      </c>
      <c r="C203" s="35" t="str">
        <f>'ST augex'!$I$10</f>
        <v>Total Asset Category</v>
      </c>
      <c r="D203" s="35" t="str">
        <f>IF(C203='ST augex'!$I$10, "ST", "Error")</f>
        <v>ST</v>
      </c>
      <c r="E203" s="35" t="str">
        <f>INDEX('Growing &amp; falling'!$D$14:$D$39,MATCH($B203,'Growing &amp; falling'!$B$14:$B$39,0))</f>
        <v>Growth</v>
      </c>
      <c r="F203" s="35" t="str">
        <f t="shared" si="8"/>
        <v>$2024 real</v>
      </c>
      <c r="G203" s="40">
        <f>SUMIFS('ST augex'!J:J,'ST augex'!$B:$B,$B203,'ST augex'!$I:$I,$C203)*(10^3)*'Financial inputs'!$D$12</f>
        <v>0</v>
      </c>
      <c r="H203" s="40">
        <f>SUMIFS('ST augex'!K:K,'ST augex'!$B:$B,$B203,'ST augex'!$I:$I,$C203)*(10^3)*'Financial inputs'!$D$12</f>
        <v>0</v>
      </c>
      <c r="I203" s="40">
        <f>SUMIFS('ST augex'!L:L,'ST augex'!$B:$B,$B203,'ST augex'!$I:$I,$C203)*(10^3)*'Financial inputs'!$D$12</f>
        <v>0</v>
      </c>
      <c r="J203" s="40">
        <f>SUMIFS('ST augex'!M:M,'ST augex'!$B:$B,$B203,'ST augex'!$I:$I,$C203)*(10^3)*'Financial inputs'!$D$12</f>
        <v>0</v>
      </c>
      <c r="K203" s="40">
        <f>SUMIFS('ST augex'!N:N,'ST augex'!$B:$B,$B203,'ST augex'!$I:$I,$C203)*(10^3)*'Financial inputs'!$D$12</f>
        <v>0</v>
      </c>
      <c r="L203" s="40">
        <f>SUMIFS('ST augex'!O:O,'ST augex'!$B:$B,$B203,'ST augex'!$I:$I,$C203)*(10^3)*'Financial inputs'!$D$12</f>
        <v>0</v>
      </c>
      <c r="M203" s="40">
        <f>SUMIFS('ST augex'!P:P,'ST augex'!$B:$B,$B203,'ST augex'!$I:$I,$C203)*(10^3)*'Financial inputs'!$D$12</f>
        <v>0</v>
      </c>
      <c r="N203" s="40">
        <f>SUMIFS('ST augex'!Q:Q,'ST augex'!$B:$B,$B203,'ST augex'!$I:$I,$C203)*(10^3)*'Financial inputs'!$D$12</f>
        <v>0</v>
      </c>
      <c r="O203" s="40">
        <f>SUMIFS('ST augex'!R:R,'ST augex'!$B:$B,$B203,'ST augex'!$I:$I,$C203)*(10^3)*'Financial inputs'!$D$12</f>
        <v>0</v>
      </c>
      <c r="P203" s="40">
        <f>SUMIFS('ST augex'!S:S,'ST augex'!$B:$B,$B203,'ST augex'!$I:$I,$C203)*(10^3)*'Financial inputs'!$D$12</f>
        <v>0</v>
      </c>
    </row>
    <row r="204" spans="2:16" ht="15.5">
      <c r="B204" s="2" t="str">
        <f t="shared" si="9"/>
        <v>Canterbury Bankstown</v>
      </c>
      <c r="C204" s="35" t="str">
        <f>'ST augex'!$I$10</f>
        <v>Total Asset Category</v>
      </c>
      <c r="D204" s="35" t="str">
        <f>IF(C204='ST augex'!$I$10, "ST", "Error")</f>
        <v>ST</v>
      </c>
      <c r="E204" s="35" t="str">
        <f>INDEX('Growing &amp; falling'!$D$14:$D$39,MATCH($B204,'Growing &amp; falling'!$B$14:$B$39,0))</f>
        <v>Growth</v>
      </c>
      <c r="F204" s="35" t="str">
        <f t="shared" si="8"/>
        <v>$2024 real</v>
      </c>
      <c r="G204" s="40">
        <f>SUMIFS('ST augex'!J:J,'ST augex'!$B:$B,$B204,'ST augex'!$I:$I,$C204)*(10^3)*'Financial inputs'!$D$12</f>
        <v>0</v>
      </c>
      <c r="H204" s="40">
        <f>SUMIFS('ST augex'!K:K,'ST augex'!$B:$B,$B204,'ST augex'!$I:$I,$C204)*(10^3)*'Financial inputs'!$D$12</f>
        <v>0</v>
      </c>
      <c r="I204" s="40">
        <f>SUMIFS('ST augex'!L:L,'ST augex'!$B:$B,$B204,'ST augex'!$I:$I,$C204)*(10^3)*'Financial inputs'!$D$12</f>
        <v>0</v>
      </c>
      <c r="J204" s="40">
        <f>SUMIFS('ST augex'!M:M,'ST augex'!$B:$B,$B204,'ST augex'!$I:$I,$C204)*(10^3)*'Financial inputs'!$D$12</f>
        <v>0</v>
      </c>
      <c r="K204" s="40">
        <f>SUMIFS('ST augex'!N:N,'ST augex'!$B:$B,$B204,'ST augex'!$I:$I,$C204)*(10^3)*'Financial inputs'!$D$12</f>
        <v>0</v>
      </c>
      <c r="L204" s="40">
        <f>SUMIFS('ST augex'!O:O,'ST augex'!$B:$B,$B204,'ST augex'!$I:$I,$C204)*(10^3)*'Financial inputs'!$D$12</f>
        <v>0</v>
      </c>
      <c r="M204" s="40">
        <f>SUMIFS('ST augex'!P:P,'ST augex'!$B:$B,$B204,'ST augex'!$I:$I,$C204)*(10^3)*'Financial inputs'!$D$12</f>
        <v>0</v>
      </c>
      <c r="N204" s="40">
        <f>SUMIFS('ST augex'!Q:Q,'ST augex'!$B:$B,$B204,'ST augex'!$I:$I,$C204)*(10^3)*'Financial inputs'!$D$12</f>
        <v>0</v>
      </c>
      <c r="O204" s="40">
        <f>SUMIFS('ST augex'!R:R,'ST augex'!$B:$B,$B204,'ST augex'!$I:$I,$C204)*(10^3)*'Financial inputs'!$D$12</f>
        <v>0</v>
      </c>
      <c r="P204" s="40">
        <f>SUMIFS('ST augex'!S:S,'ST augex'!$B:$B,$B204,'ST augex'!$I:$I,$C204)*(10^3)*'Financial inputs'!$D$12</f>
        <v>0</v>
      </c>
    </row>
    <row r="205" spans="2:16" ht="15.5">
      <c r="B205" s="2" t="str">
        <f t="shared" si="9"/>
        <v>Carlingford</v>
      </c>
      <c r="C205" s="35" t="str">
        <f>'ST augex'!$I$10</f>
        <v>Total Asset Category</v>
      </c>
      <c r="D205" s="35" t="str">
        <f>IF(C205='ST augex'!$I$10, "ST", "Error")</f>
        <v>ST</v>
      </c>
      <c r="E205" s="35" t="str">
        <f>INDEX('Growing &amp; falling'!$D$14:$D$39,MATCH($B205,'Growing &amp; falling'!$B$14:$B$39,0))</f>
        <v>Growth</v>
      </c>
      <c r="F205" s="35" t="str">
        <f t="shared" si="8"/>
        <v>$2024 real</v>
      </c>
      <c r="G205" s="40">
        <f>SUMIFS('ST augex'!J:J,'ST augex'!$B:$B,$B205,'ST augex'!$I:$I,$C205)*(10^3)*'Financial inputs'!$D$12</f>
        <v>1149455.877830381</v>
      </c>
      <c r="H205" s="40">
        <f>SUMIFS('ST augex'!K:K,'ST augex'!$B:$B,$B205,'ST augex'!$I:$I,$C205)*(10^3)*'Financial inputs'!$D$12</f>
        <v>4311326.7969312649</v>
      </c>
      <c r="I205" s="40">
        <f>SUMIFS('ST augex'!L:L,'ST augex'!$B:$B,$B205,'ST augex'!$I:$I,$C205)*(10^3)*'Financial inputs'!$D$12</f>
        <v>10537689.962771736</v>
      </c>
      <c r="J205" s="40">
        <f>SUMIFS('ST augex'!M:M,'ST augex'!$B:$B,$B205,'ST augex'!$I:$I,$C205)*(10^3)*'Financial inputs'!$D$12</f>
        <v>439987.45273921621</v>
      </c>
      <c r="K205" s="40">
        <f>SUMIFS('ST augex'!N:N,'ST augex'!$B:$B,$B205,'ST augex'!$I:$I,$C205)*(10^3)*'Financial inputs'!$D$12</f>
        <v>0</v>
      </c>
      <c r="L205" s="40">
        <f>SUMIFS('ST augex'!O:O,'ST augex'!$B:$B,$B205,'ST augex'!$I:$I,$C205)*(10^3)*'Financial inputs'!$D$12</f>
        <v>0</v>
      </c>
      <c r="M205" s="40">
        <f>SUMIFS('ST augex'!P:P,'ST augex'!$B:$B,$B205,'ST augex'!$I:$I,$C205)*(10^3)*'Financial inputs'!$D$12</f>
        <v>0</v>
      </c>
      <c r="N205" s="40">
        <f>SUMIFS('ST augex'!Q:Q,'ST augex'!$B:$B,$B205,'ST augex'!$I:$I,$C205)*(10^3)*'Financial inputs'!$D$12</f>
        <v>0</v>
      </c>
      <c r="O205" s="40">
        <f>SUMIFS('ST augex'!R:R,'ST augex'!$B:$B,$B205,'ST augex'!$I:$I,$C205)*(10^3)*'Financial inputs'!$D$12</f>
        <v>0</v>
      </c>
      <c r="P205" s="40">
        <f>SUMIFS('ST augex'!S:S,'ST augex'!$B:$B,$B205,'ST augex'!$I:$I,$C205)*(10^3)*'Financial inputs'!$D$12</f>
        <v>0</v>
      </c>
    </row>
    <row r="206" spans="2:16" ht="15.5">
      <c r="B206" s="2" t="str">
        <f t="shared" si="9"/>
        <v>Eastern Suburbs</v>
      </c>
      <c r="C206" s="35" t="str">
        <f>'ST augex'!$I$10</f>
        <v>Total Asset Category</v>
      </c>
      <c r="D206" s="35" t="str">
        <f>IF(C206='ST augex'!$I$10, "ST", "Error")</f>
        <v>ST</v>
      </c>
      <c r="E206" s="35" t="str">
        <f>INDEX('Growing &amp; falling'!$D$14:$D$39,MATCH($B206,'Growing &amp; falling'!$B$14:$B$39,0))</f>
        <v>Growth</v>
      </c>
      <c r="F206" s="35" t="str">
        <f t="shared" si="8"/>
        <v>$2024 real</v>
      </c>
      <c r="G206" s="40">
        <f>SUMIFS('ST augex'!J:J,'ST augex'!$B:$B,$B206,'ST augex'!$I:$I,$C206)*(10^3)*'Financial inputs'!$D$12</f>
        <v>948778.23190634255</v>
      </c>
      <c r="H206" s="40">
        <f>SUMIFS('ST augex'!K:K,'ST augex'!$B:$B,$B206,'ST augex'!$I:$I,$C206)*(10^3)*'Financial inputs'!$D$12</f>
        <v>37556.288652463583</v>
      </c>
      <c r="I206" s="40">
        <f>SUMIFS('ST augex'!L:L,'ST augex'!$B:$B,$B206,'ST augex'!$I:$I,$C206)*(10^3)*'Financial inputs'!$D$12</f>
        <v>0</v>
      </c>
      <c r="J206" s="40">
        <f>SUMIFS('ST augex'!M:M,'ST augex'!$B:$B,$B206,'ST augex'!$I:$I,$C206)*(10^3)*'Financial inputs'!$D$12</f>
        <v>0</v>
      </c>
      <c r="K206" s="40">
        <f>SUMIFS('ST augex'!N:N,'ST augex'!$B:$B,$B206,'ST augex'!$I:$I,$C206)*(10^3)*'Financial inputs'!$D$12</f>
        <v>0</v>
      </c>
      <c r="L206" s="40">
        <f>SUMIFS('ST augex'!O:O,'ST augex'!$B:$B,$B206,'ST augex'!$I:$I,$C206)*(10^3)*'Financial inputs'!$D$12</f>
        <v>0</v>
      </c>
      <c r="M206" s="40">
        <f>SUMIFS('ST augex'!P:P,'ST augex'!$B:$B,$B206,'ST augex'!$I:$I,$C206)*(10^3)*'Financial inputs'!$D$12</f>
        <v>0</v>
      </c>
      <c r="N206" s="40">
        <f>SUMIFS('ST augex'!Q:Q,'ST augex'!$B:$B,$B206,'ST augex'!$I:$I,$C206)*(10^3)*'Financial inputs'!$D$12</f>
        <v>0</v>
      </c>
      <c r="O206" s="40">
        <f>SUMIFS('ST augex'!R:R,'ST augex'!$B:$B,$B206,'ST augex'!$I:$I,$C206)*(10^3)*'Financial inputs'!$D$12</f>
        <v>0</v>
      </c>
      <c r="P206" s="40">
        <f>SUMIFS('ST augex'!S:S,'ST augex'!$B:$B,$B206,'ST augex'!$I:$I,$C206)*(10^3)*'Financial inputs'!$D$12</f>
        <v>0</v>
      </c>
    </row>
    <row r="207" spans="2:16" ht="15.5">
      <c r="B207" s="2" t="str">
        <f t="shared" si="9"/>
        <v>Greater Cessnock</v>
      </c>
      <c r="C207" s="35" t="str">
        <f>'ST augex'!$I$10</f>
        <v>Total Asset Category</v>
      </c>
      <c r="D207" s="35" t="str">
        <f>IF(C207='ST augex'!$I$10, "ST", "Error")</f>
        <v>ST</v>
      </c>
      <c r="E207" s="35" t="str">
        <f>INDEX('Growing &amp; falling'!$D$14:$D$39,MATCH($B207,'Growing &amp; falling'!$B$14:$B$39,0))</f>
        <v>Growth</v>
      </c>
      <c r="F207" s="35" t="str">
        <f t="shared" si="8"/>
        <v>$2024 real</v>
      </c>
      <c r="G207" s="40">
        <f>SUMIFS('ST augex'!J:J,'ST augex'!$B:$B,$B207,'ST augex'!$I:$I,$C207)*(10^3)*'Financial inputs'!$D$12</f>
        <v>0</v>
      </c>
      <c r="H207" s="40">
        <f>SUMIFS('ST augex'!K:K,'ST augex'!$B:$B,$B207,'ST augex'!$I:$I,$C207)*(10^3)*'Financial inputs'!$D$12</f>
        <v>0</v>
      </c>
      <c r="I207" s="40">
        <f>SUMIFS('ST augex'!L:L,'ST augex'!$B:$B,$B207,'ST augex'!$I:$I,$C207)*(10^3)*'Financial inputs'!$D$12</f>
        <v>0</v>
      </c>
      <c r="J207" s="40">
        <f>SUMIFS('ST augex'!M:M,'ST augex'!$B:$B,$B207,'ST augex'!$I:$I,$C207)*(10^3)*'Financial inputs'!$D$12</f>
        <v>0</v>
      </c>
      <c r="K207" s="40">
        <f>SUMIFS('ST augex'!N:N,'ST augex'!$B:$B,$B207,'ST augex'!$I:$I,$C207)*(10^3)*'Financial inputs'!$D$12</f>
        <v>0</v>
      </c>
      <c r="L207" s="40">
        <f>SUMIFS('ST augex'!O:O,'ST augex'!$B:$B,$B207,'ST augex'!$I:$I,$C207)*(10^3)*'Financial inputs'!$D$12</f>
        <v>0</v>
      </c>
      <c r="M207" s="40">
        <f>SUMIFS('ST augex'!P:P,'ST augex'!$B:$B,$B207,'ST augex'!$I:$I,$C207)*(10^3)*'Financial inputs'!$D$12</f>
        <v>0</v>
      </c>
      <c r="N207" s="40">
        <f>SUMIFS('ST augex'!Q:Q,'ST augex'!$B:$B,$B207,'ST augex'!$I:$I,$C207)*(10^3)*'Financial inputs'!$D$12</f>
        <v>0</v>
      </c>
      <c r="O207" s="40">
        <f>SUMIFS('ST augex'!R:R,'ST augex'!$B:$B,$B207,'ST augex'!$I:$I,$C207)*(10^3)*'Financial inputs'!$D$12</f>
        <v>0</v>
      </c>
      <c r="P207" s="40">
        <f>SUMIFS('ST augex'!S:S,'ST augex'!$B:$B,$B207,'ST augex'!$I:$I,$C207)*(10^3)*'Financial inputs'!$D$12</f>
        <v>0</v>
      </c>
    </row>
    <row r="208" spans="2:16" ht="15.5">
      <c r="B208" s="2" t="str">
        <f t="shared" si="9"/>
        <v>Lower Central Coast</v>
      </c>
      <c r="C208" s="35" t="str">
        <f>'ST augex'!$I$10</f>
        <v>Total Asset Category</v>
      </c>
      <c r="D208" s="35" t="str">
        <f>IF(C208='ST augex'!$I$10, "ST", "Error")</f>
        <v>ST</v>
      </c>
      <c r="E208" s="35" t="str">
        <f>INDEX('Growing &amp; falling'!$D$14:$D$39,MATCH($B208,'Growing &amp; falling'!$B$14:$B$39,0))</f>
        <v>Growth</v>
      </c>
      <c r="F208" s="35" t="str">
        <f t="shared" si="8"/>
        <v>$2024 real</v>
      </c>
      <c r="G208" s="40">
        <f>SUMIFS('ST augex'!J:J,'ST augex'!$B:$B,$B208,'ST augex'!$I:$I,$C208)*(10^3)*'Financial inputs'!$D$12</f>
        <v>0</v>
      </c>
      <c r="H208" s="40">
        <f>SUMIFS('ST augex'!K:K,'ST augex'!$B:$B,$B208,'ST augex'!$I:$I,$C208)*(10^3)*'Financial inputs'!$D$12</f>
        <v>0</v>
      </c>
      <c r="I208" s="40">
        <f>SUMIFS('ST augex'!L:L,'ST augex'!$B:$B,$B208,'ST augex'!$I:$I,$C208)*(10^3)*'Financial inputs'!$D$12</f>
        <v>0</v>
      </c>
      <c r="J208" s="40">
        <f>SUMIFS('ST augex'!M:M,'ST augex'!$B:$B,$B208,'ST augex'!$I:$I,$C208)*(10^3)*'Financial inputs'!$D$12</f>
        <v>0</v>
      </c>
      <c r="K208" s="40">
        <f>SUMIFS('ST augex'!N:N,'ST augex'!$B:$B,$B208,'ST augex'!$I:$I,$C208)*(10^3)*'Financial inputs'!$D$12</f>
        <v>0</v>
      </c>
      <c r="L208" s="40">
        <f>SUMIFS('ST augex'!O:O,'ST augex'!$B:$B,$B208,'ST augex'!$I:$I,$C208)*(10^3)*'Financial inputs'!$D$12</f>
        <v>0</v>
      </c>
      <c r="M208" s="40">
        <f>SUMIFS('ST augex'!P:P,'ST augex'!$B:$B,$B208,'ST augex'!$I:$I,$C208)*(10^3)*'Financial inputs'!$D$12</f>
        <v>0</v>
      </c>
      <c r="N208" s="40">
        <f>SUMIFS('ST augex'!Q:Q,'ST augex'!$B:$B,$B208,'ST augex'!$I:$I,$C208)*(10^3)*'Financial inputs'!$D$12</f>
        <v>0</v>
      </c>
      <c r="O208" s="40">
        <f>SUMIFS('ST augex'!R:R,'ST augex'!$B:$B,$B208,'ST augex'!$I:$I,$C208)*(10^3)*'Financial inputs'!$D$12</f>
        <v>0</v>
      </c>
      <c r="P208" s="40">
        <f>SUMIFS('ST augex'!S:S,'ST augex'!$B:$B,$B208,'ST augex'!$I:$I,$C208)*(10^3)*'Financial inputs'!$D$12</f>
        <v>0</v>
      </c>
    </row>
    <row r="209" spans="2:16" ht="15.5">
      <c r="B209" s="2" t="str">
        <f t="shared" si="9"/>
        <v>Lower North Shore</v>
      </c>
      <c r="C209" s="35" t="str">
        <f>'ST augex'!$I$10</f>
        <v>Total Asset Category</v>
      </c>
      <c r="D209" s="35" t="str">
        <f>IF(C209='ST augex'!$I$10, "ST", "Error")</f>
        <v>ST</v>
      </c>
      <c r="E209" s="35" t="str">
        <f>INDEX('Growing &amp; falling'!$D$14:$D$39,MATCH($B209,'Growing &amp; falling'!$B$14:$B$39,0))</f>
        <v>Growth</v>
      </c>
      <c r="F209" s="35" t="str">
        <f t="shared" si="8"/>
        <v>$2024 real</v>
      </c>
      <c r="G209" s="40">
        <f>SUMIFS('ST augex'!J:J,'ST augex'!$B:$B,$B209,'ST augex'!$I:$I,$C209)*(10^3)*'Financial inputs'!$D$12</f>
        <v>0</v>
      </c>
      <c r="H209" s="40">
        <f>SUMIFS('ST augex'!K:K,'ST augex'!$B:$B,$B209,'ST augex'!$I:$I,$C209)*(10^3)*'Financial inputs'!$D$12</f>
        <v>0</v>
      </c>
      <c r="I209" s="40">
        <f>SUMIFS('ST augex'!L:L,'ST augex'!$B:$B,$B209,'ST augex'!$I:$I,$C209)*(10^3)*'Financial inputs'!$D$12</f>
        <v>0</v>
      </c>
      <c r="J209" s="40">
        <f>SUMIFS('ST augex'!M:M,'ST augex'!$B:$B,$B209,'ST augex'!$I:$I,$C209)*(10^3)*'Financial inputs'!$D$12</f>
        <v>0</v>
      </c>
      <c r="K209" s="40">
        <f>SUMIFS('ST augex'!N:N,'ST augex'!$B:$B,$B209,'ST augex'!$I:$I,$C209)*(10^3)*'Financial inputs'!$D$12</f>
        <v>0</v>
      </c>
      <c r="L209" s="40">
        <f>SUMIFS('ST augex'!O:O,'ST augex'!$B:$B,$B209,'ST augex'!$I:$I,$C209)*(10^3)*'Financial inputs'!$D$12</f>
        <v>0</v>
      </c>
      <c r="M209" s="40">
        <f>SUMIFS('ST augex'!P:P,'ST augex'!$B:$B,$B209,'ST augex'!$I:$I,$C209)*(10^3)*'Financial inputs'!$D$12</f>
        <v>0</v>
      </c>
      <c r="N209" s="40">
        <f>SUMIFS('ST augex'!Q:Q,'ST augex'!$B:$B,$B209,'ST augex'!$I:$I,$C209)*(10^3)*'Financial inputs'!$D$12</f>
        <v>0</v>
      </c>
      <c r="O209" s="40">
        <f>SUMIFS('ST augex'!R:R,'ST augex'!$B:$B,$B209,'ST augex'!$I:$I,$C209)*(10^3)*'Financial inputs'!$D$12</f>
        <v>0</v>
      </c>
      <c r="P209" s="40">
        <f>SUMIFS('ST augex'!S:S,'ST augex'!$B:$B,$B209,'ST augex'!$I:$I,$C209)*(10^3)*'Financial inputs'!$D$12</f>
        <v>0</v>
      </c>
    </row>
    <row r="210" spans="2:16" ht="15.5">
      <c r="B210" s="2" t="str">
        <f t="shared" si="9"/>
        <v>Maitland</v>
      </c>
      <c r="C210" s="35" t="str">
        <f>'ST augex'!$I$10</f>
        <v>Total Asset Category</v>
      </c>
      <c r="D210" s="35" t="str">
        <f>IF(C210='ST augex'!$I$10, "ST", "Error")</f>
        <v>ST</v>
      </c>
      <c r="E210" s="35" t="str">
        <f>INDEX('Growing &amp; falling'!$D$14:$D$39,MATCH($B210,'Growing &amp; falling'!$B$14:$B$39,0))</f>
        <v>Growth</v>
      </c>
      <c r="F210" s="35" t="str">
        <f t="shared" si="8"/>
        <v>$2024 real</v>
      </c>
      <c r="G210" s="40">
        <f>SUMIFS('ST augex'!J:J,'ST augex'!$B:$B,$B210,'ST augex'!$I:$I,$C210)*(10^3)*'Financial inputs'!$D$12</f>
        <v>0</v>
      </c>
      <c r="H210" s="40">
        <f>SUMIFS('ST augex'!K:K,'ST augex'!$B:$B,$B210,'ST augex'!$I:$I,$C210)*(10^3)*'Financial inputs'!$D$12</f>
        <v>0</v>
      </c>
      <c r="I210" s="40">
        <f>SUMIFS('ST augex'!L:L,'ST augex'!$B:$B,$B210,'ST augex'!$I:$I,$C210)*(10^3)*'Financial inputs'!$D$12</f>
        <v>0</v>
      </c>
      <c r="J210" s="40">
        <f>SUMIFS('ST augex'!M:M,'ST augex'!$B:$B,$B210,'ST augex'!$I:$I,$C210)*(10^3)*'Financial inputs'!$D$12</f>
        <v>0</v>
      </c>
      <c r="K210" s="40">
        <f>SUMIFS('ST augex'!N:N,'ST augex'!$B:$B,$B210,'ST augex'!$I:$I,$C210)*(10^3)*'Financial inputs'!$D$12</f>
        <v>0</v>
      </c>
      <c r="L210" s="40">
        <f>SUMIFS('ST augex'!O:O,'ST augex'!$B:$B,$B210,'ST augex'!$I:$I,$C210)*(10^3)*'Financial inputs'!$D$12</f>
        <v>0</v>
      </c>
      <c r="M210" s="40">
        <f>SUMIFS('ST augex'!P:P,'ST augex'!$B:$B,$B210,'ST augex'!$I:$I,$C210)*(10^3)*'Financial inputs'!$D$12</f>
        <v>0</v>
      </c>
      <c r="N210" s="40">
        <f>SUMIFS('ST augex'!Q:Q,'ST augex'!$B:$B,$B210,'ST augex'!$I:$I,$C210)*(10^3)*'Financial inputs'!$D$12</f>
        <v>0</v>
      </c>
      <c r="O210" s="40">
        <f>SUMIFS('ST augex'!R:R,'ST augex'!$B:$B,$B210,'ST augex'!$I:$I,$C210)*(10^3)*'Financial inputs'!$D$12</f>
        <v>0</v>
      </c>
      <c r="P210" s="40">
        <f>SUMIFS('ST augex'!S:S,'ST augex'!$B:$B,$B210,'ST augex'!$I:$I,$C210)*(10^3)*'Financial inputs'!$D$12</f>
        <v>0</v>
      </c>
    </row>
    <row r="211" spans="2:16" ht="15.5">
      <c r="B211" s="2" t="str">
        <f t="shared" si="9"/>
        <v>Manly Warringah</v>
      </c>
      <c r="C211" s="35" t="str">
        <f>'ST augex'!$I$10</f>
        <v>Total Asset Category</v>
      </c>
      <c r="D211" s="35" t="str">
        <f>IF(C211='ST augex'!$I$10, "ST", "Error")</f>
        <v>ST</v>
      </c>
      <c r="E211" s="35" t="str">
        <f>INDEX('Growing &amp; falling'!$D$14:$D$39,MATCH($B211,'Growing &amp; falling'!$B$14:$B$39,0))</f>
        <v>Growth</v>
      </c>
      <c r="F211" s="35" t="str">
        <f t="shared" si="8"/>
        <v>$2024 real</v>
      </c>
      <c r="G211" s="40">
        <f>SUMIFS('ST augex'!J:J,'ST augex'!$B:$B,$B211,'ST augex'!$I:$I,$C211)*(10^3)*'Financial inputs'!$D$12</f>
        <v>0</v>
      </c>
      <c r="H211" s="40">
        <f>SUMIFS('ST augex'!K:K,'ST augex'!$B:$B,$B211,'ST augex'!$I:$I,$C211)*(10^3)*'Financial inputs'!$D$12</f>
        <v>0</v>
      </c>
      <c r="I211" s="40">
        <f>SUMIFS('ST augex'!L:L,'ST augex'!$B:$B,$B211,'ST augex'!$I:$I,$C211)*(10^3)*'Financial inputs'!$D$12</f>
        <v>0</v>
      </c>
      <c r="J211" s="40">
        <f>SUMIFS('ST augex'!M:M,'ST augex'!$B:$B,$B211,'ST augex'!$I:$I,$C211)*(10^3)*'Financial inputs'!$D$12</f>
        <v>0</v>
      </c>
      <c r="K211" s="40">
        <f>SUMIFS('ST augex'!N:N,'ST augex'!$B:$B,$B211,'ST augex'!$I:$I,$C211)*(10^3)*'Financial inputs'!$D$12</f>
        <v>0</v>
      </c>
      <c r="L211" s="40">
        <f>SUMIFS('ST augex'!O:O,'ST augex'!$B:$B,$B211,'ST augex'!$I:$I,$C211)*(10^3)*'Financial inputs'!$D$12</f>
        <v>0</v>
      </c>
      <c r="M211" s="40">
        <f>SUMIFS('ST augex'!P:P,'ST augex'!$B:$B,$B211,'ST augex'!$I:$I,$C211)*(10^3)*'Financial inputs'!$D$12</f>
        <v>0</v>
      </c>
      <c r="N211" s="40">
        <f>SUMIFS('ST augex'!Q:Q,'ST augex'!$B:$B,$B211,'ST augex'!$I:$I,$C211)*(10^3)*'Financial inputs'!$D$12</f>
        <v>0</v>
      </c>
      <c r="O211" s="40">
        <f>SUMIFS('ST augex'!R:R,'ST augex'!$B:$B,$B211,'ST augex'!$I:$I,$C211)*(10^3)*'Financial inputs'!$D$12</f>
        <v>0</v>
      </c>
      <c r="P211" s="40">
        <f>SUMIFS('ST augex'!S:S,'ST augex'!$B:$B,$B211,'ST augex'!$I:$I,$C211)*(10^3)*'Financial inputs'!$D$12</f>
        <v>0</v>
      </c>
    </row>
    <row r="212" spans="2:16" ht="15.5">
      <c r="B212" s="2" t="str">
        <f t="shared" si="9"/>
        <v>Newcastle Inner City</v>
      </c>
      <c r="C212" s="35" t="str">
        <f>'ST augex'!$I$10</f>
        <v>Total Asset Category</v>
      </c>
      <c r="D212" s="35" t="str">
        <f>IF(C212='ST augex'!$I$10, "ST", "Error")</f>
        <v>ST</v>
      </c>
      <c r="E212" s="35" t="str">
        <f>INDEX('Growing &amp; falling'!$D$14:$D$39,MATCH($B212,'Growing &amp; falling'!$B$14:$B$39,0))</f>
        <v>Decline</v>
      </c>
      <c r="F212" s="35" t="str">
        <f t="shared" si="8"/>
        <v>$2024 real</v>
      </c>
      <c r="G212" s="40">
        <f>SUMIFS('ST augex'!J:J,'ST augex'!$B:$B,$B212,'ST augex'!$I:$I,$C212)*(10^3)*'Financial inputs'!$D$12</f>
        <v>0</v>
      </c>
      <c r="H212" s="40">
        <f>SUMIFS('ST augex'!K:K,'ST augex'!$B:$B,$B212,'ST augex'!$I:$I,$C212)*(10^3)*'Financial inputs'!$D$12</f>
        <v>0</v>
      </c>
      <c r="I212" s="40">
        <f>SUMIFS('ST augex'!L:L,'ST augex'!$B:$B,$B212,'ST augex'!$I:$I,$C212)*(10^3)*'Financial inputs'!$D$12</f>
        <v>0</v>
      </c>
      <c r="J212" s="40">
        <f>SUMIFS('ST augex'!M:M,'ST augex'!$B:$B,$B212,'ST augex'!$I:$I,$C212)*(10^3)*'Financial inputs'!$D$12</f>
        <v>0</v>
      </c>
      <c r="K212" s="40">
        <f>SUMIFS('ST augex'!N:N,'ST augex'!$B:$B,$B212,'ST augex'!$I:$I,$C212)*(10^3)*'Financial inputs'!$D$12</f>
        <v>0</v>
      </c>
      <c r="L212" s="40">
        <f>SUMIFS('ST augex'!O:O,'ST augex'!$B:$B,$B212,'ST augex'!$I:$I,$C212)*(10^3)*'Financial inputs'!$D$12</f>
        <v>0</v>
      </c>
      <c r="M212" s="40">
        <f>SUMIFS('ST augex'!P:P,'ST augex'!$B:$B,$B212,'ST augex'!$I:$I,$C212)*(10^3)*'Financial inputs'!$D$12</f>
        <v>0</v>
      </c>
      <c r="N212" s="40">
        <f>SUMIFS('ST augex'!Q:Q,'ST augex'!$B:$B,$B212,'ST augex'!$I:$I,$C212)*(10^3)*'Financial inputs'!$D$12</f>
        <v>0</v>
      </c>
      <c r="O212" s="40">
        <f>SUMIFS('ST augex'!R:R,'ST augex'!$B:$B,$B212,'ST augex'!$I:$I,$C212)*(10^3)*'Financial inputs'!$D$12</f>
        <v>0</v>
      </c>
      <c r="P212" s="40">
        <f>SUMIFS('ST augex'!S:S,'ST augex'!$B:$B,$B212,'ST augex'!$I:$I,$C212)*(10^3)*'Financial inputs'!$D$12</f>
        <v>0</v>
      </c>
    </row>
    <row r="213" spans="2:16" ht="15.5">
      <c r="B213" s="2" t="str">
        <f t="shared" si="9"/>
        <v>Newcastle Port</v>
      </c>
      <c r="C213" s="35" t="str">
        <f>'ST augex'!$I$10</f>
        <v>Total Asset Category</v>
      </c>
      <c r="D213" s="35" t="str">
        <f>IF(C213='ST augex'!$I$10, "ST", "Error")</f>
        <v>ST</v>
      </c>
      <c r="E213" s="35" t="str">
        <f>INDEX('Growing &amp; falling'!$D$14:$D$39,MATCH($B213,'Growing &amp; falling'!$B$14:$B$39,0))</f>
        <v>Growth</v>
      </c>
      <c r="F213" s="35" t="str">
        <f t="shared" si="8"/>
        <v>$2024 real</v>
      </c>
      <c r="G213" s="40">
        <f>SUMIFS('ST augex'!J:J,'ST augex'!$B:$B,$B213,'ST augex'!$I:$I,$C213)*(10^3)*'Financial inputs'!$D$12</f>
        <v>0</v>
      </c>
      <c r="H213" s="40">
        <f>SUMIFS('ST augex'!K:K,'ST augex'!$B:$B,$B213,'ST augex'!$I:$I,$C213)*(10^3)*'Financial inputs'!$D$12</f>
        <v>0</v>
      </c>
      <c r="I213" s="40">
        <f>SUMIFS('ST augex'!L:L,'ST augex'!$B:$B,$B213,'ST augex'!$I:$I,$C213)*(10^3)*'Financial inputs'!$D$12</f>
        <v>0</v>
      </c>
      <c r="J213" s="40">
        <f>SUMIFS('ST augex'!M:M,'ST augex'!$B:$B,$B213,'ST augex'!$I:$I,$C213)*(10^3)*'Financial inputs'!$D$12</f>
        <v>0</v>
      </c>
      <c r="K213" s="40">
        <f>SUMIFS('ST augex'!N:N,'ST augex'!$B:$B,$B213,'ST augex'!$I:$I,$C213)*(10^3)*'Financial inputs'!$D$12</f>
        <v>0</v>
      </c>
      <c r="L213" s="40">
        <f>SUMIFS('ST augex'!O:O,'ST augex'!$B:$B,$B213,'ST augex'!$I:$I,$C213)*(10^3)*'Financial inputs'!$D$12</f>
        <v>0</v>
      </c>
      <c r="M213" s="40">
        <f>SUMIFS('ST augex'!P:P,'ST augex'!$B:$B,$B213,'ST augex'!$I:$I,$C213)*(10^3)*'Financial inputs'!$D$12</f>
        <v>0</v>
      </c>
      <c r="N213" s="40">
        <f>SUMIFS('ST augex'!Q:Q,'ST augex'!$B:$B,$B213,'ST augex'!$I:$I,$C213)*(10^3)*'Financial inputs'!$D$12</f>
        <v>0</v>
      </c>
      <c r="O213" s="40">
        <f>SUMIFS('ST augex'!R:R,'ST augex'!$B:$B,$B213,'ST augex'!$I:$I,$C213)*(10^3)*'Financial inputs'!$D$12</f>
        <v>0</v>
      </c>
      <c r="P213" s="40">
        <f>SUMIFS('ST augex'!S:S,'ST augex'!$B:$B,$B213,'ST augex'!$I:$I,$C213)*(10^3)*'Financial inputs'!$D$12</f>
        <v>0</v>
      </c>
    </row>
    <row r="214" spans="2:16" ht="15.5">
      <c r="B214" s="2" t="str">
        <f t="shared" si="9"/>
        <v>Newcastle Western Corridor</v>
      </c>
      <c r="C214" s="35" t="str">
        <f>'ST augex'!$I$10</f>
        <v>Total Asset Category</v>
      </c>
      <c r="D214" s="35" t="str">
        <f>IF(C214='ST augex'!$I$10, "ST", "Error")</f>
        <v>ST</v>
      </c>
      <c r="E214" s="35" t="str">
        <f>INDEX('Growing &amp; falling'!$D$14:$D$39,MATCH($B214,'Growing &amp; falling'!$B$14:$B$39,0))</f>
        <v>Decline</v>
      </c>
      <c r="F214" s="35" t="str">
        <f t="shared" ref="F214:F227" si="10">F213</f>
        <v>$2024 real</v>
      </c>
      <c r="G214" s="40">
        <f>SUMIFS('ST augex'!J:J,'ST augex'!$B:$B,$B214,'ST augex'!$I:$I,$C214)*(10^3)*'Financial inputs'!$D$12</f>
        <v>0</v>
      </c>
      <c r="H214" s="40">
        <f>SUMIFS('ST augex'!K:K,'ST augex'!$B:$B,$B214,'ST augex'!$I:$I,$C214)*(10^3)*'Financial inputs'!$D$12</f>
        <v>0</v>
      </c>
      <c r="I214" s="40">
        <f>SUMIFS('ST augex'!L:L,'ST augex'!$B:$B,$B214,'ST augex'!$I:$I,$C214)*(10^3)*'Financial inputs'!$D$12</f>
        <v>0</v>
      </c>
      <c r="J214" s="40">
        <f>SUMIFS('ST augex'!M:M,'ST augex'!$B:$B,$B214,'ST augex'!$I:$I,$C214)*(10^3)*'Financial inputs'!$D$12</f>
        <v>0</v>
      </c>
      <c r="K214" s="40">
        <f>SUMIFS('ST augex'!N:N,'ST augex'!$B:$B,$B214,'ST augex'!$I:$I,$C214)*(10^3)*'Financial inputs'!$D$12</f>
        <v>0</v>
      </c>
      <c r="L214" s="40">
        <f>SUMIFS('ST augex'!O:O,'ST augex'!$B:$B,$B214,'ST augex'!$I:$I,$C214)*(10^3)*'Financial inputs'!$D$12</f>
        <v>0</v>
      </c>
      <c r="M214" s="40">
        <f>SUMIFS('ST augex'!P:P,'ST augex'!$B:$B,$B214,'ST augex'!$I:$I,$C214)*(10^3)*'Financial inputs'!$D$12</f>
        <v>0</v>
      </c>
      <c r="N214" s="40">
        <f>SUMIFS('ST augex'!Q:Q,'ST augex'!$B:$B,$B214,'ST augex'!$I:$I,$C214)*(10^3)*'Financial inputs'!$D$12</f>
        <v>0</v>
      </c>
      <c r="O214" s="40">
        <f>SUMIFS('ST augex'!R:R,'ST augex'!$B:$B,$B214,'ST augex'!$I:$I,$C214)*(10^3)*'Financial inputs'!$D$12</f>
        <v>0</v>
      </c>
      <c r="P214" s="40">
        <f>SUMIFS('ST augex'!S:S,'ST augex'!$B:$B,$B214,'ST augex'!$I:$I,$C214)*(10^3)*'Financial inputs'!$D$12</f>
        <v>0</v>
      </c>
    </row>
    <row r="215" spans="2:16" ht="15.5">
      <c r="B215" s="2" t="str">
        <f t="shared" si="9"/>
        <v>North East Lake Macquarie</v>
      </c>
      <c r="C215" s="35" t="str">
        <f>'ST augex'!$I$10</f>
        <v>Total Asset Category</v>
      </c>
      <c r="D215" s="35" t="str">
        <f>IF(C215='ST augex'!$I$10, "ST", "Error")</f>
        <v>ST</v>
      </c>
      <c r="E215" s="35" t="str">
        <f>INDEX('Growing &amp; falling'!$D$14:$D$39,MATCH($B215,'Growing &amp; falling'!$B$14:$B$39,0))</f>
        <v>Decline</v>
      </c>
      <c r="F215" s="35" t="str">
        <f t="shared" si="10"/>
        <v>$2024 real</v>
      </c>
      <c r="G215" s="40">
        <f>SUMIFS('ST augex'!J:J,'ST augex'!$B:$B,$B215,'ST augex'!$I:$I,$C215)*(10^3)*'Financial inputs'!$D$12</f>
        <v>0</v>
      </c>
      <c r="H215" s="40">
        <f>SUMIFS('ST augex'!K:K,'ST augex'!$B:$B,$B215,'ST augex'!$I:$I,$C215)*(10^3)*'Financial inputs'!$D$12</f>
        <v>0</v>
      </c>
      <c r="I215" s="40">
        <f>SUMIFS('ST augex'!L:L,'ST augex'!$B:$B,$B215,'ST augex'!$I:$I,$C215)*(10^3)*'Financial inputs'!$D$12</f>
        <v>0</v>
      </c>
      <c r="J215" s="40">
        <f>SUMIFS('ST augex'!M:M,'ST augex'!$B:$B,$B215,'ST augex'!$I:$I,$C215)*(10^3)*'Financial inputs'!$D$12</f>
        <v>0</v>
      </c>
      <c r="K215" s="40">
        <f>SUMIFS('ST augex'!N:N,'ST augex'!$B:$B,$B215,'ST augex'!$I:$I,$C215)*(10^3)*'Financial inputs'!$D$12</f>
        <v>0</v>
      </c>
      <c r="L215" s="40">
        <f>SUMIFS('ST augex'!O:O,'ST augex'!$B:$B,$B215,'ST augex'!$I:$I,$C215)*(10^3)*'Financial inputs'!$D$12</f>
        <v>0</v>
      </c>
      <c r="M215" s="40">
        <f>SUMIFS('ST augex'!P:P,'ST augex'!$B:$B,$B215,'ST augex'!$I:$I,$C215)*(10^3)*'Financial inputs'!$D$12</f>
        <v>0</v>
      </c>
      <c r="N215" s="40">
        <f>SUMIFS('ST augex'!Q:Q,'ST augex'!$B:$B,$B215,'ST augex'!$I:$I,$C215)*(10^3)*'Financial inputs'!$D$12</f>
        <v>0</v>
      </c>
      <c r="O215" s="40">
        <f>SUMIFS('ST augex'!R:R,'ST augex'!$B:$B,$B215,'ST augex'!$I:$I,$C215)*(10^3)*'Financial inputs'!$D$12</f>
        <v>0</v>
      </c>
      <c r="P215" s="40">
        <f>SUMIFS('ST augex'!S:S,'ST augex'!$B:$B,$B215,'ST augex'!$I:$I,$C215)*(10^3)*'Financial inputs'!$D$12</f>
        <v>0</v>
      </c>
    </row>
    <row r="216" spans="2:16" ht="15.5">
      <c r="B216" s="2" t="str">
        <f t="shared" si="9"/>
        <v>North West</v>
      </c>
      <c r="C216" s="35" t="str">
        <f>'ST augex'!$I$10</f>
        <v>Total Asset Category</v>
      </c>
      <c r="D216" s="35" t="str">
        <f>IF(C216='ST augex'!$I$10, "ST", "Error")</f>
        <v>ST</v>
      </c>
      <c r="E216" s="35" t="str">
        <f>INDEX('Growing &amp; falling'!$D$14:$D$39,MATCH($B216,'Growing &amp; falling'!$B$14:$B$39,0))</f>
        <v>Growth</v>
      </c>
      <c r="F216" s="35" t="str">
        <f t="shared" si="10"/>
        <v>$2024 real</v>
      </c>
      <c r="G216" s="40">
        <f>SUMIFS('ST augex'!J:J,'ST augex'!$B:$B,$B216,'ST augex'!$I:$I,$C216)*(10^3)*'Financial inputs'!$D$12</f>
        <v>0</v>
      </c>
      <c r="H216" s="40">
        <f>SUMIFS('ST augex'!K:K,'ST augex'!$B:$B,$B216,'ST augex'!$I:$I,$C216)*(10^3)*'Financial inputs'!$D$12</f>
        <v>0</v>
      </c>
      <c r="I216" s="40">
        <f>SUMIFS('ST augex'!L:L,'ST augex'!$B:$B,$B216,'ST augex'!$I:$I,$C216)*(10^3)*'Financial inputs'!$D$12</f>
        <v>0</v>
      </c>
      <c r="J216" s="40">
        <f>SUMIFS('ST augex'!M:M,'ST augex'!$B:$B,$B216,'ST augex'!$I:$I,$C216)*(10^3)*'Financial inputs'!$D$12</f>
        <v>0</v>
      </c>
      <c r="K216" s="40">
        <f>SUMIFS('ST augex'!N:N,'ST augex'!$B:$B,$B216,'ST augex'!$I:$I,$C216)*(10^3)*'Financial inputs'!$D$12</f>
        <v>0</v>
      </c>
      <c r="L216" s="40">
        <f>SUMIFS('ST augex'!O:O,'ST augex'!$B:$B,$B216,'ST augex'!$I:$I,$C216)*(10^3)*'Financial inputs'!$D$12</f>
        <v>0</v>
      </c>
      <c r="M216" s="40">
        <f>SUMIFS('ST augex'!P:P,'ST augex'!$B:$B,$B216,'ST augex'!$I:$I,$C216)*(10^3)*'Financial inputs'!$D$12</f>
        <v>0</v>
      </c>
      <c r="N216" s="40">
        <f>SUMIFS('ST augex'!Q:Q,'ST augex'!$B:$B,$B216,'ST augex'!$I:$I,$C216)*(10^3)*'Financial inputs'!$D$12</f>
        <v>0</v>
      </c>
      <c r="O216" s="40">
        <f>SUMIFS('ST augex'!R:R,'ST augex'!$B:$B,$B216,'ST augex'!$I:$I,$C216)*(10^3)*'Financial inputs'!$D$12</f>
        <v>0</v>
      </c>
      <c r="P216" s="40">
        <f>SUMIFS('ST augex'!S:S,'ST augex'!$B:$B,$B216,'ST augex'!$I:$I,$C216)*(10^3)*'Financial inputs'!$D$12</f>
        <v>0</v>
      </c>
    </row>
    <row r="217" spans="2:16" ht="15.5">
      <c r="B217" s="2" t="str">
        <f t="shared" si="9"/>
        <v>Pittwater &amp; Terrey Hills</v>
      </c>
      <c r="C217" s="35" t="str">
        <f>'ST augex'!$I$10</f>
        <v>Total Asset Category</v>
      </c>
      <c r="D217" s="35" t="str">
        <f>IF(C217='ST augex'!$I$10, "ST", "Error")</f>
        <v>ST</v>
      </c>
      <c r="E217" s="35" t="str">
        <f>INDEX('Growing &amp; falling'!$D$14:$D$39,MATCH($B217,'Growing &amp; falling'!$B$14:$B$39,0))</f>
        <v>Decline</v>
      </c>
      <c r="F217" s="35" t="str">
        <f t="shared" si="10"/>
        <v>$2024 real</v>
      </c>
      <c r="G217" s="40">
        <f>SUMIFS('ST augex'!J:J,'ST augex'!$B:$B,$B217,'ST augex'!$I:$I,$C217)*(10^3)*'Financial inputs'!$D$12</f>
        <v>592984.69297217368</v>
      </c>
      <c r="H217" s="40">
        <f>SUMIFS('ST augex'!K:K,'ST augex'!$B:$B,$B217,'ST augex'!$I:$I,$C217)*(10^3)*'Financial inputs'!$D$12</f>
        <v>0</v>
      </c>
      <c r="I217" s="40">
        <f>SUMIFS('ST augex'!L:L,'ST augex'!$B:$B,$B217,'ST augex'!$I:$I,$C217)*(10^3)*'Financial inputs'!$D$12</f>
        <v>0</v>
      </c>
      <c r="J217" s="40">
        <f>SUMIFS('ST augex'!M:M,'ST augex'!$B:$B,$B217,'ST augex'!$I:$I,$C217)*(10^3)*'Financial inputs'!$D$12</f>
        <v>0</v>
      </c>
      <c r="K217" s="40">
        <f>SUMIFS('ST augex'!N:N,'ST augex'!$B:$B,$B217,'ST augex'!$I:$I,$C217)*(10^3)*'Financial inputs'!$D$12</f>
        <v>0</v>
      </c>
      <c r="L217" s="40">
        <f>SUMIFS('ST augex'!O:O,'ST augex'!$B:$B,$B217,'ST augex'!$I:$I,$C217)*(10^3)*'Financial inputs'!$D$12</f>
        <v>0</v>
      </c>
      <c r="M217" s="40">
        <f>SUMIFS('ST augex'!P:P,'ST augex'!$B:$B,$B217,'ST augex'!$I:$I,$C217)*(10^3)*'Financial inputs'!$D$12</f>
        <v>0</v>
      </c>
      <c r="N217" s="40">
        <f>SUMIFS('ST augex'!Q:Q,'ST augex'!$B:$B,$B217,'ST augex'!$I:$I,$C217)*(10^3)*'Financial inputs'!$D$12</f>
        <v>0</v>
      </c>
      <c r="O217" s="40">
        <f>SUMIFS('ST augex'!R:R,'ST augex'!$B:$B,$B217,'ST augex'!$I:$I,$C217)*(10^3)*'Financial inputs'!$D$12</f>
        <v>0</v>
      </c>
      <c r="P217" s="40">
        <f>SUMIFS('ST augex'!S:S,'ST augex'!$B:$B,$B217,'ST augex'!$I:$I,$C217)*(10^3)*'Financial inputs'!$D$12</f>
        <v>0</v>
      </c>
    </row>
    <row r="218" spans="2:16" ht="15.5">
      <c r="B218" s="2" t="str">
        <f t="shared" si="9"/>
        <v>Port Stephens</v>
      </c>
      <c r="C218" s="35" t="str">
        <f>'ST augex'!$I$10</f>
        <v>Total Asset Category</v>
      </c>
      <c r="D218" s="35" t="str">
        <f>IF(C218='ST augex'!$I$10, "ST", "Error")</f>
        <v>ST</v>
      </c>
      <c r="E218" s="35" t="str">
        <f>INDEX('Growing &amp; falling'!$D$14:$D$39,MATCH($B218,'Growing &amp; falling'!$B$14:$B$39,0))</f>
        <v>Decline</v>
      </c>
      <c r="F218" s="35" t="str">
        <f t="shared" si="10"/>
        <v>$2024 real</v>
      </c>
      <c r="G218" s="40">
        <f>SUMIFS('ST augex'!J:J,'ST augex'!$B:$B,$B218,'ST augex'!$I:$I,$C218)*(10^3)*'Financial inputs'!$D$12</f>
        <v>0</v>
      </c>
      <c r="H218" s="40">
        <f>SUMIFS('ST augex'!K:K,'ST augex'!$B:$B,$B218,'ST augex'!$I:$I,$C218)*(10^3)*'Financial inputs'!$D$12</f>
        <v>0</v>
      </c>
      <c r="I218" s="40">
        <f>SUMIFS('ST augex'!L:L,'ST augex'!$B:$B,$B218,'ST augex'!$I:$I,$C218)*(10^3)*'Financial inputs'!$D$12</f>
        <v>83163.50831152602</v>
      </c>
      <c r="J218" s="40">
        <f>SUMIFS('ST augex'!M:M,'ST augex'!$B:$B,$B218,'ST augex'!$I:$I,$C218)*(10^3)*'Financial inputs'!$D$12</f>
        <v>1249075.9442220628</v>
      </c>
      <c r="K218" s="40">
        <f>SUMIFS('ST augex'!N:N,'ST augex'!$B:$B,$B218,'ST augex'!$I:$I,$C218)*(10^3)*'Financial inputs'!$D$12</f>
        <v>748726.93547473836</v>
      </c>
      <c r="L218" s="40">
        <f>SUMIFS('ST augex'!O:O,'ST augex'!$B:$B,$B218,'ST augex'!$I:$I,$C218)*(10^3)*'Financial inputs'!$D$12</f>
        <v>215434.00785917975</v>
      </c>
      <c r="M218" s="40">
        <f>SUMIFS('ST augex'!P:P,'ST augex'!$B:$B,$B218,'ST augex'!$I:$I,$C218)*(10^3)*'Financial inputs'!$D$12</f>
        <v>0</v>
      </c>
      <c r="N218" s="40">
        <f>SUMIFS('ST augex'!Q:Q,'ST augex'!$B:$B,$B218,'ST augex'!$I:$I,$C218)*(10^3)*'Financial inputs'!$D$12</f>
        <v>0</v>
      </c>
      <c r="O218" s="40">
        <f>SUMIFS('ST augex'!R:R,'ST augex'!$B:$B,$B218,'ST augex'!$I:$I,$C218)*(10^3)*'Financial inputs'!$D$12</f>
        <v>0</v>
      </c>
      <c r="P218" s="40">
        <f>SUMIFS('ST augex'!S:S,'ST augex'!$B:$B,$B218,'ST augex'!$I:$I,$C218)*(10^3)*'Financial inputs'!$D$12</f>
        <v>0</v>
      </c>
    </row>
    <row r="219" spans="2:16" ht="15.5">
      <c r="B219" s="2" t="str">
        <f t="shared" si="9"/>
        <v>Singleton</v>
      </c>
      <c r="C219" s="35" t="str">
        <f>'ST augex'!$I$10</f>
        <v>Total Asset Category</v>
      </c>
      <c r="D219" s="35" t="str">
        <f>IF(C219='ST augex'!$I$10, "ST", "Error")</f>
        <v>ST</v>
      </c>
      <c r="E219" s="35" t="str">
        <f>INDEX('Growing &amp; falling'!$D$14:$D$39,MATCH($B219,'Growing &amp; falling'!$B$14:$B$39,0))</f>
        <v>Decline</v>
      </c>
      <c r="F219" s="35" t="str">
        <f t="shared" si="10"/>
        <v>$2024 real</v>
      </c>
      <c r="G219" s="40">
        <f>SUMIFS('ST augex'!J:J,'ST augex'!$B:$B,$B219,'ST augex'!$I:$I,$C219)*(10^3)*'Financial inputs'!$D$12</f>
        <v>0</v>
      </c>
      <c r="H219" s="40">
        <f>SUMIFS('ST augex'!K:K,'ST augex'!$B:$B,$B219,'ST augex'!$I:$I,$C219)*(10^3)*'Financial inputs'!$D$12</f>
        <v>0</v>
      </c>
      <c r="I219" s="40">
        <f>SUMIFS('ST augex'!L:L,'ST augex'!$B:$B,$B219,'ST augex'!$I:$I,$C219)*(10^3)*'Financial inputs'!$D$12</f>
        <v>0</v>
      </c>
      <c r="J219" s="40">
        <f>SUMIFS('ST augex'!M:M,'ST augex'!$B:$B,$B219,'ST augex'!$I:$I,$C219)*(10^3)*'Financial inputs'!$D$12</f>
        <v>0</v>
      </c>
      <c r="K219" s="40">
        <f>SUMIFS('ST augex'!N:N,'ST augex'!$B:$B,$B219,'ST augex'!$I:$I,$C219)*(10^3)*'Financial inputs'!$D$12</f>
        <v>0</v>
      </c>
      <c r="L219" s="40">
        <f>SUMIFS('ST augex'!O:O,'ST augex'!$B:$B,$B219,'ST augex'!$I:$I,$C219)*(10^3)*'Financial inputs'!$D$12</f>
        <v>0</v>
      </c>
      <c r="M219" s="40">
        <f>SUMIFS('ST augex'!P:P,'ST augex'!$B:$B,$B219,'ST augex'!$I:$I,$C219)*(10^3)*'Financial inputs'!$D$12</f>
        <v>0</v>
      </c>
      <c r="N219" s="40">
        <f>SUMIFS('ST augex'!Q:Q,'ST augex'!$B:$B,$B219,'ST augex'!$I:$I,$C219)*(10^3)*'Financial inputs'!$D$12</f>
        <v>0</v>
      </c>
      <c r="O219" s="40">
        <f>SUMIFS('ST augex'!R:R,'ST augex'!$B:$B,$B219,'ST augex'!$I:$I,$C219)*(10^3)*'Financial inputs'!$D$12</f>
        <v>0</v>
      </c>
      <c r="P219" s="40">
        <f>SUMIFS('ST augex'!S:S,'ST augex'!$B:$B,$B219,'ST augex'!$I:$I,$C219)*(10^3)*'Financial inputs'!$D$12</f>
        <v>0</v>
      </c>
    </row>
    <row r="220" spans="2:16" ht="15.5">
      <c r="B220" s="2" t="str">
        <f t="shared" si="9"/>
        <v>St George</v>
      </c>
      <c r="C220" s="35" t="str">
        <f>'ST augex'!$I$10</f>
        <v>Total Asset Category</v>
      </c>
      <c r="D220" s="35" t="str">
        <f>IF(C220='ST augex'!$I$10, "ST", "Error")</f>
        <v>ST</v>
      </c>
      <c r="E220" s="35" t="str">
        <f>INDEX('Growing &amp; falling'!$D$14:$D$39,MATCH($B220,'Growing &amp; falling'!$B$14:$B$39,0))</f>
        <v>Decline</v>
      </c>
      <c r="F220" s="35" t="str">
        <f t="shared" si="10"/>
        <v>$2024 real</v>
      </c>
      <c r="G220" s="40">
        <f>SUMIFS('ST augex'!J:J,'ST augex'!$B:$B,$B220,'ST augex'!$I:$I,$C220)*(10^3)*'Financial inputs'!$D$12</f>
        <v>0</v>
      </c>
      <c r="H220" s="40">
        <f>SUMIFS('ST augex'!K:K,'ST augex'!$B:$B,$B220,'ST augex'!$I:$I,$C220)*(10^3)*'Financial inputs'!$D$12</f>
        <v>0</v>
      </c>
      <c r="I220" s="40">
        <f>SUMIFS('ST augex'!L:L,'ST augex'!$B:$B,$B220,'ST augex'!$I:$I,$C220)*(10^3)*'Financial inputs'!$D$12</f>
        <v>0</v>
      </c>
      <c r="J220" s="40">
        <f>SUMIFS('ST augex'!M:M,'ST augex'!$B:$B,$B220,'ST augex'!$I:$I,$C220)*(10^3)*'Financial inputs'!$D$12</f>
        <v>0</v>
      </c>
      <c r="K220" s="40">
        <f>SUMIFS('ST augex'!N:N,'ST augex'!$B:$B,$B220,'ST augex'!$I:$I,$C220)*(10^3)*'Financial inputs'!$D$12</f>
        <v>0</v>
      </c>
      <c r="L220" s="40">
        <f>SUMIFS('ST augex'!O:O,'ST augex'!$B:$B,$B220,'ST augex'!$I:$I,$C220)*(10^3)*'Financial inputs'!$D$12</f>
        <v>0</v>
      </c>
      <c r="M220" s="40">
        <f>SUMIFS('ST augex'!P:P,'ST augex'!$B:$B,$B220,'ST augex'!$I:$I,$C220)*(10^3)*'Financial inputs'!$D$12</f>
        <v>0</v>
      </c>
      <c r="N220" s="40">
        <f>SUMIFS('ST augex'!Q:Q,'ST augex'!$B:$B,$B220,'ST augex'!$I:$I,$C220)*(10^3)*'Financial inputs'!$D$12</f>
        <v>0</v>
      </c>
      <c r="O220" s="40">
        <f>SUMIFS('ST augex'!R:R,'ST augex'!$B:$B,$B220,'ST augex'!$I:$I,$C220)*(10^3)*'Financial inputs'!$D$12</f>
        <v>0</v>
      </c>
      <c r="P220" s="40">
        <f>SUMIFS('ST augex'!S:S,'ST augex'!$B:$B,$B220,'ST augex'!$I:$I,$C220)*(10^3)*'Financial inputs'!$D$12</f>
        <v>0</v>
      </c>
    </row>
    <row r="221" spans="2:16" ht="15.5">
      <c r="B221" s="2" t="str">
        <f t="shared" si="9"/>
        <v>Sutherland</v>
      </c>
      <c r="C221" s="35" t="str">
        <f>'ST augex'!$I$10</f>
        <v>Total Asset Category</v>
      </c>
      <c r="D221" s="35" t="str">
        <f>IF(C221='ST augex'!$I$10, "ST", "Error")</f>
        <v>ST</v>
      </c>
      <c r="E221" s="35" t="str">
        <f>INDEX('Growing &amp; falling'!$D$14:$D$39,MATCH($B221,'Growing &amp; falling'!$B$14:$B$39,0))</f>
        <v>Decline</v>
      </c>
      <c r="F221" s="35" t="str">
        <f t="shared" si="10"/>
        <v>$2024 real</v>
      </c>
      <c r="G221" s="40">
        <f>SUMIFS('ST augex'!J:J,'ST augex'!$B:$B,$B221,'ST augex'!$I:$I,$C221)*(10^3)*'Financial inputs'!$D$12</f>
        <v>0</v>
      </c>
      <c r="H221" s="40">
        <f>SUMIFS('ST augex'!K:K,'ST augex'!$B:$B,$B221,'ST augex'!$I:$I,$C221)*(10^3)*'Financial inputs'!$D$12</f>
        <v>0</v>
      </c>
      <c r="I221" s="40">
        <f>SUMIFS('ST augex'!L:L,'ST augex'!$B:$B,$B221,'ST augex'!$I:$I,$C221)*(10^3)*'Financial inputs'!$D$12</f>
        <v>0</v>
      </c>
      <c r="J221" s="40">
        <f>SUMIFS('ST augex'!M:M,'ST augex'!$B:$B,$B221,'ST augex'!$I:$I,$C221)*(10^3)*'Financial inputs'!$D$12</f>
        <v>0</v>
      </c>
      <c r="K221" s="40">
        <f>SUMIFS('ST augex'!N:N,'ST augex'!$B:$B,$B221,'ST augex'!$I:$I,$C221)*(10^3)*'Financial inputs'!$D$12</f>
        <v>0</v>
      </c>
      <c r="L221" s="40">
        <f>SUMIFS('ST augex'!O:O,'ST augex'!$B:$B,$B221,'ST augex'!$I:$I,$C221)*(10^3)*'Financial inputs'!$D$12</f>
        <v>0</v>
      </c>
      <c r="M221" s="40">
        <f>SUMIFS('ST augex'!P:P,'ST augex'!$B:$B,$B221,'ST augex'!$I:$I,$C221)*(10^3)*'Financial inputs'!$D$12</f>
        <v>0</v>
      </c>
      <c r="N221" s="40">
        <f>SUMIFS('ST augex'!Q:Q,'ST augex'!$B:$B,$B221,'ST augex'!$I:$I,$C221)*(10^3)*'Financial inputs'!$D$12</f>
        <v>0</v>
      </c>
      <c r="O221" s="40">
        <f>SUMIFS('ST augex'!R:R,'ST augex'!$B:$B,$B221,'ST augex'!$I:$I,$C221)*(10^3)*'Financial inputs'!$D$12</f>
        <v>0</v>
      </c>
      <c r="P221" s="40">
        <f>SUMIFS('ST augex'!S:S,'ST augex'!$B:$B,$B221,'ST augex'!$I:$I,$C221)*(10^3)*'Financial inputs'!$D$12</f>
        <v>0</v>
      </c>
    </row>
    <row r="222" spans="2:16" ht="15.5">
      <c r="B222" s="2" t="str">
        <f t="shared" si="9"/>
        <v>Sydney CBD</v>
      </c>
      <c r="C222" s="35" t="str">
        <f>'ST augex'!$I$10</f>
        <v>Total Asset Category</v>
      </c>
      <c r="D222" s="35" t="str">
        <f>IF(C222='ST augex'!$I$10, "ST", "Error")</f>
        <v>ST</v>
      </c>
      <c r="E222" s="35" t="str">
        <f>INDEX('Growing &amp; falling'!$D$14:$D$39,MATCH($B222,'Growing &amp; falling'!$B$14:$B$39,0))</f>
        <v>Growth</v>
      </c>
      <c r="F222" s="35" t="str">
        <f t="shared" si="10"/>
        <v>$2024 real</v>
      </c>
      <c r="G222" s="40">
        <f>SUMIFS('ST augex'!J:J,'ST augex'!$B:$B,$B222,'ST augex'!$I:$I,$C222)*(10^3)*'Financial inputs'!$D$12</f>
        <v>0</v>
      </c>
      <c r="H222" s="40">
        <f>SUMIFS('ST augex'!K:K,'ST augex'!$B:$B,$B222,'ST augex'!$I:$I,$C222)*(10^3)*'Financial inputs'!$D$12</f>
        <v>0</v>
      </c>
      <c r="I222" s="40">
        <f>SUMIFS('ST augex'!L:L,'ST augex'!$B:$B,$B222,'ST augex'!$I:$I,$C222)*(10^3)*'Financial inputs'!$D$12</f>
        <v>0</v>
      </c>
      <c r="J222" s="40">
        <f>SUMIFS('ST augex'!M:M,'ST augex'!$B:$B,$B222,'ST augex'!$I:$I,$C222)*(10^3)*'Financial inputs'!$D$12</f>
        <v>0</v>
      </c>
      <c r="K222" s="40">
        <f>SUMIFS('ST augex'!N:N,'ST augex'!$B:$B,$B222,'ST augex'!$I:$I,$C222)*(10^3)*'Financial inputs'!$D$12</f>
        <v>0</v>
      </c>
      <c r="L222" s="40">
        <f>SUMIFS('ST augex'!O:O,'ST augex'!$B:$B,$B222,'ST augex'!$I:$I,$C222)*(10^3)*'Financial inputs'!$D$12</f>
        <v>0</v>
      </c>
      <c r="M222" s="40">
        <f>SUMIFS('ST augex'!P:P,'ST augex'!$B:$B,$B222,'ST augex'!$I:$I,$C222)*(10^3)*'Financial inputs'!$D$12</f>
        <v>0</v>
      </c>
      <c r="N222" s="40">
        <f>SUMIFS('ST augex'!Q:Q,'ST augex'!$B:$B,$B222,'ST augex'!$I:$I,$C222)*(10^3)*'Financial inputs'!$D$12</f>
        <v>0</v>
      </c>
      <c r="O222" s="40">
        <f>SUMIFS('ST augex'!R:R,'ST augex'!$B:$B,$B222,'ST augex'!$I:$I,$C222)*(10^3)*'Financial inputs'!$D$12</f>
        <v>0</v>
      </c>
      <c r="P222" s="40">
        <f>SUMIFS('ST augex'!S:S,'ST augex'!$B:$B,$B222,'ST augex'!$I:$I,$C222)*(10^3)*'Financial inputs'!$D$12</f>
        <v>0</v>
      </c>
    </row>
    <row r="223" spans="2:16" ht="15.5">
      <c r="B223" s="2" t="str">
        <f t="shared" si="9"/>
        <v>Upper Central Coast</v>
      </c>
      <c r="C223" s="35" t="str">
        <f>'ST augex'!$I$10</f>
        <v>Total Asset Category</v>
      </c>
      <c r="D223" s="35" t="str">
        <f>IF(C223='ST augex'!$I$10, "ST", "Error")</f>
        <v>ST</v>
      </c>
      <c r="E223" s="35" t="str">
        <f>INDEX('Growing &amp; falling'!$D$14:$D$39,MATCH($B223,'Growing &amp; falling'!$B$14:$B$39,0))</f>
        <v>Growth</v>
      </c>
      <c r="F223" s="35" t="str">
        <f t="shared" si="10"/>
        <v>$2024 real</v>
      </c>
      <c r="G223" s="40">
        <f>SUMIFS('ST augex'!J:J,'ST augex'!$B:$B,$B223,'ST augex'!$I:$I,$C223)*(10^3)*'Financial inputs'!$D$12</f>
        <v>0</v>
      </c>
      <c r="H223" s="40">
        <f>SUMIFS('ST augex'!K:K,'ST augex'!$B:$B,$B223,'ST augex'!$I:$I,$C223)*(10^3)*'Financial inputs'!$D$12</f>
        <v>0</v>
      </c>
      <c r="I223" s="40">
        <f>SUMIFS('ST augex'!L:L,'ST augex'!$B:$B,$B223,'ST augex'!$I:$I,$C223)*(10^3)*'Financial inputs'!$D$12</f>
        <v>0</v>
      </c>
      <c r="J223" s="40">
        <f>SUMIFS('ST augex'!M:M,'ST augex'!$B:$B,$B223,'ST augex'!$I:$I,$C223)*(10^3)*'Financial inputs'!$D$12</f>
        <v>0</v>
      </c>
      <c r="K223" s="40">
        <f>SUMIFS('ST augex'!N:N,'ST augex'!$B:$B,$B223,'ST augex'!$I:$I,$C223)*(10^3)*'Financial inputs'!$D$12</f>
        <v>0</v>
      </c>
      <c r="L223" s="40">
        <f>SUMIFS('ST augex'!O:O,'ST augex'!$B:$B,$B223,'ST augex'!$I:$I,$C223)*(10^3)*'Financial inputs'!$D$12</f>
        <v>0</v>
      </c>
      <c r="M223" s="40">
        <f>SUMIFS('ST augex'!P:P,'ST augex'!$B:$B,$B223,'ST augex'!$I:$I,$C223)*(10^3)*'Financial inputs'!$D$12</f>
        <v>0</v>
      </c>
      <c r="N223" s="40">
        <f>SUMIFS('ST augex'!Q:Q,'ST augex'!$B:$B,$B223,'ST augex'!$I:$I,$C223)*(10^3)*'Financial inputs'!$D$12</f>
        <v>0</v>
      </c>
      <c r="O223" s="40">
        <f>SUMIFS('ST augex'!R:R,'ST augex'!$B:$B,$B223,'ST augex'!$I:$I,$C223)*(10^3)*'Financial inputs'!$D$12</f>
        <v>0</v>
      </c>
      <c r="P223" s="40">
        <f>SUMIFS('ST augex'!S:S,'ST augex'!$B:$B,$B223,'ST augex'!$I:$I,$C223)*(10^3)*'Financial inputs'!$D$12</f>
        <v>0</v>
      </c>
    </row>
    <row r="224" spans="2:16" ht="15.5">
      <c r="B224" s="2" t="str">
        <f t="shared" si="9"/>
        <v>Upper Hunter</v>
      </c>
      <c r="C224" s="35" t="str">
        <f>'ST augex'!$I$10</f>
        <v>Total Asset Category</v>
      </c>
      <c r="D224" s="35" t="str">
        <f>IF(C224='ST augex'!$I$10, "ST", "Error")</f>
        <v>ST</v>
      </c>
      <c r="E224" s="35" t="str">
        <f>INDEX('Growing &amp; falling'!$D$14:$D$39,MATCH($B224,'Growing &amp; falling'!$B$14:$B$39,0))</f>
        <v>Decline</v>
      </c>
      <c r="F224" s="35" t="str">
        <f t="shared" si="10"/>
        <v>$2024 real</v>
      </c>
      <c r="G224" s="40">
        <f>SUMIFS('ST augex'!J:J,'ST augex'!$B:$B,$B224,'ST augex'!$I:$I,$C224)*(10^3)*'Financial inputs'!$D$12</f>
        <v>0</v>
      </c>
      <c r="H224" s="40">
        <f>SUMIFS('ST augex'!K:K,'ST augex'!$B:$B,$B224,'ST augex'!$I:$I,$C224)*(10^3)*'Financial inputs'!$D$12</f>
        <v>0</v>
      </c>
      <c r="I224" s="40">
        <f>SUMIFS('ST augex'!L:L,'ST augex'!$B:$B,$B224,'ST augex'!$I:$I,$C224)*(10^3)*'Financial inputs'!$D$12</f>
        <v>0</v>
      </c>
      <c r="J224" s="40">
        <f>SUMIFS('ST augex'!M:M,'ST augex'!$B:$B,$B224,'ST augex'!$I:$I,$C224)*(10^3)*'Financial inputs'!$D$12</f>
        <v>0</v>
      </c>
      <c r="K224" s="40">
        <f>SUMIFS('ST augex'!N:N,'ST augex'!$B:$B,$B224,'ST augex'!$I:$I,$C224)*(10^3)*'Financial inputs'!$D$12</f>
        <v>0</v>
      </c>
      <c r="L224" s="40">
        <f>SUMIFS('ST augex'!O:O,'ST augex'!$B:$B,$B224,'ST augex'!$I:$I,$C224)*(10^3)*'Financial inputs'!$D$12</f>
        <v>0</v>
      </c>
      <c r="M224" s="40">
        <f>SUMIFS('ST augex'!P:P,'ST augex'!$B:$B,$B224,'ST augex'!$I:$I,$C224)*(10^3)*'Financial inputs'!$D$12</f>
        <v>0</v>
      </c>
      <c r="N224" s="40">
        <f>SUMIFS('ST augex'!Q:Q,'ST augex'!$B:$B,$B224,'ST augex'!$I:$I,$C224)*(10^3)*'Financial inputs'!$D$12</f>
        <v>0</v>
      </c>
      <c r="O224" s="40">
        <f>SUMIFS('ST augex'!R:R,'ST augex'!$B:$B,$B224,'ST augex'!$I:$I,$C224)*(10^3)*'Financial inputs'!$D$12</f>
        <v>0</v>
      </c>
      <c r="P224" s="40">
        <f>SUMIFS('ST augex'!S:S,'ST augex'!$B:$B,$B224,'ST augex'!$I:$I,$C224)*(10^3)*'Financial inputs'!$D$12</f>
        <v>0</v>
      </c>
    </row>
    <row r="225" spans="2:16" ht="15.5">
      <c r="B225" s="2" t="str">
        <f t="shared" si="9"/>
        <v>Upper North Shore</v>
      </c>
      <c r="C225" s="35" t="str">
        <f>'ST augex'!$I$10</f>
        <v>Total Asset Category</v>
      </c>
      <c r="D225" s="35" t="str">
        <f>IF(C225='ST augex'!$I$10, "ST", "Error")</f>
        <v>ST</v>
      </c>
      <c r="E225" s="35" t="str">
        <f>INDEX('Growing &amp; falling'!$D$14:$D$39,MATCH($B225,'Growing &amp; falling'!$B$14:$B$39,0))</f>
        <v>Decline</v>
      </c>
      <c r="F225" s="35" t="str">
        <f t="shared" si="10"/>
        <v>$2024 real</v>
      </c>
      <c r="G225" s="40">
        <f>SUMIFS('ST augex'!J:J,'ST augex'!$B:$B,$B225,'ST augex'!$I:$I,$C225)*(10^3)*'Financial inputs'!$D$12</f>
        <v>0</v>
      </c>
      <c r="H225" s="40">
        <f>SUMIFS('ST augex'!K:K,'ST augex'!$B:$B,$B225,'ST augex'!$I:$I,$C225)*(10^3)*'Financial inputs'!$D$12</f>
        <v>0</v>
      </c>
      <c r="I225" s="40">
        <f>SUMIFS('ST augex'!L:L,'ST augex'!$B:$B,$B225,'ST augex'!$I:$I,$C225)*(10^3)*'Financial inputs'!$D$12</f>
        <v>0</v>
      </c>
      <c r="J225" s="40">
        <f>SUMIFS('ST augex'!M:M,'ST augex'!$B:$B,$B225,'ST augex'!$I:$I,$C225)*(10^3)*'Financial inputs'!$D$12</f>
        <v>0</v>
      </c>
      <c r="K225" s="40">
        <f>SUMIFS('ST augex'!N:N,'ST augex'!$B:$B,$B225,'ST augex'!$I:$I,$C225)*(10^3)*'Financial inputs'!$D$12</f>
        <v>0</v>
      </c>
      <c r="L225" s="40">
        <f>SUMIFS('ST augex'!O:O,'ST augex'!$B:$B,$B225,'ST augex'!$I:$I,$C225)*(10^3)*'Financial inputs'!$D$12</f>
        <v>0</v>
      </c>
      <c r="M225" s="40">
        <f>SUMIFS('ST augex'!P:P,'ST augex'!$B:$B,$B225,'ST augex'!$I:$I,$C225)*(10^3)*'Financial inputs'!$D$12</f>
        <v>0</v>
      </c>
      <c r="N225" s="40">
        <f>SUMIFS('ST augex'!Q:Q,'ST augex'!$B:$B,$B225,'ST augex'!$I:$I,$C225)*(10^3)*'Financial inputs'!$D$12</f>
        <v>0</v>
      </c>
      <c r="O225" s="40">
        <f>SUMIFS('ST augex'!R:R,'ST augex'!$B:$B,$B225,'ST augex'!$I:$I,$C225)*(10^3)*'Financial inputs'!$D$12</f>
        <v>0</v>
      </c>
      <c r="P225" s="40">
        <f>SUMIFS('ST augex'!S:S,'ST augex'!$B:$B,$B225,'ST augex'!$I:$I,$C225)*(10^3)*'Financial inputs'!$D$12</f>
        <v>0</v>
      </c>
    </row>
    <row r="226" spans="2:16" ht="15.5">
      <c r="B226" s="2" t="str">
        <f t="shared" si="9"/>
        <v>West Lake Macquarie</v>
      </c>
      <c r="C226" s="35" t="str">
        <f>'ST augex'!$I$10</f>
        <v>Total Asset Category</v>
      </c>
      <c r="D226" s="35" t="str">
        <f>IF(C226='ST augex'!$I$10, "ST", "Error")</f>
        <v>ST</v>
      </c>
      <c r="E226" s="35" t="str">
        <f>INDEX('Growing &amp; falling'!$D$14:$D$39,MATCH($B226,'Growing &amp; falling'!$B$14:$B$39,0))</f>
        <v>Decline</v>
      </c>
      <c r="F226" s="35" t="str">
        <f t="shared" si="10"/>
        <v>$2024 real</v>
      </c>
      <c r="G226" s="40">
        <f>SUMIFS('ST augex'!J:J,'ST augex'!$B:$B,$B226,'ST augex'!$I:$I,$C226)*(10^3)*'Financial inputs'!$D$12</f>
        <v>0</v>
      </c>
      <c r="H226" s="40">
        <f>SUMIFS('ST augex'!K:K,'ST augex'!$B:$B,$B226,'ST augex'!$I:$I,$C226)*(10^3)*'Financial inputs'!$D$12</f>
        <v>0</v>
      </c>
      <c r="I226" s="40">
        <f>SUMIFS('ST augex'!L:L,'ST augex'!$B:$B,$B226,'ST augex'!$I:$I,$C226)*(10^3)*'Financial inputs'!$D$12</f>
        <v>0</v>
      </c>
      <c r="J226" s="40">
        <f>SUMIFS('ST augex'!M:M,'ST augex'!$B:$B,$B226,'ST augex'!$I:$I,$C226)*(10^3)*'Financial inputs'!$D$12</f>
        <v>0</v>
      </c>
      <c r="K226" s="40">
        <f>SUMIFS('ST augex'!N:N,'ST augex'!$B:$B,$B226,'ST augex'!$I:$I,$C226)*(10^3)*'Financial inputs'!$D$12</f>
        <v>0</v>
      </c>
      <c r="L226" s="40">
        <f>SUMIFS('ST augex'!O:O,'ST augex'!$B:$B,$B226,'ST augex'!$I:$I,$C226)*(10^3)*'Financial inputs'!$D$12</f>
        <v>0</v>
      </c>
      <c r="M226" s="40">
        <f>SUMIFS('ST augex'!P:P,'ST augex'!$B:$B,$B226,'ST augex'!$I:$I,$C226)*(10^3)*'Financial inputs'!$D$12</f>
        <v>0</v>
      </c>
      <c r="N226" s="40">
        <f>SUMIFS('ST augex'!Q:Q,'ST augex'!$B:$B,$B226,'ST augex'!$I:$I,$C226)*(10^3)*'Financial inputs'!$D$12</f>
        <v>0</v>
      </c>
      <c r="O226" s="40">
        <f>SUMIFS('ST augex'!R:R,'ST augex'!$B:$B,$B226,'ST augex'!$I:$I,$C226)*(10^3)*'Financial inputs'!$D$12</f>
        <v>0</v>
      </c>
      <c r="P226" s="40">
        <f>SUMIFS('ST augex'!S:S,'ST augex'!$B:$B,$B226,'ST augex'!$I:$I,$C226)*(10^3)*'Financial inputs'!$D$12</f>
        <v>0</v>
      </c>
    </row>
    <row r="227" spans="2:16" ht="15.5">
      <c r="B227" s="2" t="str">
        <f t="shared" si="9"/>
        <v>System wide</v>
      </c>
      <c r="C227" s="35" t="str">
        <f>'ST augex'!$I$10</f>
        <v>Total Asset Category</v>
      </c>
      <c r="D227" s="35" t="str">
        <f>IF(C227='ST augex'!$I$10, "ST", "Error")</f>
        <v>ST</v>
      </c>
      <c r="E227" s="35" t="str">
        <f>INDEX('Growing &amp; falling'!$D$14:$D$39,MATCH($B227,'Growing &amp; falling'!$B$14:$B$39,0))</f>
        <v>System wide</v>
      </c>
      <c r="F227" s="35" t="str">
        <f t="shared" si="10"/>
        <v>$2024 real</v>
      </c>
      <c r="G227" s="40">
        <f>SUMIFS('ST augex'!J:J,'ST augex'!$B:$B,$B227,'ST augex'!$I:$I,$C227)*(10^3)*'Financial inputs'!$D$12</f>
        <v>0</v>
      </c>
      <c r="H227" s="40">
        <f>SUMIFS('ST augex'!K:K,'ST augex'!$B:$B,$B227,'ST augex'!$I:$I,$C227)*(10^3)*'Financial inputs'!$D$12</f>
        <v>0</v>
      </c>
      <c r="I227" s="40">
        <f>SUMIFS('ST augex'!L:L,'ST augex'!$B:$B,$B227,'ST augex'!$I:$I,$C227)*(10^3)*'Financial inputs'!$D$12</f>
        <v>0</v>
      </c>
      <c r="J227" s="40">
        <f>SUMIFS('ST augex'!M:M,'ST augex'!$B:$B,$B227,'ST augex'!$I:$I,$C227)*(10^3)*'Financial inputs'!$D$12</f>
        <v>0</v>
      </c>
      <c r="K227" s="40">
        <f>SUMIFS('ST augex'!N:N,'ST augex'!$B:$B,$B227,'ST augex'!$I:$I,$C227)*(10^3)*'Financial inputs'!$D$12</f>
        <v>0</v>
      </c>
      <c r="L227" s="40">
        <f>SUMIFS('ST augex'!O:O,'ST augex'!$B:$B,$B227,'ST augex'!$I:$I,$C227)*(10^3)*'Financial inputs'!$D$12</f>
        <v>0</v>
      </c>
      <c r="M227" s="40">
        <f>SUMIFS('ST augex'!P:P,'ST augex'!$B:$B,$B227,'ST augex'!$I:$I,$C227)*(10^3)*'Financial inputs'!$D$12</f>
        <v>0</v>
      </c>
      <c r="N227" s="40">
        <f>SUMIFS('ST augex'!Q:Q,'ST augex'!$B:$B,$B227,'ST augex'!$I:$I,$C227)*(10^3)*'Financial inputs'!$D$12</f>
        <v>0</v>
      </c>
      <c r="O227" s="40">
        <f>SUMIFS('ST augex'!R:R,'ST augex'!$B:$B,$B227,'ST augex'!$I:$I,$C227)*(10^3)*'Financial inputs'!$D$12</f>
        <v>0</v>
      </c>
      <c r="P227" s="40">
        <f>SUMIFS('ST augex'!S:S,'ST augex'!$B:$B,$B227,'ST augex'!$I:$I,$C227)*(10^3)*'Financial inputs'!$D$12</f>
        <v>0</v>
      </c>
    </row>
    <row r="228" spans="2:16" ht="15.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2:16" ht="15.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60" spans="2:16" ht="15.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2:16" ht="15.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2:16" ht="15.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2:16" ht="15.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2:16" ht="15.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2:16" ht="15.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2:16" ht="15.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2:16" ht="15.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2:16" ht="15.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2:16" ht="15.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2:16" ht="15.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2:16" ht="15.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2:16" ht="15.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2:16" ht="15.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2:16" ht="15.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2:16" ht="15.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2:16" ht="15.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2:16" ht="15.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2:16" ht="15.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2:16" ht="15.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2:16" ht="15.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2:16" ht="15.5">
      <c r="B281"/>
      <c r="C281"/>
      <c r="D281"/>
      <c r="E281"/>
      <c r="F281"/>
      <c r="G281" s="74"/>
      <c r="H281" s="74"/>
      <c r="I281" s="74"/>
      <c r="J281" s="74"/>
      <c r="K281" s="74"/>
      <c r="L281" s="74"/>
      <c r="M281" s="74"/>
      <c r="N281" s="74"/>
      <c r="O281" s="74"/>
      <c r="P281" s="74"/>
    </row>
    <row r="282" spans="2:16" ht="15.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2:16" ht="15.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2:16" ht="15.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2:16" ht="15.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2:16" ht="15.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2:16" ht="15.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2:16" ht="15.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2:16" ht="15.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2:16" ht="15.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2:16" ht="15.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2:16" ht="15.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2:16" ht="15.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2:16" ht="15.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2:16" ht="15.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2:16" ht="15.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2:16" ht="15.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2:16" ht="15.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2:16" ht="15.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2:16" ht="15.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2:16" ht="15.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2:16" ht="15.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2:16" ht="15.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2:16" ht="15.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1:16" ht="15.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7" spans="1:16" ht="15.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1:16" ht="15.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1:16" ht="15.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1:16" ht="15.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1:16" ht="15.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6" ht="15.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6" ht="15.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 ht="15.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 ht="15.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6" ht="15.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 ht="15.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 ht="15.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ht="15.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1:16" ht="15.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1:16" ht="15.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1:16" ht="15.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1:16" ht="15.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1:16" ht="15.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1:16" ht="15.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1:16" ht="15.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1:16" ht="15.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1:16" ht="15.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1:16" ht="15.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1:16" ht="15.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1:16" ht="15.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1:16" ht="15.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1:16" ht="15.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1:16" ht="15.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1:16" ht="15.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1:16" ht="15.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1:16" ht="15.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40" spans="1:16">
      <c r="H340" s="34"/>
      <c r="I340" s="34"/>
      <c r="J340" s="34"/>
      <c r="K340" s="34"/>
      <c r="L340" s="34"/>
      <c r="M340" s="34"/>
      <c r="N340" s="34"/>
      <c r="O340" s="34"/>
      <c r="P340" s="34"/>
    </row>
    <row r="346" spans="1:16">
      <c r="B346" s="37"/>
    </row>
    <row r="347" spans="1:16" ht="15.5">
      <c r="B347"/>
    </row>
    <row r="348" spans="1:16" ht="15.5">
      <c r="B348"/>
    </row>
    <row r="349" spans="1:16" ht="15.5">
      <c r="B349"/>
    </row>
    <row r="350" spans="1:16" ht="15.5">
      <c r="B350"/>
    </row>
    <row r="351" spans="1:16" ht="15.5">
      <c r="B351"/>
    </row>
    <row r="352" spans="1:16" ht="15.5">
      <c r="B352"/>
    </row>
    <row r="353" spans="2:2" ht="15.5">
      <c r="B353"/>
    </row>
    <row r="354" spans="2:2" ht="15.5">
      <c r="B354"/>
    </row>
    <row r="355" spans="2:2" ht="15.5">
      <c r="B355"/>
    </row>
    <row r="356" spans="2:2" ht="15.5">
      <c r="B356"/>
    </row>
    <row r="357" spans="2:2" ht="15.5">
      <c r="B357"/>
    </row>
    <row r="358" spans="2:2" ht="15.5">
      <c r="B358"/>
    </row>
    <row r="359" spans="2:2" ht="15.5">
      <c r="B359"/>
    </row>
    <row r="360" spans="2:2" ht="15.5">
      <c r="B360"/>
    </row>
    <row r="361" spans="2:2" ht="15.5">
      <c r="B361"/>
    </row>
    <row r="362" spans="2:2" ht="15.5">
      <c r="B362"/>
    </row>
    <row r="363" spans="2:2" ht="15.5">
      <c r="B363"/>
    </row>
    <row r="364" spans="2:2" ht="15.5">
      <c r="B364"/>
    </row>
    <row r="365" spans="2:2" ht="15.5">
      <c r="B365"/>
    </row>
    <row r="366" spans="2:2" ht="15.5">
      <c r="B366"/>
    </row>
    <row r="367" spans="2:2" ht="15.5">
      <c r="B367"/>
    </row>
    <row r="368" spans="2:2" ht="15.5">
      <c r="B368"/>
    </row>
    <row r="369" spans="2:2" ht="15.5">
      <c r="B369"/>
    </row>
    <row r="370" spans="2:2" ht="15.5">
      <c r="B370"/>
    </row>
    <row r="371" spans="2:2" ht="15.5">
      <c r="B371"/>
    </row>
    <row r="372" spans="2:2" ht="15.5">
      <c r="B372"/>
    </row>
    <row r="373" spans="2:2" ht="15.5">
      <c r="B373"/>
    </row>
    <row r="374" spans="2:2" ht="15.5">
      <c r="B374"/>
    </row>
    <row r="375" spans="2:2" ht="15.5">
      <c r="B375"/>
    </row>
    <row r="376" spans="2:2" ht="15.5">
      <c r="B376"/>
    </row>
    <row r="377" spans="2:2" ht="15.5">
      <c r="B377"/>
    </row>
    <row r="378" spans="2:2" ht="15.5">
      <c r="B378"/>
    </row>
    <row r="379" spans="2:2" ht="15.5">
      <c r="B379"/>
    </row>
    <row r="380" spans="2:2" ht="15.5">
      <c r="B380"/>
    </row>
    <row r="381" spans="2:2" ht="15.5">
      <c r="B381"/>
    </row>
    <row r="382" spans="2:2" ht="15.5">
      <c r="B382"/>
    </row>
    <row r="383" spans="2:2" ht="15.5">
      <c r="B383"/>
    </row>
    <row r="384" spans="2:2" ht="15.5">
      <c r="B384"/>
    </row>
    <row r="385" spans="2:2" ht="15.5">
      <c r="B385"/>
    </row>
    <row r="386" spans="2:2" ht="15.5">
      <c r="B386"/>
    </row>
    <row r="387" spans="2:2" ht="15.5">
      <c r="B387"/>
    </row>
    <row r="388" spans="2:2" ht="15.5">
      <c r="B388"/>
    </row>
    <row r="389" spans="2:2" ht="15.5">
      <c r="B389"/>
    </row>
    <row r="390" spans="2:2" ht="15.5">
      <c r="B390"/>
    </row>
    <row r="391" spans="2:2" ht="15.5">
      <c r="B391"/>
    </row>
    <row r="392" spans="2:2" ht="15.5">
      <c r="B392"/>
    </row>
    <row r="393" spans="2:2" ht="15.5">
      <c r="B393"/>
    </row>
    <row r="394" spans="2:2" ht="15.5">
      <c r="B394"/>
    </row>
    <row r="395" spans="2:2" ht="15.5">
      <c r="B395"/>
    </row>
    <row r="396" spans="2:2" ht="15.5">
      <c r="B396"/>
    </row>
    <row r="397" spans="2:2" ht="15.5">
      <c r="B397"/>
    </row>
    <row r="398" spans="2:2" ht="15.5">
      <c r="B398"/>
    </row>
    <row r="399" spans="2:2" ht="15.5">
      <c r="B399"/>
    </row>
    <row r="400" spans="2:2" ht="15.5">
      <c r="B400"/>
    </row>
    <row r="401" spans="2:2" ht="15.5">
      <c r="B401"/>
    </row>
    <row r="402" spans="2:2" ht="15.5">
      <c r="B402"/>
    </row>
    <row r="403" spans="2:2" ht="15.5">
      <c r="B403"/>
    </row>
    <row r="404" spans="2:2" ht="15.5">
      <c r="B404"/>
    </row>
    <row r="405" spans="2:2" ht="15.5">
      <c r="B405"/>
    </row>
    <row r="406" spans="2:2" ht="15.5">
      <c r="B406"/>
    </row>
    <row r="407" spans="2:2" ht="15.5">
      <c r="B407"/>
    </row>
    <row r="408" spans="2:2" ht="15.5">
      <c r="B408"/>
    </row>
    <row r="409" spans="2:2" ht="15.5">
      <c r="B409"/>
    </row>
    <row r="410" spans="2:2" ht="15.5">
      <c r="B410"/>
    </row>
    <row r="411" spans="2:2" ht="15.5">
      <c r="B411"/>
    </row>
    <row r="412" spans="2:2" ht="15.5">
      <c r="B412"/>
    </row>
    <row r="413" spans="2:2" ht="15.5">
      <c r="B413"/>
    </row>
    <row r="414" spans="2:2" ht="15.5">
      <c r="B414"/>
    </row>
    <row r="415" spans="2:2" ht="15.5">
      <c r="B415"/>
    </row>
    <row r="416" spans="2:2" ht="15.5">
      <c r="B416"/>
    </row>
    <row r="417" spans="2:2" ht="15.5">
      <c r="B417"/>
    </row>
    <row r="418" spans="2:2" ht="15.5">
      <c r="B418"/>
    </row>
    <row r="419" spans="2:2" ht="15.5">
      <c r="B419"/>
    </row>
    <row r="420" spans="2:2" ht="15.5">
      <c r="B420"/>
    </row>
    <row r="421" spans="2:2" ht="15.5">
      <c r="B421"/>
    </row>
    <row r="422" spans="2:2" ht="15.5">
      <c r="B422"/>
    </row>
    <row r="423" spans="2:2" ht="15.5">
      <c r="B423"/>
    </row>
    <row r="424" spans="2:2" ht="15.5">
      <c r="B424"/>
    </row>
    <row r="425" spans="2:2" ht="15.5">
      <c r="B425"/>
    </row>
    <row r="426" spans="2:2" ht="15.5">
      <c r="B426"/>
    </row>
    <row r="427" spans="2:2" ht="15.5">
      <c r="B427"/>
    </row>
    <row r="428" spans="2:2" ht="15.5">
      <c r="B428"/>
    </row>
    <row r="429" spans="2:2" ht="15.5">
      <c r="B429"/>
    </row>
    <row r="430" spans="2:2" ht="15.5">
      <c r="B430"/>
    </row>
    <row r="431" spans="2:2" ht="15.5">
      <c r="B431"/>
    </row>
    <row r="432" spans="2:2" ht="15.5">
      <c r="B432"/>
    </row>
    <row r="433" spans="2:2" ht="15.5">
      <c r="B433"/>
    </row>
    <row r="434" spans="2:2" ht="15.5">
      <c r="B434"/>
    </row>
    <row r="435" spans="2:2" ht="15.5">
      <c r="B435"/>
    </row>
    <row r="436" spans="2:2" ht="15.5">
      <c r="B436"/>
    </row>
    <row r="437" spans="2:2" ht="15.5">
      <c r="B437"/>
    </row>
    <row r="438" spans="2:2" ht="15.5">
      <c r="B438"/>
    </row>
    <row r="439" spans="2:2" ht="15.5">
      <c r="B439"/>
    </row>
    <row r="440" spans="2:2" ht="15.5">
      <c r="B440"/>
    </row>
    <row r="441" spans="2:2" ht="15.5">
      <c r="B441"/>
    </row>
    <row r="442" spans="2:2" ht="15.5">
      <c r="B442"/>
    </row>
    <row r="443" spans="2:2" ht="15.5">
      <c r="B443"/>
    </row>
    <row r="444" spans="2:2" ht="15.5">
      <c r="B444"/>
    </row>
    <row r="445" spans="2:2" ht="15.5">
      <c r="B445"/>
    </row>
    <row r="446" spans="2:2" ht="15.5">
      <c r="B446"/>
    </row>
    <row r="447" spans="2:2" ht="15.5">
      <c r="B447"/>
    </row>
    <row r="448" spans="2:2" ht="15.5">
      <c r="B448"/>
    </row>
    <row r="449" spans="2:2" ht="15.5">
      <c r="B449"/>
    </row>
    <row r="450" spans="2:2" ht="15.5">
      <c r="B450"/>
    </row>
    <row r="451" spans="2:2" ht="15.5">
      <c r="B451"/>
    </row>
    <row r="452" spans="2:2" ht="15.5">
      <c r="B452"/>
    </row>
    <row r="453" spans="2:2" ht="15.5">
      <c r="B453"/>
    </row>
    <row r="454" spans="2:2" ht="15.5">
      <c r="B454"/>
    </row>
    <row r="455" spans="2:2" ht="15.5">
      <c r="B455"/>
    </row>
    <row r="456" spans="2:2" ht="15.5">
      <c r="B456"/>
    </row>
    <row r="457" spans="2:2" ht="15.5">
      <c r="B457"/>
    </row>
    <row r="458" spans="2:2" ht="15.5">
      <c r="B458"/>
    </row>
    <row r="459" spans="2:2" ht="15.5">
      <c r="B459"/>
    </row>
    <row r="460" spans="2:2" ht="15.5">
      <c r="B460"/>
    </row>
    <row r="461" spans="2:2" ht="15.5">
      <c r="B461"/>
    </row>
    <row r="462" spans="2:2" ht="15.5">
      <c r="B462"/>
    </row>
    <row r="463" spans="2:2" ht="15.5">
      <c r="B463"/>
    </row>
    <row r="464" spans="2:2" ht="15.5">
      <c r="B464"/>
    </row>
    <row r="465" spans="2:2" ht="15.5">
      <c r="B465"/>
    </row>
    <row r="466" spans="2:2" ht="15.5">
      <c r="B466"/>
    </row>
    <row r="467" spans="2:2" ht="15.5">
      <c r="B467"/>
    </row>
    <row r="468" spans="2:2" ht="15.5">
      <c r="B468"/>
    </row>
    <row r="469" spans="2:2" ht="15.5">
      <c r="B469"/>
    </row>
    <row r="470" spans="2:2" ht="15.5">
      <c r="B470"/>
    </row>
    <row r="471" spans="2:2" ht="15.5">
      <c r="B471"/>
    </row>
    <row r="472" spans="2:2" ht="15.5">
      <c r="B472"/>
    </row>
    <row r="473" spans="2:2" ht="15.5">
      <c r="B473"/>
    </row>
    <row r="474" spans="2:2" ht="15.5">
      <c r="B474"/>
    </row>
    <row r="475" spans="2:2" ht="15.5">
      <c r="B475"/>
    </row>
    <row r="476" spans="2:2" ht="15.5">
      <c r="B476"/>
    </row>
    <row r="477" spans="2:2" ht="15.5">
      <c r="B477"/>
    </row>
    <row r="478" spans="2:2" ht="15.5">
      <c r="B478"/>
    </row>
    <row r="479" spans="2:2" ht="15.5">
      <c r="B479"/>
    </row>
    <row r="480" spans="2:2" ht="15.5">
      <c r="B480"/>
    </row>
    <row r="481" spans="2:2" ht="15.5">
      <c r="B481"/>
    </row>
    <row r="482" spans="2:2" ht="15.5">
      <c r="B482"/>
    </row>
    <row r="483" spans="2:2" ht="15.5">
      <c r="B483"/>
    </row>
    <row r="484" spans="2:2" ht="15.5">
      <c r="B484"/>
    </row>
    <row r="485" spans="2:2" ht="15.5">
      <c r="B485"/>
    </row>
    <row r="486" spans="2:2" ht="15.5">
      <c r="B486"/>
    </row>
    <row r="487" spans="2:2" ht="15.5">
      <c r="B487"/>
    </row>
    <row r="488" spans="2:2" ht="15.5">
      <c r="B488"/>
    </row>
    <row r="489" spans="2:2" ht="15.5">
      <c r="B489"/>
    </row>
    <row r="490" spans="2:2" ht="15.5">
      <c r="B490"/>
    </row>
    <row r="491" spans="2:2" ht="15.5">
      <c r="B491"/>
    </row>
    <row r="492" spans="2:2" ht="15.5">
      <c r="B492"/>
    </row>
    <row r="493" spans="2:2" ht="15.5">
      <c r="B493"/>
    </row>
    <row r="494" spans="2:2" ht="15.5">
      <c r="B494"/>
    </row>
    <row r="495" spans="2:2" ht="15.5">
      <c r="B495"/>
    </row>
    <row r="496" spans="2:2" ht="15.5">
      <c r="B496"/>
    </row>
    <row r="497" spans="2:2" ht="15.5">
      <c r="B497"/>
    </row>
    <row r="498" spans="2:2" ht="15.5">
      <c r="B498"/>
    </row>
    <row r="499" spans="2:2" ht="15.5">
      <c r="B499"/>
    </row>
    <row r="500" spans="2:2" ht="15.5">
      <c r="B500"/>
    </row>
    <row r="501" spans="2:2" ht="15.5">
      <c r="B501"/>
    </row>
    <row r="502" spans="2:2" ht="15.5">
      <c r="B502"/>
    </row>
    <row r="503" spans="2:2" ht="15.5">
      <c r="B503"/>
    </row>
    <row r="504" spans="2:2" ht="15.5">
      <c r="B504"/>
    </row>
    <row r="505" spans="2:2" ht="15.5">
      <c r="B505"/>
    </row>
    <row r="506" spans="2:2" ht="15.5">
      <c r="B506"/>
    </row>
    <row r="507" spans="2:2" ht="15.5">
      <c r="B507"/>
    </row>
    <row r="508" spans="2:2" ht="15.5">
      <c r="B508"/>
    </row>
    <row r="509" spans="2:2" ht="15.5">
      <c r="B509"/>
    </row>
    <row r="510" spans="2:2" ht="15.5">
      <c r="B510"/>
    </row>
    <row r="511" spans="2:2" ht="15.5">
      <c r="B511"/>
    </row>
    <row r="512" spans="2:2" ht="15.5">
      <c r="B512"/>
    </row>
    <row r="513" spans="2:2" ht="15.5">
      <c r="B513"/>
    </row>
    <row r="514" spans="2:2" ht="15.5">
      <c r="B514"/>
    </row>
    <row r="515" spans="2:2" ht="15.5">
      <c r="B515"/>
    </row>
    <row r="516" spans="2:2" ht="15.5">
      <c r="B516"/>
    </row>
    <row r="517" spans="2:2" ht="15.5">
      <c r="B517"/>
    </row>
    <row r="518" spans="2:2" ht="15.5">
      <c r="B518"/>
    </row>
    <row r="519" spans="2:2" ht="15.5">
      <c r="B519"/>
    </row>
    <row r="520" spans="2:2" ht="15.5">
      <c r="B520"/>
    </row>
    <row r="521" spans="2:2" ht="15.5">
      <c r="B521"/>
    </row>
    <row r="522" spans="2:2" ht="15.5">
      <c r="B522"/>
    </row>
    <row r="523" spans="2:2" ht="15.5">
      <c r="B523"/>
    </row>
    <row r="524" spans="2:2" ht="15.5">
      <c r="B524"/>
    </row>
    <row r="525" spans="2:2" ht="15.5">
      <c r="B525"/>
    </row>
    <row r="526" spans="2:2" ht="15.5">
      <c r="B526"/>
    </row>
    <row r="527" spans="2:2" ht="15.5">
      <c r="B527"/>
    </row>
    <row r="528" spans="2:2" ht="15.5">
      <c r="B528"/>
    </row>
    <row r="529" spans="2:2" ht="15.5">
      <c r="B529"/>
    </row>
    <row r="530" spans="2:2" ht="15.5">
      <c r="B530"/>
    </row>
    <row r="531" spans="2:2" ht="15.5">
      <c r="B531"/>
    </row>
    <row r="532" spans="2:2" ht="15.5">
      <c r="B532"/>
    </row>
    <row r="533" spans="2:2" ht="15.5">
      <c r="B533"/>
    </row>
    <row r="534" spans="2:2" ht="15.5">
      <c r="B534"/>
    </row>
    <row r="535" spans="2:2" ht="15.5">
      <c r="B535"/>
    </row>
    <row r="536" spans="2:2" ht="15.5">
      <c r="B536"/>
    </row>
    <row r="537" spans="2:2" ht="15.5">
      <c r="B537"/>
    </row>
    <row r="538" spans="2:2" ht="15.5">
      <c r="B538"/>
    </row>
    <row r="539" spans="2:2" ht="15.5">
      <c r="B539"/>
    </row>
    <row r="540" spans="2:2" ht="15.5">
      <c r="B540"/>
    </row>
    <row r="541" spans="2:2" ht="15.5">
      <c r="B541"/>
    </row>
    <row r="542" spans="2:2" ht="15.5">
      <c r="B542"/>
    </row>
    <row r="543" spans="2:2" ht="15.5">
      <c r="B543"/>
    </row>
    <row r="544" spans="2:2" ht="15.5">
      <c r="B544"/>
    </row>
    <row r="545" spans="2:2" ht="15.5">
      <c r="B545"/>
    </row>
    <row r="546" spans="2:2" ht="15.5">
      <c r="B546"/>
    </row>
    <row r="547" spans="2:2" ht="15.5">
      <c r="B547"/>
    </row>
    <row r="548" spans="2:2" ht="15.5">
      <c r="B548"/>
    </row>
    <row r="549" spans="2:2" ht="15.5">
      <c r="B549"/>
    </row>
    <row r="550" spans="2:2" ht="15.5">
      <c r="B550"/>
    </row>
    <row r="551" spans="2:2" ht="15.5">
      <c r="B551"/>
    </row>
    <row r="552" spans="2:2" ht="15.5">
      <c r="B552"/>
    </row>
    <row r="553" spans="2:2" ht="15.5">
      <c r="B553"/>
    </row>
    <row r="554" spans="2:2" ht="15.5">
      <c r="B554"/>
    </row>
    <row r="555" spans="2:2" ht="15.5">
      <c r="B555"/>
    </row>
    <row r="556" spans="2:2" ht="15.5">
      <c r="B556"/>
    </row>
    <row r="557" spans="2:2" ht="15.5">
      <c r="B557"/>
    </row>
    <row r="558" spans="2:2" ht="15.5">
      <c r="B558"/>
    </row>
    <row r="559" spans="2:2" ht="15.5">
      <c r="B559"/>
    </row>
    <row r="560" spans="2:2" ht="15.5">
      <c r="B560"/>
    </row>
    <row r="561" spans="2:2" ht="15.5">
      <c r="B561"/>
    </row>
    <row r="562" spans="2:2" ht="15.5">
      <c r="B562"/>
    </row>
    <row r="563" spans="2:2" ht="15.5">
      <c r="B563"/>
    </row>
    <row r="564" spans="2:2" ht="15.5">
      <c r="B564"/>
    </row>
    <row r="565" spans="2:2" ht="15.5">
      <c r="B565"/>
    </row>
    <row r="566" spans="2:2" ht="15.5">
      <c r="B566"/>
    </row>
    <row r="567" spans="2:2" ht="15.5">
      <c r="B567"/>
    </row>
    <row r="568" spans="2:2" ht="15.5">
      <c r="B568"/>
    </row>
    <row r="569" spans="2:2" ht="15.5">
      <c r="B569"/>
    </row>
    <row r="570" spans="2:2" ht="15.5">
      <c r="B570"/>
    </row>
    <row r="571" spans="2:2" ht="15.5">
      <c r="B571"/>
    </row>
    <row r="572" spans="2:2" ht="15.5">
      <c r="B572"/>
    </row>
    <row r="573" spans="2:2" ht="15.5">
      <c r="B573"/>
    </row>
    <row r="574" spans="2:2" ht="15.5">
      <c r="B574"/>
    </row>
    <row r="575" spans="2:2" ht="15.5">
      <c r="B575"/>
    </row>
    <row r="576" spans="2:2" ht="15.5">
      <c r="B576"/>
    </row>
    <row r="577" spans="2:2" ht="15.5">
      <c r="B577"/>
    </row>
    <row r="578" spans="2:2" ht="15.5">
      <c r="B578"/>
    </row>
    <row r="579" spans="2:2" ht="15.5">
      <c r="B579"/>
    </row>
    <row r="580" spans="2:2" ht="15.5">
      <c r="B580"/>
    </row>
    <row r="581" spans="2:2" ht="15.5">
      <c r="B581"/>
    </row>
    <row r="582" spans="2:2" ht="15.5">
      <c r="B582"/>
    </row>
    <row r="583" spans="2:2" ht="15.5">
      <c r="B583"/>
    </row>
    <row r="584" spans="2:2" ht="15.5">
      <c r="B584"/>
    </row>
    <row r="585" spans="2:2" ht="15.5">
      <c r="B585"/>
    </row>
    <row r="586" spans="2:2" ht="15.5">
      <c r="B586"/>
    </row>
    <row r="587" spans="2:2" ht="15.5">
      <c r="B587"/>
    </row>
    <row r="588" spans="2:2" ht="15.5">
      <c r="B588"/>
    </row>
    <row r="589" spans="2:2" ht="15.5">
      <c r="B589"/>
    </row>
    <row r="590" spans="2:2" ht="15.5">
      <c r="B590"/>
    </row>
    <row r="591" spans="2:2" ht="15.5">
      <c r="B591"/>
    </row>
    <row r="592" spans="2:2" ht="15.5">
      <c r="B592"/>
    </row>
    <row r="593" spans="2:2" ht="15.5">
      <c r="B593"/>
    </row>
    <row r="594" spans="2:2" ht="15.5">
      <c r="B594"/>
    </row>
    <row r="595" spans="2:2" ht="15.5">
      <c r="B595"/>
    </row>
    <row r="596" spans="2:2" ht="15.5">
      <c r="B596"/>
    </row>
    <row r="597" spans="2:2" ht="15.5">
      <c r="B597"/>
    </row>
    <row r="598" spans="2:2" ht="15.5">
      <c r="B598"/>
    </row>
    <row r="599" spans="2:2" ht="15.5">
      <c r="B599"/>
    </row>
    <row r="600" spans="2:2" ht="15.5">
      <c r="B600"/>
    </row>
    <row r="601" spans="2:2" ht="15.5">
      <c r="B601"/>
    </row>
    <row r="602" spans="2:2" ht="15.5">
      <c r="B602"/>
    </row>
    <row r="603" spans="2:2" ht="15.5">
      <c r="B603"/>
    </row>
    <row r="604" spans="2:2" ht="15.5">
      <c r="B604"/>
    </row>
    <row r="605" spans="2:2" ht="15.5">
      <c r="B605"/>
    </row>
    <row r="606" spans="2:2" ht="15.5">
      <c r="B606"/>
    </row>
    <row r="607" spans="2:2" ht="15.5">
      <c r="B607"/>
    </row>
    <row r="608" spans="2:2" ht="15.5">
      <c r="B608"/>
    </row>
    <row r="609" spans="2:2" ht="15.5">
      <c r="B609"/>
    </row>
    <row r="610" spans="2:2" ht="15.5">
      <c r="B610"/>
    </row>
    <row r="611" spans="2:2" ht="15.5">
      <c r="B611"/>
    </row>
    <row r="612" spans="2:2" ht="15.5">
      <c r="B612"/>
    </row>
    <row r="613" spans="2:2" ht="15.5">
      <c r="B613"/>
    </row>
    <row r="614" spans="2:2" ht="15.5">
      <c r="B614"/>
    </row>
    <row r="615" spans="2:2" ht="15.5">
      <c r="B615"/>
    </row>
    <row r="616" spans="2:2" ht="15.5">
      <c r="B616"/>
    </row>
    <row r="617" spans="2:2" ht="15.5">
      <c r="B617"/>
    </row>
    <row r="618" spans="2:2" ht="15.5">
      <c r="B618"/>
    </row>
    <row r="619" spans="2:2" ht="15.5">
      <c r="B619"/>
    </row>
    <row r="620" spans="2:2" ht="15.5">
      <c r="B620"/>
    </row>
    <row r="621" spans="2:2" ht="15.5">
      <c r="B621"/>
    </row>
    <row r="622" spans="2:2" ht="15.5">
      <c r="B622"/>
    </row>
    <row r="623" spans="2:2" ht="15.5">
      <c r="B623"/>
    </row>
    <row r="624" spans="2:2" ht="15.5">
      <c r="B624"/>
    </row>
    <row r="625" spans="2:2" ht="15.5">
      <c r="B625"/>
    </row>
    <row r="626" spans="2:2" ht="15.5">
      <c r="B626"/>
    </row>
    <row r="627" spans="2:2" ht="15.5">
      <c r="B627"/>
    </row>
    <row r="628" spans="2:2" ht="15.5">
      <c r="B628"/>
    </row>
    <row r="629" spans="2:2" ht="15.5">
      <c r="B629"/>
    </row>
    <row r="630" spans="2:2" ht="15.5">
      <c r="B630"/>
    </row>
    <row r="631" spans="2:2" ht="15.5">
      <c r="B631"/>
    </row>
    <row r="632" spans="2:2" ht="15.5">
      <c r="B632"/>
    </row>
    <row r="633" spans="2:2" ht="15.5">
      <c r="B633"/>
    </row>
    <row r="634" spans="2:2" ht="15.5">
      <c r="B634"/>
    </row>
    <row r="635" spans="2:2" ht="15.5">
      <c r="B635"/>
    </row>
    <row r="636" spans="2:2" ht="15.5">
      <c r="B636"/>
    </row>
    <row r="637" spans="2:2" ht="15.5">
      <c r="B637"/>
    </row>
    <row r="638" spans="2:2" ht="15.5">
      <c r="B638"/>
    </row>
    <row r="639" spans="2:2" ht="15.5">
      <c r="B639"/>
    </row>
    <row r="640" spans="2:2" ht="15.5">
      <c r="B640"/>
    </row>
    <row r="641" spans="2:2" ht="15.5">
      <c r="B641"/>
    </row>
    <row r="642" spans="2:2" ht="15.5">
      <c r="B642"/>
    </row>
    <row r="643" spans="2:2" ht="15.5">
      <c r="B643"/>
    </row>
    <row r="644" spans="2:2" ht="15.5">
      <c r="B644"/>
    </row>
    <row r="645" spans="2:2" ht="15.5">
      <c r="B645"/>
    </row>
    <row r="646" spans="2:2" ht="15.5">
      <c r="B646"/>
    </row>
    <row r="647" spans="2:2" ht="15.5">
      <c r="B647"/>
    </row>
    <row r="648" spans="2:2" ht="15.5">
      <c r="B648"/>
    </row>
    <row r="649" spans="2:2" ht="15.5">
      <c r="B649"/>
    </row>
    <row r="650" spans="2:2" ht="15.5">
      <c r="B650"/>
    </row>
    <row r="651" spans="2:2" ht="15.5">
      <c r="B651"/>
    </row>
    <row r="652" spans="2:2" ht="15.5">
      <c r="B652"/>
    </row>
    <row r="653" spans="2:2" ht="15.5">
      <c r="B653"/>
    </row>
    <row r="654" spans="2:2" ht="15.5">
      <c r="B654"/>
    </row>
    <row r="655" spans="2:2" ht="15.5">
      <c r="B655"/>
    </row>
    <row r="656" spans="2:2" ht="15.5">
      <c r="B656"/>
    </row>
    <row r="657" spans="2:2" ht="15.5">
      <c r="B657"/>
    </row>
    <row r="658" spans="2:2" ht="15.5">
      <c r="B658"/>
    </row>
    <row r="659" spans="2:2" ht="15.5">
      <c r="B659"/>
    </row>
    <row r="660" spans="2:2" ht="15.5">
      <c r="B660"/>
    </row>
    <row r="661" spans="2:2" ht="15.5">
      <c r="B661"/>
    </row>
    <row r="662" spans="2:2" ht="15.5">
      <c r="B662"/>
    </row>
    <row r="663" spans="2:2" ht="15.5">
      <c r="B663"/>
    </row>
    <row r="664" spans="2:2" ht="15.5">
      <c r="B664"/>
    </row>
    <row r="665" spans="2:2" ht="15.5">
      <c r="B665"/>
    </row>
    <row r="666" spans="2:2" ht="15.5">
      <c r="B666"/>
    </row>
    <row r="667" spans="2:2" ht="15.5">
      <c r="B667"/>
    </row>
    <row r="668" spans="2:2" ht="15.5">
      <c r="B668"/>
    </row>
    <row r="669" spans="2:2" ht="15.5">
      <c r="B669"/>
    </row>
    <row r="670" spans="2:2" ht="15.5">
      <c r="B670"/>
    </row>
    <row r="671" spans="2:2" ht="15.5">
      <c r="B671"/>
    </row>
    <row r="672" spans="2:2" ht="15.5">
      <c r="B672"/>
    </row>
    <row r="673" spans="2:2" ht="15.5">
      <c r="B673"/>
    </row>
    <row r="674" spans="2:2" ht="15.5">
      <c r="B674"/>
    </row>
    <row r="675" spans="2:2" ht="15.5">
      <c r="B675"/>
    </row>
    <row r="676" spans="2:2" ht="15.5">
      <c r="B676"/>
    </row>
    <row r="677" spans="2:2" ht="15.5">
      <c r="B677"/>
    </row>
    <row r="678" spans="2:2" ht="15.5">
      <c r="B678"/>
    </row>
    <row r="679" spans="2:2" ht="15.5">
      <c r="B679"/>
    </row>
    <row r="680" spans="2:2" ht="15.5">
      <c r="B680"/>
    </row>
    <row r="681" spans="2:2" ht="15.5">
      <c r="B681"/>
    </row>
    <row r="682" spans="2:2" ht="15.5">
      <c r="B682"/>
    </row>
    <row r="683" spans="2:2" ht="15.5">
      <c r="B683"/>
    </row>
    <row r="684" spans="2:2" ht="15.5">
      <c r="B684"/>
    </row>
    <row r="685" spans="2:2" ht="15.5">
      <c r="B685"/>
    </row>
    <row r="686" spans="2:2" ht="15.5">
      <c r="B686"/>
    </row>
    <row r="687" spans="2:2" ht="15.5">
      <c r="B687"/>
    </row>
    <row r="688" spans="2:2" ht="15.5">
      <c r="B688"/>
    </row>
    <row r="689" spans="2:2" ht="15.5">
      <c r="B689"/>
    </row>
    <row r="690" spans="2:2" ht="15.5">
      <c r="B690"/>
    </row>
    <row r="691" spans="2:2" ht="15.5">
      <c r="B691"/>
    </row>
    <row r="692" spans="2:2" ht="15.5">
      <c r="B692"/>
    </row>
    <row r="693" spans="2:2" ht="15.5">
      <c r="B693"/>
    </row>
    <row r="694" spans="2:2" ht="15.5">
      <c r="B694"/>
    </row>
    <row r="695" spans="2:2" ht="15.5">
      <c r="B695"/>
    </row>
    <row r="696" spans="2:2" ht="15.5">
      <c r="B696"/>
    </row>
    <row r="697" spans="2:2" ht="15.5">
      <c r="B697"/>
    </row>
    <row r="698" spans="2:2" ht="15.5">
      <c r="B698"/>
    </row>
    <row r="699" spans="2:2" ht="15.5">
      <c r="B699"/>
    </row>
    <row r="700" spans="2:2" ht="15.5">
      <c r="B700"/>
    </row>
    <row r="701" spans="2:2" ht="15.5">
      <c r="B701"/>
    </row>
    <row r="702" spans="2:2" ht="15.5">
      <c r="B702"/>
    </row>
    <row r="703" spans="2:2" ht="15.5">
      <c r="B703"/>
    </row>
    <row r="704" spans="2:2" ht="15.5">
      <c r="B704"/>
    </row>
    <row r="705" spans="2:2" ht="15.5">
      <c r="B705"/>
    </row>
    <row r="706" spans="2:2" ht="15.5">
      <c r="B706"/>
    </row>
    <row r="707" spans="2:2" ht="15.5">
      <c r="B707"/>
    </row>
    <row r="708" spans="2:2" ht="15.5">
      <c r="B708"/>
    </row>
    <row r="709" spans="2:2" ht="15.5">
      <c r="B709"/>
    </row>
    <row r="710" spans="2:2" ht="15.5">
      <c r="B710"/>
    </row>
    <row r="711" spans="2:2" ht="15.5">
      <c r="B711"/>
    </row>
    <row r="712" spans="2:2" ht="15.5">
      <c r="B712"/>
    </row>
    <row r="713" spans="2:2" ht="15.5">
      <c r="B713"/>
    </row>
    <row r="714" spans="2:2" ht="15.5">
      <c r="B714"/>
    </row>
    <row r="715" spans="2:2" ht="15.5">
      <c r="B715"/>
    </row>
    <row r="716" spans="2:2" ht="15.5">
      <c r="B716"/>
    </row>
    <row r="717" spans="2:2" ht="15.5">
      <c r="B717"/>
    </row>
    <row r="718" spans="2:2" ht="15.5">
      <c r="B718"/>
    </row>
    <row r="719" spans="2:2" ht="15.5">
      <c r="B719"/>
    </row>
    <row r="720" spans="2:2" ht="15.5">
      <c r="B720"/>
    </row>
    <row r="721" spans="2:2" ht="15.5">
      <c r="B721"/>
    </row>
    <row r="722" spans="2:2" ht="15.5">
      <c r="B722"/>
    </row>
    <row r="723" spans="2:2" ht="15.5">
      <c r="B723"/>
    </row>
    <row r="724" spans="2:2" ht="15.5">
      <c r="B724"/>
    </row>
    <row r="725" spans="2:2" ht="15.5">
      <c r="B725"/>
    </row>
    <row r="726" spans="2:2" ht="15.5">
      <c r="B726"/>
    </row>
    <row r="727" spans="2:2" ht="15.5">
      <c r="B727"/>
    </row>
    <row r="728" spans="2:2" ht="15.5">
      <c r="B728"/>
    </row>
    <row r="729" spans="2:2" ht="15.5">
      <c r="B729"/>
    </row>
    <row r="730" spans="2:2" ht="15.5">
      <c r="B730"/>
    </row>
    <row r="731" spans="2:2" ht="15.5">
      <c r="B731"/>
    </row>
    <row r="732" spans="2:2" ht="15.5">
      <c r="B732"/>
    </row>
    <row r="733" spans="2:2" ht="15.5">
      <c r="B733"/>
    </row>
    <row r="734" spans="2:2" ht="15.5">
      <c r="B734"/>
    </row>
    <row r="735" spans="2:2" ht="15.5">
      <c r="B735"/>
    </row>
    <row r="736" spans="2:2" ht="15.5">
      <c r="B736"/>
    </row>
    <row r="737" spans="2:2" ht="15.5">
      <c r="B737"/>
    </row>
    <row r="738" spans="2:2" ht="15.5">
      <c r="B738"/>
    </row>
    <row r="739" spans="2:2" ht="15.5">
      <c r="B739"/>
    </row>
    <row r="740" spans="2:2" ht="15.5">
      <c r="B740"/>
    </row>
    <row r="741" spans="2:2" ht="15.5">
      <c r="B741"/>
    </row>
    <row r="742" spans="2:2" ht="15.5">
      <c r="B742"/>
    </row>
    <row r="743" spans="2:2" ht="15.5">
      <c r="B743"/>
    </row>
    <row r="744" spans="2:2" ht="15.5">
      <c r="B744"/>
    </row>
    <row r="745" spans="2:2" ht="15.5">
      <c r="B745"/>
    </row>
    <row r="746" spans="2:2" ht="15.5">
      <c r="B746"/>
    </row>
    <row r="747" spans="2:2" ht="15.5">
      <c r="B747"/>
    </row>
    <row r="748" spans="2:2" ht="15.5">
      <c r="B748"/>
    </row>
    <row r="749" spans="2:2" ht="15.5">
      <c r="B749"/>
    </row>
    <row r="750" spans="2:2" ht="15.5">
      <c r="B750"/>
    </row>
    <row r="751" spans="2:2" ht="15.5">
      <c r="B751"/>
    </row>
    <row r="752" spans="2:2" ht="15.5">
      <c r="B752"/>
    </row>
    <row r="753" spans="2:2" ht="15.5">
      <c r="B753"/>
    </row>
    <row r="754" spans="2:2" ht="15.5">
      <c r="B754"/>
    </row>
    <row r="755" spans="2:2" ht="15.5">
      <c r="B755"/>
    </row>
    <row r="756" spans="2:2" ht="15.5">
      <c r="B756"/>
    </row>
    <row r="757" spans="2:2" ht="15.5">
      <c r="B757"/>
    </row>
    <row r="758" spans="2:2" ht="15.5">
      <c r="B758"/>
    </row>
    <row r="759" spans="2:2" ht="15.5">
      <c r="B759"/>
    </row>
    <row r="760" spans="2:2" ht="15.5">
      <c r="B760"/>
    </row>
    <row r="761" spans="2:2" ht="15.5">
      <c r="B761"/>
    </row>
    <row r="762" spans="2:2" ht="15.5">
      <c r="B762"/>
    </row>
    <row r="763" spans="2:2" ht="15.5">
      <c r="B763"/>
    </row>
    <row r="764" spans="2:2" ht="15.5">
      <c r="B764"/>
    </row>
    <row r="765" spans="2:2" ht="15.5">
      <c r="B765"/>
    </row>
    <row r="766" spans="2:2" ht="15.5">
      <c r="B766"/>
    </row>
    <row r="767" spans="2:2" ht="15.5">
      <c r="B767"/>
    </row>
    <row r="768" spans="2:2" ht="15.5">
      <c r="B768"/>
    </row>
    <row r="769" spans="2:2" ht="15.5">
      <c r="B769"/>
    </row>
    <row r="770" spans="2:2" ht="15.5">
      <c r="B770"/>
    </row>
    <row r="771" spans="2:2" ht="15.5">
      <c r="B771"/>
    </row>
    <row r="772" spans="2:2" ht="15.5">
      <c r="B772"/>
    </row>
    <row r="773" spans="2:2" ht="15.5">
      <c r="B773"/>
    </row>
    <row r="774" spans="2:2" ht="15.5">
      <c r="B774"/>
    </row>
    <row r="775" spans="2:2" ht="15.5">
      <c r="B775"/>
    </row>
    <row r="776" spans="2:2" ht="15.5">
      <c r="B776"/>
    </row>
    <row r="777" spans="2:2" ht="15.5">
      <c r="B777"/>
    </row>
    <row r="778" spans="2:2" ht="15.5">
      <c r="B778"/>
    </row>
    <row r="779" spans="2:2" ht="15.5">
      <c r="B779"/>
    </row>
    <row r="780" spans="2:2" ht="15.5">
      <c r="B780"/>
    </row>
    <row r="781" spans="2:2" ht="15.5">
      <c r="B781"/>
    </row>
    <row r="782" spans="2:2" ht="15.5">
      <c r="B782"/>
    </row>
    <row r="783" spans="2:2" ht="15.5">
      <c r="B783"/>
    </row>
    <row r="784" spans="2:2" ht="15.5">
      <c r="B784"/>
    </row>
    <row r="785" spans="2:2" ht="15.5">
      <c r="B785"/>
    </row>
    <row r="786" spans="2:2" ht="15.5">
      <c r="B786"/>
    </row>
    <row r="787" spans="2:2" ht="15.5">
      <c r="B787"/>
    </row>
    <row r="788" spans="2:2" ht="15.5">
      <c r="B788"/>
    </row>
    <row r="789" spans="2:2" ht="15.5">
      <c r="B789"/>
    </row>
    <row r="790" spans="2:2" ht="15.5">
      <c r="B790"/>
    </row>
    <row r="791" spans="2:2" ht="15.5">
      <c r="B791"/>
    </row>
    <row r="792" spans="2:2" ht="15.5">
      <c r="B792"/>
    </row>
    <row r="793" spans="2:2" ht="15.5">
      <c r="B793"/>
    </row>
    <row r="794" spans="2:2" ht="15.5">
      <c r="B794"/>
    </row>
    <row r="795" spans="2:2" ht="15.5">
      <c r="B795"/>
    </row>
    <row r="796" spans="2:2" ht="15.5">
      <c r="B796"/>
    </row>
    <row r="797" spans="2:2" ht="15.5">
      <c r="B797"/>
    </row>
    <row r="798" spans="2:2" ht="15.5">
      <c r="B798"/>
    </row>
    <row r="799" spans="2:2" ht="15.5">
      <c r="B799"/>
    </row>
    <row r="800" spans="2:2" ht="15.5">
      <c r="B800"/>
    </row>
    <row r="801" spans="2:2" ht="15.5">
      <c r="B801"/>
    </row>
    <row r="802" spans="2:2" ht="15.5">
      <c r="B802"/>
    </row>
    <row r="803" spans="2:2" ht="15.5">
      <c r="B803"/>
    </row>
    <row r="804" spans="2:2" ht="15.5">
      <c r="B804"/>
    </row>
    <row r="805" spans="2:2" ht="15.5">
      <c r="B805"/>
    </row>
    <row r="806" spans="2:2" ht="15.5">
      <c r="B806"/>
    </row>
    <row r="807" spans="2:2" ht="15.5">
      <c r="B807"/>
    </row>
    <row r="808" spans="2:2" ht="15.5">
      <c r="B808"/>
    </row>
    <row r="809" spans="2:2" ht="15.5">
      <c r="B809"/>
    </row>
    <row r="810" spans="2:2" ht="15.5">
      <c r="B810"/>
    </row>
    <row r="811" spans="2:2" ht="15.5">
      <c r="B811"/>
    </row>
    <row r="812" spans="2:2" ht="15.5">
      <c r="B812"/>
    </row>
    <row r="813" spans="2:2" ht="15.5">
      <c r="B813"/>
    </row>
    <row r="814" spans="2:2" ht="15.5">
      <c r="B814"/>
    </row>
    <row r="815" spans="2:2" ht="15.5">
      <c r="B815"/>
    </row>
    <row r="816" spans="2:2" ht="15.5">
      <c r="B816"/>
    </row>
    <row r="817" spans="2:2" ht="15.5">
      <c r="B817"/>
    </row>
    <row r="818" spans="2:2" ht="15.5">
      <c r="B818"/>
    </row>
    <row r="819" spans="2:2" ht="15.5">
      <c r="B819"/>
    </row>
    <row r="820" spans="2:2" ht="15.5">
      <c r="B820"/>
    </row>
    <row r="821" spans="2:2" ht="15.5">
      <c r="B821"/>
    </row>
    <row r="822" spans="2:2" ht="15.5">
      <c r="B822"/>
    </row>
    <row r="823" spans="2:2" ht="15.5">
      <c r="B823"/>
    </row>
    <row r="824" spans="2:2" ht="15.5">
      <c r="B824"/>
    </row>
    <row r="825" spans="2:2" ht="15.5">
      <c r="B825"/>
    </row>
    <row r="826" spans="2:2" ht="15.5">
      <c r="B826"/>
    </row>
    <row r="827" spans="2:2" ht="15.5">
      <c r="B827"/>
    </row>
    <row r="828" spans="2:2" ht="15.5">
      <c r="B828"/>
    </row>
    <row r="829" spans="2:2" ht="15.5">
      <c r="B829"/>
    </row>
    <row r="830" spans="2:2" ht="15.5">
      <c r="B830"/>
    </row>
    <row r="831" spans="2:2" ht="15.5">
      <c r="B831"/>
    </row>
    <row r="832" spans="2:2" ht="15.5">
      <c r="B832"/>
    </row>
    <row r="833" spans="2:2" ht="15.5">
      <c r="B833"/>
    </row>
    <row r="834" spans="2:2" ht="15.5">
      <c r="B834"/>
    </row>
    <row r="835" spans="2:2" ht="15.5">
      <c r="B835"/>
    </row>
    <row r="836" spans="2:2" ht="15.5">
      <c r="B836"/>
    </row>
    <row r="837" spans="2:2" ht="15.5">
      <c r="B837"/>
    </row>
    <row r="838" spans="2:2" ht="15.5">
      <c r="B838"/>
    </row>
    <row r="839" spans="2:2" ht="15.5">
      <c r="B839"/>
    </row>
    <row r="840" spans="2:2" ht="15.5">
      <c r="B840"/>
    </row>
    <row r="841" spans="2:2" ht="15.5">
      <c r="B841"/>
    </row>
    <row r="842" spans="2:2" ht="15.5">
      <c r="B842"/>
    </row>
    <row r="843" spans="2:2" ht="15.5">
      <c r="B843"/>
    </row>
    <row r="844" spans="2:2" ht="15.5">
      <c r="B844"/>
    </row>
    <row r="845" spans="2:2" ht="15.5">
      <c r="B845"/>
    </row>
    <row r="846" spans="2:2" ht="15.5">
      <c r="B846"/>
    </row>
    <row r="847" spans="2:2" ht="15.5">
      <c r="B847"/>
    </row>
    <row r="848" spans="2:2" ht="15.5">
      <c r="B848"/>
    </row>
    <row r="849" spans="2:2" ht="15.5">
      <c r="B849"/>
    </row>
    <row r="850" spans="2:2" ht="15.5">
      <c r="B850"/>
    </row>
    <row r="851" spans="2:2" ht="15.5">
      <c r="B851"/>
    </row>
    <row r="852" spans="2:2" ht="15.5">
      <c r="B852"/>
    </row>
    <row r="853" spans="2:2" ht="15.5">
      <c r="B853"/>
    </row>
    <row r="854" spans="2:2" ht="15.5">
      <c r="B854"/>
    </row>
    <row r="855" spans="2:2" ht="15.5">
      <c r="B855"/>
    </row>
    <row r="856" spans="2:2" ht="15.5">
      <c r="B856"/>
    </row>
    <row r="857" spans="2:2" ht="15.5">
      <c r="B857"/>
    </row>
    <row r="858" spans="2:2" ht="15.5">
      <c r="B858"/>
    </row>
    <row r="859" spans="2:2" ht="15.5">
      <c r="B859"/>
    </row>
    <row r="860" spans="2:2" ht="15.5">
      <c r="B860"/>
    </row>
    <row r="861" spans="2:2" ht="15.5">
      <c r="B861"/>
    </row>
    <row r="862" spans="2:2" ht="15.5">
      <c r="B862"/>
    </row>
    <row r="863" spans="2:2" ht="15.5">
      <c r="B863"/>
    </row>
    <row r="864" spans="2:2" ht="15.5">
      <c r="B864"/>
    </row>
    <row r="865" spans="2:2" ht="15.5">
      <c r="B865"/>
    </row>
    <row r="866" spans="2:2" ht="15.5">
      <c r="B866"/>
    </row>
    <row r="867" spans="2:2" ht="15.5">
      <c r="B867"/>
    </row>
    <row r="868" spans="2:2" ht="15.5">
      <c r="B868"/>
    </row>
    <row r="869" spans="2:2" ht="15.5">
      <c r="B869"/>
    </row>
    <row r="870" spans="2:2" ht="15.5">
      <c r="B870"/>
    </row>
    <row r="871" spans="2:2" ht="15.5">
      <c r="B871"/>
    </row>
    <row r="872" spans="2:2" ht="15.5">
      <c r="B872"/>
    </row>
    <row r="873" spans="2:2" ht="15.5">
      <c r="B873"/>
    </row>
    <row r="874" spans="2:2" ht="15.5">
      <c r="B874"/>
    </row>
    <row r="875" spans="2:2" ht="15.5">
      <c r="B875"/>
    </row>
    <row r="876" spans="2:2" ht="15.5">
      <c r="B876"/>
    </row>
    <row r="877" spans="2:2" ht="15.5">
      <c r="B877"/>
    </row>
    <row r="878" spans="2:2" ht="15.5">
      <c r="B878"/>
    </row>
    <row r="879" spans="2:2" ht="15.5">
      <c r="B879"/>
    </row>
    <row r="880" spans="2:2" ht="15.5">
      <c r="B880"/>
    </row>
    <row r="881" spans="2:2" ht="15.5">
      <c r="B881"/>
    </row>
    <row r="882" spans="2:2" ht="15.5">
      <c r="B882"/>
    </row>
    <row r="883" spans="2:2" ht="15.5">
      <c r="B883"/>
    </row>
    <row r="884" spans="2:2" ht="15.5">
      <c r="B884"/>
    </row>
    <row r="885" spans="2:2" ht="15.5">
      <c r="B885"/>
    </row>
    <row r="886" spans="2:2" ht="15.5">
      <c r="B886"/>
    </row>
    <row r="887" spans="2:2" ht="15.5">
      <c r="B887"/>
    </row>
    <row r="888" spans="2:2" ht="15.5">
      <c r="B888"/>
    </row>
    <row r="889" spans="2:2" ht="15.5">
      <c r="B889"/>
    </row>
    <row r="890" spans="2:2" ht="15.5">
      <c r="B890"/>
    </row>
    <row r="891" spans="2:2" ht="15.5">
      <c r="B891"/>
    </row>
    <row r="892" spans="2:2" ht="15.5">
      <c r="B892"/>
    </row>
    <row r="893" spans="2:2" ht="15.5">
      <c r="B893"/>
    </row>
    <row r="894" spans="2:2" ht="15.5">
      <c r="B894"/>
    </row>
    <row r="895" spans="2:2" ht="15.5">
      <c r="B895"/>
    </row>
    <row r="896" spans="2:2" ht="15.5">
      <c r="B896"/>
    </row>
    <row r="897" spans="2:2" ht="15.5">
      <c r="B897"/>
    </row>
    <row r="898" spans="2:2" ht="15.5">
      <c r="B898"/>
    </row>
    <row r="899" spans="2:2" ht="15.5">
      <c r="B899"/>
    </row>
    <row r="900" spans="2:2" ht="15.5">
      <c r="B900"/>
    </row>
    <row r="901" spans="2:2" ht="15.5">
      <c r="B901"/>
    </row>
    <row r="902" spans="2:2" ht="15.5">
      <c r="B902"/>
    </row>
    <row r="903" spans="2:2" ht="15.5">
      <c r="B903"/>
    </row>
    <row r="904" spans="2:2" ht="15.5">
      <c r="B904"/>
    </row>
    <row r="905" spans="2:2" ht="15.5">
      <c r="B905"/>
    </row>
    <row r="906" spans="2:2" ht="15.5">
      <c r="B906"/>
    </row>
    <row r="907" spans="2:2" ht="15.5">
      <c r="B907"/>
    </row>
    <row r="908" spans="2:2" ht="15.5">
      <c r="B908"/>
    </row>
    <row r="909" spans="2:2" ht="15.5">
      <c r="B909"/>
    </row>
    <row r="910" spans="2:2" ht="15.5">
      <c r="B910"/>
    </row>
    <row r="911" spans="2:2" ht="15.5">
      <c r="B911"/>
    </row>
    <row r="912" spans="2:2" ht="15.5">
      <c r="B912"/>
    </row>
    <row r="913" spans="2:2" ht="15.5">
      <c r="B913"/>
    </row>
    <row r="914" spans="2:2" ht="15.5">
      <c r="B914"/>
    </row>
    <row r="915" spans="2:2" ht="15.5">
      <c r="B915"/>
    </row>
    <row r="916" spans="2:2" ht="15.5">
      <c r="B916"/>
    </row>
    <row r="917" spans="2:2" ht="15.5">
      <c r="B917"/>
    </row>
    <row r="918" spans="2:2" ht="15.5">
      <c r="B918"/>
    </row>
    <row r="919" spans="2:2" ht="15.5">
      <c r="B919"/>
    </row>
    <row r="920" spans="2:2" ht="15.5">
      <c r="B920"/>
    </row>
    <row r="921" spans="2:2" ht="15.5">
      <c r="B921"/>
    </row>
    <row r="922" spans="2:2" ht="15.5">
      <c r="B922"/>
    </row>
    <row r="923" spans="2:2" ht="15.5">
      <c r="B923"/>
    </row>
    <row r="924" spans="2:2" ht="15.5">
      <c r="B924"/>
    </row>
    <row r="925" spans="2:2" ht="15.5">
      <c r="B925"/>
    </row>
    <row r="926" spans="2:2" ht="15.5">
      <c r="B926"/>
    </row>
    <row r="927" spans="2:2" ht="15.5">
      <c r="B927"/>
    </row>
    <row r="928" spans="2:2" ht="15.5">
      <c r="B928"/>
    </row>
    <row r="929" spans="2:2" ht="15.5">
      <c r="B929"/>
    </row>
    <row r="930" spans="2:2" ht="15.5">
      <c r="B930"/>
    </row>
    <row r="931" spans="2:2" ht="15.5">
      <c r="B931"/>
    </row>
    <row r="932" spans="2:2" ht="15.5">
      <c r="B932"/>
    </row>
    <row r="933" spans="2:2" ht="15.5">
      <c r="B933"/>
    </row>
    <row r="934" spans="2:2" ht="15.5">
      <c r="B934"/>
    </row>
    <row r="935" spans="2:2" ht="15.5">
      <c r="B935"/>
    </row>
    <row r="936" spans="2:2" ht="15.5">
      <c r="B936"/>
    </row>
    <row r="937" spans="2:2" ht="15.5">
      <c r="B937"/>
    </row>
    <row r="938" spans="2:2" ht="15.5">
      <c r="B938"/>
    </row>
    <row r="939" spans="2:2" ht="15.5">
      <c r="B939"/>
    </row>
    <row r="940" spans="2:2" ht="15.5">
      <c r="B940"/>
    </row>
    <row r="941" spans="2:2" ht="15.5">
      <c r="B941"/>
    </row>
    <row r="942" spans="2:2" ht="15.5">
      <c r="B942"/>
    </row>
    <row r="943" spans="2:2" ht="15.5">
      <c r="B943"/>
    </row>
    <row r="944" spans="2:2" ht="15.5">
      <c r="B944"/>
    </row>
    <row r="945" spans="2:2" ht="15.5">
      <c r="B945"/>
    </row>
    <row r="946" spans="2:2" ht="15.5">
      <c r="B946"/>
    </row>
    <row r="947" spans="2:2" ht="15.5">
      <c r="B947"/>
    </row>
    <row r="948" spans="2:2" ht="15.5">
      <c r="B948"/>
    </row>
    <row r="949" spans="2:2" ht="15.5">
      <c r="B949"/>
    </row>
    <row r="950" spans="2:2" ht="15.5">
      <c r="B950"/>
    </row>
    <row r="951" spans="2:2" ht="15.5">
      <c r="B951"/>
    </row>
    <row r="952" spans="2:2" ht="15.5">
      <c r="B952"/>
    </row>
    <row r="953" spans="2:2" ht="15.5">
      <c r="B953"/>
    </row>
    <row r="954" spans="2:2" ht="15.5">
      <c r="B954"/>
    </row>
    <row r="955" spans="2:2" ht="15.5">
      <c r="B955"/>
    </row>
    <row r="956" spans="2:2" ht="15.5">
      <c r="B956"/>
    </row>
    <row r="957" spans="2:2" ht="15.5">
      <c r="B957"/>
    </row>
    <row r="958" spans="2:2" ht="15.5">
      <c r="B958"/>
    </row>
    <row r="959" spans="2:2" ht="15.5">
      <c r="B959"/>
    </row>
    <row r="960" spans="2:2" ht="15.5">
      <c r="B960"/>
    </row>
    <row r="961" spans="2:2" ht="15.5">
      <c r="B961"/>
    </row>
    <row r="962" spans="2:2" ht="15.5">
      <c r="B962"/>
    </row>
    <row r="963" spans="2:2" ht="15.5">
      <c r="B963"/>
    </row>
    <row r="964" spans="2:2" ht="15.5">
      <c r="B964"/>
    </row>
    <row r="965" spans="2:2" ht="15.5">
      <c r="B965"/>
    </row>
    <row r="966" spans="2:2" ht="15.5">
      <c r="B966"/>
    </row>
    <row r="967" spans="2:2" ht="15.5">
      <c r="B967"/>
    </row>
    <row r="968" spans="2:2" ht="15.5">
      <c r="B968"/>
    </row>
    <row r="969" spans="2:2" ht="15.5">
      <c r="B969"/>
    </row>
    <row r="970" spans="2:2" ht="15.5">
      <c r="B970"/>
    </row>
    <row r="971" spans="2:2" ht="15.5">
      <c r="B971"/>
    </row>
    <row r="972" spans="2:2" ht="15.5">
      <c r="B972"/>
    </row>
    <row r="973" spans="2:2" ht="15.5">
      <c r="B973"/>
    </row>
    <row r="974" spans="2:2" ht="15.5">
      <c r="B974"/>
    </row>
    <row r="975" spans="2:2" ht="15.5">
      <c r="B975"/>
    </row>
    <row r="976" spans="2:2" ht="15.5">
      <c r="B976"/>
    </row>
    <row r="977" spans="2:2" ht="15.5">
      <c r="B977"/>
    </row>
    <row r="978" spans="2:2" ht="15.5">
      <c r="B978"/>
    </row>
    <row r="979" spans="2:2" ht="15.5">
      <c r="B979"/>
    </row>
    <row r="980" spans="2:2" ht="15.5">
      <c r="B980"/>
    </row>
    <row r="981" spans="2:2" ht="15.5">
      <c r="B981"/>
    </row>
    <row r="982" spans="2:2" ht="15.5">
      <c r="B982"/>
    </row>
    <row r="983" spans="2:2" ht="15.5">
      <c r="B983"/>
    </row>
    <row r="984" spans="2:2" ht="15.5">
      <c r="B984"/>
    </row>
    <row r="985" spans="2:2" ht="15.5">
      <c r="B985"/>
    </row>
    <row r="986" spans="2:2" ht="15.5">
      <c r="B986"/>
    </row>
    <row r="987" spans="2:2" ht="15.5">
      <c r="B987"/>
    </row>
    <row r="988" spans="2:2" ht="15.5">
      <c r="B988"/>
    </row>
    <row r="989" spans="2:2" ht="15.5">
      <c r="B989"/>
    </row>
    <row r="990" spans="2:2" ht="15.5">
      <c r="B990"/>
    </row>
    <row r="991" spans="2:2" ht="15.5">
      <c r="B991"/>
    </row>
    <row r="992" spans="2:2" ht="15.5">
      <c r="B992"/>
    </row>
    <row r="993" spans="2:2" ht="15.5">
      <c r="B993"/>
    </row>
    <row r="994" spans="2:2" ht="15.5">
      <c r="B994"/>
    </row>
    <row r="995" spans="2:2" ht="15.5">
      <c r="B995"/>
    </row>
    <row r="996" spans="2:2" ht="15.5">
      <c r="B996"/>
    </row>
    <row r="997" spans="2:2" ht="15.5">
      <c r="B997"/>
    </row>
    <row r="998" spans="2:2" ht="15.5">
      <c r="B998"/>
    </row>
    <row r="999" spans="2:2" ht="15.5">
      <c r="B999"/>
    </row>
    <row r="1000" spans="2:2" ht="15.5">
      <c r="B1000"/>
    </row>
    <row r="1001" spans="2:2" ht="15.5">
      <c r="B1001"/>
    </row>
    <row r="1002" spans="2:2" ht="15.5">
      <c r="B1002"/>
    </row>
    <row r="1003" spans="2:2" ht="15.5">
      <c r="B1003"/>
    </row>
    <row r="1004" spans="2:2" ht="15.5">
      <c r="B1004"/>
    </row>
    <row r="1005" spans="2:2" ht="15.5">
      <c r="B1005"/>
    </row>
    <row r="1006" spans="2:2" ht="15.5">
      <c r="B1006"/>
    </row>
    <row r="1007" spans="2:2" ht="15.5">
      <c r="B1007"/>
    </row>
    <row r="1008" spans="2:2" ht="15.5">
      <c r="B1008"/>
    </row>
    <row r="1009" spans="2:2" ht="15.5">
      <c r="B1009"/>
    </row>
    <row r="1010" spans="2:2" ht="15.5">
      <c r="B1010"/>
    </row>
    <row r="1011" spans="2:2" ht="15.5">
      <c r="B1011"/>
    </row>
    <row r="1012" spans="2:2" ht="15.5">
      <c r="B1012"/>
    </row>
    <row r="1013" spans="2:2" ht="15.5">
      <c r="B1013"/>
    </row>
    <row r="1014" spans="2:2" ht="15.5">
      <c r="B1014"/>
    </row>
    <row r="1015" spans="2:2" ht="15.5">
      <c r="B1015"/>
    </row>
    <row r="1016" spans="2:2" ht="15.5">
      <c r="B1016"/>
    </row>
    <row r="1017" spans="2:2" ht="15.5">
      <c r="B1017"/>
    </row>
    <row r="1018" spans="2:2" ht="15.5">
      <c r="B1018"/>
    </row>
    <row r="1019" spans="2:2" ht="15.5">
      <c r="B1019"/>
    </row>
    <row r="1020" spans="2:2" ht="15.5">
      <c r="B1020"/>
    </row>
    <row r="1021" spans="2:2" ht="15.5">
      <c r="B1021"/>
    </row>
    <row r="1022" spans="2:2" ht="15.5">
      <c r="B1022"/>
    </row>
    <row r="1023" spans="2:2" ht="15.5">
      <c r="B1023"/>
    </row>
    <row r="1024" spans="2:2" ht="15.5">
      <c r="B1024"/>
    </row>
    <row r="1025" spans="2:2" ht="15.5">
      <c r="B1025"/>
    </row>
    <row r="1026" spans="2:2" ht="15.5">
      <c r="B1026"/>
    </row>
    <row r="1027" spans="2:2" ht="15.5">
      <c r="B1027"/>
    </row>
    <row r="1028" spans="2:2" ht="15.5">
      <c r="B1028"/>
    </row>
    <row r="1029" spans="2:2" ht="15.5">
      <c r="B1029"/>
    </row>
    <row r="1030" spans="2:2" ht="15.5">
      <c r="B1030"/>
    </row>
    <row r="1031" spans="2:2" ht="15.5">
      <c r="B1031"/>
    </row>
    <row r="1032" spans="2:2" ht="15.5">
      <c r="B1032"/>
    </row>
    <row r="1033" spans="2:2" ht="15.5">
      <c r="B1033"/>
    </row>
    <row r="1034" spans="2:2" ht="15.5">
      <c r="B1034"/>
    </row>
    <row r="1035" spans="2:2" ht="15.5">
      <c r="B1035"/>
    </row>
    <row r="1036" spans="2:2" ht="15.5">
      <c r="B1036"/>
    </row>
    <row r="1037" spans="2:2" ht="15.5">
      <c r="B1037"/>
    </row>
    <row r="1038" spans="2:2" ht="15.5">
      <c r="B1038"/>
    </row>
    <row r="1039" spans="2:2" ht="15.5">
      <c r="B1039"/>
    </row>
    <row r="1040" spans="2:2" ht="15.5">
      <c r="B1040"/>
    </row>
    <row r="1041" spans="2:2" ht="15.5">
      <c r="B1041"/>
    </row>
    <row r="1042" spans="2:2" ht="15.5">
      <c r="B1042"/>
    </row>
    <row r="1043" spans="2:2" ht="15.5">
      <c r="B1043"/>
    </row>
    <row r="1044" spans="2:2" ht="15.5">
      <c r="B1044"/>
    </row>
    <row r="1045" spans="2:2" ht="15.5">
      <c r="B1045"/>
    </row>
    <row r="1046" spans="2:2" ht="15.5">
      <c r="B1046"/>
    </row>
    <row r="1047" spans="2:2" ht="15.5">
      <c r="B1047"/>
    </row>
    <row r="1048" spans="2:2" ht="15.5">
      <c r="B1048"/>
    </row>
    <row r="1049" spans="2:2" ht="15.5">
      <c r="B1049"/>
    </row>
    <row r="1050" spans="2:2" ht="15.5">
      <c r="B1050"/>
    </row>
    <row r="1051" spans="2:2" ht="15.5">
      <c r="B1051"/>
    </row>
    <row r="1052" spans="2:2" ht="15.5">
      <c r="B1052"/>
    </row>
    <row r="1053" spans="2:2" ht="15.5">
      <c r="B1053"/>
    </row>
    <row r="1054" spans="2:2" ht="15.5">
      <c r="B1054"/>
    </row>
    <row r="1055" spans="2:2" ht="15.5">
      <c r="B1055"/>
    </row>
    <row r="1056" spans="2:2" ht="15.5">
      <c r="B1056"/>
    </row>
    <row r="1057" spans="2:2" ht="15.5">
      <c r="B1057"/>
    </row>
    <row r="1058" spans="2:2" ht="15.5">
      <c r="B1058"/>
    </row>
    <row r="1059" spans="2:2" ht="15.5">
      <c r="B1059"/>
    </row>
    <row r="1060" spans="2:2" ht="15.5">
      <c r="B1060"/>
    </row>
    <row r="1061" spans="2:2" ht="15.5">
      <c r="B1061"/>
    </row>
    <row r="1062" spans="2:2" ht="15.5">
      <c r="B1062"/>
    </row>
    <row r="1063" spans="2:2" ht="15.5">
      <c r="B1063"/>
    </row>
    <row r="1064" spans="2:2" ht="15.5">
      <c r="B1064"/>
    </row>
    <row r="1065" spans="2:2" ht="15.5">
      <c r="B1065"/>
    </row>
    <row r="1066" spans="2:2" ht="15.5">
      <c r="B1066"/>
    </row>
    <row r="1067" spans="2:2" ht="15.5">
      <c r="B1067"/>
    </row>
    <row r="1068" spans="2:2" ht="15.5">
      <c r="B1068"/>
    </row>
    <row r="1069" spans="2:2" ht="15.5">
      <c r="B1069"/>
    </row>
    <row r="1070" spans="2:2" ht="15.5">
      <c r="B1070"/>
    </row>
    <row r="1071" spans="2:2" ht="15.5">
      <c r="B1071"/>
    </row>
    <row r="1072" spans="2:2" ht="15.5">
      <c r="B1072"/>
    </row>
    <row r="1073" spans="2:2" ht="15.5">
      <c r="B1073"/>
    </row>
    <row r="1074" spans="2:2" ht="15.5">
      <c r="B1074"/>
    </row>
    <row r="1075" spans="2:2" ht="15.5">
      <c r="B1075"/>
    </row>
    <row r="1076" spans="2:2" ht="15.5">
      <c r="B1076"/>
    </row>
    <row r="1077" spans="2:2" ht="15.5">
      <c r="B1077"/>
    </row>
    <row r="1078" spans="2:2" ht="15.5">
      <c r="B1078"/>
    </row>
    <row r="1079" spans="2:2" ht="15.5">
      <c r="B1079"/>
    </row>
    <row r="1080" spans="2:2" ht="15.5">
      <c r="B1080"/>
    </row>
    <row r="1081" spans="2:2" ht="15.5">
      <c r="B1081"/>
    </row>
    <row r="1082" spans="2:2" ht="15.5">
      <c r="B1082"/>
    </row>
    <row r="1083" spans="2:2" ht="15.5">
      <c r="B1083"/>
    </row>
    <row r="1084" spans="2:2" ht="15.5">
      <c r="B1084"/>
    </row>
    <row r="1085" spans="2:2" ht="15.5">
      <c r="B1085"/>
    </row>
    <row r="1086" spans="2:2" ht="15.5">
      <c r="B1086"/>
    </row>
    <row r="1087" spans="2:2" ht="15.5">
      <c r="B1087"/>
    </row>
    <row r="1088" spans="2:2" ht="15.5">
      <c r="B1088"/>
    </row>
    <row r="1089" spans="2:2" ht="15.5">
      <c r="B1089"/>
    </row>
    <row r="1090" spans="2:2" ht="15.5">
      <c r="B1090"/>
    </row>
    <row r="1091" spans="2:2" ht="15.5">
      <c r="B1091"/>
    </row>
    <row r="1092" spans="2:2" ht="15.5">
      <c r="B1092"/>
    </row>
    <row r="1093" spans="2:2" ht="15.5">
      <c r="B1093"/>
    </row>
    <row r="1094" spans="2:2" ht="15.5">
      <c r="B1094"/>
    </row>
    <row r="1095" spans="2:2" ht="15.5">
      <c r="B1095"/>
    </row>
    <row r="1096" spans="2:2" ht="15.5">
      <c r="B1096"/>
    </row>
    <row r="1097" spans="2:2" ht="15.5">
      <c r="B1097"/>
    </row>
    <row r="1098" spans="2:2" ht="15.5">
      <c r="B1098"/>
    </row>
    <row r="1099" spans="2:2" ht="15.5">
      <c r="B1099"/>
    </row>
    <row r="1100" spans="2:2" ht="15.5">
      <c r="B1100"/>
    </row>
    <row r="1101" spans="2:2" ht="15.5">
      <c r="B1101"/>
    </row>
    <row r="1102" spans="2:2" ht="15.5">
      <c r="B1102"/>
    </row>
    <row r="1103" spans="2:2" ht="15.5">
      <c r="B1103"/>
    </row>
    <row r="1104" spans="2:2" ht="15.5">
      <c r="B1104"/>
    </row>
    <row r="1105" spans="2:2" ht="15.5">
      <c r="B1105"/>
    </row>
    <row r="1106" spans="2:2" ht="15.5">
      <c r="B1106"/>
    </row>
    <row r="1107" spans="2:2" ht="15.5">
      <c r="B1107"/>
    </row>
    <row r="1108" spans="2:2" ht="15.5">
      <c r="B1108"/>
    </row>
    <row r="1109" spans="2:2" ht="15.5">
      <c r="B1109"/>
    </row>
    <row r="1110" spans="2:2" ht="15.5">
      <c r="B1110"/>
    </row>
    <row r="1111" spans="2:2" ht="15.5">
      <c r="B1111"/>
    </row>
    <row r="1112" spans="2:2" ht="15.5">
      <c r="B1112"/>
    </row>
    <row r="1113" spans="2:2" ht="15.5">
      <c r="B1113"/>
    </row>
    <row r="1114" spans="2:2" ht="15.5">
      <c r="B1114"/>
    </row>
    <row r="1115" spans="2:2" ht="15.5">
      <c r="B1115"/>
    </row>
    <row r="1116" spans="2:2" ht="15.5">
      <c r="B1116"/>
    </row>
    <row r="1117" spans="2:2" ht="15.5">
      <c r="B1117"/>
    </row>
    <row r="1118" spans="2:2" ht="15.5">
      <c r="B1118"/>
    </row>
    <row r="1119" spans="2:2" ht="15.5">
      <c r="B1119"/>
    </row>
    <row r="1120" spans="2:2" ht="15.5">
      <c r="B1120"/>
    </row>
    <row r="1121" spans="2:2" ht="15.5">
      <c r="B1121"/>
    </row>
    <row r="1122" spans="2:2" ht="15.5">
      <c r="B1122"/>
    </row>
    <row r="1123" spans="2:2" ht="15.5">
      <c r="B1123"/>
    </row>
    <row r="1124" spans="2:2" ht="15.5">
      <c r="B1124"/>
    </row>
    <row r="1125" spans="2:2" ht="15.5">
      <c r="B1125"/>
    </row>
    <row r="1126" spans="2:2" ht="15.5">
      <c r="B1126"/>
    </row>
    <row r="1127" spans="2:2" ht="15.5">
      <c r="B1127"/>
    </row>
    <row r="1128" spans="2:2" ht="15.5">
      <c r="B1128"/>
    </row>
    <row r="1129" spans="2:2" ht="15.5">
      <c r="B1129"/>
    </row>
    <row r="1130" spans="2:2" ht="15.5">
      <c r="B1130"/>
    </row>
    <row r="1131" spans="2:2" ht="15.5">
      <c r="B1131"/>
    </row>
    <row r="1132" spans="2:2" ht="15.5">
      <c r="B1132"/>
    </row>
    <row r="1133" spans="2:2" ht="15.5">
      <c r="B1133"/>
    </row>
    <row r="1134" spans="2:2" ht="15.5">
      <c r="B1134"/>
    </row>
    <row r="1135" spans="2:2" ht="15.5">
      <c r="B1135"/>
    </row>
    <row r="1136" spans="2:2" ht="15.5">
      <c r="B1136"/>
    </row>
    <row r="1137" spans="2:2" ht="15.5">
      <c r="B1137"/>
    </row>
    <row r="1138" spans="2:2" ht="15.5">
      <c r="B1138"/>
    </row>
    <row r="1139" spans="2:2" ht="15.5">
      <c r="B1139"/>
    </row>
    <row r="1140" spans="2:2" ht="15.5">
      <c r="B1140"/>
    </row>
    <row r="1141" spans="2:2" ht="15.5">
      <c r="B1141"/>
    </row>
    <row r="1142" spans="2:2" ht="15.5">
      <c r="B1142"/>
    </row>
    <row r="1143" spans="2:2" ht="15.5">
      <c r="B1143"/>
    </row>
    <row r="1144" spans="2:2" ht="15.5">
      <c r="B1144"/>
    </row>
    <row r="1145" spans="2:2" ht="15.5">
      <c r="B1145"/>
    </row>
    <row r="1146" spans="2:2" ht="15.5">
      <c r="B1146"/>
    </row>
    <row r="1147" spans="2:2" ht="15.5">
      <c r="B1147"/>
    </row>
    <row r="1148" spans="2:2" ht="15.5">
      <c r="B1148"/>
    </row>
    <row r="1149" spans="2:2" ht="15.5">
      <c r="B1149"/>
    </row>
    <row r="1150" spans="2:2" ht="15.5">
      <c r="B1150"/>
    </row>
    <row r="1151" spans="2:2" ht="15.5">
      <c r="B1151"/>
    </row>
    <row r="1152" spans="2:2" ht="15.5">
      <c r="B1152"/>
    </row>
    <row r="1153" spans="2:2" ht="15.5">
      <c r="B1153"/>
    </row>
    <row r="1154" spans="2:2" ht="15.5">
      <c r="B1154"/>
    </row>
    <row r="1155" spans="2:2" ht="15.5">
      <c r="B1155"/>
    </row>
    <row r="1156" spans="2:2" ht="15.5">
      <c r="B1156"/>
    </row>
    <row r="1157" spans="2:2" ht="15.5">
      <c r="B1157"/>
    </row>
    <row r="1158" spans="2:2" ht="15.5">
      <c r="B1158"/>
    </row>
    <row r="1159" spans="2:2" ht="15.5">
      <c r="B1159"/>
    </row>
    <row r="1160" spans="2:2" ht="15.5">
      <c r="B1160"/>
    </row>
    <row r="1161" spans="2:2" ht="15.5">
      <c r="B1161"/>
    </row>
    <row r="1162" spans="2:2" ht="15.5">
      <c r="B1162"/>
    </row>
    <row r="1163" spans="2:2" ht="15.5">
      <c r="B1163"/>
    </row>
    <row r="1164" spans="2:2" ht="15.5">
      <c r="B1164"/>
    </row>
    <row r="1165" spans="2:2" ht="15.5">
      <c r="B1165"/>
    </row>
    <row r="1166" spans="2:2" ht="15.5">
      <c r="B1166"/>
    </row>
    <row r="1167" spans="2:2" ht="15.5">
      <c r="B1167"/>
    </row>
    <row r="1168" spans="2:2" ht="15.5">
      <c r="B1168"/>
    </row>
    <row r="1169" spans="2:2" ht="15.5">
      <c r="B1169"/>
    </row>
    <row r="1170" spans="2:2" ht="15.5">
      <c r="B1170"/>
    </row>
    <row r="1171" spans="2:2" ht="15.5">
      <c r="B1171"/>
    </row>
    <row r="1172" spans="2:2" ht="15.5">
      <c r="B1172"/>
    </row>
    <row r="1173" spans="2:2" ht="15.5">
      <c r="B1173"/>
    </row>
    <row r="1174" spans="2:2" ht="15.5">
      <c r="B1174"/>
    </row>
    <row r="1175" spans="2:2" ht="15.5">
      <c r="B1175"/>
    </row>
    <row r="1176" spans="2:2" ht="15.5">
      <c r="B1176"/>
    </row>
    <row r="1177" spans="2:2" ht="15.5">
      <c r="B1177"/>
    </row>
    <row r="1178" spans="2:2" ht="15.5">
      <c r="B1178"/>
    </row>
    <row r="1179" spans="2:2" ht="15.5">
      <c r="B1179"/>
    </row>
    <row r="1180" spans="2:2" ht="15.5">
      <c r="B1180"/>
    </row>
    <row r="1181" spans="2:2" ht="15.5">
      <c r="B1181"/>
    </row>
    <row r="1182" spans="2:2" ht="15.5">
      <c r="B1182"/>
    </row>
    <row r="1183" spans="2:2" ht="15.5">
      <c r="B1183"/>
    </row>
    <row r="1184" spans="2:2" ht="15.5">
      <c r="B1184"/>
    </row>
    <row r="1185" spans="2:2" ht="15.5">
      <c r="B1185"/>
    </row>
    <row r="1186" spans="2:2" ht="15.5">
      <c r="B1186"/>
    </row>
    <row r="1187" spans="2:2" ht="15.5">
      <c r="B1187"/>
    </row>
    <row r="1188" spans="2:2" ht="15.5">
      <c r="B1188"/>
    </row>
    <row r="1189" spans="2:2" ht="15.5">
      <c r="B1189"/>
    </row>
    <row r="1190" spans="2:2" ht="15.5">
      <c r="B1190"/>
    </row>
    <row r="1191" spans="2:2" ht="15.5">
      <c r="B1191"/>
    </row>
    <row r="1192" spans="2:2" ht="15.5">
      <c r="B1192"/>
    </row>
    <row r="1193" spans="2:2" ht="15.5">
      <c r="B1193"/>
    </row>
    <row r="1194" spans="2:2" ht="15.5">
      <c r="B1194"/>
    </row>
    <row r="1195" spans="2:2" ht="15.5">
      <c r="B1195"/>
    </row>
    <row r="1196" spans="2:2" ht="15.5">
      <c r="B1196"/>
    </row>
    <row r="1197" spans="2:2" ht="15.5">
      <c r="B1197"/>
    </row>
    <row r="1198" spans="2:2" ht="15.5">
      <c r="B1198"/>
    </row>
    <row r="1199" spans="2:2" ht="15.5">
      <c r="B1199"/>
    </row>
    <row r="1200" spans="2:2" ht="15.5">
      <c r="B1200"/>
    </row>
    <row r="1201" spans="2:2" ht="15.5">
      <c r="B1201"/>
    </row>
    <row r="1202" spans="2:2" ht="15.5">
      <c r="B1202"/>
    </row>
    <row r="1203" spans="2:2" ht="15.5">
      <c r="B1203"/>
    </row>
    <row r="1204" spans="2:2" ht="15.5">
      <c r="B1204"/>
    </row>
    <row r="1205" spans="2:2" ht="15.5">
      <c r="B1205"/>
    </row>
    <row r="1206" spans="2:2" ht="15.5">
      <c r="B1206"/>
    </row>
    <row r="1207" spans="2:2" ht="15.5">
      <c r="B1207"/>
    </row>
    <row r="1208" spans="2:2" ht="15.5">
      <c r="B1208"/>
    </row>
    <row r="1209" spans="2:2" ht="15.5">
      <c r="B1209"/>
    </row>
    <row r="1210" spans="2:2" ht="15.5">
      <c r="B1210"/>
    </row>
    <row r="1211" spans="2:2" ht="15.5">
      <c r="B1211"/>
    </row>
    <row r="1212" spans="2:2" ht="15.5">
      <c r="B1212"/>
    </row>
    <row r="1213" spans="2:2" ht="15.5">
      <c r="B1213"/>
    </row>
    <row r="1214" spans="2:2" ht="15.5">
      <c r="B1214"/>
    </row>
    <row r="1215" spans="2:2" ht="15.5">
      <c r="B1215"/>
    </row>
    <row r="1216" spans="2:2" ht="15.5">
      <c r="B1216"/>
    </row>
    <row r="1217" spans="2:2" ht="15.5">
      <c r="B1217"/>
    </row>
    <row r="1218" spans="2:2" ht="15.5">
      <c r="B1218"/>
    </row>
    <row r="1219" spans="2:2" ht="15.5">
      <c r="B1219"/>
    </row>
    <row r="1220" spans="2:2" ht="15.5">
      <c r="B1220"/>
    </row>
    <row r="1221" spans="2:2" ht="15.5">
      <c r="B1221"/>
    </row>
    <row r="1222" spans="2:2" ht="15.5">
      <c r="B1222"/>
    </row>
    <row r="1223" spans="2:2" ht="15.5">
      <c r="B1223"/>
    </row>
    <row r="1224" spans="2:2" ht="15.5">
      <c r="B1224"/>
    </row>
    <row r="1225" spans="2:2" ht="15.5">
      <c r="B1225"/>
    </row>
    <row r="1226" spans="2:2" ht="15.5">
      <c r="B1226"/>
    </row>
    <row r="1227" spans="2:2" ht="15.5">
      <c r="B1227"/>
    </row>
    <row r="1228" spans="2:2" ht="15.5">
      <c r="B1228"/>
    </row>
    <row r="1229" spans="2:2" ht="15.5">
      <c r="B1229"/>
    </row>
    <row r="1230" spans="2:2" ht="15.5">
      <c r="B1230"/>
    </row>
    <row r="1231" spans="2:2" ht="15.5">
      <c r="B1231"/>
    </row>
    <row r="1232" spans="2:2" ht="15.5">
      <c r="B1232"/>
    </row>
    <row r="1233" spans="2:2" ht="15.5">
      <c r="B1233"/>
    </row>
    <row r="1234" spans="2:2" ht="15.5">
      <c r="B1234"/>
    </row>
    <row r="1235" spans="2:2" ht="15.5">
      <c r="B1235"/>
    </row>
    <row r="1236" spans="2:2" ht="15.5">
      <c r="B1236"/>
    </row>
    <row r="1237" spans="2:2" ht="15.5">
      <c r="B1237"/>
    </row>
    <row r="1238" spans="2:2" ht="15.5">
      <c r="B1238"/>
    </row>
    <row r="1239" spans="2:2" ht="15.5">
      <c r="B1239"/>
    </row>
    <row r="1240" spans="2:2" ht="15.5">
      <c r="B1240"/>
    </row>
    <row r="1241" spans="2:2" ht="15.5">
      <c r="B1241"/>
    </row>
    <row r="1242" spans="2:2" ht="15.5">
      <c r="B1242"/>
    </row>
    <row r="1243" spans="2:2" ht="15.5">
      <c r="B1243"/>
    </row>
    <row r="1244" spans="2:2" ht="15.5">
      <c r="B1244"/>
    </row>
    <row r="1245" spans="2:2" ht="15.5">
      <c r="B1245"/>
    </row>
    <row r="1246" spans="2:2" ht="15.5">
      <c r="B1246"/>
    </row>
    <row r="1247" spans="2:2" ht="15.5">
      <c r="B1247"/>
    </row>
    <row r="1248" spans="2:2" ht="15.5">
      <c r="B1248"/>
    </row>
    <row r="1249" spans="2:2" ht="15.5">
      <c r="B1249"/>
    </row>
    <row r="1250" spans="2:2" ht="15.5">
      <c r="B1250"/>
    </row>
    <row r="1251" spans="2:2" ht="15.5">
      <c r="B1251"/>
    </row>
    <row r="1252" spans="2:2" ht="15.5">
      <c r="B1252"/>
    </row>
    <row r="1253" spans="2:2" ht="15.5">
      <c r="B1253"/>
    </row>
    <row r="1254" spans="2:2" ht="15.5">
      <c r="B1254"/>
    </row>
    <row r="1255" spans="2:2" ht="15.5">
      <c r="B1255"/>
    </row>
    <row r="1256" spans="2:2" ht="15.5">
      <c r="B1256"/>
    </row>
    <row r="1257" spans="2:2" ht="15.5">
      <c r="B1257"/>
    </row>
    <row r="1258" spans="2:2" ht="15.5">
      <c r="B1258"/>
    </row>
    <row r="1259" spans="2:2" ht="15.5">
      <c r="B1259"/>
    </row>
    <row r="1260" spans="2:2" ht="15.5">
      <c r="B1260"/>
    </row>
    <row r="1261" spans="2:2" ht="15.5">
      <c r="B1261"/>
    </row>
    <row r="1262" spans="2:2" ht="15.5">
      <c r="B1262"/>
    </row>
    <row r="1263" spans="2:2" ht="15.5">
      <c r="B1263"/>
    </row>
    <row r="1264" spans="2:2" ht="15.5">
      <c r="B1264"/>
    </row>
    <row r="1265" spans="2:2" ht="15.5">
      <c r="B1265"/>
    </row>
    <row r="1266" spans="2:2" ht="15.5">
      <c r="B1266"/>
    </row>
    <row r="1267" spans="2:2" ht="15.5">
      <c r="B1267"/>
    </row>
    <row r="1268" spans="2:2" ht="15.5">
      <c r="B1268"/>
    </row>
    <row r="1269" spans="2:2" ht="15.5">
      <c r="B1269"/>
    </row>
    <row r="1270" spans="2:2" ht="15.5">
      <c r="B1270"/>
    </row>
    <row r="1271" spans="2:2" ht="15.5">
      <c r="B1271"/>
    </row>
    <row r="1272" spans="2:2" ht="15.5">
      <c r="B1272"/>
    </row>
    <row r="1273" spans="2:2" ht="15.5">
      <c r="B1273"/>
    </row>
    <row r="1274" spans="2:2" ht="15.5">
      <c r="B1274"/>
    </row>
    <row r="1275" spans="2:2" ht="15.5">
      <c r="B1275"/>
    </row>
    <row r="1276" spans="2:2" ht="15.5">
      <c r="B1276"/>
    </row>
    <row r="1277" spans="2:2" ht="15.5">
      <c r="B1277"/>
    </row>
    <row r="1278" spans="2:2" ht="15.5">
      <c r="B1278"/>
    </row>
    <row r="1279" spans="2:2" ht="15.5">
      <c r="B1279"/>
    </row>
    <row r="1280" spans="2:2" ht="15.5">
      <c r="B1280"/>
    </row>
    <row r="1281" spans="2:2" ht="15.5">
      <c r="B1281"/>
    </row>
    <row r="1282" spans="2:2" ht="15.5">
      <c r="B1282"/>
    </row>
    <row r="1283" spans="2:2" ht="15.5">
      <c r="B1283"/>
    </row>
    <row r="1284" spans="2:2" ht="15.5">
      <c r="B1284"/>
    </row>
    <row r="1285" spans="2:2" ht="15.5">
      <c r="B1285"/>
    </row>
    <row r="1286" spans="2:2" ht="15.5">
      <c r="B1286"/>
    </row>
    <row r="1287" spans="2:2" ht="15.5">
      <c r="B1287"/>
    </row>
    <row r="1288" spans="2:2" ht="15.5">
      <c r="B1288"/>
    </row>
    <row r="1289" spans="2:2" ht="15.5">
      <c r="B1289"/>
    </row>
    <row r="1290" spans="2:2" ht="15.5">
      <c r="B1290"/>
    </row>
    <row r="1291" spans="2:2" ht="15.5">
      <c r="B1291"/>
    </row>
    <row r="1292" spans="2:2" ht="15.5">
      <c r="B1292"/>
    </row>
    <row r="1293" spans="2:2" ht="15.5">
      <c r="B1293"/>
    </row>
    <row r="1294" spans="2:2" ht="15.5">
      <c r="B1294"/>
    </row>
    <row r="1295" spans="2:2" ht="15.5">
      <c r="B1295"/>
    </row>
    <row r="1296" spans="2:2" ht="15.5">
      <c r="B1296"/>
    </row>
    <row r="1297" spans="2:2" ht="15.5">
      <c r="B1297"/>
    </row>
    <row r="1298" spans="2:2" ht="15.5">
      <c r="B1298"/>
    </row>
    <row r="1299" spans="2:2" ht="15.5">
      <c r="B1299"/>
    </row>
    <row r="1300" spans="2:2" ht="15.5">
      <c r="B1300"/>
    </row>
    <row r="1301" spans="2:2" ht="15.5">
      <c r="B1301"/>
    </row>
    <row r="1302" spans="2:2" ht="15.5">
      <c r="B1302"/>
    </row>
    <row r="1303" spans="2:2" ht="15.5">
      <c r="B1303"/>
    </row>
    <row r="1304" spans="2:2" ht="15.5">
      <c r="B1304"/>
    </row>
    <row r="1305" spans="2:2" ht="15.5">
      <c r="B1305"/>
    </row>
    <row r="1306" spans="2:2" ht="15.5">
      <c r="B1306"/>
    </row>
    <row r="1307" spans="2:2" ht="15.5">
      <c r="B1307"/>
    </row>
    <row r="1308" spans="2:2" ht="15.5">
      <c r="B1308"/>
    </row>
    <row r="1309" spans="2:2" ht="15.5">
      <c r="B1309"/>
    </row>
    <row r="1310" spans="2:2" ht="15.5">
      <c r="B1310"/>
    </row>
    <row r="1311" spans="2:2" ht="15.5">
      <c r="B1311"/>
    </row>
    <row r="1312" spans="2:2" ht="15.5">
      <c r="B1312"/>
    </row>
    <row r="1313" spans="2:2" ht="15.5">
      <c r="B1313"/>
    </row>
    <row r="1314" spans="2:2" ht="15.5">
      <c r="B1314"/>
    </row>
    <row r="1315" spans="2:2" ht="15.5">
      <c r="B1315"/>
    </row>
    <row r="1316" spans="2:2" ht="15.5">
      <c r="B1316"/>
    </row>
    <row r="1317" spans="2:2" ht="15.5">
      <c r="B1317"/>
    </row>
    <row r="1318" spans="2:2" ht="15.5">
      <c r="B1318"/>
    </row>
    <row r="1319" spans="2:2" ht="15.5">
      <c r="B1319"/>
    </row>
    <row r="1320" spans="2:2" ht="15.5">
      <c r="B1320"/>
    </row>
    <row r="1321" spans="2:2" ht="15.5">
      <c r="B1321"/>
    </row>
    <row r="1322" spans="2:2" ht="15.5">
      <c r="B1322"/>
    </row>
    <row r="1323" spans="2:2" ht="15.5">
      <c r="B1323"/>
    </row>
    <row r="1324" spans="2:2" ht="15.5">
      <c r="B1324"/>
    </row>
    <row r="1325" spans="2:2" ht="15.5">
      <c r="B1325"/>
    </row>
    <row r="1326" spans="2:2" ht="15.5">
      <c r="B1326"/>
    </row>
    <row r="1327" spans="2:2" ht="15.5">
      <c r="B1327"/>
    </row>
    <row r="1328" spans="2:2" ht="15.5">
      <c r="B1328"/>
    </row>
    <row r="1329" spans="2:2" ht="15.5">
      <c r="B1329"/>
    </row>
    <row r="1330" spans="2:2" ht="15.5">
      <c r="B1330"/>
    </row>
    <row r="1331" spans="2:2" ht="15.5">
      <c r="B1331"/>
    </row>
    <row r="1332" spans="2:2" ht="15.5">
      <c r="B1332"/>
    </row>
    <row r="1333" spans="2:2" ht="15.5">
      <c r="B1333"/>
    </row>
    <row r="1334" spans="2:2" ht="15.5">
      <c r="B1334"/>
    </row>
    <row r="1335" spans="2:2" ht="15.5">
      <c r="B1335"/>
    </row>
    <row r="1336" spans="2:2" ht="15.5">
      <c r="B1336"/>
    </row>
    <row r="1337" spans="2:2" ht="15.5">
      <c r="B1337"/>
    </row>
    <row r="1338" spans="2:2" ht="15.5">
      <c r="B1338"/>
    </row>
    <row r="1339" spans="2:2" ht="15.5">
      <c r="B1339"/>
    </row>
    <row r="1340" spans="2:2" ht="15.5">
      <c r="B1340"/>
    </row>
    <row r="1341" spans="2:2" ht="15.5">
      <c r="B1341"/>
    </row>
    <row r="1342" spans="2:2" ht="15.5">
      <c r="B1342"/>
    </row>
    <row r="1343" spans="2:2" ht="15.5">
      <c r="B1343"/>
    </row>
    <row r="1344" spans="2:2" ht="15.5">
      <c r="B1344"/>
    </row>
    <row r="1345" spans="2:2" ht="15.5">
      <c r="B1345"/>
    </row>
    <row r="1346" spans="2:2" ht="15.5">
      <c r="B1346"/>
    </row>
    <row r="1347" spans="2:2" ht="15.5">
      <c r="B1347"/>
    </row>
    <row r="1348" spans="2:2" ht="15.5">
      <c r="B1348"/>
    </row>
    <row r="1349" spans="2:2" ht="15.5">
      <c r="B1349"/>
    </row>
    <row r="1350" spans="2:2" ht="15.5">
      <c r="B1350"/>
    </row>
    <row r="1351" spans="2:2" ht="15.5">
      <c r="B1351"/>
    </row>
    <row r="1352" spans="2:2" ht="15.5">
      <c r="B1352"/>
    </row>
    <row r="1353" spans="2:2" ht="15.5">
      <c r="B1353"/>
    </row>
    <row r="1354" spans="2:2" ht="15.5">
      <c r="B1354"/>
    </row>
    <row r="1355" spans="2:2" ht="15.5">
      <c r="B1355"/>
    </row>
    <row r="1356" spans="2:2" ht="15.5">
      <c r="B1356"/>
    </row>
    <row r="1357" spans="2:2" ht="15.5">
      <c r="B1357"/>
    </row>
    <row r="1358" spans="2:2" ht="15.5">
      <c r="B1358"/>
    </row>
    <row r="1359" spans="2:2" ht="15.5">
      <c r="B1359"/>
    </row>
    <row r="1360" spans="2:2" ht="15.5">
      <c r="B1360"/>
    </row>
    <row r="1361" spans="2:2" ht="15.5">
      <c r="B1361"/>
    </row>
    <row r="1362" spans="2:2" ht="15.5">
      <c r="B1362"/>
    </row>
    <row r="1363" spans="2:2" ht="15.5">
      <c r="B1363"/>
    </row>
    <row r="1364" spans="2:2" ht="15.5">
      <c r="B1364"/>
    </row>
    <row r="1365" spans="2:2" ht="15.5">
      <c r="B1365"/>
    </row>
    <row r="1366" spans="2:2" ht="15.5">
      <c r="B1366"/>
    </row>
    <row r="1367" spans="2:2" ht="15.5">
      <c r="B1367"/>
    </row>
    <row r="1368" spans="2:2" ht="15.5">
      <c r="B1368"/>
    </row>
    <row r="1369" spans="2:2" ht="15.5">
      <c r="B1369"/>
    </row>
    <row r="1370" spans="2:2" ht="15.5">
      <c r="B1370"/>
    </row>
    <row r="1371" spans="2:2" ht="15.5">
      <c r="B1371"/>
    </row>
    <row r="1372" spans="2:2" ht="15.5">
      <c r="B1372"/>
    </row>
    <row r="1373" spans="2:2" ht="15.5">
      <c r="B1373"/>
    </row>
    <row r="1374" spans="2:2" ht="15.5">
      <c r="B1374"/>
    </row>
    <row r="1375" spans="2:2" ht="15.5">
      <c r="B1375"/>
    </row>
    <row r="1376" spans="2:2" ht="15.5">
      <c r="B1376"/>
    </row>
    <row r="1377" spans="2:2" ht="15.5">
      <c r="B1377"/>
    </row>
    <row r="1378" spans="2:2" ht="15.5">
      <c r="B1378"/>
    </row>
    <row r="1379" spans="2:2" ht="15.5">
      <c r="B1379"/>
    </row>
    <row r="1380" spans="2:2" ht="15.5">
      <c r="B1380"/>
    </row>
    <row r="1381" spans="2:2" ht="15.5">
      <c r="B1381"/>
    </row>
    <row r="1382" spans="2:2" ht="15.5">
      <c r="B1382"/>
    </row>
    <row r="1383" spans="2:2" ht="15.5">
      <c r="B1383"/>
    </row>
    <row r="1384" spans="2:2" ht="15.5">
      <c r="B1384"/>
    </row>
    <row r="1385" spans="2:2" ht="15.5">
      <c r="B1385"/>
    </row>
    <row r="1386" spans="2:2" ht="15.5">
      <c r="B1386"/>
    </row>
    <row r="1387" spans="2:2" ht="15.5">
      <c r="B1387"/>
    </row>
    <row r="1388" spans="2:2" ht="15.5">
      <c r="B1388"/>
    </row>
    <row r="1389" spans="2:2" ht="15.5">
      <c r="B1389"/>
    </row>
    <row r="1390" spans="2:2" ht="15.5">
      <c r="B1390"/>
    </row>
    <row r="1391" spans="2:2" ht="15.5">
      <c r="B1391"/>
    </row>
    <row r="1392" spans="2:2" ht="15.5">
      <c r="B1392"/>
    </row>
    <row r="1393" spans="2:2" ht="15.5">
      <c r="B1393"/>
    </row>
    <row r="1394" spans="2:2" ht="15.5">
      <c r="B1394"/>
    </row>
    <row r="1395" spans="2:2" ht="15.5">
      <c r="B1395"/>
    </row>
    <row r="1396" spans="2:2" ht="15.5">
      <c r="B1396"/>
    </row>
    <row r="1397" spans="2:2" ht="15.5">
      <c r="B1397"/>
    </row>
    <row r="1398" spans="2:2" ht="15.5">
      <c r="B1398"/>
    </row>
    <row r="1399" spans="2:2" ht="15.5">
      <c r="B1399"/>
    </row>
    <row r="1400" spans="2:2" ht="15.5">
      <c r="B1400"/>
    </row>
    <row r="1401" spans="2:2" ht="15.5">
      <c r="B1401"/>
    </row>
    <row r="1402" spans="2:2" ht="15.5">
      <c r="B1402"/>
    </row>
    <row r="1403" spans="2:2" ht="15.5">
      <c r="B1403"/>
    </row>
    <row r="1404" spans="2:2" ht="15.5">
      <c r="B1404"/>
    </row>
    <row r="1405" spans="2:2" ht="15.5">
      <c r="B1405"/>
    </row>
    <row r="1406" spans="2:2" ht="15.5">
      <c r="B1406"/>
    </row>
    <row r="1407" spans="2:2" ht="15.5">
      <c r="B1407"/>
    </row>
    <row r="1408" spans="2:2" ht="15.5">
      <c r="B1408"/>
    </row>
    <row r="1409" spans="2:2" ht="15.5">
      <c r="B1409"/>
    </row>
    <row r="1410" spans="2:2" ht="15.5">
      <c r="B1410"/>
    </row>
    <row r="1411" spans="2:2" ht="15.5">
      <c r="B1411"/>
    </row>
    <row r="1412" spans="2:2" ht="15.5">
      <c r="B1412"/>
    </row>
    <row r="1413" spans="2:2" ht="15.5">
      <c r="B1413"/>
    </row>
    <row r="1414" spans="2:2" ht="15.5">
      <c r="B1414"/>
    </row>
    <row r="1415" spans="2:2" ht="15.5">
      <c r="B1415"/>
    </row>
    <row r="1416" spans="2:2" ht="15.5">
      <c r="B1416"/>
    </row>
    <row r="1417" spans="2:2" ht="15.5">
      <c r="B1417"/>
    </row>
    <row r="1418" spans="2:2" ht="15.5">
      <c r="B1418"/>
    </row>
    <row r="1419" spans="2:2" ht="15.5">
      <c r="B1419"/>
    </row>
    <row r="1420" spans="2:2" ht="15.5">
      <c r="B1420"/>
    </row>
    <row r="1421" spans="2:2" ht="15.5">
      <c r="B1421"/>
    </row>
    <row r="1422" spans="2:2" ht="15.5">
      <c r="B1422"/>
    </row>
    <row r="1423" spans="2:2" ht="15.5">
      <c r="B1423"/>
    </row>
    <row r="1424" spans="2:2" ht="15.5">
      <c r="B1424"/>
    </row>
    <row r="1425" spans="2:2" ht="15.5">
      <c r="B1425"/>
    </row>
    <row r="1426" spans="2:2" ht="15.5">
      <c r="B1426"/>
    </row>
    <row r="1427" spans="2:2" ht="15.5">
      <c r="B1427"/>
    </row>
    <row r="1428" spans="2:2" ht="15.5">
      <c r="B1428"/>
    </row>
    <row r="1429" spans="2:2" ht="15.5">
      <c r="B1429"/>
    </row>
    <row r="1430" spans="2:2" ht="15.5">
      <c r="B1430"/>
    </row>
    <row r="1431" spans="2:2" ht="15.5">
      <c r="B1431"/>
    </row>
    <row r="1432" spans="2:2" ht="15.5">
      <c r="B1432"/>
    </row>
    <row r="1433" spans="2:2" ht="15.5">
      <c r="B1433"/>
    </row>
    <row r="1434" spans="2:2" ht="15.5">
      <c r="B1434"/>
    </row>
    <row r="1435" spans="2:2" ht="15.5">
      <c r="B1435"/>
    </row>
    <row r="1436" spans="2:2" ht="15.5">
      <c r="B1436"/>
    </row>
    <row r="1437" spans="2:2" ht="15.5">
      <c r="B1437"/>
    </row>
    <row r="1438" spans="2:2" ht="15.5">
      <c r="B1438"/>
    </row>
    <row r="1439" spans="2:2" ht="15.5">
      <c r="B1439"/>
    </row>
    <row r="1440" spans="2:2" ht="15.5">
      <c r="B1440"/>
    </row>
    <row r="1441" spans="2:2" ht="15.5">
      <c r="B1441"/>
    </row>
    <row r="1442" spans="2:2" ht="15.5">
      <c r="B1442"/>
    </row>
    <row r="1443" spans="2:2" ht="15.5">
      <c r="B1443"/>
    </row>
    <row r="1444" spans="2:2" ht="15.5">
      <c r="B1444"/>
    </row>
    <row r="1445" spans="2:2" ht="15.5">
      <c r="B1445"/>
    </row>
    <row r="1446" spans="2:2" ht="15.5">
      <c r="B1446"/>
    </row>
    <row r="1447" spans="2:2" ht="15.5">
      <c r="B1447"/>
    </row>
    <row r="1448" spans="2:2" ht="15.5">
      <c r="B1448"/>
    </row>
    <row r="1449" spans="2:2" ht="15.5">
      <c r="B1449"/>
    </row>
    <row r="1450" spans="2:2" ht="15.5">
      <c r="B1450"/>
    </row>
    <row r="1451" spans="2:2" ht="15.5">
      <c r="B1451"/>
    </row>
    <row r="1452" spans="2:2" ht="15.5">
      <c r="B1452"/>
    </row>
    <row r="1453" spans="2:2" ht="15.5">
      <c r="B1453"/>
    </row>
    <row r="1454" spans="2:2" ht="15.5">
      <c r="B1454"/>
    </row>
    <row r="1455" spans="2:2" ht="15.5">
      <c r="B1455"/>
    </row>
    <row r="1456" spans="2:2" ht="15.5">
      <c r="B1456"/>
    </row>
    <row r="1457" spans="2:2" ht="15.5">
      <c r="B1457"/>
    </row>
    <row r="1458" spans="2:2" ht="15.5">
      <c r="B1458"/>
    </row>
    <row r="1459" spans="2:2" ht="15.5">
      <c r="B1459"/>
    </row>
    <row r="1460" spans="2:2" ht="15.5">
      <c r="B1460"/>
    </row>
    <row r="1461" spans="2:2" ht="15.5">
      <c r="B1461"/>
    </row>
    <row r="1462" spans="2:2" ht="15.5">
      <c r="B1462"/>
    </row>
    <row r="1463" spans="2:2" ht="15.5">
      <c r="B1463"/>
    </row>
    <row r="1464" spans="2:2" ht="15.5">
      <c r="B1464"/>
    </row>
    <row r="1465" spans="2:2" ht="15.5">
      <c r="B1465"/>
    </row>
    <row r="1466" spans="2:2" ht="15.5">
      <c r="B1466"/>
    </row>
    <row r="1467" spans="2:2" ht="15.5">
      <c r="B1467"/>
    </row>
    <row r="1468" spans="2:2" ht="15.5">
      <c r="B1468"/>
    </row>
    <row r="1469" spans="2:2" ht="15.5">
      <c r="B1469"/>
    </row>
    <row r="1470" spans="2:2" ht="15.5">
      <c r="B1470"/>
    </row>
    <row r="1471" spans="2:2" ht="15.5">
      <c r="B1471"/>
    </row>
    <row r="1472" spans="2:2" ht="15.5">
      <c r="B1472"/>
    </row>
    <row r="1473" spans="2:2" ht="15.5">
      <c r="B1473"/>
    </row>
    <row r="1474" spans="2:2" ht="15.5">
      <c r="B1474"/>
    </row>
    <row r="1475" spans="2:2" ht="15.5">
      <c r="B1475"/>
    </row>
    <row r="1476" spans="2:2" ht="15.5">
      <c r="B1476"/>
    </row>
    <row r="1477" spans="2:2" ht="15.5">
      <c r="B1477"/>
    </row>
    <row r="1478" spans="2:2" ht="15.5">
      <c r="B1478"/>
    </row>
    <row r="1479" spans="2:2" ht="15.5">
      <c r="B1479"/>
    </row>
    <row r="1480" spans="2:2" ht="15.5">
      <c r="B1480"/>
    </row>
    <row r="1481" spans="2:2" ht="15.5">
      <c r="B1481"/>
    </row>
    <row r="1482" spans="2:2" ht="15.5">
      <c r="B1482"/>
    </row>
    <row r="1483" spans="2:2" ht="15.5">
      <c r="B1483"/>
    </row>
    <row r="1484" spans="2:2" ht="15.5">
      <c r="B1484"/>
    </row>
    <row r="1485" spans="2:2" ht="15.5">
      <c r="B1485"/>
    </row>
    <row r="1486" spans="2:2" ht="15.5">
      <c r="B1486"/>
    </row>
    <row r="1487" spans="2:2" ht="15.5">
      <c r="B1487"/>
    </row>
    <row r="1488" spans="2:2" ht="15.5">
      <c r="B1488"/>
    </row>
    <row r="1489" spans="2:2" ht="15.5">
      <c r="B1489"/>
    </row>
    <row r="1490" spans="2:2" ht="15.5">
      <c r="B1490"/>
    </row>
    <row r="1491" spans="2:2" ht="15.5">
      <c r="B1491"/>
    </row>
    <row r="1492" spans="2:2" ht="15.5">
      <c r="B1492"/>
    </row>
    <row r="1493" spans="2:2" ht="15.5">
      <c r="B1493"/>
    </row>
    <row r="1494" spans="2:2" ht="15.5">
      <c r="B1494"/>
    </row>
    <row r="1495" spans="2:2" ht="15.5">
      <c r="B1495"/>
    </row>
    <row r="1496" spans="2:2" ht="15.5">
      <c r="B1496"/>
    </row>
    <row r="1497" spans="2:2" ht="15.5">
      <c r="B1497"/>
    </row>
    <row r="1498" spans="2:2" ht="15.5">
      <c r="B1498"/>
    </row>
    <row r="1499" spans="2:2" ht="15.5">
      <c r="B1499"/>
    </row>
    <row r="1500" spans="2:2" ht="15.5">
      <c r="B1500"/>
    </row>
    <row r="1501" spans="2:2" ht="15.5">
      <c r="B1501"/>
    </row>
    <row r="1502" spans="2:2" ht="15.5">
      <c r="B1502"/>
    </row>
    <row r="1503" spans="2:2" ht="15.5">
      <c r="B1503"/>
    </row>
    <row r="1504" spans="2:2" ht="15.5">
      <c r="B1504"/>
    </row>
    <row r="1505" spans="2:2" ht="15.5">
      <c r="B1505"/>
    </row>
    <row r="1506" spans="2:2" ht="15.5">
      <c r="B1506"/>
    </row>
    <row r="1507" spans="2:2" ht="15.5">
      <c r="B1507"/>
    </row>
    <row r="1508" spans="2:2" ht="15.5">
      <c r="B1508"/>
    </row>
    <row r="1509" spans="2:2" ht="15.5">
      <c r="B1509"/>
    </row>
    <row r="1510" spans="2:2" ht="15.5">
      <c r="B1510"/>
    </row>
    <row r="1511" spans="2:2" ht="15.5">
      <c r="B1511"/>
    </row>
    <row r="1512" spans="2:2" ht="15.5">
      <c r="B1512"/>
    </row>
    <row r="1513" spans="2:2" ht="15.5">
      <c r="B1513"/>
    </row>
    <row r="1514" spans="2:2" ht="15.5">
      <c r="B1514"/>
    </row>
    <row r="1515" spans="2:2" ht="15.5">
      <c r="B1515"/>
    </row>
    <row r="1516" spans="2:2" ht="15.5">
      <c r="B1516"/>
    </row>
    <row r="1517" spans="2:2" ht="15.5">
      <c r="B1517"/>
    </row>
    <row r="1518" spans="2:2" ht="15.5">
      <c r="B1518"/>
    </row>
    <row r="1519" spans="2:2" ht="15.5">
      <c r="B1519"/>
    </row>
    <row r="1520" spans="2:2" ht="15.5">
      <c r="B1520"/>
    </row>
    <row r="1521" spans="2:2" ht="15.5">
      <c r="B1521"/>
    </row>
    <row r="1522" spans="2:2" ht="15.5">
      <c r="B1522"/>
    </row>
    <row r="1523" spans="2:2" ht="15.5">
      <c r="B1523"/>
    </row>
    <row r="1524" spans="2:2" ht="15.5">
      <c r="B1524"/>
    </row>
    <row r="1525" spans="2:2" ht="15.5">
      <c r="B1525"/>
    </row>
    <row r="1526" spans="2:2" ht="15.5">
      <c r="B1526"/>
    </row>
    <row r="1527" spans="2:2" ht="15.5">
      <c r="B1527"/>
    </row>
    <row r="1528" spans="2:2" ht="15.5">
      <c r="B1528"/>
    </row>
    <row r="1529" spans="2:2" ht="15.5">
      <c r="B1529"/>
    </row>
    <row r="1530" spans="2:2" ht="15.5">
      <c r="B1530"/>
    </row>
    <row r="1531" spans="2:2" ht="15.5">
      <c r="B1531"/>
    </row>
    <row r="1532" spans="2:2" ht="15.5">
      <c r="B1532"/>
    </row>
    <row r="1533" spans="2:2" ht="15.5">
      <c r="B1533"/>
    </row>
    <row r="1534" spans="2:2" ht="15.5">
      <c r="B1534"/>
    </row>
    <row r="1535" spans="2:2" ht="15.5">
      <c r="B1535"/>
    </row>
    <row r="1536" spans="2:2" ht="15.5">
      <c r="B1536"/>
    </row>
    <row r="1537" spans="2:2" ht="15.5">
      <c r="B1537"/>
    </row>
    <row r="1538" spans="2:2" ht="15.5">
      <c r="B1538"/>
    </row>
    <row r="1539" spans="2:2" ht="15.5">
      <c r="B1539"/>
    </row>
    <row r="1540" spans="2:2" ht="15.5">
      <c r="B1540"/>
    </row>
    <row r="1541" spans="2:2" ht="15.5">
      <c r="B1541"/>
    </row>
    <row r="1542" spans="2:2" ht="15.5">
      <c r="B1542"/>
    </row>
    <row r="1543" spans="2:2" ht="15.5">
      <c r="B1543"/>
    </row>
    <row r="1544" spans="2:2" ht="15.5">
      <c r="B1544"/>
    </row>
    <row r="1545" spans="2:2" ht="15.5">
      <c r="B1545"/>
    </row>
    <row r="1546" spans="2:2" ht="15.5">
      <c r="B1546"/>
    </row>
    <row r="1547" spans="2:2" ht="15.5">
      <c r="B1547"/>
    </row>
    <row r="1548" spans="2:2" ht="15.5">
      <c r="B1548"/>
    </row>
    <row r="1549" spans="2:2" ht="15.5">
      <c r="B1549"/>
    </row>
    <row r="1550" spans="2:2" ht="15.5">
      <c r="B1550"/>
    </row>
    <row r="1551" spans="2:2" ht="15.5">
      <c r="B1551"/>
    </row>
    <row r="1552" spans="2:2" ht="15.5">
      <c r="B1552"/>
    </row>
    <row r="1553" spans="2:2" ht="15.5">
      <c r="B1553"/>
    </row>
    <row r="1554" spans="2:2" ht="15.5">
      <c r="B1554"/>
    </row>
    <row r="1555" spans="2:2" ht="15.5">
      <c r="B1555"/>
    </row>
    <row r="1556" spans="2:2" ht="15.5">
      <c r="B1556"/>
    </row>
    <row r="1557" spans="2:2" ht="15.5">
      <c r="B1557"/>
    </row>
    <row r="1558" spans="2:2" ht="15.5">
      <c r="B1558"/>
    </row>
    <row r="1559" spans="2:2" ht="15.5">
      <c r="B1559"/>
    </row>
    <row r="1560" spans="2:2" ht="15.5">
      <c r="B1560"/>
    </row>
    <row r="1561" spans="2:2" ht="15.5">
      <c r="B1561"/>
    </row>
    <row r="1562" spans="2:2" ht="15.5">
      <c r="B1562"/>
    </row>
    <row r="1563" spans="2:2" ht="15.5">
      <c r="B1563"/>
    </row>
    <row r="1564" spans="2:2" ht="15.5">
      <c r="B1564"/>
    </row>
    <row r="1565" spans="2:2" ht="15.5">
      <c r="B1565"/>
    </row>
    <row r="1566" spans="2:2" ht="15.5">
      <c r="B1566"/>
    </row>
    <row r="1567" spans="2:2" ht="15.5">
      <c r="B1567"/>
    </row>
    <row r="1568" spans="2:2" ht="15.5">
      <c r="B1568"/>
    </row>
    <row r="1569" spans="2:2" ht="15.5">
      <c r="B1569"/>
    </row>
    <row r="1570" spans="2:2" ht="15.5">
      <c r="B1570"/>
    </row>
    <row r="1571" spans="2:2" ht="15.5">
      <c r="B1571"/>
    </row>
    <row r="1572" spans="2:2" ht="15.5">
      <c r="B1572"/>
    </row>
    <row r="1573" spans="2:2" ht="15.5">
      <c r="B1573"/>
    </row>
    <row r="1574" spans="2:2" ht="15.5">
      <c r="B1574"/>
    </row>
    <row r="1575" spans="2:2" ht="15.5">
      <c r="B1575"/>
    </row>
    <row r="1576" spans="2:2" ht="15.5">
      <c r="B1576"/>
    </row>
    <row r="1577" spans="2:2" ht="15.5">
      <c r="B1577"/>
    </row>
    <row r="1578" spans="2:2" ht="15.5">
      <c r="B1578"/>
    </row>
    <row r="1579" spans="2:2" ht="15.5">
      <c r="B1579"/>
    </row>
    <row r="1580" spans="2:2" ht="15.5">
      <c r="B1580"/>
    </row>
    <row r="1581" spans="2:2" ht="15.5">
      <c r="B1581"/>
    </row>
    <row r="1582" spans="2:2" ht="15.5">
      <c r="B1582"/>
    </row>
    <row r="1583" spans="2:2" ht="15.5">
      <c r="B1583"/>
    </row>
    <row r="1584" spans="2:2" ht="15.5">
      <c r="B1584"/>
    </row>
    <row r="1585" spans="2:2" ht="15.5">
      <c r="B1585"/>
    </row>
    <row r="1586" spans="2:2" ht="15.5">
      <c r="B1586"/>
    </row>
    <row r="1587" spans="2:2" ht="15.5">
      <c r="B1587"/>
    </row>
    <row r="1588" spans="2:2" ht="15.5">
      <c r="B1588"/>
    </row>
    <row r="1589" spans="2:2" ht="15.5">
      <c r="B1589"/>
    </row>
    <row r="1590" spans="2:2" ht="15.5">
      <c r="B1590"/>
    </row>
    <row r="1591" spans="2:2" ht="15.5">
      <c r="B1591"/>
    </row>
    <row r="1592" spans="2:2" ht="15.5">
      <c r="B1592"/>
    </row>
    <row r="1593" spans="2:2" ht="15.5">
      <c r="B1593"/>
    </row>
    <row r="1594" spans="2:2" ht="15.5">
      <c r="B1594"/>
    </row>
    <row r="1595" spans="2:2" ht="15.5">
      <c r="B1595"/>
    </row>
    <row r="1596" spans="2:2" ht="15.5">
      <c r="B1596"/>
    </row>
    <row r="1597" spans="2:2" ht="15.5">
      <c r="B1597"/>
    </row>
    <row r="1598" spans="2:2" ht="15.5">
      <c r="B1598"/>
    </row>
    <row r="1599" spans="2:2" ht="15.5">
      <c r="B1599"/>
    </row>
    <row r="1600" spans="2:2" ht="15.5">
      <c r="B1600"/>
    </row>
    <row r="1601" spans="2:2" ht="15.5">
      <c r="B1601"/>
    </row>
    <row r="1602" spans="2:2" ht="15.5">
      <c r="B1602"/>
    </row>
    <row r="1603" spans="2:2" ht="15.5">
      <c r="B1603"/>
    </row>
    <row r="1604" spans="2:2" ht="15.5">
      <c r="B1604"/>
    </row>
    <row r="1605" spans="2:2" ht="15.5">
      <c r="B1605"/>
    </row>
    <row r="1606" spans="2:2" ht="15.5">
      <c r="B1606"/>
    </row>
    <row r="1607" spans="2:2" ht="15.5">
      <c r="B1607"/>
    </row>
    <row r="1608" spans="2:2" ht="15.5">
      <c r="B1608"/>
    </row>
    <row r="1609" spans="2:2" ht="15.5">
      <c r="B1609"/>
    </row>
    <row r="1610" spans="2:2" ht="15.5">
      <c r="B1610"/>
    </row>
    <row r="1611" spans="2:2" ht="15.5">
      <c r="B1611"/>
    </row>
    <row r="1612" spans="2:2" ht="15.5">
      <c r="B1612"/>
    </row>
    <row r="1613" spans="2:2" ht="15.5">
      <c r="B1613"/>
    </row>
    <row r="1614" spans="2:2" ht="15.5">
      <c r="B1614"/>
    </row>
    <row r="1615" spans="2:2" ht="15.5">
      <c r="B1615"/>
    </row>
    <row r="1616" spans="2:2" ht="15.5">
      <c r="B1616"/>
    </row>
    <row r="1617" spans="2:2" ht="15.5">
      <c r="B1617"/>
    </row>
    <row r="1618" spans="2:2" ht="15.5">
      <c r="B1618"/>
    </row>
    <row r="1619" spans="2:2" ht="15.5">
      <c r="B1619"/>
    </row>
    <row r="1620" spans="2:2" ht="15.5">
      <c r="B1620"/>
    </row>
    <row r="1621" spans="2:2" ht="15.5">
      <c r="B1621"/>
    </row>
    <row r="1622" spans="2:2" ht="15.5">
      <c r="B1622"/>
    </row>
    <row r="1623" spans="2:2" ht="15.5">
      <c r="B1623"/>
    </row>
    <row r="1624" spans="2:2" ht="15.5">
      <c r="B1624"/>
    </row>
    <row r="1625" spans="2:2" ht="15.5">
      <c r="B1625"/>
    </row>
    <row r="1626" spans="2:2" ht="15.5">
      <c r="B1626"/>
    </row>
    <row r="1627" spans="2:2" ht="15.5">
      <c r="B1627"/>
    </row>
    <row r="1628" spans="2:2" ht="15.5">
      <c r="B1628"/>
    </row>
    <row r="1629" spans="2:2" ht="15.5">
      <c r="B1629"/>
    </row>
    <row r="1630" spans="2:2" ht="15.5">
      <c r="B1630"/>
    </row>
    <row r="1631" spans="2:2" ht="15.5">
      <c r="B1631"/>
    </row>
    <row r="1632" spans="2:2" ht="15.5">
      <c r="B1632"/>
    </row>
    <row r="1633" spans="2:2" ht="15.5">
      <c r="B1633"/>
    </row>
    <row r="1634" spans="2:2" ht="15.5">
      <c r="B1634"/>
    </row>
    <row r="1635" spans="2:2" ht="15.5">
      <c r="B1635"/>
    </row>
    <row r="1636" spans="2:2" ht="15.5">
      <c r="B1636"/>
    </row>
    <row r="1637" spans="2:2" ht="15.5">
      <c r="B1637"/>
    </row>
    <row r="1638" spans="2:2" ht="15.5">
      <c r="B1638"/>
    </row>
    <row r="1639" spans="2:2" ht="15.5">
      <c r="B1639"/>
    </row>
    <row r="1640" spans="2:2" ht="15.5">
      <c r="B1640"/>
    </row>
    <row r="1641" spans="2:2" ht="15.5">
      <c r="B1641"/>
    </row>
    <row r="1642" spans="2:2" ht="15.5">
      <c r="B1642"/>
    </row>
    <row r="1643" spans="2:2" ht="15.5">
      <c r="B1643"/>
    </row>
    <row r="1644" spans="2:2" ht="15.5">
      <c r="B1644"/>
    </row>
    <row r="1645" spans="2:2" ht="15.5">
      <c r="B1645"/>
    </row>
    <row r="1646" spans="2:2" ht="15.5">
      <c r="B1646"/>
    </row>
    <row r="1647" spans="2:2" ht="15.5">
      <c r="B1647"/>
    </row>
    <row r="1648" spans="2:2" ht="15.5">
      <c r="B1648"/>
    </row>
    <row r="1649" spans="2:2" ht="15.5">
      <c r="B1649"/>
    </row>
    <row r="1650" spans="2:2" ht="15.5">
      <c r="B1650"/>
    </row>
    <row r="1651" spans="2:2" ht="15.5">
      <c r="B1651"/>
    </row>
    <row r="1652" spans="2:2" ht="15.5">
      <c r="B1652"/>
    </row>
    <row r="1653" spans="2:2" ht="15.5">
      <c r="B1653"/>
    </row>
    <row r="1654" spans="2:2" ht="15.5">
      <c r="B1654"/>
    </row>
    <row r="1655" spans="2:2" ht="15.5">
      <c r="B1655"/>
    </row>
    <row r="1656" spans="2:2" ht="15.5">
      <c r="B1656"/>
    </row>
    <row r="1657" spans="2:2" ht="15.5">
      <c r="B1657"/>
    </row>
    <row r="1658" spans="2:2" ht="15.5">
      <c r="B1658"/>
    </row>
    <row r="1659" spans="2:2" ht="15.5">
      <c r="B1659"/>
    </row>
    <row r="1660" spans="2:2" ht="15.5">
      <c r="B1660"/>
    </row>
    <row r="1661" spans="2:2" ht="15.5">
      <c r="B1661"/>
    </row>
    <row r="1662" spans="2:2" ht="15.5">
      <c r="B1662"/>
    </row>
    <row r="1663" spans="2:2" ht="15.5">
      <c r="B1663"/>
    </row>
    <row r="1664" spans="2:2" ht="15.5">
      <c r="B1664"/>
    </row>
    <row r="1665" spans="2:2" ht="15.5">
      <c r="B1665"/>
    </row>
    <row r="1666" spans="2:2" ht="15.5">
      <c r="B1666"/>
    </row>
    <row r="1667" spans="2:2" ht="15.5">
      <c r="B1667"/>
    </row>
    <row r="1668" spans="2:2" ht="15.5">
      <c r="B1668"/>
    </row>
    <row r="1669" spans="2:2" ht="15.5">
      <c r="B1669"/>
    </row>
    <row r="1670" spans="2:2" ht="15.5">
      <c r="B1670"/>
    </row>
    <row r="1671" spans="2:2" ht="15.5">
      <c r="B1671"/>
    </row>
    <row r="1672" spans="2:2" ht="15.5">
      <c r="B1672"/>
    </row>
    <row r="1673" spans="2:2" ht="15.5">
      <c r="B1673"/>
    </row>
    <row r="1674" spans="2:2" ht="15.5">
      <c r="B1674"/>
    </row>
    <row r="1675" spans="2:2" ht="15.5">
      <c r="B1675"/>
    </row>
    <row r="1676" spans="2:2" ht="15.5">
      <c r="B1676"/>
    </row>
    <row r="1677" spans="2:2" ht="15.5">
      <c r="B1677"/>
    </row>
    <row r="1678" spans="2:2" ht="15.5">
      <c r="B1678"/>
    </row>
    <row r="1679" spans="2:2" ht="15.5">
      <c r="B1679"/>
    </row>
    <row r="1680" spans="2:2" ht="15.5">
      <c r="B1680"/>
    </row>
    <row r="1681" spans="2:2" ht="15.5">
      <c r="B1681"/>
    </row>
    <row r="1682" spans="2:2" ht="15.5">
      <c r="B1682"/>
    </row>
    <row r="1683" spans="2:2" ht="15.5">
      <c r="B1683"/>
    </row>
    <row r="1684" spans="2:2" ht="15.5">
      <c r="B1684"/>
    </row>
    <row r="1685" spans="2:2" ht="15.5">
      <c r="B1685"/>
    </row>
    <row r="1686" spans="2:2" ht="15.5">
      <c r="B1686"/>
    </row>
    <row r="1687" spans="2:2" ht="15.5">
      <c r="B1687"/>
    </row>
    <row r="1688" spans="2:2" ht="15.5">
      <c r="B1688"/>
    </row>
    <row r="1689" spans="2:2" ht="15.5">
      <c r="B1689"/>
    </row>
    <row r="1690" spans="2:2" ht="15.5">
      <c r="B1690"/>
    </row>
    <row r="1691" spans="2:2" ht="15.5">
      <c r="B1691"/>
    </row>
    <row r="1692" spans="2:2" ht="15.5">
      <c r="B1692"/>
    </row>
    <row r="1693" spans="2:2" ht="15.5">
      <c r="B1693"/>
    </row>
    <row r="1694" spans="2:2" ht="15.5">
      <c r="B1694"/>
    </row>
    <row r="1695" spans="2:2" ht="15.5">
      <c r="B1695"/>
    </row>
    <row r="1696" spans="2:2" ht="15.5">
      <c r="B1696"/>
    </row>
    <row r="1697" spans="2:2" ht="15.5">
      <c r="B1697"/>
    </row>
    <row r="1698" spans="2:2" ht="15.5">
      <c r="B1698"/>
    </row>
    <row r="1699" spans="2:2" ht="15.5">
      <c r="B1699"/>
    </row>
    <row r="1700" spans="2:2" ht="15.5">
      <c r="B1700"/>
    </row>
    <row r="1701" spans="2:2" ht="15.5">
      <c r="B1701"/>
    </row>
    <row r="1702" spans="2:2" ht="15.5">
      <c r="B1702"/>
    </row>
    <row r="1703" spans="2:2" ht="15.5">
      <c r="B1703"/>
    </row>
    <row r="1704" spans="2:2" ht="15.5">
      <c r="B1704"/>
    </row>
    <row r="1705" spans="2:2" ht="15.5">
      <c r="B1705"/>
    </row>
    <row r="1706" spans="2:2" ht="15.5">
      <c r="B1706"/>
    </row>
    <row r="1707" spans="2:2" ht="15.5">
      <c r="B1707"/>
    </row>
    <row r="1708" spans="2:2" ht="15.5">
      <c r="B1708"/>
    </row>
    <row r="1709" spans="2:2" ht="15.5">
      <c r="B1709"/>
    </row>
    <row r="1710" spans="2:2" ht="15.5">
      <c r="B1710"/>
    </row>
    <row r="1711" spans="2:2" ht="15.5">
      <c r="B1711"/>
    </row>
    <row r="1712" spans="2:2" ht="15.5">
      <c r="B1712"/>
    </row>
    <row r="1713" spans="2:2" ht="15.5">
      <c r="B1713"/>
    </row>
    <row r="1714" spans="2:2" ht="15.5">
      <c r="B1714"/>
    </row>
    <row r="1715" spans="2:2" ht="15.5">
      <c r="B1715"/>
    </row>
    <row r="1716" spans="2:2" ht="15.5">
      <c r="B1716"/>
    </row>
    <row r="1717" spans="2:2" ht="15.5">
      <c r="B1717"/>
    </row>
    <row r="1718" spans="2:2" ht="15.5">
      <c r="B1718"/>
    </row>
    <row r="1719" spans="2:2" ht="15.5">
      <c r="B1719"/>
    </row>
    <row r="1720" spans="2:2" ht="15.5">
      <c r="B1720"/>
    </row>
    <row r="1721" spans="2:2" ht="15.5">
      <c r="B1721"/>
    </row>
    <row r="1722" spans="2:2" ht="15.5">
      <c r="B1722"/>
    </row>
    <row r="1723" spans="2:2" ht="15.5">
      <c r="B1723"/>
    </row>
    <row r="1724" spans="2:2" ht="15.5">
      <c r="B1724"/>
    </row>
    <row r="1725" spans="2:2" ht="15.5">
      <c r="B1725"/>
    </row>
    <row r="1726" spans="2:2" ht="15.5">
      <c r="B1726"/>
    </row>
    <row r="1727" spans="2:2" ht="15.5">
      <c r="B1727"/>
    </row>
    <row r="1728" spans="2:2" ht="15.5">
      <c r="B1728"/>
    </row>
    <row r="1729" spans="2:2" ht="15.5">
      <c r="B1729"/>
    </row>
    <row r="1730" spans="2:2" ht="15.5">
      <c r="B1730"/>
    </row>
    <row r="1731" spans="2:2" ht="15.5">
      <c r="B1731"/>
    </row>
    <row r="1732" spans="2:2" ht="15.5">
      <c r="B1732"/>
    </row>
    <row r="1733" spans="2:2" ht="15.5">
      <c r="B1733"/>
    </row>
    <row r="1734" spans="2:2" ht="15.5">
      <c r="B1734"/>
    </row>
    <row r="1735" spans="2:2" ht="15.5">
      <c r="B1735"/>
    </row>
    <row r="1736" spans="2:2" ht="15.5">
      <c r="B1736"/>
    </row>
    <row r="1737" spans="2:2" ht="15.5">
      <c r="B1737"/>
    </row>
    <row r="1738" spans="2:2" ht="15.5">
      <c r="B1738"/>
    </row>
    <row r="1739" spans="2:2" ht="15.5">
      <c r="B1739"/>
    </row>
    <row r="1740" spans="2:2" ht="15.5">
      <c r="B1740"/>
    </row>
    <row r="1741" spans="2:2" ht="15.5">
      <c r="B1741"/>
    </row>
    <row r="1742" spans="2:2" ht="15.5">
      <c r="B1742"/>
    </row>
    <row r="1743" spans="2:2" ht="15.5">
      <c r="B1743"/>
    </row>
    <row r="1744" spans="2:2" ht="15.5">
      <c r="B1744"/>
    </row>
    <row r="1745" spans="2:2" ht="15.5">
      <c r="B1745"/>
    </row>
    <row r="1746" spans="2:2" ht="15.5">
      <c r="B1746"/>
    </row>
    <row r="1747" spans="2:2" ht="15.5">
      <c r="B1747"/>
    </row>
    <row r="1748" spans="2:2" ht="15.5">
      <c r="B1748"/>
    </row>
    <row r="1749" spans="2:2" ht="15.5">
      <c r="B1749"/>
    </row>
    <row r="1750" spans="2:2" ht="15.5">
      <c r="B1750"/>
    </row>
    <row r="1751" spans="2:2" ht="15.5">
      <c r="B1751"/>
    </row>
    <row r="1752" spans="2:2" ht="15.5">
      <c r="B1752"/>
    </row>
    <row r="1753" spans="2:2" ht="15.5">
      <c r="B1753"/>
    </row>
    <row r="1754" spans="2:2" ht="15.5">
      <c r="B1754"/>
    </row>
    <row r="1755" spans="2:2" ht="15.5">
      <c r="B1755"/>
    </row>
    <row r="1756" spans="2:2" ht="15.5">
      <c r="B1756"/>
    </row>
    <row r="1757" spans="2:2" ht="15.5">
      <c r="B1757"/>
    </row>
    <row r="1758" spans="2:2" ht="15.5">
      <c r="B1758"/>
    </row>
    <row r="1759" spans="2:2" ht="15.5">
      <c r="B1759"/>
    </row>
    <row r="1760" spans="2:2" ht="15.5">
      <c r="B1760"/>
    </row>
    <row r="1761" spans="2:2" ht="15.5">
      <c r="B1761"/>
    </row>
    <row r="1762" spans="2:2" ht="15.5">
      <c r="B1762"/>
    </row>
    <row r="1763" spans="2:2" ht="15.5">
      <c r="B1763"/>
    </row>
    <row r="1764" spans="2:2" ht="15.5">
      <c r="B1764"/>
    </row>
    <row r="1765" spans="2:2" ht="15.5">
      <c r="B1765"/>
    </row>
    <row r="1766" spans="2:2" ht="15.5">
      <c r="B1766"/>
    </row>
    <row r="1767" spans="2:2" ht="15.5">
      <c r="B1767"/>
    </row>
    <row r="1768" spans="2:2" ht="15.5">
      <c r="B1768"/>
    </row>
    <row r="1769" spans="2:2" ht="15.5">
      <c r="B1769"/>
    </row>
    <row r="1770" spans="2:2" ht="15.5">
      <c r="B1770"/>
    </row>
    <row r="1771" spans="2:2" ht="15.5">
      <c r="B1771"/>
    </row>
    <row r="1772" spans="2:2" ht="15.5">
      <c r="B1772"/>
    </row>
    <row r="1773" spans="2:2" ht="15.5">
      <c r="B1773"/>
    </row>
    <row r="1774" spans="2:2" ht="15.5">
      <c r="B1774"/>
    </row>
    <row r="1775" spans="2:2" ht="15.5">
      <c r="B1775"/>
    </row>
    <row r="1776" spans="2:2" ht="15.5">
      <c r="B1776"/>
    </row>
    <row r="1777" spans="2:2" ht="15.5">
      <c r="B1777"/>
    </row>
    <row r="1778" spans="2:2" ht="15.5">
      <c r="B1778"/>
    </row>
    <row r="1779" spans="2:2" ht="15.5">
      <c r="B1779"/>
    </row>
    <row r="1780" spans="2:2" ht="15.5">
      <c r="B1780"/>
    </row>
    <row r="1781" spans="2:2" ht="15.5">
      <c r="B1781"/>
    </row>
    <row r="1782" spans="2:2" ht="15.5">
      <c r="B1782"/>
    </row>
    <row r="1783" spans="2:2" ht="15.5">
      <c r="B1783"/>
    </row>
    <row r="1784" spans="2:2" ht="15.5">
      <c r="B1784"/>
    </row>
    <row r="1785" spans="2:2" ht="15.5">
      <c r="B1785"/>
    </row>
    <row r="1786" spans="2:2" ht="15.5">
      <c r="B1786"/>
    </row>
    <row r="1787" spans="2:2" ht="15.5">
      <c r="B1787"/>
    </row>
    <row r="1788" spans="2:2" ht="15.5">
      <c r="B1788"/>
    </row>
    <row r="1789" spans="2:2" ht="15.5">
      <c r="B1789"/>
    </row>
    <row r="1790" spans="2:2" ht="15.5">
      <c r="B1790"/>
    </row>
    <row r="1791" spans="2:2" ht="15.5">
      <c r="B1791"/>
    </row>
    <row r="1792" spans="2:2" ht="15.5">
      <c r="B1792"/>
    </row>
    <row r="1793" spans="2:2" ht="15.5">
      <c r="B1793"/>
    </row>
    <row r="1794" spans="2:2" ht="15.5">
      <c r="B1794"/>
    </row>
    <row r="1795" spans="2:2" ht="15.5">
      <c r="B1795"/>
    </row>
    <row r="1796" spans="2:2" ht="15.5">
      <c r="B1796"/>
    </row>
    <row r="1797" spans="2:2" ht="15.5">
      <c r="B1797"/>
    </row>
    <row r="1798" spans="2:2" ht="15.5">
      <c r="B1798"/>
    </row>
    <row r="1799" spans="2:2" ht="15.5">
      <c r="B1799"/>
    </row>
    <row r="1800" spans="2:2" ht="15.5">
      <c r="B1800"/>
    </row>
    <row r="1801" spans="2:2" ht="15.5">
      <c r="B1801"/>
    </row>
    <row r="1802" spans="2:2" ht="15.5">
      <c r="B1802"/>
    </row>
    <row r="1803" spans="2:2" ht="15.5">
      <c r="B1803"/>
    </row>
    <row r="1804" spans="2:2" ht="15.5">
      <c r="B1804"/>
    </row>
    <row r="1805" spans="2:2" ht="15.5">
      <c r="B1805"/>
    </row>
    <row r="1806" spans="2:2" ht="15.5">
      <c r="B1806"/>
    </row>
    <row r="1807" spans="2:2" ht="15.5">
      <c r="B1807"/>
    </row>
    <row r="1808" spans="2:2" ht="15.5">
      <c r="B1808"/>
    </row>
    <row r="1809" spans="2:2" ht="15.5">
      <c r="B1809"/>
    </row>
    <row r="1810" spans="2:2" ht="15.5">
      <c r="B1810"/>
    </row>
    <row r="1811" spans="2:2" ht="15.5">
      <c r="B1811"/>
    </row>
    <row r="1812" spans="2:2" ht="15.5">
      <c r="B1812"/>
    </row>
    <row r="1813" spans="2:2" ht="15.5">
      <c r="B1813"/>
    </row>
    <row r="1814" spans="2:2" ht="15.5">
      <c r="B1814"/>
    </row>
    <row r="1815" spans="2:2" ht="15.5">
      <c r="B1815"/>
    </row>
    <row r="1816" spans="2:2" ht="15.5">
      <c r="B1816"/>
    </row>
    <row r="1817" spans="2:2" ht="15.5">
      <c r="B1817"/>
    </row>
    <row r="1818" spans="2:2" ht="15.5">
      <c r="B1818"/>
    </row>
    <row r="1819" spans="2:2" ht="15.5">
      <c r="B1819"/>
    </row>
    <row r="1820" spans="2:2" ht="15.5">
      <c r="B1820"/>
    </row>
    <row r="1821" spans="2:2" ht="15.5">
      <c r="B1821"/>
    </row>
    <row r="1822" spans="2:2" ht="15.5">
      <c r="B1822"/>
    </row>
    <row r="1823" spans="2:2" ht="15.5">
      <c r="B1823"/>
    </row>
    <row r="1824" spans="2:2" ht="15.5">
      <c r="B1824"/>
    </row>
    <row r="1825" spans="2:2" ht="15.5">
      <c r="B1825"/>
    </row>
    <row r="1826" spans="2:2" ht="15.5">
      <c r="B1826"/>
    </row>
    <row r="1827" spans="2:2" ht="15.5">
      <c r="B1827"/>
    </row>
    <row r="1828" spans="2:2" ht="15.5">
      <c r="B1828"/>
    </row>
    <row r="1829" spans="2:2" ht="15.5">
      <c r="B1829"/>
    </row>
    <row r="1830" spans="2:2" ht="15.5">
      <c r="B1830"/>
    </row>
    <row r="1831" spans="2:2" ht="15.5">
      <c r="B1831"/>
    </row>
    <row r="1832" spans="2:2" ht="15.5">
      <c r="B1832"/>
    </row>
    <row r="1833" spans="2:2" ht="15.5">
      <c r="B1833"/>
    </row>
    <row r="1834" spans="2:2" ht="15.5">
      <c r="B1834"/>
    </row>
    <row r="1835" spans="2:2" ht="15.5">
      <c r="B1835"/>
    </row>
    <row r="1836" spans="2:2" ht="15.5">
      <c r="B1836"/>
    </row>
    <row r="1837" spans="2:2" ht="15.5">
      <c r="B1837"/>
    </row>
    <row r="1838" spans="2:2" ht="15.5">
      <c r="B1838"/>
    </row>
    <row r="1839" spans="2:2" ht="15.5">
      <c r="B1839"/>
    </row>
    <row r="1840" spans="2:2" ht="15.5">
      <c r="B1840"/>
    </row>
    <row r="1841" spans="2:2" ht="15.5">
      <c r="B1841"/>
    </row>
    <row r="1842" spans="2:2" ht="15.5">
      <c r="B1842"/>
    </row>
    <row r="1843" spans="2:2" ht="15.5">
      <c r="B1843"/>
    </row>
    <row r="1844" spans="2:2" ht="15.5">
      <c r="B1844"/>
    </row>
    <row r="1845" spans="2:2" ht="15.5">
      <c r="B1845"/>
    </row>
    <row r="1846" spans="2:2" ht="15.5">
      <c r="B1846"/>
    </row>
    <row r="1847" spans="2:2" ht="15.5">
      <c r="B1847"/>
    </row>
    <row r="1848" spans="2:2" ht="15.5">
      <c r="B1848"/>
    </row>
    <row r="1849" spans="2:2" ht="15.5">
      <c r="B1849"/>
    </row>
    <row r="1850" spans="2:2" ht="15.5">
      <c r="B1850"/>
    </row>
    <row r="1851" spans="2:2" ht="15.5">
      <c r="B1851"/>
    </row>
    <row r="1852" spans="2:2" ht="15.5">
      <c r="B1852"/>
    </row>
    <row r="1853" spans="2:2" ht="15.5">
      <c r="B1853"/>
    </row>
    <row r="1854" spans="2:2" ht="15.5">
      <c r="B1854"/>
    </row>
    <row r="1855" spans="2:2" ht="15.5">
      <c r="B1855"/>
    </row>
    <row r="1856" spans="2:2" ht="15.5">
      <c r="B1856"/>
    </row>
    <row r="1857" spans="2:2" ht="15.5">
      <c r="B1857"/>
    </row>
    <row r="1858" spans="2:2" ht="15.5">
      <c r="B1858"/>
    </row>
    <row r="1859" spans="2:2" ht="15.5">
      <c r="B1859"/>
    </row>
    <row r="1860" spans="2:2" ht="15.5">
      <c r="B1860"/>
    </row>
    <row r="1861" spans="2:2" ht="15.5">
      <c r="B1861"/>
    </row>
    <row r="1862" spans="2:2" ht="15.5">
      <c r="B1862"/>
    </row>
    <row r="1863" spans="2:2" ht="15.5">
      <c r="B1863"/>
    </row>
    <row r="1864" spans="2:2" ht="15.5">
      <c r="B1864"/>
    </row>
    <row r="1865" spans="2:2" ht="15.5">
      <c r="B1865"/>
    </row>
    <row r="1866" spans="2:2" ht="15.5">
      <c r="B1866"/>
    </row>
    <row r="1867" spans="2:2" ht="15.5">
      <c r="B1867"/>
    </row>
    <row r="1868" spans="2:2" ht="15.5">
      <c r="B1868"/>
    </row>
    <row r="1869" spans="2:2" ht="15.5">
      <c r="B1869"/>
    </row>
    <row r="1870" spans="2:2" ht="15.5">
      <c r="B1870"/>
    </row>
    <row r="1871" spans="2:2" ht="15.5">
      <c r="B1871"/>
    </row>
    <row r="1872" spans="2:2" ht="15.5">
      <c r="B1872"/>
    </row>
    <row r="1873" spans="2:2" ht="15.5">
      <c r="B1873"/>
    </row>
    <row r="1874" spans="2:2" ht="15.5">
      <c r="B1874"/>
    </row>
    <row r="1875" spans="2:2" ht="15.5">
      <c r="B1875"/>
    </row>
    <row r="1876" spans="2:2" ht="15.5">
      <c r="B1876"/>
    </row>
    <row r="1877" spans="2:2" ht="15.5">
      <c r="B1877"/>
    </row>
    <row r="1878" spans="2:2" ht="15.5">
      <c r="B1878"/>
    </row>
    <row r="1879" spans="2:2" ht="15.5">
      <c r="B1879"/>
    </row>
    <row r="1880" spans="2:2" ht="15.5">
      <c r="B1880"/>
    </row>
    <row r="1881" spans="2:2" ht="15.5">
      <c r="B1881"/>
    </row>
    <row r="1882" spans="2:2" ht="15.5">
      <c r="B1882"/>
    </row>
    <row r="1883" spans="2:2" ht="15.5">
      <c r="B1883"/>
    </row>
    <row r="1884" spans="2:2" ht="15.5">
      <c r="B1884"/>
    </row>
    <row r="1885" spans="2:2" ht="15.5">
      <c r="B1885"/>
    </row>
    <row r="1886" spans="2:2" ht="15.5">
      <c r="B1886"/>
    </row>
    <row r="1887" spans="2:2" ht="15.5">
      <c r="B1887"/>
    </row>
    <row r="1888" spans="2:2" ht="15.5">
      <c r="B1888"/>
    </row>
    <row r="1889" spans="2:2" ht="15.5">
      <c r="B1889"/>
    </row>
    <row r="1890" spans="2:2" ht="15.5">
      <c r="B1890"/>
    </row>
    <row r="1891" spans="2:2" ht="15.5">
      <c r="B1891"/>
    </row>
    <row r="1892" spans="2:2" ht="15.5">
      <c r="B1892"/>
    </row>
    <row r="1893" spans="2:2" ht="15.5">
      <c r="B1893"/>
    </row>
    <row r="1894" spans="2:2" ht="15.5">
      <c r="B1894"/>
    </row>
    <row r="1895" spans="2:2" ht="15.5">
      <c r="B1895"/>
    </row>
    <row r="1896" spans="2:2" ht="15.5">
      <c r="B1896"/>
    </row>
    <row r="1897" spans="2:2" ht="15.5">
      <c r="B1897"/>
    </row>
    <row r="1898" spans="2:2" ht="15.5">
      <c r="B1898"/>
    </row>
    <row r="1899" spans="2:2" ht="15.5">
      <c r="B1899"/>
    </row>
    <row r="1900" spans="2:2" ht="15.5">
      <c r="B1900"/>
    </row>
    <row r="1901" spans="2:2" ht="15.5">
      <c r="B1901"/>
    </row>
    <row r="1902" spans="2:2" ht="15.5">
      <c r="B1902"/>
    </row>
    <row r="1903" spans="2:2" ht="15.5">
      <c r="B1903"/>
    </row>
    <row r="1904" spans="2:2" ht="15.5">
      <c r="B1904"/>
    </row>
    <row r="1905" spans="2:2" ht="15.5">
      <c r="B1905"/>
    </row>
    <row r="1906" spans="2:2" ht="15.5">
      <c r="B1906"/>
    </row>
    <row r="1907" spans="2:2" ht="15.5">
      <c r="B1907"/>
    </row>
    <row r="1908" spans="2:2" ht="15.5">
      <c r="B1908"/>
    </row>
    <row r="1909" spans="2:2" ht="15.5">
      <c r="B1909"/>
    </row>
    <row r="1910" spans="2:2" ht="15.5">
      <c r="B1910"/>
    </row>
    <row r="1911" spans="2:2" ht="15.5">
      <c r="B1911"/>
    </row>
    <row r="1912" spans="2:2" ht="15.5">
      <c r="B1912"/>
    </row>
    <row r="1913" spans="2:2" ht="15.5">
      <c r="B1913"/>
    </row>
    <row r="1914" spans="2:2" ht="15.5">
      <c r="B1914"/>
    </row>
    <row r="1915" spans="2:2" ht="15.5">
      <c r="B1915"/>
    </row>
    <row r="1916" spans="2:2" ht="15.5">
      <c r="B1916"/>
    </row>
    <row r="1917" spans="2:2" ht="15.5">
      <c r="B1917"/>
    </row>
    <row r="1918" spans="2:2" ht="15.5">
      <c r="B1918"/>
    </row>
    <row r="1919" spans="2:2" ht="15.5">
      <c r="B1919"/>
    </row>
    <row r="1920" spans="2:2" ht="15.5">
      <c r="B1920"/>
    </row>
    <row r="1921" spans="2:2" ht="15.5">
      <c r="B1921"/>
    </row>
    <row r="1922" spans="2:2" ht="15.5">
      <c r="B1922"/>
    </row>
    <row r="1923" spans="2:2" ht="15.5">
      <c r="B1923"/>
    </row>
    <row r="1924" spans="2:2" ht="15.5">
      <c r="B1924"/>
    </row>
    <row r="1925" spans="2:2" ht="15.5">
      <c r="B1925"/>
    </row>
    <row r="1926" spans="2:2" ht="15.5">
      <c r="B1926"/>
    </row>
    <row r="1927" spans="2:2" ht="15.5">
      <c r="B1927"/>
    </row>
    <row r="1928" spans="2:2" ht="15.5">
      <c r="B1928"/>
    </row>
    <row r="1929" spans="2:2" ht="15.5">
      <c r="B1929"/>
    </row>
    <row r="1930" spans="2:2" ht="15.5">
      <c r="B1930"/>
    </row>
    <row r="1931" spans="2:2" ht="15.5">
      <c r="B1931"/>
    </row>
    <row r="1932" spans="2:2" ht="15.5">
      <c r="B1932"/>
    </row>
    <row r="1933" spans="2:2" ht="15.5">
      <c r="B1933"/>
    </row>
    <row r="1934" spans="2:2" ht="15.5">
      <c r="B1934"/>
    </row>
    <row r="1935" spans="2:2" ht="15.5">
      <c r="B1935"/>
    </row>
    <row r="1936" spans="2:2" ht="15.5">
      <c r="B1936"/>
    </row>
    <row r="1937" spans="2:2" ht="15.5">
      <c r="B1937"/>
    </row>
    <row r="1938" spans="2:2" ht="15.5">
      <c r="B1938"/>
    </row>
    <row r="1939" spans="2:2" ht="15.5">
      <c r="B1939"/>
    </row>
    <row r="1940" spans="2:2" ht="15.5">
      <c r="B1940"/>
    </row>
    <row r="1941" spans="2:2" ht="15.5">
      <c r="B1941"/>
    </row>
    <row r="1942" spans="2:2" ht="15.5">
      <c r="B1942"/>
    </row>
    <row r="1943" spans="2:2" ht="15.5">
      <c r="B1943"/>
    </row>
    <row r="1944" spans="2:2" ht="15.5">
      <c r="B1944"/>
    </row>
    <row r="1945" spans="2:2" ht="15.5">
      <c r="B1945"/>
    </row>
    <row r="1946" spans="2:2" ht="15.5">
      <c r="B1946"/>
    </row>
    <row r="1947" spans="2:2" ht="15.5">
      <c r="B1947"/>
    </row>
    <row r="1948" spans="2:2" ht="15.5">
      <c r="B1948"/>
    </row>
    <row r="1949" spans="2:2" ht="15.5">
      <c r="B1949"/>
    </row>
    <row r="1950" spans="2:2" ht="15.5">
      <c r="B1950"/>
    </row>
    <row r="1951" spans="2:2" ht="15.5">
      <c r="B1951"/>
    </row>
    <row r="1952" spans="2:2" ht="15.5">
      <c r="B1952"/>
    </row>
    <row r="1953" spans="2:2" ht="15.5">
      <c r="B1953"/>
    </row>
    <row r="1954" spans="2:2" ht="15.5">
      <c r="B1954"/>
    </row>
    <row r="1955" spans="2:2" ht="15.5">
      <c r="B1955"/>
    </row>
    <row r="1956" spans="2:2" ht="15.5">
      <c r="B1956"/>
    </row>
    <row r="1957" spans="2:2" ht="15.5">
      <c r="B1957"/>
    </row>
    <row r="1958" spans="2:2" ht="15.5">
      <c r="B1958"/>
    </row>
    <row r="1959" spans="2:2" ht="15.5">
      <c r="B1959"/>
    </row>
    <row r="1960" spans="2:2" ht="15.5">
      <c r="B1960"/>
    </row>
    <row r="1961" spans="2:2" ht="15.5">
      <c r="B1961"/>
    </row>
    <row r="1962" spans="2:2" ht="15.5">
      <c r="B1962"/>
    </row>
    <row r="1963" spans="2:2" ht="15.5">
      <c r="B1963"/>
    </row>
    <row r="1964" spans="2:2" ht="15.5">
      <c r="B1964"/>
    </row>
    <row r="1965" spans="2:2" ht="15.5">
      <c r="B1965"/>
    </row>
    <row r="1966" spans="2:2" ht="15.5">
      <c r="B1966"/>
    </row>
    <row r="1967" spans="2:2" ht="15.5">
      <c r="B1967"/>
    </row>
    <row r="1968" spans="2:2" ht="15.5">
      <c r="B1968"/>
    </row>
    <row r="1969" spans="2:2" ht="15.5">
      <c r="B1969"/>
    </row>
    <row r="1970" spans="2:2" ht="15.5">
      <c r="B1970"/>
    </row>
    <row r="1971" spans="2:2" ht="15.5">
      <c r="B1971"/>
    </row>
    <row r="1972" spans="2:2" ht="15.5">
      <c r="B1972"/>
    </row>
    <row r="1973" spans="2:2" ht="15.5">
      <c r="B1973"/>
    </row>
    <row r="1974" spans="2:2" ht="15.5">
      <c r="B1974"/>
    </row>
    <row r="1975" spans="2:2" ht="15.5">
      <c r="B1975"/>
    </row>
    <row r="1976" spans="2:2" ht="15.5">
      <c r="B1976"/>
    </row>
    <row r="1977" spans="2:2" ht="15.5">
      <c r="B1977"/>
    </row>
    <row r="1978" spans="2:2" ht="15.5">
      <c r="B1978"/>
    </row>
    <row r="1979" spans="2:2" ht="15.5">
      <c r="B1979"/>
    </row>
    <row r="1980" spans="2:2" ht="15.5">
      <c r="B1980"/>
    </row>
    <row r="1981" spans="2:2" ht="15.5">
      <c r="B1981"/>
    </row>
    <row r="1982" spans="2:2" ht="15.5">
      <c r="B1982"/>
    </row>
    <row r="1983" spans="2:2" ht="15.5">
      <c r="B1983"/>
    </row>
    <row r="1984" spans="2:2" ht="15.5">
      <c r="B1984"/>
    </row>
    <row r="1985" spans="2:2" ht="15.5">
      <c r="B1985"/>
    </row>
    <row r="1986" spans="2:2" ht="15.5">
      <c r="B1986"/>
    </row>
    <row r="1987" spans="2:2" ht="15.5">
      <c r="B1987"/>
    </row>
    <row r="1988" spans="2:2" ht="15.5">
      <c r="B1988"/>
    </row>
    <row r="1989" spans="2:2" ht="15.5">
      <c r="B1989"/>
    </row>
    <row r="1990" spans="2:2" ht="15.5">
      <c r="B1990"/>
    </row>
    <row r="1991" spans="2:2" ht="15.5">
      <c r="B1991"/>
    </row>
    <row r="1992" spans="2:2" ht="15.5">
      <c r="B1992"/>
    </row>
    <row r="1993" spans="2:2" ht="15.5">
      <c r="B1993"/>
    </row>
    <row r="1994" spans="2:2" ht="15.5">
      <c r="B1994"/>
    </row>
    <row r="1995" spans="2:2" ht="15.5">
      <c r="B1995"/>
    </row>
    <row r="1996" spans="2:2" ht="15.5">
      <c r="B1996"/>
    </row>
    <row r="1997" spans="2:2" ht="15.5">
      <c r="B1997"/>
    </row>
    <row r="1998" spans="2:2" ht="15.5">
      <c r="B1998"/>
    </row>
    <row r="1999" spans="2:2" ht="15.5">
      <c r="B1999"/>
    </row>
    <row r="2000" spans="2:2" ht="15.5">
      <c r="B2000"/>
    </row>
    <row r="2001" spans="2:2" ht="15.5">
      <c r="B2001"/>
    </row>
    <row r="2002" spans="2:2" ht="15.5">
      <c r="B2002"/>
    </row>
    <row r="2003" spans="2:2" ht="15.5">
      <c r="B2003"/>
    </row>
    <row r="2004" spans="2:2" ht="15.5">
      <c r="B2004"/>
    </row>
    <row r="2005" spans="2:2" ht="15.5">
      <c r="B2005"/>
    </row>
    <row r="2006" spans="2:2" ht="15.5">
      <c r="B2006"/>
    </row>
    <row r="2007" spans="2:2" ht="15.5">
      <c r="B2007"/>
    </row>
  </sheetData>
  <dataConsolidate/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094D1-3146-455D-8E85-325363C892EB}">
  <sheetPr codeName="Sheet14">
    <tabColor rgb="FF9EC0DB"/>
  </sheetPr>
  <dimension ref="A1:R55"/>
  <sheetViews>
    <sheetView showGridLines="0" zoomScale="70" zoomScaleNormal="70" workbookViewId="0"/>
  </sheetViews>
  <sheetFormatPr defaultColWidth="8.84375" defaultRowHeight="15.5"/>
  <cols>
    <col min="1" max="1" width="30.84375" bestFit="1" customWidth="1"/>
    <col min="2" max="2" width="26" customWidth="1"/>
    <col min="3" max="3" width="12.4609375" bestFit="1" customWidth="1"/>
    <col min="4" max="4" width="10" bestFit="1" customWidth="1"/>
    <col min="5" max="17" width="15.07421875" customWidth="1"/>
    <col min="18" max="18" width="10.84375" bestFit="1" customWidth="1"/>
  </cols>
  <sheetData>
    <row r="1" spans="1:18" ht="18">
      <c r="A1" s="49" t="str">
        <f ca="1">MID(CELL("filename",A2),FIND("]",CELL("filename",A2))+1,256)</f>
        <v>Augex - growth and decline</v>
      </c>
      <c r="B1" s="1"/>
      <c r="C1" s="1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8">
      <c r="B2" s="1"/>
      <c r="C2" s="1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8" ht="21">
      <c r="A3" s="1"/>
      <c r="B3" s="6" t="s">
        <v>89</v>
      </c>
      <c r="C3" s="3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5" spans="1:18">
      <c r="A5" s="1"/>
      <c r="B5" s="5" t="s">
        <v>90</v>
      </c>
      <c r="C5" s="39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7" spans="1:18">
      <c r="B7" s="2" t="s">
        <v>91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9" spans="1:18">
      <c r="A9" s="1"/>
      <c r="B9" s="18" t="s">
        <v>88</v>
      </c>
      <c r="C9" s="18" t="s">
        <v>68</v>
      </c>
      <c r="D9" s="18" t="s">
        <v>69</v>
      </c>
      <c r="E9" s="14"/>
      <c r="F9" s="14" cm="1">
        <f t="array" ref="F9:O9">TRANSPOSE(years)</f>
        <v>2025</v>
      </c>
      <c r="G9" s="14">
        <v>2026</v>
      </c>
      <c r="H9" s="14">
        <v>2027</v>
      </c>
      <c r="I9" s="14">
        <v>2028</v>
      </c>
      <c r="J9" s="14">
        <v>2029</v>
      </c>
      <c r="K9" s="14">
        <v>2030</v>
      </c>
      <c r="L9" s="14">
        <v>2031</v>
      </c>
      <c r="M9" s="14">
        <v>2032</v>
      </c>
      <c r="N9" s="14">
        <v>2033</v>
      </c>
      <c r="O9" s="14">
        <v>2034</v>
      </c>
      <c r="Q9" s="14" t="s">
        <v>73</v>
      </c>
    </row>
    <row r="10" spans="1:18">
      <c r="A10" s="1"/>
      <c r="B10" s="2" t="str">
        <f>B7</f>
        <v>Growth</v>
      </c>
      <c r="C10" s="2" t="str" cm="1">
        <f t="array" ref="C10:C12">network_levels</f>
        <v>LV</v>
      </c>
      <c r="D10" s="35" t="str">
        <f>"$" &amp; base_year &amp; " real"</f>
        <v>$2024 real</v>
      </c>
      <c r="E10" s="35"/>
      <c r="F10" s="40">
        <f>SUMIFS('Total augex'!G$20:G$279,'Total augex'!$E$20:$E$279,$B10,'Total augex'!$D$20:$D$279,$C10)</f>
        <v>4769779.2662511114</v>
      </c>
      <c r="G10" s="40">
        <f>SUMIFS('Total augex'!H$20:H$279,'Total augex'!$E$20:$E$279,$B10,'Total augex'!$D$20:$D$279,$C10)</f>
        <v>4769779.2662511114</v>
      </c>
      <c r="H10" s="40">
        <f>SUMIFS('Total augex'!I$20:I$279,'Total augex'!$E$20:$E$279,$B10,'Total augex'!$D$20:$D$279,$C10)</f>
        <v>4769779.2662511114</v>
      </c>
      <c r="I10" s="40">
        <f>SUMIFS('Total augex'!J$20:J$279,'Total augex'!$E$20:$E$279,$B10,'Total augex'!$D$20:$D$279,$C10)</f>
        <v>4769779.2662511114</v>
      </c>
      <c r="J10" s="40">
        <f>SUMIFS('Total augex'!K$20:K$279,'Total augex'!$E$20:$E$279,$B10,'Total augex'!$D$20:$D$279,$C10)</f>
        <v>4769779.2662511114</v>
      </c>
      <c r="K10" s="40">
        <f>SUMIFS('Total augex'!L$20:L$279,'Total augex'!$E$20:$E$279,$B10,'Total augex'!$D$20:$D$279,$C10)</f>
        <v>4769779.2662511114</v>
      </c>
      <c r="L10" s="40">
        <f>SUMIFS('Total augex'!M$20:M$279,'Total augex'!$E$20:$E$279,$B10,'Total augex'!$D$20:$D$279,$C10)</f>
        <v>4769779.2662511114</v>
      </c>
      <c r="M10" s="40">
        <f>SUMIFS('Total augex'!N$20:N$279,'Total augex'!$E$20:$E$279,$B10,'Total augex'!$D$20:$D$279,$C10)</f>
        <v>4769779.2662511114</v>
      </c>
      <c r="N10" s="40">
        <f>SUMIFS('Total augex'!O$20:O$279,'Total augex'!$E$20:$E$279,$B10,'Total augex'!$D$20:$D$279,$C10)</f>
        <v>4769779.2662511114</v>
      </c>
      <c r="O10" s="40">
        <f>SUMIFS('Total augex'!P$20:P$279,'Total augex'!$E$20:$E$279,$B10,'Total augex'!$D$20:$D$279,$C10)</f>
        <v>4769779.2662511114</v>
      </c>
      <c r="Q10" s="40">
        <f>SUM(E10:O10)</f>
        <v>47697792.662511103</v>
      </c>
      <c r="R10" s="84"/>
    </row>
    <row r="11" spans="1:18">
      <c r="A11" s="1"/>
      <c r="B11" s="2" t="str">
        <f>B10</f>
        <v>Growth</v>
      </c>
      <c r="C11" s="2" t="str">
        <v>HV</v>
      </c>
      <c r="D11" s="35" t="str">
        <f>D10</f>
        <v>$2024 real</v>
      </c>
      <c r="E11" s="35"/>
      <c r="F11" s="40">
        <f>SUMIFS('Total augex'!G$20:G$279,'Total augex'!$E$20:$E$279,$B11,'Total augex'!$D$20:$D$279,$C11)</f>
        <v>7312864.8436267031</v>
      </c>
      <c r="G11" s="40">
        <f>SUMIFS('Total augex'!H$20:H$279,'Total augex'!$E$20:$E$279,$B11,'Total augex'!$D$20:$D$279,$C11)</f>
        <v>7208396.924437101</v>
      </c>
      <c r="H11" s="40">
        <f>SUMIFS('Total augex'!I$20:I$279,'Total augex'!$E$20:$E$279,$B11,'Total augex'!$D$20:$D$279,$C11)</f>
        <v>7286747.8638293035</v>
      </c>
      <c r="I11" s="40">
        <f>SUMIFS('Total augex'!J$20:J$279,'Total augex'!$E$20:$E$279,$B11,'Total augex'!$D$20:$D$279,$C11)</f>
        <v>7286747.8638293035</v>
      </c>
      <c r="J11" s="40">
        <f>SUMIFS('Total augex'!K$20:K$279,'Total augex'!$E$20:$E$279,$B11,'Total augex'!$D$20:$D$279,$C11)</f>
        <v>7286747.8638293035</v>
      </c>
      <c r="K11" s="40">
        <f>SUMIFS('Total augex'!L$20:L$279,'Total augex'!$E$20:$E$279,$B11,'Total augex'!$D$20:$D$279,$C11)</f>
        <v>7286747.8638293035</v>
      </c>
      <c r="L11" s="40">
        <f>SUMIFS('Total augex'!M$20:M$279,'Total augex'!$E$20:$E$279,$B11,'Total augex'!$D$20:$D$279,$C11)</f>
        <v>7286747.8638293035</v>
      </c>
      <c r="M11" s="40">
        <f>SUMIFS('Total augex'!N$20:N$279,'Total augex'!$E$20:$E$279,$B11,'Total augex'!$D$20:$D$279,$C11)</f>
        <v>7286747.8638293035</v>
      </c>
      <c r="N11" s="40">
        <f>SUMIFS('Total augex'!O$20:O$279,'Total augex'!$E$20:$E$279,$B11,'Total augex'!$D$20:$D$279,$C11)</f>
        <v>7286747.8638293035</v>
      </c>
      <c r="O11" s="40">
        <f>SUMIFS('Total augex'!P$20:P$279,'Total augex'!$E$20:$E$279,$B11,'Total augex'!$D$20:$D$279,$C11)</f>
        <v>7286747.8638293035</v>
      </c>
      <c r="Q11" s="40">
        <f>SUM(E11:O11)</f>
        <v>72815244.678698212</v>
      </c>
      <c r="R11" s="84"/>
    </row>
    <row r="12" spans="1:18">
      <c r="A12" s="1"/>
      <c r="B12" s="2" t="str">
        <f>B11</f>
        <v>Growth</v>
      </c>
      <c r="C12" s="2" t="str">
        <v>ST</v>
      </c>
      <c r="D12" s="35" t="str">
        <f>D11</f>
        <v>$2024 real</v>
      </c>
      <c r="E12" s="35"/>
      <c r="F12" s="40">
        <f>SUMIFS('Total augex'!G$20:G$279,'Total augex'!$E$20:$E$279,$B12,'Total augex'!$D$20:$D$279,$C12)</f>
        <v>2822816.5801854935</v>
      </c>
      <c r="G12" s="40">
        <f>SUMIFS('Total augex'!H$20:H$279,'Total augex'!$E$20:$E$279,$B12,'Total augex'!$D$20:$D$279,$C12)</f>
        <v>4348883.0855837287</v>
      </c>
      <c r="H12" s="40">
        <f>SUMIFS('Total augex'!I$20:I$279,'Total augex'!$E$20:$E$279,$B12,'Total augex'!$D$20:$D$279,$C12)</f>
        <v>10537689.962771736</v>
      </c>
      <c r="I12" s="40">
        <f>SUMIFS('Total augex'!J$20:J$279,'Total augex'!$E$20:$E$279,$B12,'Total augex'!$D$20:$D$279,$C12)</f>
        <v>439987.45273921621</v>
      </c>
      <c r="J12" s="40">
        <f>SUMIFS('Total augex'!K$20:K$279,'Total augex'!$E$20:$E$279,$B12,'Total augex'!$D$20:$D$279,$C12)</f>
        <v>0</v>
      </c>
      <c r="K12" s="40">
        <f>SUMIFS('Total augex'!L$20:L$279,'Total augex'!$E$20:$E$279,$B12,'Total augex'!$D$20:$D$279,$C12)</f>
        <v>0</v>
      </c>
      <c r="L12" s="40">
        <f>SUMIFS('Total augex'!M$20:M$279,'Total augex'!$E$20:$E$279,$B12,'Total augex'!$D$20:$D$279,$C12)</f>
        <v>0</v>
      </c>
      <c r="M12" s="40">
        <f>SUMIFS('Total augex'!N$20:N$279,'Total augex'!$E$20:$E$279,$B12,'Total augex'!$D$20:$D$279,$C12)</f>
        <v>0</v>
      </c>
      <c r="N12" s="40">
        <f>SUMIFS('Total augex'!O$20:O$279,'Total augex'!$E$20:$E$279,$B12,'Total augex'!$D$20:$D$279,$C12)</f>
        <v>0</v>
      </c>
      <c r="O12" s="40">
        <f>SUMIFS('Total augex'!P$20:P$279,'Total augex'!$E$20:$E$279,$B12,'Total augex'!$D$20:$D$279,$C12)</f>
        <v>0</v>
      </c>
      <c r="Q12" s="40">
        <f>SUM(E12:O12)</f>
        <v>18149377.081280176</v>
      </c>
      <c r="R12" s="84"/>
    </row>
    <row r="13" spans="1:18">
      <c r="A13" s="1"/>
      <c r="B13" s="52" t="s">
        <v>73</v>
      </c>
      <c r="C13" s="52"/>
      <c r="D13" s="53" t="str">
        <f>D12</f>
        <v>$2024 real</v>
      </c>
      <c r="E13" s="53"/>
      <c r="F13" s="59">
        <f t="shared" ref="F13:O13" si="0">SUM(F10:F12)</f>
        <v>14905460.690063307</v>
      </c>
      <c r="G13" s="59">
        <f t="shared" si="0"/>
        <v>16327059.276271939</v>
      </c>
      <c r="H13" s="59">
        <f t="shared" si="0"/>
        <v>22594217.092852153</v>
      </c>
      <c r="I13" s="59">
        <f t="shared" si="0"/>
        <v>12496514.582819631</v>
      </c>
      <c r="J13" s="59">
        <f t="shared" si="0"/>
        <v>12056527.130080415</v>
      </c>
      <c r="K13" s="59">
        <f t="shared" si="0"/>
        <v>12056527.130080415</v>
      </c>
      <c r="L13" s="59">
        <f t="shared" si="0"/>
        <v>12056527.130080415</v>
      </c>
      <c r="M13" s="59">
        <f t="shared" si="0"/>
        <v>12056527.130080415</v>
      </c>
      <c r="N13" s="59">
        <f t="shared" si="0"/>
        <v>12056527.130080415</v>
      </c>
      <c r="O13" s="59">
        <f t="shared" si="0"/>
        <v>12056527.130080415</v>
      </c>
      <c r="Q13" s="59">
        <f>SUM(Q10:Q12)</f>
        <v>138662414.42248949</v>
      </c>
    </row>
    <row r="14" spans="1:18">
      <c r="A14" s="1"/>
    </row>
    <row r="15" spans="1:18">
      <c r="A15" s="1"/>
      <c r="B15" s="2" t="s">
        <v>92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</row>
    <row r="17" spans="1:17">
      <c r="A17" s="1"/>
      <c r="B17" s="18" t="str">
        <f>B9</f>
        <v>Classification</v>
      </c>
      <c r="C17" s="18" t="str">
        <f>C9</f>
        <v>Network level</v>
      </c>
      <c r="D17" s="18" t="str">
        <f>D9</f>
        <v>Units</v>
      </c>
      <c r="E17" s="14"/>
      <c r="F17" s="14">
        <f t="shared" ref="F17:O17" si="1">F9</f>
        <v>2025</v>
      </c>
      <c r="G17" s="14">
        <f t="shared" si="1"/>
        <v>2026</v>
      </c>
      <c r="H17" s="14">
        <f t="shared" si="1"/>
        <v>2027</v>
      </c>
      <c r="I17" s="14">
        <f t="shared" si="1"/>
        <v>2028</v>
      </c>
      <c r="J17" s="14">
        <f t="shared" si="1"/>
        <v>2029</v>
      </c>
      <c r="K17" s="14">
        <f t="shared" si="1"/>
        <v>2030</v>
      </c>
      <c r="L17" s="14">
        <f t="shared" si="1"/>
        <v>2031</v>
      </c>
      <c r="M17" s="14">
        <f t="shared" si="1"/>
        <v>2032</v>
      </c>
      <c r="N17" s="14">
        <f t="shared" si="1"/>
        <v>2033</v>
      </c>
      <c r="O17" s="14">
        <f t="shared" si="1"/>
        <v>2034</v>
      </c>
      <c r="Q17" s="14" t="str">
        <f>Q9</f>
        <v>Total</v>
      </c>
    </row>
    <row r="18" spans="1:17">
      <c r="A18" s="1"/>
      <c r="B18" s="2" t="str">
        <f>B15</f>
        <v>Decline</v>
      </c>
      <c r="C18" s="2" t="str">
        <f t="shared" ref="C18:D20" si="2">C10</f>
        <v>LV</v>
      </c>
      <c r="D18" s="35" t="str">
        <f t="shared" si="2"/>
        <v>$2024 real</v>
      </c>
      <c r="E18" s="35"/>
      <c r="F18" s="40">
        <f>SUMIFS('Total augex'!G$20:G$279,'Total augex'!$E$20:$E$279,$B18,'Total augex'!$D$20:$D$279,$C18)</f>
        <v>2387093.9159674053</v>
      </c>
      <c r="G18" s="40">
        <f>SUMIFS('Total augex'!H$20:H$279,'Total augex'!$E$20:$E$279,$B18,'Total augex'!$D$20:$D$279,$C18)</f>
        <v>2387093.9159674053</v>
      </c>
      <c r="H18" s="40">
        <f>SUMIFS('Total augex'!I$20:I$279,'Total augex'!$E$20:$E$279,$B18,'Total augex'!$D$20:$D$279,$C18)</f>
        <v>2387093.9159674053</v>
      </c>
      <c r="I18" s="40">
        <f>SUMIFS('Total augex'!J$20:J$279,'Total augex'!$E$20:$E$279,$B18,'Total augex'!$D$20:$D$279,$C18)</f>
        <v>2387093.9159674053</v>
      </c>
      <c r="J18" s="40">
        <f>SUMIFS('Total augex'!K$20:K$279,'Total augex'!$E$20:$E$279,$B18,'Total augex'!$D$20:$D$279,$C18)</f>
        <v>2387093.9159674053</v>
      </c>
      <c r="K18" s="40">
        <f>SUMIFS('Total augex'!L$20:L$279,'Total augex'!$E$20:$E$279,$B18,'Total augex'!$D$20:$D$279,$C18)</f>
        <v>2387093.9159674053</v>
      </c>
      <c r="L18" s="40">
        <f>SUMIFS('Total augex'!M$20:M$279,'Total augex'!$E$20:$E$279,$B18,'Total augex'!$D$20:$D$279,$C18)</f>
        <v>2387093.9159674053</v>
      </c>
      <c r="M18" s="40">
        <f>SUMIFS('Total augex'!N$20:N$279,'Total augex'!$E$20:$E$279,$B18,'Total augex'!$D$20:$D$279,$C18)</f>
        <v>2387093.9159674053</v>
      </c>
      <c r="N18" s="40">
        <f>SUMIFS('Total augex'!O$20:O$279,'Total augex'!$E$20:$E$279,$B18,'Total augex'!$D$20:$D$279,$C18)</f>
        <v>2387093.9159674053</v>
      </c>
      <c r="O18" s="40">
        <f>SUMIFS('Total augex'!P$20:P$279,'Total augex'!$E$20:$E$279,$B18,'Total augex'!$D$20:$D$279,$C18)</f>
        <v>2387093.9159674053</v>
      </c>
      <c r="Q18" s="40">
        <f>SUM(E18:O18)</f>
        <v>23870939.159674052</v>
      </c>
    </row>
    <row r="19" spans="1:17">
      <c r="A19" s="1"/>
      <c r="B19" s="2" t="str">
        <f>B18</f>
        <v>Decline</v>
      </c>
      <c r="C19" s="2" t="str">
        <f t="shared" si="2"/>
        <v>HV</v>
      </c>
      <c r="D19" s="35" t="str">
        <f t="shared" si="2"/>
        <v>$2024 real</v>
      </c>
      <c r="E19" s="35"/>
      <c r="F19" s="40">
        <f>SUMIFS('Total augex'!G$20:G$279,'Total augex'!$E$20:$E$279,$B19,'Total augex'!$D$20:$D$279,$C19)</f>
        <v>3074891.3252264219</v>
      </c>
      <c r="G19" s="40">
        <f>SUMIFS('Total augex'!H$20:H$279,'Total augex'!$E$20:$E$279,$B19,'Total augex'!$D$20:$D$279,$C19)</f>
        <v>3030964.9700496923</v>
      </c>
      <c r="H19" s="40">
        <f>SUMIFS('Total augex'!I$20:I$279,'Total augex'!$E$20:$E$279,$B19,'Total augex'!$D$20:$D$279,$C19)</f>
        <v>3063909.7364322394</v>
      </c>
      <c r="I19" s="40">
        <f>SUMIFS('Total augex'!J$20:J$279,'Total augex'!$E$20:$E$279,$B19,'Total augex'!$D$20:$D$279,$C19)</f>
        <v>3063909.7364322394</v>
      </c>
      <c r="J19" s="40">
        <f>SUMIFS('Total augex'!K$20:K$279,'Total augex'!$E$20:$E$279,$B19,'Total augex'!$D$20:$D$279,$C19)</f>
        <v>3063909.7364322394</v>
      </c>
      <c r="K19" s="40">
        <f>SUMIFS('Total augex'!L$20:L$279,'Total augex'!$E$20:$E$279,$B19,'Total augex'!$D$20:$D$279,$C19)</f>
        <v>3063909.7364322394</v>
      </c>
      <c r="L19" s="40">
        <f>SUMIFS('Total augex'!M$20:M$279,'Total augex'!$E$20:$E$279,$B19,'Total augex'!$D$20:$D$279,$C19)</f>
        <v>3063909.7364322394</v>
      </c>
      <c r="M19" s="40">
        <f>SUMIFS('Total augex'!N$20:N$279,'Total augex'!$E$20:$E$279,$B19,'Total augex'!$D$20:$D$279,$C19)</f>
        <v>3063909.7364322394</v>
      </c>
      <c r="N19" s="40">
        <f>SUMIFS('Total augex'!O$20:O$279,'Total augex'!$E$20:$E$279,$B19,'Total augex'!$D$20:$D$279,$C19)</f>
        <v>3063909.7364322394</v>
      </c>
      <c r="O19" s="40">
        <f>SUMIFS('Total augex'!P$20:P$279,'Total augex'!$E$20:$E$279,$B19,'Total augex'!$D$20:$D$279,$C19)</f>
        <v>3063909.7364322394</v>
      </c>
      <c r="Q19" s="40">
        <f>SUM(E19:O19)</f>
        <v>30617134.186734028</v>
      </c>
    </row>
    <row r="20" spans="1:17">
      <c r="A20" s="1"/>
      <c r="B20" s="2" t="str">
        <f>B19</f>
        <v>Decline</v>
      </c>
      <c r="C20" s="2" t="str">
        <f t="shared" si="2"/>
        <v>ST</v>
      </c>
      <c r="D20" s="35" t="str">
        <f t="shared" si="2"/>
        <v>$2024 real</v>
      </c>
      <c r="E20" s="35"/>
      <c r="F20" s="40">
        <f>SUMIFS('Total augex'!G$20:G$279,'Total augex'!$E$20:$E$279,$B20,'Total augex'!$D$20:$D$279,$C20)</f>
        <v>592984.69297217368</v>
      </c>
      <c r="G20" s="40">
        <f>SUMIFS('Total augex'!H$20:H$279,'Total augex'!$E$20:$E$279,$B20,'Total augex'!$D$20:$D$279,$C20)</f>
        <v>0</v>
      </c>
      <c r="H20" s="40">
        <f>SUMIFS('Total augex'!I$20:I$279,'Total augex'!$E$20:$E$279,$B20,'Total augex'!$D$20:$D$279,$C20)</f>
        <v>83163.50831152602</v>
      </c>
      <c r="I20" s="40">
        <f>SUMIFS('Total augex'!J$20:J$279,'Total augex'!$E$20:$E$279,$B20,'Total augex'!$D$20:$D$279,$C20)</f>
        <v>1249075.9442220628</v>
      </c>
      <c r="J20" s="40">
        <f>SUMIFS('Total augex'!K$20:K$279,'Total augex'!$E$20:$E$279,$B20,'Total augex'!$D$20:$D$279,$C20)</f>
        <v>748726.93547473836</v>
      </c>
      <c r="K20" s="40">
        <f>SUMIFS('Total augex'!L$20:L$279,'Total augex'!$E$20:$E$279,$B20,'Total augex'!$D$20:$D$279,$C20)</f>
        <v>215434.00785917975</v>
      </c>
      <c r="L20" s="40">
        <f>SUMIFS('Total augex'!M$20:M$279,'Total augex'!$E$20:$E$279,$B20,'Total augex'!$D$20:$D$279,$C20)</f>
        <v>0</v>
      </c>
      <c r="M20" s="40">
        <f>SUMIFS('Total augex'!N$20:N$279,'Total augex'!$E$20:$E$279,$B20,'Total augex'!$D$20:$D$279,$C20)</f>
        <v>0</v>
      </c>
      <c r="N20" s="40">
        <f>SUMIFS('Total augex'!O$20:O$279,'Total augex'!$E$20:$E$279,$B20,'Total augex'!$D$20:$D$279,$C20)</f>
        <v>0</v>
      </c>
      <c r="O20" s="40">
        <f>SUMIFS('Total augex'!P$20:P$279,'Total augex'!$E$20:$E$279,$B20,'Total augex'!$D$20:$D$279,$C20)</f>
        <v>0</v>
      </c>
      <c r="Q20" s="40">
        <f>SUM(E20:O20)</f>
        <v>2889385.0888396809</v>
      </c>
    </row>
    <row r="21" spans="1:17">
      <c r="A21" s="1"/>
      <c r="B21" s="52" t="str">
        <f>B13</f>
        <v>Total</v>
      </c>
      <c r="C21" s="52"/>
      <c r="D21" s="53" t="str">
        <f>D13</f>
        <v>$2024 real</v>
      </c>
      <c r="E21" s="51"/>
      <c r="F21" s="59">
        <f t="shared" ref="F21:O21" si="3">SUM(F18:F20)</f>
        <v>6054969.9341660012</v>
      </c>
      <c r="G21" s="59">
        <f t="shared" si="3"/>
        <v>5418058.8860170972</v>
      </c>
      <c r="H21" s="59">
        <f t="shared" si="3"/>
        <v>5534167.1607111702</v>
      </c>
      <c r="I21" s="59">
        <f t="shared" si="3"/>
        <v>6700079.5966217071</v>
      </c>
      <c r="J21" s="59">
        <f t="shared" si="3"/>
        <v>6199730.5878743827</v>
      </c>
      <c r="K21" s="59">
        <f t="shared" si="3"/>
        <v>5666437.660258824</v>
      </c>
      <c r="L21" s="59">
        <f t="shared" si="3"/>
        <v>5451003.6523996443</v>
      </c>
      <c r="M21" s="59">
        <f t="shared" si="3"/>
        <v>5451003.6523996443</v>
      </c>
      <c r="N21" s="59">
        <f t="shared" si="3"/>
        <v>5451003.6523996443</v>
      </c>
      <c r="O21" s="59">
        <f t="shared" si="3"/>
        <v>5451003.6523996443</v>
      </c>
      <c r="Q21" s="59">
        <f>SUM(Q18:Q20)</f>
        <v>57377458.435247764</v>
      </c>
    </row>
    <row r="23" spans="1:17">
      <c r="B23" s="2" t="str">
        <f>Lists!$D$31</f>
        <v>System wide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</row>
    <row r="25" spans="1:17">
      <c r="B25" s="18" t="str">
        <f>B17</f>
        <v>Classification</v>
      </c>
      <c r="C25" s="18" t="str">
        <f>C17</f>
        <v>Network level</v>
      </c>
      <c r="D25" s="18" t="str">
        <f>D17</f>
        <v>Units</v>
      </c>
      <c r="E25" s="14"/>
      <c r="F25" s="14">
        <f t="shared" ref="F25:O25" si="4">F17</f>
        <v>2025</v>
      </c>
      <c r="G25" s="14">
        <f t="shared" si="4"/>
        <v>2026</v>
      </c>
      <c r="H25" s="14">
        <f t="shared" si="4"/>
        <v>2027</v>
      </c>
      <c r="I25" s="14">
        <f t="shared" si="4"/>
        <v>2028</v>
      </c>
      <c r="J25" s="14">
        <f t="shared" si="4"/>
        <v>2029</v>
      </c>
      <c r="K25" s="14">
        <f t="shared" si="4"/>
        <v>2030</v>
      </c>
      <c r="L25" s="14">
        <f t="shared" si="4"/>
        <v>2031</v>
      </c>
      <c r="M25" s="14">
        <f t="shared" si="4"/>
        <v>2032</v>
      </c>
      <c r="N25" s="14">
        <f t="shared" si="4"/>
        <v>2033</v>
      </c>
      <c r="O25" s="14">
        <f t="shared" si="4"/>
        <v>2034</v>
      </c>
      <c r="Q25" s="14" t="str">
        <f>Q17</f>
        <v>Total</v>
      </c>
    </row>
    <row r="26" spans="1:17">
      <c r="B26" s="2" t="str">
        <f>B23</f>
        <v>System wide</v>
      </c>
      <c r="C26" s="2" t="str">
        <f t="shared" ref="C26:D28" si="5">C18</f>
        <v>LV</v>
      </c>
      <c r="D26" s="35" t="str">
        <f t="shared" si="5"/>
        <v>$2024 real</v>
      </c>
      <c r="E26" s="35"/>
      <c r="F26" s="40">
        <f>SUMIFS('Total augex'!G$20:G$279,'Total augex'!$E$20:$E$279,$B26,'Total augex'!$D$20:$D$279,$C26)</f>
        <v>0</v>
      </c>
      <c r="G26" s="40">
        <f>SUMIFS('Total augex'!H$20:H$279,'Total augex'!$E$20:$E$279,$B26,'Total augex'!$D$20:$D$279,$C26)</f>
        <v>0</v>
      </c>
      <c r="H26" s="40">
        <f>SUMIFS('Total augex'!I$20:I$279,'Total augex'!$E$20:$E$279,$B26,'Total augex'!$D$20:$D$279,$C26)</f>
        <v>0</v>
      </c>
      <c r="I26" s="40">
        <f>SUMIFS('Total augex'!J$20:J$279,'Total augex'!$E$20:$E$279,$B26,'Total augex'!$D$20:$D$279,$C26)</f>
        <v>0</v>
      </c>
      <c r="J26" s="40">
        <f>SUMIFS('Total augex'!K$20:K$279,'Total augex'!$E$20:$E$279,$B26,'Total augex'!$D$20:$D$279,$C26)</f>
        <v>0</v>
      </c>
      <c r="K26" s="40">
        <f>SUMIFS('Total augex'!L$20:L$279,'Total augex'!$E$20:$E$279,$B26,'Total augex'!$D$20:$D$279,$C26)</f>
        <v>0</v>
      </c>
      <c r="L26" s="40">
        <f>SUMIFS('Total augex'!M$20:M$279,'Total augex'!$E$20:$E$279,$B26,'Total augex'!$D$20:$D$279,$C26)</f>
        <v>0</v>
      </c>
      <c r="M26" s="40">
        <f>SUMIFS('Total augex'!N$20:N$279,'Total augex'!$E$20:$E$279,$B26,'Total augex'!$D$20:$D$279,$C26)</f>
        <v>0</v>
      </c>
      <c r="N26" s="40">
        <f>SUMIFS('Total augex'!O$20:O$279,'Total augex'!$E$20:$E$279,$B26,'Total augex'!$D$20:$D$279,$C26)</f>
        <v>0</v>
      </c>
      <c r="O26" s="40">
        <f>SUMIFS('Total augex'!P$20:P$279,'Total augex'!$E$20:$E$279,$B26,'Total augex'!$D$20:$D$279,$C26)</f>
        <v>0</v>
      </c>
      <c r="Q26" s="40">
        <f>SUM(E26:O26)</f>
        <v>0</v>
      </c>
    </row>
    <row r="27" spans="1:17">
      <c r="B27" s="2" t="str">
        <f>B26</f>
        <v>System wide</v>
      </c>
      <c r="C27" s="2" t="str">
        <f t="shared" si="5"/>
        <v>HV</v>
      </c>
      <c r="D27" s="35" t="str">
        <f t="shared" si="5"/>
        <v>$2024 real</v>
      </c>
      <c r="E27" s="35"/>
      <c r="F27" s="40">
        <f>SUMIFS('Total augex'!G$20:G$279,'Total augex'!$E$20:$E$279,$B27,'Total augex'!$D$20:$D$279,$C27)</f>
        <v>0</v>
      </c>
      <c r="G27" s="40">
        <f>SUMIFS('Total augex'!H$20:H$279,'Total augex'!$E$20:$E$279,$B27,'Total augex'!$D$20:$D$279,$C27)</f>
        <v>0</v>
      </c>
      <c r="H27" s="40">
        <f>SUMIFS('Total augex'!I$20:I$279,'Total augex'!$E$20:$E$279,$B27,'Total augex'!$D$20:$D$279,$C27)</f>
        <v>0</v>
      </c>
      <c r="I27" s="40">
        <f>SUMIFS('Total augex'!J$20:J$279,'Total augex'!$E$20:$E$279,$B27,'Total augex'!$D$20:$D$279,$C27)</f>
        <v>0</v>
      </c>
      <c r="J27" s="40">
        <f>SUMIFS('Total augex'!K$20:K$279,'Total augex'!$E$20:$E$279,$B27,'Total augex'!$D$20:$D$279,$C27)</f>
        <v>0</v>
      </c>
      <c r="K27" s="40">
        <f>SUMIFS('Total augex'!L$20:L$279,'Total augex'!$E$20:$E$279,$B27,'Total augex'!$D$20:$D$279,$C27)</f>
        <v>0</v>
      </c>
      <c r="L27" s="40">
        <f>SUMIFS('Total augex'!M$20:M$279,'Total augex'!$E$20:$E$279,$B27,'Total augex'!$D$20:$D$279,$C27)</f>
        <v>0</v>
      </c>
      <c r="M27" s="40">
        <f>SUMIFS('Total augex'!N$20:N$279,'Total augex'!$E$20:$E$279,$B27,'Total augex'!$D$20:$D$279,$C27)</f>
        <v>0</v>
      </c>
      <c r="N27" s="40">
        <f>SUMIFS('Total augex'!O$20:O$279,'Total augex'!$E$20:$E$279,$B27,'Total augex'!$D$20:$D$279,$C27)</f>
        <v>0</v>
      </c>
      <c r="O27" s="40">
        <f>SUMIFS('Total augex'!P$20:P$279,'Total augex'!$E$20:$E$279,$B27,'Total augex'!$D$20:$D$279,$C27)</f>
        <v>0</v>
      </c>
      <c r="Q27" s="40">
        <f>SUM(E27:O27)</f>
        <v>0</v>
      </c>
    </row>
    <row r="28" spans="1:17">
      <c r="B28" s="2" t="str">
        <f>B27</f>
        <v>System wide</v>
      </c>
      <c r="C28" s="2" t="str">
        <f t="shared" si="5"/>
        <v>ST</v>
      </c>
      <c r="D28" s="35" t="str">
        <f t="shared" si="5"/>
        <v>$2024 real</v>
      </c>
      <c r="E28" s="35"/>
      <c r="F28" s="40">
        <f>SUMIFS('Total augex'!G$20:G$279,'Total augex'!$E$20:$E$279,$B28,'Total augex'!$D$20:$D$279,$C28)</f>
        <v>0</v>
      </c>
      <c r="G28" s="40">
        <f>SUMIFS('Total augex'!H$20:H$279,'Total augex'!$E$20:$E$279,$B28,'Total augex'!$D$20:$D$279,$C28)</f>
        <v>0</v>
      </c>
      <c r="H28" s="40">
        <f>SUMIFS('Total augex'!I$20:I$279,'Total augex'!$E$20:$E$279,$B28,'Total augex'!$D$20:$D$279,$C28)</f>
        <v>0</v>
      </c>
      <c r="I28" s="40">
        <f>SUMIFS('Total augex'!J$20:J$279,'Total augex'!$E$20:$E$279,$B28,'Total augex'!$D$20:$D$279,$C28)</f>
        <v>0</v>
      </c>
      <c r="J28" s="40">
        <f>SUMIFS('Total augex'!K$20:K$279,'Total augex'!$E$20:$E$279,$B28,'Total augex'!$D$20:$D$279,$C28)</f>
        <v>0</v>
      </c>
      <c r="K28" s="40">
        <f>SUMIFS('Total augex'!L$20:L$279,'Total augex'!$E$20:$E$279,$B28,'Total augex'!$D$20:$D$279,$C28)</f>
        <v>0</v>
      </c>
      <c r="L28" s="40">
        <f>SUMIFS('Total augex'!M$20:M$279,'Total augex'!$E$20:$E$279,$B28,'Total augex'!$D$20:$D$279,$C28)</f>
        <v>0</v>
      </c>
      <c r="M28" s="40">
        <f>SUMIFS('Total augex'!N$20:N$279,'Total augex'!$E$20:$E$279,$B28,'Total augex'!$D$20:$D$279,$C28)</f>
        <v>0</v>
      </c>
      <c r="N28" s="40">
        <f>SUMIFS('Total augex'!O$20:O$279,'Total augex'!$E$20:$E$279,$B28,'Total augex'!$D$20:$D$279,$C28)</f>
        <v>0</v>
      </c>
      <c r="O28" s="40">
        <f>SUMIFS('Total augex'!P$20:P$279,'Total augex'!$E$20:$E$279,$B28,'Total augex'!$D$20:$D$279,$C28)</f>
        <v>0</v>
      </c>
      <c r="Q28" s="40">
        <f>SUM(E28:O28)</f>
        <v>0</v>
      </c>
    </row>
    <row r="29" spans="1:17">
      <c r="B29" s="52" t="str">
        <f>B21</f>
        <v>Total</v>
      </c>
      <c r="C29" s="52"/>
      <c r="D29" s="53" t="str">
        <f>D21</f>
        <v>$2024 real</v>
      </c>
      <c r="E29" s="51"/>
      <c r="F29" s="59">
        <f t="shared" ref="F29:O29" si="6">SUM(F26:F28)</f>
        <v>0</v>
      </c>
      <c r="G29" s="59">
        <f t="shared" si="6"/>
        <v>0</v>
      </c>
      <c r="H29" s="59">
        <f t="shared" si="6"/>
        <v>0</v>
      </c>
      <c r="I29" s="59">
        <f t="shared" si="6"/>
        <v>0</v>
      </c>
      <c r="J29" s="59">
        <f t="shared" si="6"/>
        <v>0</v>
      </c>
      <c r="K29" s="59">
        <f t="shared" si="6"/>
        <v>0</v>
      </c>
      <c r="L29" s="59">
        <f t="shared" si="6"/>
        <v>0</v>
      </c>
      <c r="M29" s="59">
        <f t="shared" si="6"/>
        <v>0</v>
      </c>
      <c r="N29" s="59">
        <f t="shared" si="6"/>
        <v>0</v>
      </c>
      <c r="O29" s="59">
        <f t="shared" si="6"/>
        <v>0</v>
      </c>
      <c r="Q29" s="59">
        <f>SUM(Q26:Q28)</f>
        <v>0</v>
      </c>
    </row>
    <row r="31" spans="1:17">
      <c r="B31" s="5" t="s">
        <v>93</v>
      </c>
      <c r="C31" s="5"/>
      <c r="D31" s="39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3" spans="2:18">
      <c r="B33" s="2" t="str">
        <f>B7</f>
        <v>Growth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</row>
    <row r="35" spans="2:18">
      <c r="B35" s="18" t="str">
        <f t="shared" ref="B35:D38" si="7">B9</f>
        <v>Classification</v>
      </c>
      <c r="C35" s="18" t="str">
        <f t="shared" si="7"/>
        <v>Network level</v>
      </c>
      <c r="D35" s="18" t="str">
        <f t="shared" si="7"/>
        <v>Units</v>
      </c>
      <c r="E35" s="14"/>
      <c r="F35" s="14">
        <f t="shared" ref="F35:O35" si="8">F9</f>
        <v>2025</v>
      </c>
      <c r="G35" s="14">
        <f t="shared" si="8"/>
        <v>2026</v>
      </c>
      <c r="H35" s="14">
        <f t="shared" si="8"/>
        <v>2027</v>
      </c>
      <c r="I35" s="14">
        <f t="shared" si="8"/>
        <v>2028</v>
      </c>
      <c r="J35" s="14">
        <f t="shared" si="8"/>
        <v>2029</v>
      </c>
      <c r="K35" s="14">
        <f t="shared" si="8"/>
        <v>2030</v>
      </c>
      <c r="L35" s="14">
        <f t="shared" si="8"/>
        <v>2031</v>
      </c>
      <c r="M35" s="14">
        <f t="shared" si="8"/>
        <v>2032</v>
      </c>
      <c r="N35" s="14">
        <f t="shared" si="8"/>
        <v>2033</v>
      </c>
      <c r="O35" s="14">
        <f t="shared" si="8"/>
        <v>2034</v>
      </c>
      <c r="Q35" s="14" t="str">
        <f>Q17</f>
        <v>Total</v>
      </c>
    </row>
    <row r="36" spans="2:18">
      <c r="B36" s="2" t="str">
        <f t="shared" si="7"/>
        <v>Growth</v>
      </c>
      <c r="C36" s="2" t="str">
        <f t="shared" si="7"/>
        <v>LV</v>
      </c>
      <c r="D36" s="35" t="str">
        <f t="shared" si="7"/>
        <v>$2024 real</v>
      </c>
      <c r="E36" s="35"/>
      <c r="F36" s="40">
        <f>F$10 +
F$11*'Coincident demand'!$Q34/SUM('Coincident demand'!$Q$34:$Q$35) +
F$12*'Coincident demand'!$Q34</f>
        <v>14009797.671153657</v>
      </c>
      <c r="G36" s="40">
        <f>G$10 +
G$11*'Coincident demand'!$Q34/SUM('Coincident demand'!$Q$34:$Q$35) +
G$12*'Coincident demand'!$Q34</f>
        <v>15130888.564649172</v>
      </c>
      <c r="H36" s="40">
        <f>H$10 +
H$11*'Coincident demand'!$Q34/SUM('Coincident demand'!$Q$34:$Q$35) +
H$12*'Coincident demand'!$Q34</f>
        <v>20156641.959999733</v>
      </c>
      <c r="I36" s="40">
        <f>I$10 +
I$11*'Coincident demand'!$Q34/SUM('Coincident demand'!$Q$34:$Q$35) +
I$12*'Coincident demand'!$Q34</f>
        <v>12078636.703870056</v>
      </c>
      <c r="J36" s="40">
        <f>J$10 +
J$11*'Coincident demand'!$Q34/SUM('Coincident demand'!$Q$34:$Q$35) +
J$12*'Coincident demand'!$Q34</f>
        <v>11726653.571833119</v>
      </c>
      <c r="K36" s="40">
        <f>K$10 +
K$11*'Coincident demand'!$Q34/SUM('Coincident demand'!$Q$34:$Q$35) +
K$12*'Coincident demand'!$Q34</f>
        <v>11726653.571833119</v>
      </c>
      <c r="L36" s="40">
        <f>L$10 +
L$11*'Coincident demand'!$Q34/SUM('Coincident demand'!$Q$34:$Q$35) +
L$12*'Coincident demand'!$Q34</f>
        <v>11726653.571833119</v>
      </c>
      <c r="M36" s="40">
        <f>M$10 +
M$11*'Coincident demand'!$Q34/SUM('Coincident demand'!$Q$34:$Q$35) +
M$12*'Coincident demand'!$Q34</f>
        <v>11726653.571833119</v>
      </c>
      <c r="N36" s="40">
        <f>N$10 +
N$11*'Coincident demand'!$Q34/SUM('Coincident demand'!$Q$34:$Q$35) +
N$12*'Coincident demand'!$Q34</f>
        <v>11726653.571833119</v>
      </c>
      <c r="O36" s="40">
        <f>O$10 +
O$11*'Coincident demand'!$Q34/SUM('Coincident demand'!$Q$34:$Q$35) +
O$12*'Coincident demand'!$Q34</f>
        <v>11726653.571833119</v>
      </c>
      <c r="Q36" s="40">
        <f>SUM(E36:O36)</f>
        <v>131735886.33067133</v>
      </c>
      <c r="R36" s="84"/>
    </row>
    <row r="37" spans="2:18">
      <c r="B37" s="2" t="str">
        <f t="shared" si="7"/>
        <v>Growth</v>
      </c>
      <c r="C37" s="2" t="str">
        <f t="shared" si="7"/>
        <v>HV</v>
      </c>
      <c r="D37" s="35" t="str">
        <f t="shared" si="7"/>
        <v>$2024 real</v>
      </c>
      <c r="E37" s="35"/>
      <c r="F37" s="40">
        <f>F$11*'Coincident demand'!$Q35/SUM('Coincident demand'!$Q$34:$Q$35) +
F$12*'Coincident demand'!$Q35</f>
        <v>438133.22127295652</v>
      </c>
      <c r="G37" s="40">
        <f>G$11*'Coincident demand'!$Q35/SUM('Coincident demand'!$Q$34:$Q$35) +
G$12*'Coincident demand'!$Q35</f>
        <v>491291.89942519437</v>
      </c>
      <c r="H37" s="40">
        <f>H$11*'Coincident demand'!$Q35/SUM('Coincident demand'!$Q$34:$Q$35) +
H$12*'Coincident demand'!$Q35</f>
        <v>729597.65033799934</v>
      </c>
      <c r="I37" s="40">
        <f>I$11*'Coincident demand'!$Q35/SUM('Coincident demand'!$Q$34:$Q$35) +
I$12*'Coincident demand'!$Q35</f>
        <v>346563.51455639442</v>
      </c>
      <c r="J37" s="40">
        <f>J$11*'Coincident demand'!$Q35/SUM('Coincident demand'!$Q$34:$Q$35) +
J$12*'Coincident demand'!$Q35</f>
        <v>329873.55824729608</v>
      </c>
      <c r="K37" s="40">
        <f>K$11*'Coincident demand'!$Q35/SUM('Coincident demand'!$Q$34:$Q$35) +
K$12*'Coincident demand'!$Q35</f>
        <v>329873.55824729608</v>
      </c>
      <c r="L37" s="40">
        <f>L$11*'Coincident demand'!$Q35/SUM('Coincident demand'!$Q$34:$Q$35) +
L$12*'Coincident demand'!$Q35</f>
        <v>329873.55824729608</v>
      </c>
      <c r="M37" s="40">
        <f>M$11*'Coincident demand'!$Q35/SUM('Coincident demand'!$Q$34:$Q$35) +
M$12*'Coincident demand'!$Q35</f>
        <v>329873.55824729608</v>
      </c>
      <c r="N37" s="40">
        <f>N$11*'Coincident demand'!$Q35/SUM('Coincident demand'!$Q$34:$Q$35) +
N$12*'Coincident demand'!$Q35</f>
        <v>329873.55824729608</v>
      </c>
      <c r="O37" s="40">
        <f>O$11*'Coincident demand'!$Q35/SUM('Coincident demand'!$Q$34:$Q$35) +
O$12*'Coincident demand'!$Q35</f>
        <v>329873.55824729608</v>
      </c>
      <c r="Q37" s="40">
        <f>SUM(E37:O37)</f>
        <v>3984827.6350763217</v>
      </c>
      <c r="R37" s="84"/>
    </row>
    <row r="38" spans="2:18">
      <c r="B38" s="2" t="str">
        <f t="shared" si="7"/>
        <v>Growth</v>
      </c>
      <c r="C38" s="2" t="str">
        <f t="shared" si="7"/>
        <v>ST</v>
      </c>
      <c r="D38" s="35" t="str">
        <f t="shared" si="7"/>
        <v>$2024 real</v>
      </c>
      <c r="E38" s="35"/>
      <c r="F38" s="40">
        <f>F$12*'Coincident demand'!$Q36</f>
        <v>457529.79763669427</v>
      </c>
      <c r="G38" s="40">
        <f>G$12*'Coincident demand'!$Q36</f>
        <v>704878.81219757302</v>
      </c>
      <c r="H38" s="40">
        <f>H$12*'Coincident demand'!$Q36</f>
        <v>1707977.4825144175</v>
      </c>
      <c r="I38" s="40">
        <f>I$12*'Coincident demand'!$Q36</f>
        <v>71314.364393179887</v>
      </c>
      <c r="J38" s="40">
        <f>J$12*'Coincident demand'!$Q36</f>
        <v>0</v>
      </c>
      <c r="K38" s="40">
        <f>K$12*'Coincident demand'!$Q36</f>
        <v>0</v>
      </c>
      <c r="L38" s="40">
        <f>L$12*'Coincident demand'!$Q36</f>
        <v>0</v>
      </c>
      <c r="M38" s="40">
        <f>M$12*'Coincident demand'!$Q36</f>
        <v>0</v>
      </c>
      <c r="N38" s="40">
        <f>N$12*'Coincident demand'!$Q36</f>
        <v>0</v>
      </c>
      <c r="O38" s="40">
        <f>O$12*'Coincident demand'!$Q36</f>
        <v>0</v>
      </c>
      <c r="Q38" s="40">
        <f>SUM(E38:O38)</f>
        <v>2941700.4567418643</v>
      </c>
      <c r="R38" s="84"/>
    </row>
    <row r="39" spans="2:18">
      <c r="B39" s="52" t="str">
        <f>B13</f>
        <v>Total</v>
      </c>
      <c r="C39" s="52"/>
      <c r="D39" s="53" t="str">
        <f>D13</f>
        <v>$2024 real</v>
      </c>
      <c r="E39" s="51"/>
      <c r="F39" s="59">
        <f t="shared" ref="F39:O39" si="9">SUM(F36:F38)</f>
        <v>14905460.690063309</v>
      </c>
      <c r="G39" s="59">
        <f t="shared" si="9"/>
        <v>16327059.276271939</v>
      </c>
      <c r="H39" s="59">
        <f t="shared" si="9"/>
        <v>22594217.092852149</v>
      </c>
      <c r="I39" s="59">
        <f t="shared" si="9"/>
        <v>12496514.582819631</v>
      </c>
      <c r="J39" s="59">
        <f t="shared" si="9"/>
        <v>12056527.130080415</v>
      </c>
      <c r="K39" s="59">
        <f t="shared" si="9"/>
        <v>12056527.130080415</v>
      </c>
      <c r="L39" s="59">
        <f t="shared" si="9"/>
        <v>12056527.130080415</v>
      </c>
      <c r="M39" s="59">
        <f t="shared" si="9"/>
        <v>12056527.130080415</v>
      </c>
      <c r="N39" s="59">
        <f t="shared" si="9"/>
        <v>12056527.130080415</v>
      </c>
      <c r="O39" s="59">
        <f t="shared" si="9"/>
        <v>12056527.130080415</v>
      </c>
      <c r="Q39" s="59">
        <f>SUM(Q36:Q38)</f>
        <v>138662414.42248952</v>
      </c>
    </row>
    <row r="41" spans="2:18">
      <c r="B41" s="2" t="str">
        <f>B15</f>
        <v>Decline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</row>
    <row r="43" spans="2:18">
      <c r="B43" s="18" t="str">
        <f t="shared" ref="B43:D46" si="10">B17</f>
        <v>Classification</v>
      </c>
      <c r="C43" s="18" t="str">
        <f t="shared" si="10"/>
        <v>Network level</v>
      </c>
      <c r="D43" s="18" t="str">
        <f t="shared" si="10"/>
        <v>Units</v>
      </c>
      <c r="E43" s="14"/>
      <c r="F43" s="14">
        <f t="shared" ref="F43:O43" si="11">F17</f>
        <v>2025</v>
      </c>
      <c r="G43" s="14">
        <f t="shared" si="11"/>
        <v>2026</v>
      </c>
      <c r="H43" s="14">
        <f t="shared" si="11"/>
        <v>2027</v>
      </c>
      <c r="I43" s="14">
        <f t="shared" si="11"/>
        <v>2028</v>
      </c>
      <c r="J43" s="14">
        <f t="shared" si="11"/>
        <v>2029</v>
      </c>
      <c r="K43" s="14">
        <f t="shared" si="11"/>
        <v>2030</v>
      </c>
      <c r="L43" s="14">
        <f t="shared" si="11"/>
        <v>2031</v>
      </c>
      <c r="M43" s="14">
        <f t="shared" si="11"/>
        <v>2032</v>
      </c>
      <c r="N43" s="14">
        <f t="shared" si="11"/>
        <v>2033</v>
      </c>
      <c r="O43" s="14">
        <f t="shared" si="11"/>
        <v>2034</v>
      </c>
      <c r="Q43" s="14" t="str">
        <f>Q25</f>
        <v>Total</v>
      </c>
    </row>
    <row r="44" spans="2:18">
      <c r="B44" s="2" t="str">
        <f t="shared" si="10"/>
        <v>Decline</v>
      </c>
      <c r="C44" s="2" t="str">
        <f t="shared" si="10"/>
        <v>LV</v>
      </c>
      <c r="D44" s="35" t="str">
        <f t="shared" si="10"/>
        <v>$2024 real</v>
      </c>
      <c r="E44" s="35"/>
      <c r="F44" s="40">
        <f>F$18 +
F$19*'Coincident demand'!$Q34/SUM('Coincident demand'!$Q$34:$Q$35) +
F$20*'Coincident demand'!$Q34</f>
        <v>5797162.4125132458</v>
      </c>
      <c r="G44" s="40">
        <f>G$18 +
G$19*'Coincident demand'!$Q34/SUM('Coincident demand'!$Q$34:$Q$35) +
G$20*'Coincident demand'!$Q34</f>
        <v>5280846.0692327693</v>
      </c>
      <c r="H44" s="40">
        <f>H$18 +
H$19*'Coincident demand'!$Q34/SUM('Coincident demand'!$Q$34:$Q$35) +
H$20*'Coincident demand'!$Q34</f>
        <v>5378828.9304763032</v>
      </c>
      <c r="I44" s="40">
        <f>I$18 +
I$19*'Coincident demand'!$Q34/SUM('Coincident demand'!$Q$34:$Q$35) +
I$20*'Coincident demand'!$Q34</f>
        <v>6311540.780138622</v>
      </c>
      <c r="J44" s="40">
        <f>J$18 +
J$19*'Coincident demand'!$Q34/SUM('Coincident demand'!$Q$34:$Q$35) +
J$20*'Coincident demand'!$Q34</f>
        <v>5911269.3403190756</v>
      </c>
      <c r="K44" s="40">
        <f>K$18 +
K$19*'Coincident demand'!$Q34/SUM('Coincident demand'!$Q$34:$Q$35) +
K$20*'Coincident demand'!$Q34</f>
        <v>5484643.2768105567</v>
      </c>
      <c r="L44" s="40">
        <f>L$18 +
L$19*'Coincident demand'!$Q34/SUM('Coincident demand'!$Q$34:$Q$35) +
L$20*'Coincident demand'!$Q34</f>
        <v>5312299.4148175446</v>
      </c>
      <c r="M44" s="40">
        <f>M$18 +
M$19*'Coincident demand'!$Q34/SUM('Coincident demand'!$Q$34:$Q$35) +
M$20*'Coincident demand'!$Q34</f>
        <v>5312299.4148175446</v>
      </c>
      <c r="N44" s="40">
        <f>N$18 +
N$19*'Coincident demand'!$Q34/SUM('Coincident demand'!$Q$34:$Q$35) +
N$20*'Coincident demand'!$Q34</f>
        <v>5312299.4148175446</v>
      </c>
      <c r="O44" s="40">
        <f>O$18 +
O$19*'Coincident demand'!$Q34/SUM('Coincident demand'!$Q$34:$Q$35) +
O$20*'Coincident demand'!$Q34</f>
        <v>5312299.4148175446</v>
      </c>
      <c r="Q44" s="40">
        <f>SUM(E44:O44)</f>
        <v>55413488.468760744</v>
      </c>
      <c r="R44" s="84"/>
    </row>
    <row r="45" spans="2:18">
      <c r="B45" s="2" t="str">
        <f t="shared" si="10"/>
        <v>Decline</v>
      </c>
      <c r="C45" s="2" t="str">
        <f t="shared" si="10"/>
        <v>HV</v>
      </c>
      <c r="D45" s="35" t="str">
        <f t="shared" si="10"/>
        <v>$2024 real</v>
      </c>
      <c r="E45" s="35"/>
      <c r="F45" s="40">
        <f>F$19*'Coincident demand'!$Q35/SUM('Coincident demand'!$Q$34:$Q$35) +
F$20*'Coincident demand'!$Q35</f>
        <v>161694.94796247807</v>
      </c>
      <c r="G45" s="40">
        <f>G$19*'Coincident demand'!$Q35/SUM('Coincident demand'!$Q$34:$Q$35) +
G$20*'Coincident demand'!$Q35</f>
        <v>137212.81678432768</v>
      </c>
      <c r="H45" s="40">
        <f>H$19*'Coincident demand'!$Q35/SUM('Coincident demand'!$Q$34:$Q$35) +
H$20*'Coincident demand'!$Q35</f>
        <v>141858.86235966903</v>
      </c>
      <c r="I45" s="40">
        <f>I$19*'Coincident demand'!$Q35/SUM('Coincident demand'!$Q$34:$Q$35) +
I$20*'Coincident demand'!$Q35</f>
        <v>186085.18630239926</v>
      </c>
      <c r="J45" s="40">
        <f>J$19*'Coincident demand'!$Q35/SUM('Coincident demand'!$Q$34:$Q$35) +
J$20*'Coincident demand'!$Q35</f>
        <v>167105.54712563599</v>
      </c>
      <c r="K45" s="40">
        <f>K$19*'Coincident demand'!$Q35/SUM('Coincident demand'!$Q$34:$Q$35) +
K$20*'Coincident demand'!$Q35</f>
        <v>146876.25284362314</v>
      </c>
      <c r="L45" s="40">
        <f>L$19*'Coincident demand'!$Q35/SUM('Coincident demand'!$Q$34:$Q$35) +
L$20*'Coincident demand'!$Q35</f>
        <v>138704.2375820998</v>
      </c>
      <c r="M45" s="40">
        <f>M$19*'Coincident demand'!$Q35/SUM('Coincident demand'!$Q$34:$Q$35) +
M$20*'Coincident demand'!$Q35</f>
        <v>138704.2375820998</v>
      </c>
      <c r="N45" s="40">
        <f>N$19*'Coincident demand'!$Q35/SUM('Coincident demand'!$Q$34:$Q$35) +
N$20*'Coincident demand'!$Q35</f>
        <v>138704.2375820998</v>
      </c>
      <c r="O45" s="40">
        <f>O$19*'Coincident demand'!$Q35/SUM('Coincident demand'!$Q$34:$Q$35) +
O$20*'Coincident demand'!$Q35</f>
        <v>138704.2375820998</v>
      </c>
      <c r="Q45" s="40">
        <f>SUM(E45:O45)</f>
        <v>1495650.5637065326</v>
      </c>
      <c r="R45" s="84"/>
    </row>
    <row r="46" spans="2:18">
      <c r="B46" s="2" t="str">
        <f t="shared" si="10"/>
        <v>Decline</v>
      </c>
      <c r="C46" s="2" t="str">
        <f t="shared" si="10"/>
        <v>ST</v>
      </c>
      <c r="D46" s="35" t="str">
        <f t="shared" si="10"/>
        <v>$2024 real</v>
      </c>
      <c r="E46" s="35"/>
      <c r="F46" s="40">
        <f>F$20*'Coincident demand'!$Q36</f>
        <v>96112.573690277684</v>
      </c>
      <c r="G46" s="40">
        <f>G$20*'Coincident demand'!$Q36</f>
        <v>0</v>
      </c>
      <c r="H46" s="40">
        <f>H$20*'Coincident demand'!$Q36</f>
        <v>13479.367875198503</v>
      </c>
      <c r="I46" s="40">
        <f>I$20*'Coincident demand'!$Q36</f>
        <v>202453.63018068619</v>
      </c>
      <c r="J46" s="40">
        <f>J$20*'Coincident demand'!$Q36</f>
        <v>121355.70042967107</v>
      </c>
      <c r="K46" s="40">
        <f>K$20*'Coincident demand'!$Q36</f>
        <v>34918.130604644328</v>
      </c>
      <c r="L46" s="40">
        <f>L$20*'Coincident demand'!$Q36</f>
        <v>0</v>
      </c>
      <c r="M46" s="40">
        <f>M$20*'Coincident demand'!$Q36</f>
        <v>0</v>
      </c>
      <c r="N46" s="40">
        <f>N$20*'Coincident demand'!$Q36</f>
        <v>0</v>
      </c>
      <c r="O46" s="40">
        <f>O$20*'Coincident demand'!$Q36</f>
        <v>0</v>
      </c>
      <c r="Q46" s="40">
        <f>SUM(E46:O46)</f>
        <v>468319.40278047777</v>
      </c>
      <c r="R46" s="84"/>
    </row>
    <row r="47" spans="2:18">
      <c r="B47" s="52" t="str">
        <f>B21</f>
        <v>Total</v>
      </c>
      <c r="C47" s="52"/>
      <c r="D47" s="53" t="str">
        <f>D21</f>
        <v>$2024 real</v>
      </c>
      <c r="E47" s="51"/>
      <c r="F47" s="59">
        <f t="shared" ref="F47:O47" si="12">SUM(F44:F46)</f>
        <v>6054969.9341660012</v>
      </c>
      <c r="G47" s="59">
        <f t="shared" si="12"/>
        <v>5418058.8860170972</v>
      </c>
      <c r="H47" s="59">
        <f t="shared" si="12"/>
        <v>5534167.1607111711</v>
      </c>
      <c r="I47" s="59">
        <f t="shared" si="12"/>
        <v>6700079.5966217071</v>
      </c>
      <c r="J47" s="59">
        <f t="shared" si="12"/>
        <v>6199730.5878743827</v>
      </c>
      <c r="K47" s="59">
        <f t="shared" si="12"/>
        <v>5666437.660258824</v>
      </c>
      <c r="L47" s="59">
        <f t="shared" si="12"/>
        <v>5451003.6523996443</v>
      </c>
      <c r="M47" s="59">
        <f t="shared" si="12"/>
        <v>5451003.6523996443</v>
      </c>
      <c r="N47" s="59">
        <f t="shared" si="12"/>
        <v>5451003.6523996443</v>
      </c>
      <c r="O47" s="59">
        <f t="shared" si="12"/>
        <v>5451003.6523996443</v>
      </c>
      <c r="Q47" s="59">
        <f>SUM(Q44:Q46)</f>
        <v>57377458.435247757</v>
      </c>
    </row>
    <row r="49" spans="2:18">
      <c r="B49" s="2" t="str">
        <f>B23</f>
        <v>System wide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1" spans="2:18">
      <c r="B51" s="18" t="str">
        <f t="shared" ref="B51:D54" si="13">B25</f>
        <v>Classification</v>
      </c>
      <c r="C51" s="18" t="str">
        <f t="shared" si="13"/>
        <v>Network level</v>
      </c>
      <c r="D51" s="18" t="str">
        <f t="shared" si="13"/>
        <v>Units</v>
      </c>
      <c r="E51" s="14"/>
      <c r="F51" s="14">
        <f t="shared" ref="F51:O51" si="14">F25</f>
        <v>2025</v>
      </c>
      <c r="G51" s="14">
        <f t="shared" si="14"/>
        <v>2026</v>
      </c>
      <c r="H51" s="14">
        <f t="shared" si="14"/>
        <v>2027</v>
      </c>
      <c r="I51" s="14">
        <f t="shared" si="14"/>
        <v>2028</v>
      </c>
      <c r="J51" s="14">
        <f t="shared" si="14"/>
        <v>2029</v>
      </c>
      <c r="K51" s="14">
        <f t="shared" si="14"/>
        <v>2030</v>
      </c>
      <c r="L51" s="14">
        <f t="shared" si="14"/>
        <v>2031</v>
      </c>
      <c r="M51" s="14">
        <f t="shared" si="14"/>
        <v>2032</v>
      </c>
      <c r="N51" s="14">
        <f t="shared" si="14"/>
        <v>2033</v>
      </c>
      <c r="O51" s="14">
        <f t="shared" si="14"/>
        <v>2034</v>
      </c>
      <c r="Q51" s="14" t="s">
        <v>73</v>
      </c>
    </row>
    <row r="52" spans="2:18">
      <c r="B52" s="2" t="str">
        <f t="shared" si="13"/>
        <v>System wide</v>
      </c>
      <c r="C52" s="2" t="str">
        <f t="shared" si="13"/>
        <v>LV</v>
      </c>
      <c r="D52" s="35" t="str">
        <f t="shared" si="13"/>
        <v>$2024 real</v>
      </c>
      <c r="E52" s="35"/>
      <c r="F52" s="40">
        <f>F$26 +
F$27*'Coincident demand'!$Q34/SUM('Coincident demand'!$Q$34:$Q$35) +
F$28*'Coincident demand'!$Q34</f>
        <v>0</v>
      </c>
      <c r="G52" s="40">
        <f>G$26 +
G$27*'Coincident demand'!$Q34/SUM('Coincident demand'!$Q$34:$Q$35) +
G$28*'Coincident demand'!$Q34</f>
        <v>0</v>
      </c>
      <c r="H52" s="40">
        <f>H$26 +
H$27*'Coincident demand'!$Q34/SUM('Coincident demand'!$Q$34:$Q$35) +
H$28*'Coincident demand'!$Q34</f>
        <v>0</v>
      </c>
      <c r="I52" s="40">
        <f>I$26 +
I$27*'Coincident demand'!$Q34/SUM('Coincident demand'!$Q$34:$Q$35) +
I$28*'Coincident demand'!$Q34</f>
        <v>0</v>
      </c>
      <c r="J52" s="40">
        <f>J$26 +
J$27*'Coincident demand'!$Q34/SUM('Coincident demand'!$Q$34:$Q$35) +
J$28*'Coincident demand'!$Q34</f>
        <v>0</v>
      </c>
      <c r="K52" s="40">
        <f>K$26 +
K$27*'Coincident demand'!$Q34/SUM('Coincident demand'!$Q$34:$Q$35) +
K$28*'Coincident demand'!$Q34</f>
        <v>0</v>
      </c>
      <c r="L52" s="40">
        <f>L$26 +
L$27*'Coincident demand'!$Q34/SUM('Coincident demand'!$Q$34:$Q$35) +
L$28*'Coincident demand'!$Q34</f>
        <v>0</v>
      </c>
      <c r="M52" s="40">
        <f>M$26 +
M$27*'Coincident demand'!$Q34/SUM('Coincident demand'!$Q$34:$Q$35) +
M$28*'Coincident demand'!$Q34</f>
        <v>0</v>
      </c>
      <c r="N52" s="40">
        <f>N$26 +
N$27*'Coincident demand'!$Q34/SUM('Coincident demand'!$Q$34:$Q$35) +
N$28*'Coincident demand'!$Q34</f>
        <v>0</v>
      </c>
      <c r="O52" s="40">
        <f>O$26 +
O$27*'Coincident demand'!$Q34/SUM('Coincident demand'!$Q$34:$Q$35) +
O$28*'Coincident demand'!$Q34</f>
        <v>0</v>
      </c>
      <c r="Q52" s="40">
        <f>SUM(E52:O52)</f>
        <v>0</v>
      </c>
      <c r="R52" s="84"/>
    </row>
    <row r="53" spans="2:18">
      <c r="B53" s="2" t="str">
        <f t="shared" si="13"/>
        <v>System wide</v>
      </c>
      <c r="C53" s="2" t="str">
        <f t="shared" si="13"/>
        <v>HV</v>
      </c>
      <c r="D53" s="35" t="str">
        <f t="shared" si="13"/>
        <v>$2024 real</v>
      </c>
      <c r="E53" s="35"/>
      <c r="F53" s="40">
        <f>F$27*'Coincident demand'!$Q35/SUM('Coincident demand'!$Q$34:$Q$35) +
F$28*'Coincident demand'!$Q35</f>
        <v>0</v>
      </c>
      <c r="G53" s="40">
        <f>G$27*'Coincident demand'!$Q35/SUM('Coincident demand'!$Q$34:$Q$35) +
G$28*'Coincident demand'!$Q35</f>
        <v>0</v>
      </c>
      <c r="H53" s="40">
        <f>H$27*'Coincident demand'!$Q35/SUM('Coincident demand'!$Q$34:$Q$35) +
H$28*'Coincident demand'!$Q35</f>
        <v>0</v>
      </c>
      <c r="I53" s="40">
        <f>I$27*'Coincident demand'!$Q35/SUM('Coincident demand'!$Q$34:$Q$35) +
I$28*'Coincident demand'!$Q35</f>
        <v>0</v>
      </c>
      <c r="J53" s="40">
        <f>J$27*'Coincident demand'!$Q35/SUM('Coincident demand'!$Q$34:$Q$35) +
J$28*'Coincident demand'!$Q35</f>
        <v>0</v>
      </c>
      <c r="K53" s="40">
        <f>K$27*'Coincident demand'!$Q35/SUM('Coincident demand'!$Q$34:$Q$35) +
K$28*'Coincident demand'!$Q35</f>
        <v>0</v>
      </c>
      <c r="L53" s="40">
        <f>L$27*'Coincident demand'!$Q35/SUM('Coincident demand'!$Q$34:$Q$35) +
L$28*'Coincident demand'!$Q35</f>
        <v>0</v>
      </c>
      <c r="M53" s="40">
        <f>M$27*'Coincident demand'!$Q35/SUM('Coincident demand'!$Q$34:$Q$35) +
M$28*'Coincident demand'!$Q35</f>
        <v>0</v>
      </c>
      <c r="N53" s="40">
        <f>N$27*'Coincident demand'!$Q35/SUM('Coincident demand'!$Q$34:$Q$35) +
N$28*'Coincident demand'!$Q35</f>
        <v>0</v>
      </c>
      <c r="O53" s="40">
        <f>O$27*'Coincident demand'!$Q35/SUM('Coincident demand'!$Q$34:$Q$35) +
O$28*'Coincident demand'!$Q35</f>
        <v>0</v>
      </c>
      <c r="Q53" s="40">
        <f>SUM(E53:O53)</f>
        <v>0</v>
      </c>
      <c r="R53" s="84"/>
    </row>
    <row r="54" spans="2:18">
      <c r="B54" s="2" t="str">
        <f t="shared" si="13"/>
        <v>System wide</v>
      </c>
      <c r="C54" s="2" t="str">
        <f t="shared" si="13"/>
        <v>ST</v>
      </c>
      <c r="D54" s="35" t="str">
        <f t="shared" si="13"/>
        <v>$2024 real</v>
      </c>
      <c r="E54" s="35"/>
      <c r="F54" s="40">
        <f>F$28*'Coincident demand'!$Q36</f>
        <v>0</v>
      </c>
      <c r="G54" s="40">
        <f>G$28*'Coincident demand'!$Q36</f>
        <v>0</v>
      </c>
      <c r="H54" s="40">
        <f>H$28*'Coincident demand'!$Q36</f>
        <v>0</v>
      </c>
      <c r="I54" s="40">
        <f>I$28*'Coincident demand'!$Q36</f>
        <v>0</v>
      </c>
      <c r="J54" s="40">
        <f>J$28*'Coincident demand'!$Q36</f>
        <v>0</v>
      </c>
      <c r="K54" s="40">
        <f>K$28*'Coincident demand'!$Q36</f>
        <v>0</v>
      </c>
      <c r="L54" s="40">
        <f>L$28*'Coincident demand'!$Q36</f>
        <v>0</v>
      </c>
      <c r="M54" s="40">
        <f>M$28*'Coincident demand'!$Q36</f>
        <v>0</v>
      </c>
      <c r="N54" s="40">
        <f>N$28*'Coincident demand'!$Q36</f>
        <v>0</v>
      </c>
      <c r="O54" s="40">
        <f>O$28*'Coincident demand'!$Q36</f>
        <v>0</v>
      </c>
      <c r="Q54" s="40">
        <f>SUM(E54:O54)</f>
        <v>0</v>
      </c>
      <c r="R54" s="84"/>
    </row>
    <row r="55" spans="2:18">
      <c r="B55" s="52" t="str">
        <f>B29</f>
        <v>Total</v>
      </c>
      <c r="C55" s="52"/>
      <c r="D55" s="53" t="str">
        <f>D29</f>
        <v>$2024 real</v>
      </c>
      <c r="E55" s="51"/>
      <c r="F55" s="59">
        <f t="shared" ref="F55:O55" si="15">SUM(F52:F54)</f>
        <v>0</v>
      </c>
      <c r="G55" s="59">
        <f t="shared" si="15"/>
        <v>0</v>
      </c>
      <c r="H55" s="59">
        <f t="shared" si="15"/>
        <v>0</v>
      </c>
      <c r="I55" s="59">
        <f t="shared" si="15"/>
        <v>0</v>
      </c>
      <c r="J55" s="59">
        <f t="shared" si="15"/>
        <v>0</v>
      </c>
      <c r="K55" s="59">
        <f t="shared" si="15"/>
        <v>0</v>
      </c>
      <c r="L55" s="59">
        <f t="shared" si="15"/>
        <v>0</v>
      </c>
      <c r="M55" s="59">
        <f t="shared" si="15"/>
        <v>0</v>
      </c>
      <c r="N55" s="59">
        <f t="shared" si="15"/>
        <v>0</v>
      </c>
      <c r="O55" s="59">
        <f t="shared" si="15"/>
        <v>0</v>
      </c>
      <c r="Q55" s="59">
        <f>SUM(Q52:Q54)</f>
        <v>0</v>
      </c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3">
    <tabColor theme="5"/>
  </sheetPr>
  <dimension ref="A1:A33"/>
  <sheetViews>
    <sheetView showGridLines="0" zoomScale="70" zoomScaleNormal="70" workbookViewId="0"/>
  </sheetViews>
  <sheetFormatPr defaultColWidth="8.84375" defaultRowHeight="14"/>
  <cols>
    <col min="1" max="1" width="12.4609375" style="1" bestFit="1" customWidth="1"/>
    <col min="2" max="16384" width="8.84375" style="1"/>
  </cols>
  <sheetData>
    <row r="1" spans="1:1" ht="18">
      <c r="A1" s="49" t="str">
        <f ca="1">MID(CELL("filename",A2),FIND("]",CELL("filename",A2))+1,256)</f>
        <v>Demand -&gt;</v>
      </c>
    </row>
    <row r="2" spans="1:1" ht="15.5">
      <c r="A2"/>
    </row>
    <row r="12" spans="1:1" customFormat="1" ht="15.5"/>
    <row r="13" spans="1:1" customFormat="1" ht="15.5"/>
    <row r="14" spans="1:1" customFormat="1" ht="15.5"/>
    <row r="15" spans="1:1" customFormat="1" ht="15.5"/>
    <row r="16" spans="1:1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7">
    <tabColor rgb="FF9EC0DB"/>
  </sheetPr>
  <dimension ref="A1:AN89"/>
  <sheetViews>
    <sheetView showGridLines="0" zoomScale="70" zoomScaleNormal="70" workbookViewId="0"/>
  </sheetViews>
  <sheetFormatPr defaultColWidth="8.84375" defaultRowHeight="15.5"/>
  <cols>
    <col min="1" max="1" width="15.07421875" bestFit="1" customWidth="1"/>
    <col min="2" max="2" width="26" customWidth="1"/>
    <col min="3" max="3" width="13.4609375" bestFit="1" customWidth="1"/>
    <col min="4" max="4" width="13.4609375" customWidth="1"/>
    <col min="5" max="18" width="10.84375" customWidth="1"/>
    <col min="20" max="20" width="27.3046875" customWidth="1"/>
    <col min="21" max="21" width="13.84375" bestFit="1" customWidth="1"/>
    <col min="22" max="22" width="13.84375" customWidth="1"/>
    <col min="23" max="36" width="10.69140625" customWidth="1"/>
  </cols>
  <sheetData>
    <row r="1" spans="1:38" s="1" customFormat="1" ht="18">
      <c r="A1" s="49" t="str">
        <f ca="1">MID(CELL("filename",A2),FIND("]",CELL("filename",A2))+1,256)</f>
        <v>Raw demand</v>
      </c>
      <c r="C1" s="19"/>
      <c r="D1" s="19"/>
      <c r="E1" s="19"/>
      <c r="P1" s="12"/>
    </row>
    <row r="2" spans="1:38" s="1" customFormat="1">
      <c r="A2"/>
      <c r="C2" s="19"/>
      <c r="D2" s="19"/>
      <c r="E2" s="19"/>
    </row>
    <row r="3" spans="1:38" s="1" customFormat="1" ht="21">
      <c r="B3" s="6" t="s">
        <v>94</v>
      </c>
      <c r="C3" s="38"/>
      <c r="D3" s="38"/>
      <c r="E3" s="38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T3" s="6" t="s">
        <v>95</v>
      </c>
      <c r="U3" s="38"/>
      <c r="V3" s="38"/>
      <c r="W3" s="38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</row>
    <row r="4" spans="1:38" s="1" customFormat="1" ht="14">
      <c r="C4" s="19"/>
      <c r="D4" s="19"/>
      <c r="E4" s="19"/>
      <c r="O4" s="7"/>
      <c r="U4" s="19"/>
      <c r="V4" s="19"/>
      <c r="W4" s="19"/>
      <c r="AG4" s="7"/>
    </row>
    <row r="5" spans="1:38" s="1" customFormat="1">
      <c r="B5" s="5" t="s">
        <v>96</v>
      </c>
      <c r="C5" s="39"/>
      <c r="D5" s="39"/>
      <c r="E5" s="39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T5" s="5" t="s">
        <v>96</v>
      </c>
      <c r="U5" s="39"/>
      <c r="V5" s="39"/>
      <c r="W5" s="39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7" spans="1:38" s="1" customFormat="1">
      <c r="B7" s="2" t="s">
        <v>97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9" spans="1:38" s="1" customFormat="1">
      <c r="B9" s="14" t="s">
        <v>86</v>
      </c>
      <c r="C9" s="18" t="s">
        <v>68</v>
      </c>
      <c r="D9" s="18"/>
      <c r="E9" s="18" t="s">
        <v>69</v>
      </c>
      <c r="F9" s="14">
        <f>G9-1</f>
        <v>2024</v>
      </c>
      <c r="G9" s="14" cm="1">
        <f t="array" ref="G9:P9">TRANSPOSE(years)</f>
        <v>2025</v>
      </c>
      <c r="H9" s="14">
        <v>2026</v>
      </c>
      <c r="I9" s="14">
        <v>2027</v>
      </c>
      <c r="J9" s="14">
        <v>2028</v>
      </c>
      <c r="K9" s="14">
        <v>2029</v>
      </c>
      <c r="L9" s="14">
        <v>2030</v>
      </c>
      <c r="M9" s="14">
        <v>2031</v>
      </c>
      <c r="N9" s="14">
        <v>2032</v>
      </c>
      <c r="O9" s="14">
        <v>2033</v>
      </c>
      <c r="P9" s="14">
        <v>2034</v>
      </c>
      <c r="Q9"/>
      <c r="R9" s="14" t="s">
        <v>98</v>
      </c>
      <c r="T9" s="14" t="str">
        <f>B9</f>
        <v>Area plan</v>
      </c>
      <c r="U9" s="18" t="str">
        <f>C9</f>
        <v>Network level</v>
      </c>
      <c r="V9" s="18"/>
      <c r="W9" s="18" t="str">
        <f t="shared" ref="W9:AH9" si="0">E9</f>
        <v>Units</v>
      </c>
      <c r="X9" s="14">
        <f t="shared" si="0"/>
        <v>2024</v>
      </c>
      <c r="Y9" s="14">
        <f t="shared" si="0"/>
        <v>2025</v>
      </c>
      <c r="Z9" s="14">
        <f t="shared" si="0"/>
        <v>2026</v>
      </c>
      <c r="AA9" s="14">
        <f t="shared" si="0"/>
        <v>2027</v>
      </c>
      <c r="AB9" s="14">
        <f t="shared" si="0"/>
        <v>2028</v>
      </c>
      <c r="AC9" s="14">
        <f t="shared" si="0"/>
        <v>2029</v>
      </c>
      <c r="AD9" s="14">
        <f t="shared" si="0"/>
        <v>2030</v>
      </c>
      <c r="AE9" s="14">
        <f t="shared" si="0"/>
        <v>2031</v>
      </c>
      <c r="AF9" s="14">
        <f t="shared" si="0"/>
        <v>2032</v>
      </c>
      <c r="AG9" s="14">
        <f t="shared" si="0"/>
        <v>2033</v>
      </c>
      <c r="AH9" s="14">
        <f t="shared" si="0"/>
        <v>2034</v>
      </c>
      <c r="AI9"/>
      <c r="AJ9" s="14" t="s">
        <v>99</v>
      </c>
    </row>
    <row r="10" spans="1:38" s="1" customFormat="1">
      <c r="B10" s="2" t="str" cm="1">
        <f t="array" ref="B10:B35">area_plans</f>
        <v>Auburn / Homebush</v>
      </c>
      <c r="C10" s="35" t="str" cm="1">
        <f t="array" ref="C10">INDEX(network_levels,COUNTIFS($B$10:$B10,$B$10))</f>
        <v>LV</v>
      </c>
      <c r="D10" s="35"/>
      <c r="E10" s="35" t="s">
        <v>80</v>
      </c>
      <c r="F10" s="21" cm="1">
        <f t="array" ref="F10">IFERROR(INDEX('Max demand'!$D$11:$AB$85,MATCH(1,INDEX(($C10='Max demand'!$B$11:$B$85)*(F$9='Max demand'!$C$11:$C$85),0,1),0),MATCH($B10,'Max demand'!$D$9:$AB$9,0)),0)</f>
        <v>366.89473506000002</v>
      </c>
      <c r="G10" s="21" cm="1">
        <f t="array" ref="G10">IFERROR(INDEX('Max demand'!$D$11:$AB$85,MATCH(1,INDEX(($C10='Max demand'!$B$11:$B$85)*(G$9='Max demand'!$C$11:$C$85),0,1),0),MATCH($B10,'Max demand'!$D$9:$AB$9,0)),0)</f>
        <v>363.22997834</v>
      </c>
      <c r="H10" s="21" cm="1">
        <f t="array" ref="H10">IFERROR(INDEX('Max demand'!$D$11:$AB$85,MATCH(1,INDEX(($C10='Max demand'!$B$11:$B$85)*(H$9='Max demand'!$C$11:$C$85),0,1),0),MATCH($B10,'Max demand'!$D$9:$AB$9,0)),0)</f>
        <v>361.91369226</v>
      </c>
      <c r="I10" s="21" cm="1">
        <f t="array" ref="I10">IFERROR(INDEX('Max demand'!$D$11:$AB$85,MATCH(1,INDEX(($C10='Max demand'!$B$11:$B$85)*(I$9='Max demand'!$C$11:$C$85),0,1),0),MATCH($B10,'Max demand'!$D$9:$AB$9,0)),0)</f>
        <v>362.73156411000002</v>
      </c>
      <c r="J10" s="21" cm="1">
        <f t="array" ref="J10">IFERROR(INDEX('Max demand'!$D$11:$AB$85,MATCH(1,INDEX(($C10='Max demand'!$B$11:$B$85)*(J$9='Max demand'!$C$11:$C$85),0,1),0),MATCH($B10,'Max demand'!$D$9:$AB$9,0)),0)</f>
        <v>363.16648759999998</v>
      </c>
      <c r="K10" s="21" cm="1">
        <f t="array" ref="K10">IFERROR(INDEX('Max demand'!$D$11:$AB$85,MATCH(1,INDEX(($C10='Max demand'!$B$11:$B$85)*(K$9='Max demand'!$C$11:$C$85),0,1),0),MATCH($B10,'Max demand'!$D$9:$AB$9,0)),0)</f>
        <v>363.95926782999999</v>
      </c>
      <c r="L10" s="21" cm="1">
        <f t="array" ref="L10">IFERROR(INDEX('Max demand'!$D$11:$AB$85,MATCH(1,INDEX(($C10='Max demand'!$B$11:$B$85)*(L$9='Max demand'!$C$11:$C$85),0,1),0),MATCH($B10,'Max demand'!$D$9:$AB$9,0)),0)</f>
        <v>366.22715061000002</v>
      </c>
      <c r="M10" s="21" cm="1">
        <f t="array" ref="M10">IFERROR(INDEX('Max demand'!$D$11:$AB$85,MATCH(1,INDEX(($C10='Max demand'!$B$11:$B$85)*(M$9='Max demand'!$C$11:$C$85),0,1),0),MATCH($B10,'Max demand'!$D$9:$AB$9,0)),0)</f>
        <v>370.13098551000002</v>
      </c>
      <c r="N10" s="21" cm="1">
        <f t="array" ref="N10">IFERROR(INDEX('Max demand'!$D$11:$AB$85,MATCH(1,INDEX(($C10='Max demand'!$B$11:$B$85)*(N$9='Max demand'!$C$11:$C$85),0,1),0),MATCH($B10,'Max demand'!$D$9:$AB$9,0)),0)</f>
        <v>373.85293626999999</v>
      </c>
      <c r="O10" s="21" cm="1">
        <f t="array" ref="O10">IFERROR(INDEX('Max demand'!$D$11:$AB$85,MATCH(1,INDEX(($C10='Max demand'!$B$11:$B$85)*(O$9='Max demand'!$C$11:$C$85),0,1),0),MATCH($B10,'Max demand'!$D$9:$AB$9,0)),0)</f>
        <v>377.02268686999997</v>
      </c>
      <c r="P10" s="21" cm="1">
        <f t="array" ref="P10">IFERROR(INDEX('Max demand'!$D$11:$AB$85,MATCH(1,INDEX(($C10='Max demand'!$B$11:$B$85)*(P$9='Max demand'!$C$11:$C$85),0,1),0),MATCH($B10,'Max demand'!$D$9:$AB$9,0)),0)</f>
        <v>380.72840995000001</v>
      </c>
      <c r="Q10"/>
      <c r="R10" s="73">
        <f>IFERROR(IF($F10&lt;MAX($G10:$P10),(MAX($G10:$P10)/$F10)^(1/10)-1,($P10/$F10)^(1/10)-1),0)</f>
        <v>3.7079881110686497E-3</v>
      </c>
      <c r="T10" s="2" t="str">
        <f t="shared" ref="T10:T41" si="1">B10</f>
        <v>Auburn / Homebush</v>
      </c>
      <c r="U10" s="35" t="str">
        <f t="shared" ref="U10:U41" si="2">C10</f>
        <v>LV</v>
      </c>
      <c r="V10" s="35"/>
      <c r="W10" s="35" t="str">
        <f t="shared" ref="W10:W73" si="3">E10</f>
        <v>MW</v>
      </c>
      <c r="X10" s="79">
        <f>IFERROR(F10/SUMIFS(F$10:F$87,$B$10:$B$87,$B10),0)</f>
        <v>0.83079714116417402</v>
      </c>
      <c r="Y10" s="79">
        <f t="shared" ref="Y10:Y73" si="4">IFERROR(G10/SUMIFS(G$10:G$87,$B$10:$B$87,$B10),0)</f>
        <v>0.81352407944845406</v>
      </c>
      <c r="Z10" s="79">
        <f t="shared" ref="Z10:Z73" si="5">IFERROR(H10/SUMIFS(H$10:H$87,$B$10:$B$87,$B10),0)</f>
        <v>0.81306447892605227</v>
      </c>
      <c r="AA10" s="79">
        <f t="shared" ref="AA10:AA73" si="6">IFERROR(I10/SUMIFS(I$10:I$87,$B$10:$B$87,$B10),0)</f>
        <v>0.81333480781483436</v>
      </c>
      <c r="AB10" s="79">
        <f t="shared" ref="AB10:AB73" si="7">IFERROR(J10/SUMIFS(J$10:J$87,$B$10:$B$87,$B10),0)</f>
        <v>0.81347833430429295</v>
      </c>
      <c r="AC10" s="79">
        <f t="shared" ref="AC10:AC73" si="8">IFERROR(K10/SUMIFS(K$10:K$87,$B$10:$B$87,$B10),0)</f>
        <v>0.77724169923471365</v>
      </c>
      <c r="AD10" s="79">
        <f t="shared" ref="AD10:AD73" si="9">IFERROR(L10/SUMIFS(L$10:L$87,$B$10:$B$87,$B10),0)</f>
        <v>0.77815162958764339</v>
      </c>
      <c r="AE10" s="79">
        <f t="shared" ref="AE10:AE73" si="10">IFERROR(M10/SUMIFS(M$10:M$87,$B$10:$B$87,$B10),0)</f>
        <v>0.77971729100303622</v>
      </c>
      <c r="AF10" s="79">
        <f t="shared" ref="AF10:AF73" si="11">IFERROR(N10/SUMIFS(N$10:N$87,$B$10:$B$87,$B10),0)</f>
        <v>0.78117961177911732</v>
      </c>
      <c r="AG10" s="79">
        <f t="shared" ref="AG10:AG73" si="12">IFERROR(O10/SUMIFS(O$10:O$87,$B$10:$B$87,$B10),0)</f>
        <v>0.78240851631247088</v>
      </c>
      <c r="AH10" s="79">
        <f t="shared" ref="AH10:AH73" si="13">IFERROR(P10/SUMIFS(P$10:P$87,$B$10:$B$87,$B10),0)</f>
        <v>0.7838191158028921</v>
      </c>
      <c r="AI10"/>
      <c r="AJ10" s="60">
        <f>AVERAGE(X10:AH10)</f>
        <v>0.7969742459434257</v>
      </c>
      <c r="AL10"/>
    </row>
    <row r="11" spans="1:38" s="1" customFormat="1">
      <c r="B11" s="2" t="str">
        <v>Camperdown &amp; Blackwattle Bay</v>
      </c>
      <c r="C11" s="35" t="str" cm="1">
        <f t="array" ref="C11">INDEX(network_levels,COUNTIFS($B$10:$B11,$B$10))</f>
        <v>LV</v>
      </c>
      <c r="D11" s="35"/>
      <c r="E11" s="35" t="s">
        <v>80</v>
      </c>
      <c r="F11" s="21" cm="1">
        <f t="array" ref="F11">IFERROR(INDEX('Max demand'!$D$11:$AB$85,MATCH(1,INDEX(($C11='Max demand'!$B$11:$B$85)*(F$9='Max demand'!$C$11:$C$85),0,1),0),MATCH($B11,'Max demand'!$D$9:$AB$9,0)),0)</f>
        <v>72.918325259</v>
      </c>
      <c r="G11" s="21" cm="1">
        <f t="array" ref="G11">IFERROR(INDEX('Max demand'!$D$11:$AB$85,MATCH(1,INDEX(($C11='Max demand'!$B$11:$B$85)*(G$9='Max demand'!$C$11:$C$85),0,1),0),MATCH($B11,'Max demand'!$D$9:$AB$9,0)),0)</f>
        <v>71.284855316000005</v>
      </c>
      <c r="H11" s="21" cm="1">
        <f t="array" ref="H11">IFERROR(INDEX('Max demand'!$D$11:$AB$85,MATCH(1,INDEX(($C11='Max demand'!$B$11:$B$85)*(H$9='Max demand'!$C$11:$C$85),0,1),0),MATCH($B11,'Max demand'!$D$9:$AB$9,0)),0)</f>
        <v>70.749300633000004</v>
      </c>
      <c r="I11" s="21" cm="1">
        <f t="array" ref="I11">IFERROR(INDEX('Max demand'!$D$11:$AB$85,MATCH(1,INDEX(($C11='Max demand'!$B$11:$B$85)*(I$9='Max demand'!$C$11:$C$85),0,1),0),MATCH($B11,'Max demand'!$D$9:$AB$9,0)),0)</f>
        <v>70.925547335000005</v>
      </c>
      <c r="J11" s="21" cm="1">
        <f t="array" ref="J11">IFERROR(INDEX('Max demand'!$D$11:$AB$85,MATCH(1,INDEX(($C11='Max demand'!$B$11:$B$85)*(J$9='Max demand'!$C$11:$C$85),0,1),0),MATCH($B11,'Max demand'!$D$9:$AB$9,0)),0)</f>
        <v>70.878255710000005</v>
      </c>
      <c r="K11" s="21" cm="1">
        <f t="array" ref="K11">IFERROR(INDEX('Max demand'!$D$11:$AB$85,MATCH(1,INDEX(($C11='Max demand'!$B$11:$B$85)*(K$9='Max demand'!$C$11:$C$85),0,1),0),MATCH($B11,'Max demand'!$D$9:$AB$9,0)),0)</f>
        <v>70.852168341999999</v>
      </c>
      <c r="L11" s="21" cm="1">
        <f t="array" ref="L11">IFERROR(INDEX('Max demand'!$D$11:$AB$85,MATCH(1,INDEX(($C11='Max demand'!$B$11:$B$85)*(L$9='Max demand'!$C$11:$C$85),0,1),0),MATCH($B11,'Max demand'!$D$9:$AB$9,0)),0)</f>
        <v>70.842398677999995</v>
      </c>
      <c r="M11" s="21" cm="1">
        <f t="array" ref="M11">IFERROR(INDEX('Max demand'!$D$11:$AB$85,MATCH(1,INDEX(($C11='Max demand'!$B$11:$B$85)*(M$9='Max demand'!$C$11:$C$85),0,1),0),MATCH($B11,'Max demand'!$D$9:$AB$9,0)),0)</f>
        <v>71.280441175999997</v>
      </c>
      <c r="N11" s="21" cm="1">
        <f t="array" ref="N11">IFERROR(INDEX('Max demand'!$D$11:$AB$85,MATCH(1,INDEX(($C11='Max demand'!$B$11:$B$85)*(N$9='Max demand'!$C$11:$C$85),0,1),0),MATCH($B11,'Max demand'!$D$9:$AB$9,0)),0)</f>
        <v>71.681501519999998</v>
      </c>
      <c r="O11" s="21" cm="1">
        <f t="array" ref="O11">IFERROR(INDEX('Max demand'!$D$11:$AB$85,MATCH(1,INDEX(($C11='Max demand'!$B$11:$B$85)*(O$9='Max demand'!$C$11:$C$85),0,1),0),MATCH($B11,'Max demand'!$D$9:$AB$9,0)),0)</f>
        <v>72.025976220999993</v>
      </c>
      <c r="P11" s="21" cm="1">
        <f t="array" ref="P11">IFERROR(INDEX('Max demand'!$D$11:$AB$85,MATCH(1,INDEX(($C11='Max demand'!$B$11:$B$85)*(P$9='Max demand'!$C$11:$C$85),0,1),0),MATCH($B11,'Max demand'!$D$9:$AB$9,0)),0)</f>
        <v>72.550766803000002</v>
      </c>
      <c r="Q11"/>
      <c r="R11" s="73">
        <f t="shared" ref="R11:R74" si="14">IFERROR(IF($F11&lt;MAX($G11:$P11),(MAX($G11:$P11)/$F11)^(1/10)-1,($P11/$F11)^(1/10)-1),0)</f>
        <v>-5.0521574970163741E-4</v>
      </c>
      <c r="T11" s="2" t="str">
        <f t="shared" si="1"/>
        <v>Camperdown &amp; Blackwattle Bay</v>
      </c>
      <c r="U11" s="35" t="str">
        <f t="shared" si="2"/>
        <v>LV</v>
      </c>
      <c r="V11" s="35"/>
      <c r="W11" s="35" t="str">
        <f t="shared" si="3"/>
        <v>MW</v>
      </c>
      <c r="X11" s="79">
        <f t="shared" ref="X11:X74" si="15">IFERROR(F11/SUMIFS(F$10:F$87,$B$10:$B$87,$B11),0)</f>
        <v>0.5009890651515575</v>
      </c>
      <c r="Y11" s="79">
        <f t="shared" si="4"/>
        <v>0.48881134492528977</v>
      </c>
      <c r="Z11" s="79">
        <f t="shared" si="5"/>
        <v>0.48411502052381211</v>
      </c>
      <c r="AA11" s="79">
        <f t="shared" si="6"/>
        <v>0.4818677129068939</v>
      </c>
      <c r="AB11" s="79">
        <f t="shared" si="7"/>
        <v>0.47889497076824206</v>
      </c>
      <c r="AC11" s="79">
        <f t="shared" si="8"/>
        <v>0.4788437459936743</v>
      </c>
      <c r="AD11" s="79">
        <f t="shared" si="9"/>
        <v>0.47885275530511995</v>
      </c>
      <c r="AE11" s="79">
        <f t="shared" si="10"/>
        <v>0.48037028787127567</v>
      </c>
      <c r="AF11" s="79">
        <f t="shared" si="11"/>
        <v>0.48175757716657552</v>
      </c>
      <c r="AG11" s="79">
        <f t="shared" si="12"/>
        <v>0.48295361984778584</v>
      </c>
      <c r="AH11" s="79">
        <f t="shared" si="13"/>
        <v>0.4847476443631864</v>
      </c>
      <c r="AI11"/>
      <c r="AJ11" s="60">
        <f t="shared" ref="AJ11:AJ74" si="16">AVERAGE(X11:AH11)</f>
        <v>0.48383670407485579</v>
      </c>
      <c r="AL11"/>
    </row>
    <row r="12" spans="1:38" s="1" customFormat="1">
      <c r="B12" s="2" t="str">
        <v>Canterbury Bankstown</v>
      </c>
      <c r="C12" s="35" t="str" cm="1">
        <f t="array" ref="C12">INDEX(network_levels,COUNTIFS($B$10:$B12,$B$10))</f>
        <v>LV</v>
      </c>
      <c r="D12" s="35"/>
      <c r="E12" s="35" t="s">
        <v>80</v>
      </c>
      <c r="F12" s="21" cm="1">
        <f t="array" ref="F12">IFERROR(INDEX('Max demand'!$D$11:$AB$85,MATCH(1,INDEX(($C12='Max demand'!$B$11:$B$85)*(F$9='Max demand'!$C$11:$C$85),0,1),0),MATCH($B12,'Max demand'!$D$9:$AB$9,0)),0)</f>
        <v>450.7639987</v>
      </c>
      <c r="G12" s="21" cm="1">
        <f t="array" ref="G12">IFERROR(INDEX('Max demand'!$D$11:$AB$85,MATCH(1,INDEX(($C12='Max demand'!$B$11:$B$85)*(G$9='Max demand'!$C$11:$C$85),0,1),0),MATCH($B12,'Max demand'!$D$9:$AB$9,0)),0)</f>
        <v>447.07706640999999</v>
      </c>
      <c r="H12" s="21" cm="1">
        <f t="array" ref="H12">IFERROR(INDEX('Max demand'!$D$11:$AB$85,MATCH(1,INDEX(($C12='Max demand'!$B$11:$B$85)*(H$9='Max demand'!$C$11:$C$85),0,1),0),MATCH($B12,'Max demand'!$D$9:$AB$9,0)),0)</f>
        <v>446.05461331999999</v>
      </c>
      <c r="I12" s="21" cm="1">
        <f t="array" ref="I12">IFERROR(INDEX('Max demand'!$D$11:$AB$85,MATCH(1,INDEX(($C12='Max demand'!$B$11:$B$85)*(I$9='Max demand'!$C$11:$C$85),0,1),0),MATCH($B12,'Max demand'!$D$9:$AB$9,0)),0)</f>
        <v>447.24424734000002</v>
      </c>
      <c r="J12" s="21" cm="1">
        <f t="array" ref="J12">IFERROR(INDEX('Max demand'!$D$11:$AB$85,MATCH(1,INDEX(($C12='Max demand'!$B$11:$B$85)*(J$9='Max demand'!$C$11:$C$85),0,1),0),MATCH($B12,'Max demand'!$D$9:$AB$9,0)),0)</f>
        <v>447.75912464999999</v>
      </c>
      <c r="K12" s="21" cm="1">
        <f t="array" ref="K12">IFERROR(INDEX('Max demand'!$D$11:$AB$85,MATCH(1,INDEX(($C12='Max demand'!$B$11:$B$85)*(K$9='Max demand'!$C$11:$C$85),0,1),0),MATCH($B12,'Max demand'!$D$9:$AB$9,0)),0)</f>
        <v>448.11061168999998</v>
      </c>
      <c r="L12" s="21" cm="1">
        <f t="array" ref="L12">IFERROR(INDEX('Max demand'!$D$11:$AB$85,MATCH(1,INDEX(($C12='Max demand'!$B$11:$B$85)*(L$9='Max demand'!$C$11:$C$85),0,1),0),MATCH($B12,'Max demand'!$D$9:$AB$9,0)),0)</f>
        <v>448.76939242999998</v>
      </c>
      <c r="M12" s="21" cm="1">
        <f t="array" ref="M12">IFERROR(INDEX('Max demand'!$D$11:$AB$85,MATCH(1,INDEX(($C12='Max demand'!$B$11:$B$85)*(M$9='Max demand'!$C$11:$C$85),0,1),0),MATCH($B12,'Max demand'!$D$9:$AB$9,0)),0)</f>
        <v>451.83896571000002</v>
      </c>
      <c r="N12" s="21" cm="1">
        <f t="array" ref="N12">IFERROR(INDEX('Max demand'!$D$11:$AB$85,MATCH(1,INDEX(($C12='Max demand'!$B$11:$B$85)*(N$9='Max demand'!$C$11:$C$85),0,1),0),MATCH($B12,'Max demand'!$D$9:$AB$9,0)),0)</f>
        <v>454.74367544</v>
      </c>
      <c r="O12" s="21" cm="1">
        <f t="array" ref="O12">IFERROR(INDEX('Max demand'!$D$11:$AB$85,MATCH(1,INDEX(($C12='Max demand'!$B$11:$B$85)*(O$9='Max demand'!$C$11:$C$85),0,1),0),MATCH($B12,'Max demand'!$D$9:$AB$9,0)),0)</f>
        <v>457.54566719000002</v>
      </c>
      <c r="P12" s="21" cm="1">
        <f t="array" ref="P12">IFERROR(INDEX('Max demand'!$D$11:$AB$85,MATCH(1,INDEX(($C12='Max demand'!$B$11:$B$85)*(P$9='Max demand'!$C$11:$C$85),0,1),0),MATCH($B12,'Max demand'!$D$9:$AB$9,0)),0)</f>
        <v>460.63730282</v>
      </c>
      <c r="Q12"/>
      <c r="R12" s="73">
        <f t="shared" si="14"/>
        <v>2.1690543518406713E-3</v>
      </c>
      <c r="T12" s="2" t="str">
        <f t="shared" si="1"/>
        <v>Canterbury Bankstown</v>
      </c>
      <c r="U12" s="35" t="str">
        <f t="shared" si="2"/>
        <v>LV</v>
      </c>
      <c r="V12" s="35"/>
      <c r="W12" s="35" t="str">
        <f t="shared" si="3"/>
        <v>MW</v>
      </c>
      <c r="X12" s="79">
        <f t="shared" si="15"/>
        <v>0.94795510335171596</v>
      </c>
      <c r="Y12" s="79">
        <f t="shared" si="4"/>
        <v>0.9476271499528558</v>
      </c>
      <c r="Z12" s="79">
        <f t="shared" si="5"/>
        <v>0.94754294268262995</v>
      </c>
      <c r="AA12" s="79">
        <f t="shared" si="6"/>
        <v>0.94766144718554401</v>
      </c>
      <c r="AB12" s="79">
        <f t="shared" si="7"/>
        <v>0.94771802504892699</v>
      </c>
      <c r="AC12" s="79">
        <f t="shared" si="8"/>
        <v>0.9477602928530946</v>
      </c>
      <c r="AD12" s="79">
        <f t="shared" si="9"/>
        <v>0.94782958811173912</v>
      </c>
      <c r="AE12" s="79">
        <f t="shared" si="10"/>
        <v>0.94812413512609328</v>
      </c>
      <c r="AF12" s="79">
        <f t="shared" si="11"/>
        <v>0.94839821309317518</v>
      </c>
      <c r="AG12" s="79">
        <f t="shared" si="12"/>
        <v>0.9486587223486207</v>
      </c>
      <c r="AH12" s="79">
        <f t="shared" si="13"/>
        <v>0.94893956538154034</v>
      </c>
      <c r="AI12"/>
      <c r="AJ12" s="60">
        <f t="shared" si="16"/>
        <v>0.94801956228508499</v>
      </c>
      <c r="AL12"/>
    </row>
    <row r="13" spans="1:38" s="1" customFormat="1">
      <c r="B13" s="2" t="str">
        <v>Carlingford</v>
      </c>
      <c r="C13" s="35" t="str" cm="1">
        <f t="array" ref="C13">INDEX(network_levels,COUNTIFS($B$10:$B13,$B$10))</f>
        <v>LV</v>
      </c>
      <c r="D13" s="35"/>
      <c r="E13" s="35" t="s">
        <v>80</v>
      </c>
      <c r="F13" s="21" cm="1">
        <f t="array" ref="F13">IFERROR(INDEX('Max demand'!$D$11:$AB$85,MATCH(1,INDEX(($C13='Max demand'!$B$11:$B$85)*(F$9='Max demand'!$C$11:$C$85),0,1),0),MATCH($B13,'Max demand'!$D$9:$AB$9,0)),0)</f>
        <v>269.72473109999999</v>
      </c>
      <c r="G13" s="21" cm="1">
        <f t="array" ref="G13">IFERROR(INDEX('Max demand'!$D$11:$AB$85,MATCH(1,INDEX(($C13='Max demand'!$B$11:$B$85)*(G$9='Max demand'!$C$11:$C$85),0,1),0),MATCH($B13,'Max demand'!$D$9:$AB$9,0)),0)</f>
        <v>267.49257254000003</v>
      </c>
      <c r="H13" s="21" cm="1">
        <f t="array" ref="H13">IFERROR(INDEX('Max demand'!$D$11:$AB$85,MATCH(1,INDEX(($C13='Max demand'!$B$11:$B$85)*(H$9='Max demand'!$C$11:$C$85),0,1),0),MATCH($B13,'Max demand'!$D$9:$AB$9,0)),0)</f>
        <v>266.68798650999997</v>
      </c>
      <c r="I13" s="21" cm="1">
        <f t="array" ref="I13">IFERROR(INDEX('Max demand'!$D$11:$AB$85,MATCH(1,INDEX(($C13='Max demand'!$B$11:$B$85)*(I$9='Max demand'!$C$11:$C$85),0,1),0),MATCH($B13,'Max demand'!$D$9:$AB$9,0)),0)</f>
        <v>267.17766108000001</v>
      </c>
      <c r="J13" s="21" cm="1">
        <f t="array" ref="J13">IFERROR(INDEX('Max demand'!$D$11:$AB$85,MATCH(1,INDEX(($C13='Max demand'!$B$11:$B$85)*(J$9='Max demand'!$C$11:$C$85),0,1),0),MATCH($B13,'Max demand'!$D$9:$AB$9,0)),0)</f>
        <v>267.32671864000002</v>
      </c>
      <c r="K13" s="21" cm="1">
        <f t="array" ref="K13">IFERROR(INDEX('Max demand'!$D$11:$AB$85,MATCH(1,INDEX(($C13='Max demand'!$B$11:$B$85)*(K$9='Max demand'!$C$11:$C$85),0,1),0),MATCH($B13,'Max demand'!$D$9:$AB$9,0)),0)</f>
        <v>267.59871888999999</v>
      </c>
      <c r="L13" s="21" cm="1">
        <f t="array" ref="L13">IFERROR(INDEX('Max demand'!$D$11:$AB$85,MATCH(1,INDEX(($C13='Max demand'!$B$11:$B$85)*(L$9='Max demand'!$C$11:$C$85),0,1),0),MATCH($B13,'Max demand'!$D$9:$AB$9,0)),0)</f>
        <v>268.30853495999997</v>
      </c>
      <c r="M13" s="21" cm="1">
        <f t="array" ref="M13">IFERROR(INDEX('Max demand'!$D$11:$AB$85,MATCH(1,INDEX(($C13='Max demand'!$B$11:$B$85)*(M$9='Max demand'!$C$11:$C$85),0,1),0),MATCH($B13,'Max demand'!$D$9:$AB$9,0)),0)</f>
        <v>270.26228879000001</v>
      </c>
      <c r="N13" s="21" cm="1">
        <f t="array" ref="N13">IFERROR(INDEX('Max demand'!$D$11:$AB$85,MATCH(1,INDEX(($C13='Max demand'!$B$11:$B$85)*(N$9='Max demand'!$C$11:$C$85),0,1),0),MATCH($B13,'Max demand'!$D$9:$AB$9,0)),0)</f>
        <v>272.30251688999999</v>
      </c>
      <c r="O13" s="21" cm="1">
        <f t="array" ref="O13">IFERROR(INDEX('Max demand'!$D$11:$AB$85,MATCH(1,INDEX(($C13='Max demand'!$B$11:$B$85)*(O$9='Max demand'!$C$11:$C$85),0,1),0),MATCH($B13,'Max demand'!$D$9:$AB$9,0)),0)</f>
        <v>274.07479813999998</v>
      </c>
      <c r="P13" s="21" cm="1">
        <f t="array" ref="P13">IFERROR(INDEX('Max demand'!$D$11:$AB$85,MATCH(1,INDEX(($C13='Max demand'!$B$11:$B$85)*(P$9='Max demand'!$C$11:$C$85),0,1),0),MATCH($B13,'Max demand'!$D$9:$AB$9,0)),0)</f>
        <v>276.38772677999998</v>
      </c>
      <c r="Q13"/>
      <c r="R13" s="73">
        <f t="shared" si="14"/>
        <v>2.4432561552418797E-3</v>
      </c>
      <c r="T13" s="2" t="str">
        <f t="shared" si="1"/>
        <v>Carlingford</v>
      </c>
      <c r="U13" s="35" t="str">
        <f t="shared" si="2"/>
        <v>LV</v>
      </c>
      <c r="V13" s="35"/>
      <c r="W13" s="35" t="str">
        <f t="shared" si="3"/>
        <v>MW</v>
      </c>
      <c r="X13" s="79">
        <f t="shared" si="15"/>
        <v>0.72513026373027734</v>
      </c>
      <c r="Y13" s="79">
        <f t="shared" si="4"/>
        <v>0.69119561523996431</v>
      </c>
      <c r="Z13" s="79">
        <f t="shared" si="5"/>
        <v>0.6274394944374192</v>
      </c>
      <c r="AA13" s="79">
        <f t="shared" si="6"/>
        <v>0.59425530774096069</v>
      </c>
      <c r="AB13" s="79">
        <f t="shared" si="7"/>
        <v>0.55892322905972269</v>
      </c>
      <c r="AC13" s="79">
        <f t="shared" si="8"/>
        <v>0.53231629337342112</v>
      </c>
      <c r="AD13" s="79">
        <f t="shared" si="9"/>
        <v>0.50985854761071503</v>
      </c>
      <c r="AE13" s="79">
        <f t="shared" si="10"/>
        <v>0.48997806640608332</v>
      </c>
      <c r="AF13" s="79">
        <f t="shared" si="11"/>
        <v>0.48793980068960607</v>
      </c>
      <c r="AG13" s="79">
        <f t="shared" si="12"/>
        <v>0.48572526820582623</v>
      </c>
      <c r="AH13" s="79">
        <f t="shared" si="13"/>
        <v>0.4840036237975951</v>
      </c>
      <c r="AI13"/>
      <c r="AJ13" s="60">
        <f t="shared" si="16"/>
        <v>0.56243322820832653</v>
      </c>
      <c r="AL13"/>
    </row>
    <row r="14" spans="1:38" s="1" customFormat="1">
      <c r="B14" s="2" t="str">
        <v>Eastern Suburbs</v>
      </c>
      <c r="C14" s="35" t="str" cm="1">
        <f t="array" ref="C14">INDEX(network_levels,COUNTIFS($B$10:$B14,$B$10))</f>
        <v>LV</v>
      </c>
      <c r="D14" s="35"/>
      <c r="E14" s="35" t="s">
        <v>80</v>
      </c>
      <c r="F14" s="21" cm="1">
        <f t="array" ref="F14">IFERROR(INDEX('Max demand'!$D$11:$AB$85,MATCH(1,INDEX(($C14='Max demand'!$B$11:$B$85)*(F$9='Max demand'!$C$11:$C$85),0,1),0),MATCH($B14,'Max demand'!$D$9:$AB$9,0)),0)</f>
        <v>593.98709697000004</v>
      </c>
      <c r="G14" s="21" cm="1">
        <f t="array" ref="G14">IFERROR(INDEX('Max demand'!$D$11:$AB$85,MATCH(1,INDEX(($C14='Max demand'!$B$11:$B$85)*(G$9='Max demand'!$C$11:$C$85),0,1),0),MATCH($B14,'Max demand'!$D$9:$AB$9,0)),0)</f>
        <v>584.0566695</v>
      </c>
      <c r="H14" s="21" cm="1">
        <f t="array" ref="H14">IFERROR(INDEX('Max demand'!$D$11:$AB$85,MATCH(1,INDEX(($C14='Max demand'!$B$11:$B$85)*(H$9='Max demand'!$C$11:$C$85),0,1),0),MATCH($B14,'Max demand'!$D$9:$AB$9,0)),0)</f>
        <v>578.85282831999996</v>
      </c>
      <c r="I14" s="21" cm="1">
        <f t="array" ref="I14">IFERROR(INDEX('Max demand'!$D$11:$AB$85,MATCH(1,INDEX(($C14='Max demand'!$B$11:$B$85)*(I$9='Max demand'!$C$11:$C$85),0,1),0),MATCH($B14,'Max demand'!$D$9:$AB$9,0)),0)</f>
        <v>577.80773238999996</v>
      </c>
      <c r="J14" s="21" cm="1">
        <f t="array" ref="J14">IFERROR(INDEX('Max demand'!$D$11:$AB$85,MATCH(1,INDEX(($C14='Max demand'!$B$11:$B$85)*(J$9='Max demand'!$C$11:$C$85),0,1),0),MATCH($B14,'Max demand'!$D$9:$AB$9,0)),0)</f>
        <v>575.76096167000003</v>
      </c>
      <c r="K14" s="21" cm="1">
        <f t="array" ref="K14">IFERROR(INDEX('Max demand'!$D$11:$AB$85,MATCH(1,INDEX(($C14='Max demand'!$B$11:$B$85)*(K$9='Max demand'!$C$11:$C$85),0,1),0),MATCH($B14,'Max demand'!$D$9:$AB$9,0)),0)</f>
        <v>573.64512693999995</v>
      </c>
      <c r="L14" s="21" cm="1">
        <f t="array" ref="L14">IFERROR(INDEX('Max demand'!$D$11:$AB$85,MATCH(1,INDEX(($C14='Max demand'!$B$11:$B$85)*(L$9='Max demand'!$C$11:$C$85),0,1),0),MATCH($B14,'Max demand'!$D$9:$AB$9,0)),0)</f>
        <v>571.82407020999995</v>
      </c>
      <c r="M14" s="21" cm="1">
        <f t="array" ref="M14">IFERROR(INDEX('Max demand'!$D$11:$AB$85,MATCH(1,INDEX(($C14='Max demand'!$B$11:$B$85)*(M$9='Max demand'!$C$11:$C$85),0,1),0),MATCH($B14,'Max demand'!$D$9:$AB$9,0)),0)</f>
        <v>574.05651082999998</v>
      </c>
      <c r="N14" s="21" cm="1">
        <f t="array" ref="N14">IFERROR(INDEX('Max demand'!$D$11:$AB$85,MATCH(1,INDEX(($C14='Max demand'!$B$11:$B$85)*(N$9='Max demand'!$C$11:$C$85),0,1),0),MATCH($B14,'Max demand'!$D$9:$AB$9,0)),0)</f>
        <v>576.35161352</v>
      </c>
      <c r="O14" s="21" cm="1">
        <f t="array" ref="O14">IFERROR(INDEX('Max demand'!$D$11:$AB$85,MATCH(1,INDEX(($C14='Max demand'!$B$11:$B$85)*(O$9='Max demand'!$C$11:$C$85),0,1),0),MATCH($B14,'Max demand'!$D$9:$AB$9,0)),0)</f>
        <v>578.50228101000005</v>
      </c>
      <c r="P14" s="21" cm="1">
        <f t="array" ref="P14">IFERROR(INDEX('Max demand'!$D$11:$AB$85,MATCH(1,INDEX(($C14='Max demand'!$B$11:$B$85)*(P$9='Max demand'!$C$11:$C$85),0,1),0),MATCH($B14,'Max demand'!$D$9:$AB$9,0)),0)</f>
        <v>581.64301069999999</v>
      </c>
      <c r="Q14"/>
      <c r="R14" s="73">
        <f t="shared" si="14"/>
        <v>-2.0978684910624157E-3</v>
      </c>
      <c r="T14" s="2" t="str">
        <f t="shared" si="1"/>
        <v>Eastern Suburbs</v>
      </c>
      <c r="U14" s="35" t="str">
        <f t="shared" si="2"/>
        <v>LV</v>
      </c>
      <c r="V14" s="35"/>
      <c r="W14" s="35" t="str">
        <f t="shared" si="3"/>
        <v>MW</v>
      </c>
      <c r="X14" s="79">
        <f t="shared" si="15"/>
        <v>0.74311300998135299</v>
      </c>
      <c r="Y14" s="79">
        <f t="shared" si="4"/>
        <v>0.73884874181227544</v>
      </c>
      <c r="Z14" s="79">
        <f t="shared" si="5"/>
        <v>0.733588770942321</v>
      </c>
      <c r="AA14" s="79">
        <f t="shared" si="6"/>
        <v>0.72852236815426374</v>
      </c>
      <c r="AB14" s="79">
        <f t="shared" si="7"/>
        <v>0.72165470881307581</v>
      </c>
      <c r="AC14" s="79">
        <f t="shared" si="8"/>
        <v>0.72115686636492282</v>
      </c>
      <c r="AD14" s="79">
        <f t="shared" si="9"/>
        <v>0.72079593625455651</v>
      </c>
      <c r="AE14" s="79">
        <f t="shared" si="10"/>
        <v>0.72150341813266217</v>
      </c>
      <c r="AF14" s="79">
        <f t="shared" si="11"/>
        <v>0.72223419992613314</v>
      </c>
      <c r="AG14" s="79">
        <f t="shared" si="12"/>
        <v>0.72292395627900385</v>
      </c>
      <c r="AH14" s="79">
        <f t="shared" si="13"/>
        <v>0.72386679827335243</v>
      </c>
      <c r="AI14"/>
      <c r="AJ14" s="60">
        <f t="shared" si="16"/>
        <v>0.7271098886303563</v>
      </c>
      <c r="AL14"/>
    </row>
    <row r="15" spans="1:38" s="1" customFormat="1">
      <c r="B15" s="2" t="str">
        <v>Greater Cessnock</v>
      </c>
      <c r="C15" s="35" t="str" cm="1">
        <f t="array" ref="C15">INDEX(network_levels,COUNTIFS($B$10:$B15,$B$10))</f>
        <v>LV</v>
      </c>
      <c r="D15" s="35"/>
      <c r="E15" s="35" t="s">
        <v>80</v>
      </c>
      <c r="F15" s="21" cm="1">
        <f t="array" ref="F15">IFERROR(INDEX('Max demand'!$D$11:$AB$85,MATCH(1,INDEX(($C15='Max demand'!$B$11:$B$85)*(F$9='Max demand'!$C$11:$C$85),0,1),0),MATCH($B15,'Max demand'!$D$9:$AB$9,0)),0)</f>
        <v>95.700633637999999</v>
      </c>
      <c r="G15" s="21" cm="1">
        <f t="array" ref="G15">IFERROR(INDEX('Max demand'!$D$11:$AB$85,MATCH(1,INDEX(($C15='Max demand'!$B$11:$B$85)*(G$9='Max demand'!$C$11:$C$85),0,1),0),MATCH($B15,'Max demand'!$D$9:$AB$9,0)),0)</f>
        <v>95.739182037000006</v>
      </c>
      <c r="H15" s="21" cm="1">
        <f t="array" ref="H15">IFERROR(INDEX('Max demand'!$D$11:$AB$85,MATCH(1,INDEX(($C15='Max demand'!$B$11:$B$85)*(H$9='Max demand'!$C$11:$C$85),0,1),0),MATCH($B15,'Max demand'!$D$9:$AB$9,0)),0)</f>
        <v>95.935816508000002</v>
      </c>
      <c r="I15" s="21" cm="1">
        <f t="array" ref="I15">IFERROR(INDEX('Max demand'!$D$11:$AB$85,MATCH(1,INDEX(($C15='Max demand'!$B$11:$B$85)*(I$9='Max demand'!$C$11:$C$85),0,1),0),MATCH($B15,'Max demand'!$D$9:$AB$9,0)),0)</f>
        <v>96.365569754000006</v>
      </c>
      <c r="J15" s="21" cm="1">
        <f t="array" ref="J15">IFERROR(INDEX('Max demand'!$D$11:$AB$85,MATCH(1,INDEX(($C15='Max demand'!$B$11:$B$85)*(J$9='Max demand'!$C$11:$C$85),0,1),0),MATCH($B15,'Max demand'!$D$9:$AB$9,0)),0)</f>
        <v>96.674808545000005</v>
      </c>
      <c r="K15" s="21" cm="1">
        <f t="array" ref="K15">IFERROR(INDEX('Max demand'!$D$11:$AB$85,MATCH(1,INDEX(($C15='Max demand'!$B$11:$B$85)*(K$9='Max demand'!$C$11:$C$85),0,1),0),MATCH($B15,'Max demand'!$D$9:$AB$9,0)),0)</f>
        <v>96.914281351</v>
      </c>
      <c r="L15" s="21" cm="1">
        <f t="array" ref="L15">IFERROR(INDEX('Max demand'!$D$11:$AB$85,MATCH(1,INDEX(($C15='Max demand'!$B$11:$B$85)*(L$9='Max demand'!$C$11:$C$85),0,1),0),MATCH($B15,'Max demand'!$D$9:$AB$9,0)),0)</f>
        <v>97.164117449000003</v>
      </c>
      <c r="M15" s="21" cm="1">
        <f t="array" ref="M15">IFERROR(INDEX('Max demand'!$D$11:$AB$85,MATCH(1,INDEX(($C15='Max demand'!$B$11:$B$85)*(M$9='Max demand'!$C$11:$C$85),0,1),0),MATCH($B15,'Max demand'!$D$9:$AB$9,0)),0)</f>
        <v>97.742798325999999</v>
      </c>
      <c r="N15" s="21" cm="1">
        <f t="array" ref="N15">IFERROR(INDEX('Max demand'!$D$11:$AB$85,MATCH(1,INDEX(($C15='Max demand'!$B$11:$B$85)*(N$9='Max demand'!$C$11:$C$85),0,1),0),MATCH($B15,'Max demand'!$D$9:$AB$9,0)),0)</f>
        <v>98.264485312000005</v>
      </c>
      <c r="O15" s="21" cm="1">
        <f t="array" ref="O15">IFERROR(INDEX('Max demand'!$D$11:$AB$85,MATCH(1,INDEX(($C15='Max demand'!$B$11:$B$85)*(O$9='Max demand'!$C$11:$C$85),0,1),0),MATCH($B15,'Max demand'!$D$9:$AB$9,0)),0)</f>
        <v>98.780284950999999</v>
      </c>
      <c r="P15" s="21" cm="1">
        <f t="array" ref="P15">IFERROR(INDEX('Max demand'!$D$11:$AB$85,MATCH(1,INDEX(($C15='Max demand'!$B$11:$B$85)*(P$9='Max demand'!$C$11:$C$85),0,1),0),MATCH($B15,'Max demand'!$D$9:$AB$9,0)),0)</f>
        <v>99.293296521000002</v>
      </c>
      <c r="Q15"/>
      <c r="R15" s="73">
        <f t="shared" si="14"/>
        <v>3.6921133108038795E-3</v>
      </c>
      <c r="T15" s="2" t="str">
        <f t="shared" si="1"/>
        <v>Greater Cessnock</v>
      </c>
      <c r="U15" s="35" t="str">
        <f t="shared" si="2"/>
        <v>LV</v>
      </c>
      <c r="V15" s="35"/>
      <c r="W15" s="35" t="str">
        <f t="shared" si="3"/>
        <v>MW</v>
      </c>
      <c r="X15" s="79">
        <f t="shared" si="15"/>
        <v>0.93705437189759799</v>
      </c>
      <c r="Y15" s="79">
        <f t="shared" si="4"/>
        <v>0.93715520931208507</v>
      </c>
      <c r="Z15" s="79">
        <f t="shared" si="5"/>
        <v>0.9372491397523941</v>
      </c>
      <c r="AA15" s="79">
        <f t="shared" si="6"/>
        <v>0.93742705080848243</v>
      </c>
      <c r="AB15" s="79">
        <f t="shared" si="7"/>
        <v>0.93755632866286354</v>
      </c>
      <c r="AC15" s="79">
        <f t="shared" si="8"/>
        <v>0.9376534404326976</v>
      </c>
      <c r="AD15" s="79">
        <f t="shared" si="9"/>
        <v>0.93775156018807404</v>
      </c>
      <c r="AE15" s="79">
        <f t="shared" si="10"/>
        <v>0.93798167248695419</v>
      </c>
      <c r="AF15" s="79">
        <f t="shared" si="11"/>
        <v>0.93818555969406647</v>
      </c>
      <c r="AG15" s="79">
        <f t="shared" si="12"/>
        <v>0.93838527907924918</v>
      </c>
      <c r="AH15" s="79">
        <f t="shared" si="13"/>
        <v>0.9385772620636057</v>
      </c>
      <c r="AI15"/>
      <c r="AJ15" s="60">
        <f t="shared" si="16"/>
        <v>0.93772517039800618</v>
      </c>
      <c r="AL15"/>
    </row>
    <row r="16" spans="1:38" s="1" customFormat="1">
      <c r="B16" s="2" t="str">
        <v>Lower Central Coast</v>
      </c>
      <c r="C16" s="35" t="str" cm="1">
        <f t="array" ref="C16">INDEX(network_levels,COUNTIFS($B$10:$B16,$B$10))</f>
        <v>LV</v>
      </c>
      <c r="D16" s="35"/>
      <c r="E16" s="35" t="s">
        <v>80</v>
      </c>
      <c r="F16" s="21" cm="1">
        <f t="array" ref="F16">IFERROR(INDEX('Max demand'!$D$11:$AB$85,MATCH(1,INDEX(($C16='Max demand'!$B$11:$B$85)*(F$9='Max demand'!$C$11:$C$85),0,1),0),MATCH($B16,'Max demand'!$D$9:$AB$9,0)),0)</f>
        <v>295.45435142999997</v>
      </c>
      <c r="G16" s="21" cm="1">
        <f t="array" ref="G16">IFERROR(INDEX('Max demand'!$D$11:$AB$85,MATCH(1,INDEX(($C16='Max demand'!$B$11:$B$85)*(G$9='Max demand'!$C$11:$C$85),0,1),0),MATCH($B16,'Max demand'!$D$9:$AB$9,0)),0)</f>
        <v>292.23361679999999</v>
      </c>
      <c r="H16" s="21" cm="1">
        <f t="array" ref="H16">IFERROR(INDEX('Max demand'!$D$11:$AB$85,MATCH(1,INDEX(($C16='Max demand'!$B$11:$B$85)*(H$9='Max demand'!$C$11:$C$85),0,1),0),MATCH($B16,'Max demand'!$D$9:$AB$9,0)),0)</f>
        <v>290.83402058000001</v>
      </c>
      <c r="I16" s="21" cm="1">
        <f t="array" ref="I16">IFERROR(INDEX('Max demand'!$D$11:$AB$85,MATCH(1,INDEX(($C16='Max demand'!$B$11:$B$85)*(I$9='Max demand'!$C$11:$C$85),0,1),0),MATCH($B16,'Max demand'!$D$9:$AB$9,0)),0)</f>
        <v>290.70890635000001</v>
      </c>
      <c r="J16" s="21" cm="1">
        <f t="array" ref="J16">IFERROR(INDEX('Max demand'!$D$11:$AB$85,MATCH(1,INDEX(($C16='Max demand'!$B$11:$B$85)*(J$9='Max demand'!$C$11:$C$85),0,1),0),MATCH($B16,'Max demand'!$D$9:$AB$9,0)),0)</f>
        <v>290.12237891000001</v>
      </c>
      <c r="K16" s="21" cm="1">
        <f t="array" ref="K16">IFERROR(INDEX('Max demand'!$D$11:$AB$85,MATCH(1,INDEX(($C16='Max demand'!$B$11:$B$85)*(K$9='Max demand'!$C$11:$C$85),0,1),0),MATCH($B16,'Max demand'!$D$9:$AB$9,0)),0)</f>
        <v>289.35697020999999</v>
      </c>
      <c r="L16" s="21" cm="1">
        <f t="array" ref="L16">IFERROR(INDEX('Max demand'!$D$11:$AB$85,MATCH(1,INDEX(($C16='Max demand'!$B$11:$B$85)*(L$9='Max demand'!$C$11:$C$85),0,1),0),MATCH($B16,'Max demand'!$D$9:$AB$9,0)),0)</f>
        <v>289.40461177999998</v>
      </c>
      <c r="M16" s="21" cm="1">
        <f t="array" ref="M16">IFERROR(INDEX('Max demand'!$D$11:$AB$85,MATCH(1,INDEX(($C16='Max demand'!$B$11:$B$85)*(M$9='Max demand'!$C$11:$C$85),0,1),0),MATCH($B16,'Max demand'!$D$9:$AB$9,0)),0)</f>
        <v>291.05391099000002</v>
      </c>
      <c r="N16" s="21" cm="1">
        <f t="array" ref="N16">IFERROR(INDEX('Max demand'!$D$11:$AB$85,MATCH(1,INDEX(($C16='Max demand'!$B$11:$B$85)*(N$9='Max demand'!$C$11:$C$85),0,1),0),MATCH($B16,'Max demand'!$D$9:$AB$9,0)),0)</f>
        <v>292.82674508999997</v>
      </c>
      <c r="O16" s="21" cm="1">
        <f t="array" ref="O16">IFERROR(INDEX('Max demand'!$D$11:$AB$85,MATCH(1,INDEX(($C16='Max demand'!$B$11:$B$85)*(O$9='Max demand'!$C$11:$C$85),0,1),0),MATCH($B16,'Max demand'!$D$9:$AB$9,0)),0)</f>
        <v>294.03985599999999</v>
      </c>
      <c r="P16" s="21" cm="1">
        <f t="array" ref="P16">IFERROR(INDEX('Max demand'!$D$11:$AB$85,MATCH(1,INDEX(($C16='Max demand'!$B$11:$B$85)*(P$9='Max demand'!$C$11:$C$85),0,1),0),MATCH($B16,'Max demand'!$D$9:$AB$9,0)),0)</f>
        <v>295.55082157999999</v>
      </c>
      <c r="Q16"/>
      <c r="R16" s="73">
        <f t="shared" si="14"/>
        <v>3.2646660289348262E-5</v>
      </c>
      <c r="T16" s="2" t="str">
        <f t="shared" si="1"/>
        <v>Lower Central Coast</v>
      </c>
      <c r="U16" s="35" t="str">
        <f t="shared" si="2"/>
        <v>LV</v>
      </c>
      <c r="V16" s="35"/>
      <c r="W16" s="35" t="str">
        <f t="shared" si="3"/>
        <v>MW</v>
      </c>
      <c r="X16" s="79">
        <f t="shared" si="15"/>
        <v>0.96247606436345123</v>
      </c>
      <c r="Y16" s="79">
        <f t="shared" si="4"/>
        <v>0.96221960952369678</v>
      </c>
      <c r="Z16" s="79">
        <f t="shared" si="5"/>
        <v>0.96208807597468471</v>
      </c>
      <c r="AA16" s="79">
        <f t="shared" si="6"/>
        <v>0.96207061978011887</v>
      </c>
      <c r="AB16" s="79">
        <f t="shared" si="7"/>
        <v>0.96200991881950926</v>
      </c>
      <c r="AC16" s="79">
        <f t="shared" si="8"/>
        <v>0.96192959581266713</v>
      </c>
      <c r="AD16" s="79">
        <f t="shared" si="9"/>
        <v>0.9619271954255344</v>
      </c>
      <c r="AE16" s="79">
        <f t="shared" si="10"/>
        <v>0.96207956816686335</v>
      </c>
      <c r="AF16" s="79">
        <f t="shared" si="11"/>
        <v>0.96224204023476811</v>
      </c>
      <c r="AG16" s="79">
        <f t="shared" si="12"/>
        <v>0.96234832136348292</v>
      </c>
      <c r="AH16" s="79">
        <f t="shared" si="13"/>
        <v>0.96248046469920934</v>
      </c>
      <c r="AI16"/>
      <c r="AJ16" s="60">
        <f t="shared" si="16"/>
        <v>0.96217013401490792</v>
      </c>
      <c r="AL16"/>
    </row>
    <row r="17" spans="2:40">
      <c r="B17" s="2" t="str">
        <v>Lower North Shore</v>
      </c>
      <c r="C17" s="35" t="str" cm="1">
        <f t="array" ref="C17">INDEX(network_levels,COUNTIFS($B$10:$B17,$B$10))</f>
        <v>LV</v>
      </c>
      <c r="D17" s="35"/>
      <c r="E17" s="35" t="s">
        <v>80</v>
      </c>
      <c r="F17" s="21" cm="1">
        <f t="array" ref="F17">IFERROR(INDEX('Max demand'!$D$11:$AB$85,MATCH(1,INDEX(($C17='Max demand'!$B$11:$B$85)*(F$9='Max demand'!$C$11:$C$85),0,1),0),MATCH($B17,'Max demand'!$D$9:$AB$9,0)),0)</f>
        <v>274.59379573000001</v>
      </c>
      <c r="G17" s="21" cm="1">
        <f t="array" ref="G17">IFERROR(INDEX('Max demand'!$D$11:$AB$85,MATCH(1,INDEX(($C17='Max demand'!$B$11:$B$85)*(G$9='Max demand'!$C$11:$C$85),0,1),0),MATCH($B17,'Max demand'!$D$9:$AB$9,0)),0)</f>
        <v>274.18974809000002</v>
      </c>
      <c r="H17" s="21" cm="1">
        <f t="array" ref="H17">IFERROR(INDEX('Max demand'!$D$11:$AB$85,MATCH(1,INDEX(($C17='Max demand'!$B$11:$B$85)*(H$9='Max demand'!$C$11:$C$85),0,1),0),MATCH($B17,'Max demand'!$D$9:$AB$9,0)),0)</f>
        <v>260.11403643</v>
      </c>
      <c r="I17" s="21" cm="1">
        <f t="array" ref="I17">IFERROR(INDEX('Max demand'!$D$11:$AB$85,MATCH(1,INDEX(($C17='Max demand'!$B$11:$B$85)*(I$9='Max demand'!$C$11:$C$85),0,1),0),MATCH($B17,'Max demand'!$D$9:$AB$9,0)),0)</f>
        <v>260.20763219999998</v>
      </c>
      <c r="J17" s="21" cm="1">
        <f t="array" ref="J17">IFERROR(INDEX('Max demand'!$D$11:$AB$85,MATCH(1,INDEX(($C17='Max demand'!$B$11:$B$85)*(J$9='Max demand'!$C$11:$C$85),0,1),0),MATCH($B17,'Max demand'!$D$9:$AB$9,0)),0)</f>
        <v>259.83554631999999</v>
      </c>
      <c r="K17" s="21" cm="1">
        <f t="array" ref="K17">IFERROR(INDEX('Max demand'!$D$11:$AB$85,MATCH(1,INDEX(($C17='Max demand'!$B$11:$B$85)*(K$9='Max demand'!$C$11:$C$85),0,1),0),MATCH($B17,'Max demand'!$D$9:$AB$9,0)),0)</f>
        <v>259.62831030000001</v>
      </c>
      <c r="L17" s="21" cm="1">
        <f t="array" ref="L17">IFERROR(INDEX('Max demand'!$D$11:$AB$85,MATCH(1,INDEX(($C17='Max demand'!$B$11:$B$85)*(L$9='Max demand'!$C$11:$C$85),0,1),0),MATCH($B17,'Max demand'!$D$9:$AB$9,0)),0)</f>
        <v>260.08178536999998</v>
      </c>
      <c r="M17" s="21" cm="1">
        <f t="array" ref="M17">IFERROR(INDEX('Max demand'!$D$11:$AB$85,MATCH(1,INDEX(($C17='Max demand'!$B$11:$B$85)*(M$9='Max demand'!$C$11:$C$85),0,1),0),MATCH($B17,'Max demand'!$D$9:$AB$9,0)),0)</f>
        <v>262.23345122000001</v>
      </c>
      <c r="N17" s="21" cm="1">
        <f t="array" ref="N17">IFERROR(INDEX('Max demand'!$D$11:$AB$85,MATCH(1,INDEX(($C17='Max demand'!$B$11:$B$85)*(N$9='Max demand'!$C$11:$C$85),0,1),0),MATCH($B17,'Max demand'!$D$9:$AB$9,0)),0)</f>
        <v>264.71099664000002</v>
      </c>
      <c r="O17" s="21" cm="1">
        <f t="array" ref="O17">IFERROR(INDEX('Max demand'!$D$11:$AB$85,MATCH(1,INDEX(($C17='Max demand'!$B$11:$B$85)*(O$9='Max demand'!$C$11:$C$85),0,1),0),MATCH($B17,'Max demand'!$D$9:$AB$9,0)),0)</f>
        <v>267.04009049000001</v>
      </c>
      <c r="P17" s="21" cm="1">
        <f t="array" ref="P17">IFERROR(INDEX('Max demand'!$D$11:$AB$85,MATCH(1,INDEX(($C17='Max demand'!$B$11:$B$85)*(P$9='Max demand'!$C$11:$C$85),0,1),0),MATCH($B17,'Max demand'!$D$9:$AB$9,0)),0)</f>
        <v>270.35554980000001</v>
      </c>
      <c r="R17" s="73">
        <f t="shared" si="14"/>
        <v>-1.5542863849915545E-3</v>
      </c>
      <c r="T17" s="2" t="str">
        <f t="shared" si="1"/>
        <v>Lower North Shore</v>
      </c>
      <c r="U17" s="35" t="str">
        <f t="shared" si="2"/>
        <v>LV</v>
      </c>
      <c r="V17" s="35"/>
      <c r="W17" s="35" t="str">
        <f t="shared" si="3"/>
        <v>MW</v>
      </c>
      <c r="X17" s="79">
        <f t="shared" si="15"/>
        <v>0.77457155040104186</v>
      </c>
      <c r="Y17" s="79">
        <f t="shared" si="4"/>
        <v>0.74775023334027868</v>
      </c>
      <c r="Z17" s="79">
        <f t="shared" si="5"/>
        <v>0.71940631095496799</v>
      </c>
      <c r="AA17" s="79">
        <f t="shared" si="6"/>
        <v>0.70210246355965</v>
      </c>
      <c r="AB17" s="79">
        <f t="shared" si="7"/>
        <v>0.6863688554850218</v>
      </c>
      <c r="AC17" s="79">
        <f t="shared" si="8"/>
        <v>0.67933042720780901</v>
      </c>
      <c r="AD17" s="79">
        <f t="shared" si="9"/>
        <v>0.67966968585350684</v>
      </c>
      <c r="AE17" s="79">
        <f t="shared" si="10"/>
        <v>0.68133060838559822</v>
      </c>
      <c r="AF17" s="79">
        <f t="shared" si="11"/>
        <v>0.68321831465176874</v>
      </c>
      <c r="AG17" s="79">
        <f t="shared" si="12"/>
        <v>0.68495287539046767</v>
      </c>
      <c r="AH17" s="79">
        <f t="shared" si="13"/>
        <v>0.68741308227695097</v>
      </c>
      <c r="AJ17" s="60">
        <f t="shared" si="16"/>
        <v>0.70237403704609658</v>
      </c>
      <c r="AN17" s="1"/>
    </row>
    <row r="18" spans="2:40">
      <c r="B18" s="2" t="str">
        <v>Maitland</v>
      </c>
      <c r="C18" s="35" t="str" cm="1">
        <f t="array" ref="C18">INDEX(network_levels,COUNTIFS($B$10:$B18,$B$10))</f>
        <v>LV</v>
      </c>
      <c r="D18" s="35"/>
      <c r="E18" s="35" t="s">
        <v>80</v>
      </c>
      <c r="F18" s="21" cm="1">
        <f t="array" ref="F18">IFERROR(INDEX('Max demand'!$D$11:$AB$85,MATCH(1,INDEX(($C18='Max demand'!$B$11:$B$85)*(F$9='Max demand'!$C$11:$C$85),0,1),0),MATCH($B18,'Max demand'!$D$9:$AB$9,0)),0)</f>
        <v>163.28588443000001</v>
      </c>
      <c r="G18" s="21" cm="1">
        <f t="array" ref="G18">IFERROR(INDEX('Max demand'!$D$11:$AB$85,MATCH(1,INDEX(($C18='Max demand'!$B$11:$B$85)*(G$9='Max demand'!$C$11:$C$85),0,1),0),MATCH($B18,'Max demand'!$D$9:$AB$9,0)),0)</f>
        <v>162.2945407</v>
      </c>
      <c r="H18" s="21" cm="1">
        <f t="array" ref="H18">IFERROR(INDEX('Max demand'!$D$11:$AB$85,MATCH(1,INDEX(($C18='Max demand'!$B$11:$B$85)*(H$9='Max demand'!$C$11:$C$85),0,1),0),MATCH($B18,'Max demand'!$D$9:$AB$9,0)),0)</f>
        <v>162.18003981999999</v>
      </c>
      <c r="I18" s="21" cm="1">
        <f t="array" ref="I18">IFERROR(INDEX('Max demand'!$D$11:$AB$85,MATCH(1,INDEX(($C18='Max demand'!$B$11:$B$85)*(I$9='Max demand'!$C$11:$C$85),0,1),0),MATCH($B18,'Max demand'!$D$9:$AB$9,0)),0)</f>
        <v>162.54378</v>
      </c>
      <c r="J18" s="21" cm="1">
        <f t="array" ref="J18">IFERROR(INDEX('Max demand'!$D$11:$AB$85,MATCH(1,INDEX(($C18='Max demand'!$B$11:$B$85)*(J$9='Max demand'!$C$11:$C$85),0,1),0),MATCH($B18,'Max demand'!$D$9:$AB$9,0)),0)</f>
        <v>162.69338614</v>
      </c>
      <c r="K18" s="21" cm="1">
        <f t="array" ref="K18">IFERROR(INDEX('Max demand'!$D$11:$AB$85,MATCH(1,INDEX(($C18='Max demand'!$B$11:$B$85)*(K$9='Max demand'!$C$11:$C$85),0,1),0),MATCH($B18,'Max demand'!$D$9:$AB$9,0)),0)</f>
        <v>162.78522462999999</v>
      </c>
      <c r="L18" s="21" cm="1">
        <f t="array" ref="L18">IFERROR(INDEX('Max demand'!$D$11:$AB$85,MATCH(1,INDEX(($C18='Max demand'!$B$11:$B$85)*(L$9='Max demand'!$C$11:$C$85),0,1),0),MATCH($B18,'Max demand'!$D$9:$AB$9,0)),0)</f>
        <v>162.88532362000001</v>
      </c>
      <c r="M18" s="21" cm="1">
        <f t="array" ref="M18">IFERROR(INDEX('Max demand'!$D$11:$AB$85,MATCH(1,INDEX(($C18='Max demand'!$B$11:$B$85)*(M$9='Max demand'!$C$11:$C$85),0,1),0),MATCH($B18,'Max demand'!$D$9:$AB$9,0)),0)</f>
        <v>163.60704214</v>
      </c>
      <c r="N18" s="21" cm="1">
        <f t="array" ref="N18">IFERROR(INDEX('Max demand'!$D$11:$AB$85,MATCH(1,INDEX(($C18='Max demand'!$B$11:$B$85)*(N$9='Max demand'!$C$11:$C$85),0,1),0),MATCH($B18,'Max demand'!$D$9:$AB$9,0)),0)</f>
        <v>164.29606616999999</v>
      </c>
      <c r="O18" s="21" cm="1">
        <f t="array" ref="O18">IFERROR(INDEX('Max demand'!$D$11:$AB$85,MATCH(1,INDEX(($C18='Max demand'!$B$11:$B$85)*(O$9='Max demand'!$C$11:$C$85),0,1),0),MATCH($B18,'Max demand'!$D$9:$AB$9,0)),0)</f>
        <v>164.95089515999999</v>
      </c>
      <c r="P18" s="21" cm="1">
        <f t="array" ref="P18">IFERROR(INDEX('Max demand'!$D$11:$AB$85,MATCH(1,INDEX(($C18='Max demand'!$B$11:$B$85)*(P$9='Max demand'!$C$11:$C$85),0,1),0),MATCH($B18,'Max demand'!$D$9:$AB$9,0)),0)</f>
        <v>165.65617677</v>
      </c>
      <c r="R18" s="73">
        <f t="shared" si="14"/>
        <v>1.4422249460830372E-3</v>
      </c>
      <c r="T18" s="2" t="str">
        <f t="shared" si="1"/>
        <v>Maitland</v>
      </c>
      <c r="U18" s="35" t="str">
        <f t="shared" si="2"/>
        <v>LV</v>
      </c>
      <c r="V18" s="35"/>
      <c r="W18" s="35" t="str">
        <f t="shared" si="3"/>
        <v>MW</v>
      </c>
      <c r="X18" s="79">
        <f t="shared" si="15"/>
        <v>1.0331598773119306</v>
      </c>
      <c r="Y18" s="79">
        <f t="shared" si="4"/>
        <v>1.0340577212543842</v>
      </c>
      <c r="Z18" s="79">
        <f t="shared" si="5"/>
        <v>1.0342512113151274</v>
      </c>
      <c r="AA18" s="79">
        <f t="shared" si="6"/>
        <v>1.0341521087361709</v>
      </c>
      <c r="AB18" s="79">
        <f t="shared" si="7"/>
        <v>1.0341802757447429</v>
      </c>
      <c r="AC18" s="79">
        <f t="shared" si="8"/>
        <v>1.0342178123663999</v>
      </c>
      <c r="AD18" s="79">
        <f t="shared" si="9"/>
        <v>1.0342840822631654</v>
      </c>
      <c r="AE18" s="79">
        <f t="shared" si="10"/>
        <v>1.0339613831915331</v>
      </c>
      <c r="AF18" s="79">
        <f t="shared" si="11"/>
        <v>1.0336904553543522</v>
      </c>
      <c r="AG18" s="79">
        <f t="shared" si="12"/>
        <v>1.033432309911406</v>
      </c>
      <c r="AH18" s="79">
        <f t="shared" si="13"/>
        <v>1.0331097349554248</v>
      </c>
      <c r="AJ18" s="60">
        <f t="shared" si="16"/>
        <v>1.0338633611276942</v>
      </c>
      <c r="AN18" s="1"/>
    </row>
    <row r="19" spans="2:40">
      <c r="B19" s="2" t="str">
        <v>Manly Warringah</v>
      </c>
      <c r="C19" s="35" t="str" cm="1">
        <f t="array" ref="C19">INDEX(network_levels,COUNTIFS($B$10:$B19,$B$10))</f>
        <v>LV</v>
      </c>
      <c r="D19" s="35"/>
      <c r="E19" s="35" t="s">
        <v>80</v>
      </c>
      <c r="F19" s="21" cm="1">
        <f t="array" ref="F19">IFERROR(INDEX('Max demand'!$D$11:$AB$85,MATCH(1,INDEX(($C19='Max demand'!$B$11:$B$85)*(F$9='Max demand'!$C$11:$C$85),0,1),0),MATCH($B19,'Max demand'!$D$9:$AB$9,0)),0)</f>
        <v>166.48157075</v>
      </c>
      <c r="G19" s="21" cm="1">
        <f t="array" ref="G19">IFERROR(INDEX('Max demand'!$D$11:$AB$85,MATCH(1,INDEX(($C19='Max demand'!$B$11:$B$85)*(G$9='Max demand'!$C$11:$C$85),0,1),0),MATCH($B19,'Max demand'!$D$9:$AB$9,0)),0)</f>
        <v>164.40109532</v>
      </c>
      <c r="H19" s="21" cm="1">
        <f t="array" ref="H19">IFERROR(INDEX('Max demand'!$D$11:$AB$85,MATCH(1,INDEX(($C19='Max demand'!$B$11:$B$85)*(H$9='Max demand'!$C$11:$C$85),0,1),0),MATCH($B19,'Max demand'!$D$9:$AB$9,0)),0)</f>
        <v>162.95942306000001</v>
      </c>
      <c r="I19" s="21" cm="1">
        <f t="array" ref="I19">IFERROR(INDEX('Max demand'!$D$11:$AB$85,MATCH(1,INDEX(($C19='Max demand'!$B$11:$B$85)*(I$9='Max demand'!$C$11:$C$85),0,1),0),MATCH($B19,'Max demand'!$D$9:$AB$9,0)),0)</f>
        <v>162.41966345</v>
      </c>
      <c r="J19" s="21" cm="1">
        <f t="array" ref="J19">IFERROR(INDEX('Max demand'!$D$11:$AB$85,MATCH(1,INDEX(($C19='Max demand'!$B$11:$B$85)*(J$9='Max demand'!$C$11:$C$85),0,1),0),MATCH($B19,'Max demand'!$D$9:$AB$9,0)),0)</f>
        <v>161.53681069000001</v>
      </c>
      <c r="K19" s="21" cm="1">
        <f t="array" ref="K19">IFERROR(INDEX('Max demand'!$D$11:$AB$85,MATCH(1,INDEX(($C19='Max demand'!$B$11:$B$85)*(K$9='Max demand'!$C$11:$C$85),0,1),0),MATCH($B19,'Max demand'!$D$9:$AB$9,0)),0)</f>
        <v>160.62889455000001</v>
      </c>
      <c r="L19" s="21" cm="1">
        <f t="array" ref="L19">IFERROR(INDEX('Max demand'!$D$11:$AB$85,MATCH(1,INDEX(($C19='Max demand'!$B$11:$B$85)*(L$9='Max demand'!$C$11:$C$85),0,1),0),MATCH($B19,'Max demand'!$D$9:$AB$9,0)),0)</f>
        <v>159.99759698</v>
      </c>
      <c r="M19" s="21" cm="1">
        <f t="array" ref="M19">IFERROR(INDEX('Max demand'!$D$11:$AB$85,MATCH(1,INDEX(($C19='Max demand'!$B$11:$B$85)*(M$9='Max demand'!$C$11:$C$85),0,1),0),MATCH($B19,'Max demand'!$D$9:$AB$9,0)),0)</f>
        <v>160.67215063</v>
      </c>
      <c r="N19" s="21" cm="1">
        <f t="array" ref="N19">IFERROR(INDEX('Max demand'!$D$11:$AB$85,MATCH(1,INDEX(($C19='Max demand'!$B$11:$B$85)*(N$9='Max demand'!$C$11:$C$85),0,1),0),MATCH($B19,'Max demand'!$D$9:$AB$9,0)),0)</f>
        <v>161.31047257</v>
      </c>
      <c r="O19" s="21" cm="1">
        <f t="array" ref="O19">IFERROR(INDEX('Max demand'!$D$11:$AB$85,MATCH(1,INDEX(($C19='Max demand'!$B$11:$B$85)*(O$9='Max demand'!$C$11:$C$85),0,1),0),MATCH($B19,'Max demand'!$D$9:$AB$9,0)),0)</f>
        <v>161.75438750999999</v>
      </c>
      <c r="P19" s="21" cm="1">
        <f t="array" ref="P19">IFERROR(INDEX('Max demand'!$D$11:$AB$85,MATCH(1,INDEX(($C19='Max demand'!$B$11:$B$85)*(P$9='Max demand'!$C$11:$C$85),0,1),0),MATCH($B19,'Max demand'!$D$9:$AB$9,0)),0)</f>
        <v>162.43834552000001</v>
      </c>
      <c r="R19" s="73">
        <f t="shared" si="14"/>
        <v>-2.4555900457812196E-3</v>
      </c>
      <c r="T19" s="2" t="str">
        <f t="shared" si="1"/>
        <v>Manly Warringah</v>
      </c>
      <c r="U19" s="35" t="str">
        <f t="shared" si="2"/>
        <v>LV</v>
      </c>
      <c r="V19" s="35"/>
      <c r="W19" s="35" t="str">
        <f t="shared" si="3"/>
        <v>MW</v>
      </c>
      <c r="X19" s="79">
        <f t="shared" si="15"/>
        <v>0.99466924625265385</v>
      </c>
      <c r="Y19" s="79">
        <f t="shared" si="4"/>
        <v>0.99461476364376156</v>
      </c>
      <c r="Z19" s="79">
        <f t="shared" si="5"/>
        <v>0.99457219555639587</v>
      </c>
      <c r="AA19" s="79">
        <f t="shared" si="6"/>
        <v>0.94165565659238815</v>
      </c>
      <c r="AB19" s="79">
        <f t="shared" si="7"/>
        <v>0.94135478071326362</v>
      </c>
      <c r="AC19" s="79">
        <f t="shared" si="8"/>
        <v>0.94104126752666284</v>
      </c>
      <c r="AD19" s="79">
        <f t="shared" si="9"/>
        <v>0.94081900952336794</v>
      </c>
      <c r="AE19" s="79">
        <f t="shared" si="10"/>
        <v>0.9410380340512029</v>
      </c>
      <c r="AF19" s="79">
        <f t="shared" si="11"/>
        <v>0.94123663297730698</v>
      </c>
      <c r="AG19" s="79">
        <f t="shared" si="12"/>
        <v>0.94137269202911134</v>
      </c>
      <c r="AH19" s="79">
        <f t="shared" si="13"/>
        <v>0.94158661598882654</v>
      </c>
      <c r="AJ19" s="60">
        <f t="shared" si="16"/>
        <v>0.95581462680499463</v>
      </c>
      <c r="AN19" s="1"/>
    </row>
    <row r="20" spans="2:40">
      <c r="B20" s="2" t="str">
        <v>Newcastle Inner City</v>
      </c>
      <c r="C20" s="35" t="str" cm="1">
        <f t="array" ref="C20">INDEX(network_levels,COUNTIFS($B$10:$B20,$B$10))</f>
        <v>LV</v>
      </c>
      <c r="D20" s="35"/>
      <c r="E20" s="35" t="s">
        <v>80</v>
      </c>
      <c r="F20" s="21" cm="1">
        <f t="array" ref="F20">IFERROR(INDEX('Max demand'!$D$11:$AB$85,MATCH(1,INDEX(($C20='Max demand'!$B$11:$B$85)*(F$9='Max demand'!$C$11:$C$85),0,1),0),MATCH($B20,'Max demand'!$D$9:$AB$9,0)),0)</f>
        <v>135.18191607</v>
      </c>
      <c r="G20" s="21" cm="1">
        <f t="array" ref="G20">IFERROR(INDEX('Max demand'!$D$11:$AB$85,MATCH(1,INDEX(($C20='Max demand'!$B$11:$B$85)*(G$9='Max demand'!$C$11:$C$85),0,1),0),MATCH($B20,'Max demand'!$D$9:$AB$9,0)),0)</f>
        <v>133.72375226</v>
      </c>
      <c r="H20" s="21" cm="1">
        <f t="array" ref="H20">IFERROR(INDEX('Max demand'!$D$11:$AB$85,MATCH(1,INDEX(($C20='Max demand'!$B$11:$B$85)*(H$9='Max demand'!$C$11:$C$85),0,1),0),MATCH($B20,'Max demand'!$D$9:$AB$9,0)),0)</f>
        <v>132.91814628</v>
      </c>
      <c r="I20" s="21" cm="1">
        <f t="array" ref="I20">IFERROR(INDEX('Max demand'!$D$11:$AB$85,MATCH(1,INDEX(($C20='Max demand'!$B$11:$B$85)*(I$9='Max demand'!$C$11:$C$85),0,1),0),MATCH($B20,'Max demand'!$D$9:$AB$9,0)),0)</f>
        <v>132.73393589</v>
      </c>
      <c r="J20" s="21" cm="1">
        <f t="array" ref="J20">IFERROR(INDEX('Max demand'!$D$11:$AB$85,MATCH(1,INDEX(($C20='Max demand'!$B$11:$B$85)*(J$9='Max demand'!$C$11:$C$85),0,1),0),MATCH($B20,'Max demand'!$D$9:$AB$9,0)),0)</f>
        <v>132.36461037999999</v>
      </c>
      <c r="K20" s="21" cm="1">
        <f t="array" ref="K20">IFERROR(INDEX('Max demand'!$D$11:$AB$85,MATCH(1,INDEX(($C20='Max demand'!$B$11:$B$85)*(K$9='Max demand'!$C$11:$C$85),0,1),0),MATCH($B20,'Max demand'!$D$9:$AB$9,0)),0)</f>
        <v>131.93568257000001</v>
      </c>
      <c r="L20" s="21" cm="1">
        <f t="array" ref="L20">IFERROR(INDEX('Max demand'!$D$11:$AB$85,MATCH(1,INDEX(($C20='Max demand'!$B$11:$B$85)*(L$9='Max demand'!$C$11:$C$85),0,1),0),MATCH($B20,'Max demand'!$D$9:$AB$9,0)),0)</f>
        <v>131.61761443</v>
      </c>
      <c r="M20" s="21" cm="1">
        <f t="array" ref="M20">IFERROR(INDEX('Max demand'!$D$11:$AB$85,MATCH(1,INDEX(($C20='Max demand'!$B$11:$B$85)*(M$9='Max demand'!$C$11:$C$85),0,1),0),MATCH($B20,'Max demand'!$D$9:$AB$9,0)),0)</f>
        <v>131.90163731999999</v>
      </c>
      <c r="N20" s="21" cm="1">
        <f t="array" ref="N20">IFERROR(INDEX('Max demand'!$D$11:$AB$85,MATCH(1,INDEX(($C20='Max demand'!$B$11:$B$85)*(N$9='Max demand'!$C$11:$C$85),0,1),0),MATCH($B20,'Max demand'!$D$9:$AB$9,0)),0)</f>
        <v>132.24527664999999</v>
      </c>
      <c r="O20" s="21" cm="1">
        <f t="array" ref="O20">IFERROR(INDEX('Max demand'!$D$11:$AB$85,MATCH(1,INDEX(($C20='Max demand'!$B$11:$B$85)*(O$9='Max demand'!$C$11:$C$85),0,1),0),MATCH($B20,'Max demand'!$D$9:$AB$9,0)),0)</f>
        <v>132.49505823000001</v>
      </c>
      <c r="P20" s="21" cm="1">
        <f t="array" ref="P20">IFERROR(INDEX('Max demand'!$D$11:$AB$85,MATCH(1,INDEX(($C20='Max demand'!$B$11:$B$85)*(P$9='Max demand'!$C$11:$C$85),0,1),0),MATCH($B20,'Max demand'!$D$9:$AB$9,0)),0)</f>
        <v>132.94715173</v>
      </c>
      <c r="R20" s="73">
        <f t="shared" si="14"/>
        <v>-1.6655817707854625E-3</v>
      </c>
      <c r="T20" s="2" t="str">
        <f t="shared" si="1"/>
        <v>Newcastle Inner City</v>
      </c>
      <c r="U20" s="35" t="str">
        <f t="shared" si="2"/>
        <v>LV</v>
      </c>
      <c r="V20" s="35"/>
      <c r="W20" s="35" t="str">
        <f t="shared" si="3"/>
        <v>MW</v>
      </c>
      <c r="X20" s="79">
        <f t="shared" si="15"/>
        <v>0.90283397572470347</v>
      </c>
      <c r="Y20" s="79">
        <f t="shared" si="4"/>
        <v>0.90220607889986282</v>
      </c>
      <c r="Z20" s="79">
        <f t="shared" si="5"/>
        <v>0.90200903266406274</v>
      </c>
      <c r="AA20" s="79">
        <f t="shared" si="6"/>
        <v>0.90198386957108068</v>
      </c>
      <c r="AB20" s="79">
        <f t="shared" si="7"/>
        <v>0.90192016363732863</v>
      </c>
      <c r="AC20" s="79">
        <f t="shared" si="8"/>
        <v>0.90184734825474522</v>
      </c>
      <c r="AD20" s="79">
        <f t="shared" si="9"/>
        <v>0.90182902636034346</v>
      </c>
      <c r="AE20" s="79">
        <f t="shared" si="10"/>
        <v>0.90190445432178123</v>
      </c>
      <c r="AF20" s="79">
        <f t="shared" si="11"/>
        <v>0.9019856810189929</v>
      </c>
      <c r="AG20" s="79">
        <f t="shared" si="12"/>
        <v>0.90206968812991606</v>
      </c>
      <c r="AH20" s="79">
        <f t="shared" si="13"/>
        <v>0.9022342411593276</v>
      </c>
      <c r="AJ20" s="60">
        <f t="shared" si="16"/>
        <v>0.9020748690674677</v>
      </c>
      <c r="AN20" s="1"/>
    </row>
    <row r="21" spans="2:40">
      <c r="B21" s="2" t="str">
        <v>Newcastle Port</v>
      </c>
      <c r="C21" s="35" t="str" cm="1">
        <f t="array" ref="C21">INDEX(network_levels,COUNTIFS($B$10:$B21,$B$10))</f>
        <v>LV</v>
      </c>
      <c r="D21" s="35"/>
      <c r="E21" s="35" t="s">
        <v>80</v>
      </c>
      <c r="F21" s="21" cm="1">
        <f t="array" ref="F21">IFERROR(INDEX('Max demand'!$D$11:$AB$85,MATCH(1,INDEX(($C21='Max demand'!$B$11:$B$85)*(F$9='Max demand'!$C$11:$C$85),0,1),0),MATCH($B21,'Max demand'!$D$9:$AB$9,0)),0)</f>
        <v>61.078079752000001</v>
      </c>
      <c r="G21" s="21" cm="1">
        <f t="array" ref="G21">IFERROR(INDEX('Max demand'!$D$11:$AB$85,MATCH(1,INDEX(($C21='Max demand'!$B$11:$B$85)*(G$9='Max demand'!$C$11:$C$85),0,1),0),MATCH($B21,'Max demand'!$D$9:$AB$9,0)),0)</f>
        <v>61.315477977999997</v>
      </c>
      <c r="H21" s="21" cm="1">
        <f t="array" ref="H21">IFERROR(INDEX('Max demand'!$D$11:$AB$85,MATCH(1,INDEX(($C21='Max demand'!$B$11:$B$85)*(H$9='Max demand'!$C$11:$C$85),0,1),0),MATCH($B21,'Max demand'!$D$9:$AB$9,0)),0)</f>
        <v>61.128755372000001</v>
      </c>
      <c r="I21" s="21" cm="1">
        <f t="array" ref="I21">IFERROR(INDEX('Max demand'!$D$11:$AB$85,MATCH(1,INDEX(($C21='Max demand'!$B$11:$B$85)*(I$9='Max demand'!$C$11:$C$85),0,1),0),MATCH($B21,'Max demand'!$D$9:$AB$9,0)),0)</f>
        <v>61.179918534000002</v>
      </c>
      <c r="J21" s="21" cm="1">
        <f t="array" ref="J21">IFERROR(INDEX('Max demand'!$D$11:$AB$85,MATCH(1,INDEX(($C21='Max demand'!$B$11:$B$85)*(J$9='Max demand'!$C$11:$C$85),0,1),0),MATCH($B21,'Max demand'!$D$9:$AB$9,0)),0)</f>
        <v>61.109671155999997</v>
      </c>
      <c r="K21" s="21" cm="1">
        <f t="array" ref="K21">IFERROR(INDEX('Max demand'!$D$11:$AB$85,MATCH(1,INDEX(($C21='Max demand'!$B$11:$B$85)*(K$9='Max demand'!$C$11:$C$85),0,1),0),MATCH($B21,'Max demand'!$D$9:$AB$9,0)),0)</f>
        <v>61.033488327000001</v>
      </c>
      <c r="L21" s="21" cm="1">
        <f t="array" ref="L21">IFERROR(INDEX('Max demand'!$D$11:$AB$85,MATCH(1,INDEX(($C21='Max demand'!$B$11:$B$85)*(L$9='Max demand'!$C$11:$C$85),0,1),0),MATCH($B21,'Max demand'!$D$9:$AB$9,0)),0)</f>
        <v>60.986524715999998</v>
      </c>
      <c r="M21" s="21" cm="1">
        <f t="array" ref="M21">IFERROR(INDEX('Max demand'!$D$11:$AB$85,MATCH(1,INDEX(($C21='Max demand'!$B$11:$B$85)*(M$9='Max demand'!$C$11:$C$85),0,1),0),MATCH($B21,'Max demand'!$D$9:$AB$9,0)),0)</f>
        <v>61.214988695000002</v>
      </c>
      <c r="N21" s="21" cm="1">
        <f t="array" ref="N21">IFERROR(INDEX('Max demand'!$D$11:$AB$85,MATCH(1,INDEX(($C21='Max demand'!$B$11:$B$85)*(N$9='Max demand'!$C$11:$C$85),0,1),0),MATCH($B21,'Max demand'!$D$9:$AB$9,0)),0)</f>
        <v>61.461540024999998</v>
      </c>
      <c r="O21" s="21" cm="1">
        <f t="array" ref="O21">IFERROR(INDEX('Max demand'!$D$11:$AB$85,MATCH(1,INDEX(($C21='Max demand'!$B$11:$B$85)*(O$9='Max demand'!$C$11:$C$85),0,1),0),MATCH($B21,'Max demand'!$D$9:$AB$9,0)),0)</f>
        <v>61.688311417999998</v>
      </c>
      <c r="P21" s="21" cm="1">
        <f t="array" ref="P21">IFERROR(INDEX('Max demand'!$D$11:$AB$85,MATCH(1,INDEX(($C21='Max demand'!$B$11:$B$85)*(P$9='Max demand'!$C$11:$C$85),0,1),0),MATCH($B21,'Max demand'!$D$9:$AB$9,0)),0)</f>
        <v>61.949001825000003</v>
      </c>
      <c r="R21" s="73">
        <f t="shared" si="14"/>
        <v>1.4168481565905999E-3</v>
      </c>
      <c r="T21" s="2" t="str">
        <f t="shared" si="1"/>
        <v>Newcastle Port</v>
      </c>
      <c r="U21" s="35" t="str">
        <f t="shared" si="2"/>
        <v>LV</v>
      </c>
      <c r="V21" s="35"/>
      <c r="W21" s="35" t="str">
        <f t="shared" si="3"/>
        <v>MW</v>
      </c>
      <c r="X21" s="79">
        <f t="shared" si="15"/>
        <v>0.42822381300533552</v>
      </c>
      <c r="Y21" s="79">
        <f t="shared" si="4"/>
        <v>0.42914004637895192</v>
      </c>
      <c r="Z21" s="79">
        <f t="shared" si="5"/>
        <v>0.4284363691131316</v>
      </c>
      <c r="AA21" s="79">
        <f t="shared" si="6"/>
        <v>0.42862922024330263</v>
      </c>
      <c r="AB21" s="79">
        <f t="shared" si="7"/>
        <v>0.42836474168781558</v>
      </c>
      <c r="AC21" s="79">
        <f t="shared" si="8"/>
        <v>0.42807773548443934</v>
      </c>
      <c r="AD21" s="79">
        <f t="shared" si="9"/>
        <v>0.42790091892195325</v>
      </c>
      <c r="AE21" s="79">
        <f t="shared" si="10"/>
        <v>0.42876395699371972</v>
      </c>
      <c r="AF21" s="79">
        <f t="shared" si="11"/>
        <v>0.42969074143309061</v>
      </c>
      <c r="AG21" s="79">
        <f t="shared" si="12"/>
        <v>0.43053971477242237</v>
      </c>
      <c r="AH21" s="79">
        <f t="shared" si="13"/>
        <v>0.43151264054056748</v>
      </c>
      <c r="AJ21" s="60">
        <f t="shared" si="16"/>
        <v>0.4290254453249755</v>
      </c>
      <c r="AN21" s="1"/>
    </row>
    <row r="22" spans="2:40">
      <c r="B22" s="2" t="str">
        <v>Newcastle Western Corridor</v>
      </c>
      <c r="C22" s="35" t="str" cm="1">
        <f t="array" ref="C22">INDEX(network_levels,COUNTIFS($B$10:$B22,$B$10))</f>
        <v>LV</v>
      </c>
      <c r="D22" s="35"/>
      <c r="E22" s="35" t="s">
        <v>80</v>
      </c>
      <c r="F22" s="21" cm="1">
        <f t="array" ref="F22">IFERROR(INDEX('Max demand'!$D$11:$AB$85,MATCH(1,INDEX(($C22='Max demand'!$B$11:$B$85)*(F$9='Max demand'!$C$11:$C$85),0,1),0),MATCH($B22,'Max demand'!$D$9:$AB$9,0)),0)</f>
        <v>98.888580454000007</v>
      </c>
      <c r="G22" s="21" cm="1">
        <f t="array" ref="G22">IFERROR(INDEX('Max demand'!$D$11:$AB$85,MATCH(1,INDEX(($C22='Max demand'!$B$11:$B$85)*(G$9='Max demand'!$C$11:$C$85),0,1),0),MATCH($B22,'Max demand'!$D$9:$AB$9,0)),0)</f>
        <v>98.323771956000002</v>
      </c>
      <c r="H22" s="21" cm="1">
        <f t="array" ref="H22">IFERROR(INDEX('Max demand'!$D$11:$AB$85,MATCH(1,INDEX(($C22='Max demand'!$B$11:$B$85)*(H$9='Max demand'!$C$11:$C$85),0,1),0),MATCH($B22,'Max demand'!$D$9:$AB$9,0)),0)</f>
        <v>97.920300019999999</v>
      </c>
      <c r="I22" s="21" cm="1">
        <f t="array" ref="I22">IFERROR(INDEX('Max demand'!$D$11:$AB$85,MATCH(1,INDEX(($C22='Max demand'!$B$11:$B$85)*(I$9='Max demand'!$C$11:$C$85),0,1),0),MATCH($B22,'Max demand'!$D$9:$AB$9,0)),0)</f>
        <v>97.788774298000007</v>
      </c>
      <c r="J22" s="21" cm="1">
        <f t="array" ref="J22">IFERROR(INDEX('Max demand'!$D$11:$AB$85,MATCH(1,INDEX(($C22='Max demand'!$B$11:$B$85)*(J$9='Max demand'!$C$11:$C$85),0,1),0),MATCH($B22,'Max demand'!$D$9:$AB$9,0)),0)</f>
        <v>97.517551115000003</v>
      </c>
      <c r="K22" s="21" cm="1">
        <f t="array" ref="K22">IFERROR(INDEX('Max demand'!$D$11:$AB$85,MATCH(1,INDEX(($C22='Max demand'!$B$11:$B$85)*(K$9='Max demand'!$C$11:$C$85),0,1),0),MATCH($B22,'Max demand'!$D$9:$AB$9,0)),0)</f>
        <v>97.157998844000005</v>
      </c>
      <c r="L22" s="21" cm="1">
        <f t="array" ref="L22">IFERROR(INDEX('Max demand'!$D$11:$AB$85,MATCH(1,INDEX(($C22='Max demand'!$B$11:$B$85)*(L$9='Max demand'!$C$11:$C$85),0,1),0),MATCH($B22,'Max demand'!$D$9:$AB$9,0)),0)</f>
        <v>96.788944017000006</v>
      </c>
      <c r="M22" s="21" cm="1">
        <f t="array" ref="M22">IFERROR(INDEX('Max demand'!$D$11:$AB$85,MATCH(1,INDEX(($C22='Max demand'!$B$11:$B$85)*(M$9='Max demand'!$C$11:$C$85),0,1),0),MATCH($B22,'Max demand'!$D$9:$AB$9,0)),0)</f>
        <v>96.859754155999994</v>
      </c>
      <c r="N22" s="21" cm="1">
        <f t="array" ref="N22">IFERROR(INDEX('Max demand'!$D$11:$AB$85,MATCH(1,INDEX(($C22='Max demand'!$B$11:$B$85)*(N$9='Max demand'!$C$11:$C$85),0,1),0),MATCH($B22,'Max demand'!$D$9:$AB$9,0)),0)</f>
        <v>96.871169206000005</v>
      </c>
      <c r="O22" s="21" cm="1">
        <f t="array" ref="O22">IFERROR(INDEX('Max demand'!$D$11:$AB$85,MATCH(1,INDEX(($C22='Max demand'!$B$11:$B$85)*(O$9='Max demand'!$C$11:$C$85),0,1),0),MATCH($B22,'Max demand'!$D$9:$AB$9,0)),0)</f>
        <v>96.871916635999995</v>
      </c>
      <c r="P22" s="21" cm="1">
        <f t="array" ref="P22">IFERROR(INDEX('Max demand'!$D$11:$AB$85,MATCH(1,INDEX(($C22='Max demand'!$B$11:$B$85)*(P$9='Max demand'!$C$11:$C$85),0,1),0),MATCH($B22,'Max demand'!$D$9:$AB$9,0)),0)</f>
        <v>96.875835448999993</v>
      </c>
      <c r="R22" s="73">
        <f t="shared" si="14"/>
        <v>-2.0542526045026488E-3</v>
      </c>
      <c r="T22" s="2" t="str">
        <f t="shared" si="1"/>
        <v>Newcastle Western Corridor</v>
      </c>
      <c r="U22" s="35" t="str">
        <f t="shared" si="2"/>
        <v>LV</v>
      </c>
      <c r="V22" s="35"/>
      <c r="W22" s="35" t="str">
        <f t="shared" si="3"/>
        <v>MW</v>
      </c>
      <c r="X22" s="79">
        <f t="shared" si="15"/>
        <v>0.99252060206572557</v>
      </c>
      <c r="Y22" s="79">
        <f t="shared" si="4"/>
        <v>0.99252877968580222</v>
      </c>
      <c r="Z22" s="79">
        <f t="shared" si="5"/>
        <v>0.9925349344906077</v>
      </c>
      <c r="AA22" s="79">
        <f t="shared" si="6"/>
        <v>0.9925340386614433</v>
      </c>
      <c r="AB22" s="79">
        <f t="shared" si="7"/>
        <v>0.99253432150122989</v>
      </c>
      <c r="AC22" s="79">
        <f t="shared" si="8"/>
        <v>0.99253344992850046</v>
      </c>
      <c r="AD22" s="79">
        <f t="shared" si="9"/>
        <v>0.99253059635063789</v>
      </c>
      <c r="AE22" s="79">
        <f t="shared" si="10"/>
        <v>0.9925284315667865</v>
      </c>
      <c r="AF22" s="79">
        <f t="shared" si="11"/>
        <v>0.99252562228185459</v>
      </c>
      <c r="AG22" s="79">
        <f t="shared" si="12"/>
        <v>0.99252496112187738</v>
      </c>
      <c r="AH22" s="79">
        <f t="shared" si="13"/>
        <v>0.9925177559797812</v>
      </c>
      <c r="AJ22" s="60">
        <f t="shared" si="16"/>
        <v>0.99252849942129517</v>
      </c>
      <c r="AN22" s="1"/>
    </row>
    <row r="23" spans="2:40">
      <c r="B23" s="2" t="str">
        <v>North East Lake Macquarie</v>
      </c>
      <c r="C23" s="35" t="str" cm="1">
        <f t="array" ref="C23">INDEX(network_levels,COUNTIFS($B$10:$B23,$B$10))</f>
        <v>LV</v>
      </c>
      <c r="D23" s="35"/>
      <c r="E23" s="35" t="s">
        <v>80</v>
      </c>
      <c r="F23" s="21" cm="1">
        <f t="array" ref="F23">IFERROR(INDEX('Max demand'!$D$11:$AB$85,MATCH(1,INDEX(($C23='Max demand'!$B$11:$B$85)*(F$9='Max demand'!$C$11:$C$85),0,1),0),MATCH($B23,'Max demand'!$D$9:$AB$9,0)),0)</f>
        <v>116.08731127</v>
      </c>
      <c r="G23" s="21" cm="1">
        <f t="array" ref="G23">IFERROR(INDEX('Max demand'!$D$11:$AB$85,MATCH(1,INDEX(($C23='Max demand'!$B$11:$B$85)*(G$9='Max demand'!$C$11:$C$85),0,1),0),MATCH($B23,'Max demand'!$D$9:$AB$9,0)),0)</f>
        <v>114.62874196999999</v>
      </c>
      <c r="H23" s="21" cm="1">
        <f t="array" ref="H23">IFERROR(INDEX('Max demand'!$D$11:$AB$85,MATCH(1,INDEX(($C23='Max demand'!$B$11:$B$85)*(H$9='Max demand'!$C$11:$C$85),0,1),0),MATCH($B23,'Max demand'!$D$9:$AB$9,0)),0)</f>
        <v>114.12505498</v>
      </c>
      <c r="I23" s="21" cm="1">
        <f t="array" ref="I23">IFERROR(INDEX('Max demand'!$D$11:$AB$85,MATCH(1,INDEX(($C23='Max demand'!$B$11:$B$85)*(I$9='Max demand'!$C$11:$C$85),0,1),0),MATCH($B23,'Max demand'!$D$9:$AB$9,0)),0)</f>
        <v>113.9199162</v>
      </c>
      <c r="J23" s="21" cm="1">
        <f t="array" ref="J23">IFERROR(INDEX('Max demand'!$D$11:$AB$85,MATCH(1,INDEX(($C23='Max demand'!$B$11:$B$85)*(J$9='Max demand'!$C$11:$C$85),0,1),0),MATCH($B23,'Max demand'!$D$9:$AB$9,0)),0)</f>
        <v>113.55792713</v>
      </c>
      <c r="K23" s="21" cm="1">
        <f t="array" ref="K23">IFERROR(INDEX('Max demand'!$D$11:$AB$85,MATCH(1,INDEX(($C23='Max demand'!$B$11:$B$85)*(K$9='Max demand'!$C$11:$C$85),0,1),0),MATCH($B23,'Max demand'!$D$9:$AB$9,0)),0)</f>
        <v>113.06788288</v>
      </c>
      <c r="L23" s="21" cm="1">
        <f t="array" ref="L23">IFERROR(INDEX('Max demand'!$D$11:$AB$85,MATCH(1,INDEX(($C23='Max demand'!$B$11:$B$85)*(L$9='Max demand'!$C$11:$C$85),0,1),0),MATCH($B23,'Max demand'!$D$9:$AB$9,0)),0)</f>
        <v>112.59355287</v>
      </c>
      <c r="M23" s="21" cm="1">
        <f t="array" ref="M23">IFERROR(INDEX('Max demand'!$D$11:$AB$85,MATCH(1,INDEX(($C23='Max demand'!$B$11:$B$85)*(M$9='Max demand'!$C$11:$C$85),0,1),0),MATCH($B23,'Max demand'!$D$9:$AB$9,0)),0)</f>
        <v>112.68141276999999</v>
      </c>
      <c r="N23" s="21" cm="1">
        <f t="array" ref="N23">IFERROR(INDEX('Max demand'!$D$11:$AB$85,MATCH(1,INDEX(($C23='Max demand'!$B$11:$B$85)*(N$9='Max demand'!$C$11:$C$85),0,1),0),MATCH($B23,'Max demand'!$D$9:$AB$9,0)),0)</f>
        <v>112.71531828000001</v>
      </c>
      <c r="O23" s="21" cm="1">
        <f t="array" ref="O23">IFERROR(INDEX('Max demand'!$D$11:$AB$85,MATCH(1,INDEX(($C23='Max demand'!$B$11:$B$85)*(O$9='Max demand'!$C$11:$C$85),0,1),0),MATCH($B23,'Max demand'!$D$9:$AB$9,0)),0)</f>
        <v>112.64176741999999</v>
      </c>
      <c r="P23" s="21" cm="1">
        <f t="array" ref="P23">IFERROR(INDEX('Max demand'!$D$11:$AB$85,MATCH(1,INDEX(($C23='Max demand'!$B$11:$B$85)*(P$9='Max demand'!$C$11:$C$85),0,1),0),MATCH($B23,'Max demand'!$D$9:$AB$9,0)),0)</f>
        <v>112.64676158</v>
      </c>
      <c r="R23" s="73">
        <f t="shared" si="14"/>
        <v>-3.0040460472735564E-3</v>
      </c>
      <c r="T23" s="2" t="str">
        <f t="shared" si="1"/>
        <v>North East Lake Macquarie</v>
      </c>
      <c r="U23" s="35" t="str">
        <f t="shared" si="2"/>
        <v>LV</v>
      </c>
      <c r="V23" s="35"/>
      <c r="W23" s="35" t="str">
        <f t="shared" si="3"/>
        <v>MW</v>
      </c>
      <c r="X23" s="79">
        <f t="shared" si="15"/>
        <v>0.97694952548838665</v>
      </c>
      <c r="Y23" s="79">
        <f t="shared" si="4"/>
        <v>0.97691479227709621</v>
      </c>
      <c r="Z23" s="79">
        <f t="shared" si="5"/>
        <v>0.97694251928525333</v>
      </c>
      <c r="AA23" s="79">
        <f t="shared" si="6"/>
        <v>0.9769634622605915</v>
      </c>
      <c r="AB23" s="79">
        <f t="shared" si="7"/>
        <v>0.97698528901873172</v>
      </c>
      <c r="AC23" s="79">
        <f t="shared" si="8"/>
        <v>0.97700045791104517</v>
      </c>
      <c r="AD23" s="79">
        <f t="shared" si="9"/>
        <v>0.97701719168764278</v>
      </c>
      <c r="AE23" s="79">
        <f t="shared" si="10"/>
        <v>0.97703535716577472</v>
      </c>
      <c r="AF23" s="79">
        <f t="shared" si="11"/>
        <v>0.97705736999478543</v>
      </c>
      <c r="AG23" s="79">
        <f t="shared" si="12"/>
        <v>0.97707121429290211</v>
      </c>
      <c r="AH23" s="79">
        <f t="shared" si="13"/>
        <v>0.97709330927443616</v>
      </c>
      <c r="AJ23" s="60">
        <f t="shared" si="16"/>
        <v>0.97700277169605876</v>
      </c>
      <c r="AN23" s="1"/>
    </row>
    <row r="24" spans="2:40">
      <c r="B24" s="2" t="str">
        <v>North West</v>
      </c>
      <c r="C24" s="35" t="str" cm="1">
        <f t="array" ref="C24">INDEX(network_levels,COUNTIFS($B$10:$B24,$B$10))</f>
        <v>LV</v>
      </c>
      <c r="D24" s="35"/>
      <c r="E24" s="35" t="s">
        <v>80</v>
      </c>
      <c r="F24" s="21" cm="1">
        <f t="array" ref="F24">IFERROR(INDEX('Max demand'!$D$11:$AB$85,MATCH(1,INDEX(($C24='Max demand'!$B$11:$B$85)*(F$9='Max demand'!$C$11:$C$85),0,1),0),MATCH($B24,'Max demand'!$D$9:$AB$9,0)),0)</f>
        <v>166.90259154</v>
      </c>
      <c r="G24" s="21" cm="1">
        <f t="array" ref="G24">IFERROR(INDEX('Max demand'!$D$11:$AB$85,MATCH(1,INDEX(($C24='Max demand'!$B$11:$B$85)*(G$9='Max demand'!$C$11:$C$85),0,1),0),MATCH($B24,'Max demand'!$D$9:$AB$9,0)),0)</f>
        <v>165.50409604999999</v>
      </c>
      <c r="H24" s="21" cm="1">
        <f t="array" ref="H24">IFERROR(INDEX('Max demand'!$D$11:$AB$85,MATCH(1,INDEX(($C24='Max demand'!$B$11:$B$85)*(H$9='Max demand'!$C$11:$C$85),0,1),0),MATCH($B24,'Max demand'!$D$9:$AB$9,0)),0)</f>
        <v>164.69369134999999</v>
      </c>
      <c r="I24" s="21" cm="1">
        <f t="array" ref="I24">IFERROR(INDEX('Max demand'!$D$11:$AB$85,MATCH(1,INDEX(($C24='Max demand'!$B$11:$B$85)*(I$9='Max demand'!$C$11:$C$85),0,1),0),MATCH($B24,'Max demand'!$D$9:$AB$9,0)),0)</f>
        <v>164.52995378</v>
      </c>
      <c r="J24" s="21" cm="1">
        <f t="array" ref="J24">IFERROR(INDEX('Max demand'!$D$11:$AB$85,MATCH(1,INDEX(($C24='Max demand'!$B$11:$B$85)*(J$9='Max demand'!$C$11:$C$85),0,1),0),MATCH($B24,'Max demand'!$D$9:$AB$9,0)),0)</f>
        <v>164.22221612000001</v>
      </c>
      <c r="K24" s="21" cm="1">
        <f t="array" ref="K24">IFERROR(INDEX('Max demand'!$D$11:$AB$85,MATCH(1,INDEX(($C24='Max demand'!$B$11:$B$85)*(K$9='Max demand'!$C$11:$C$85),0,1),0),MATCH($B24,'Max demand'!$D$9:$AB$9,0)),0)</f>
        <v>164.03868265</v>
      </c>
      <c r="L24" s="21" cm="1">
        <f t="array" ref="L24">IFERROR(INDEX('Max demand'!$D$11:$AB$85,MATCH(1,INDEX(($C24='Max demand'!$B$11:$B$85)*(L$9='Max demand'!$C$11:$C$85),0,1),0),MATCH($B24,'Max demand'!$D$9:$AB$9,0)),0)</f>
        <v>164.21932097000001</v>
      </c>
      <c r="M24" s="21" cm="1">
        <f t="array" ref="M24">IFERROR(INDEX('Max demand'!$D$11:$AB$85,MATCH(1,INDEX(($C24='Max demand'!$B$11:$B$85)*(M$9='Max demand'!$C$11:$C$85),0,1),0),MATCH($B24,'Max demand'!$D$9:$AB$9,0)),0)</f>
        <v>165.49611367</v>
      </c>
      <c r="N24" s="21" cm="1">
        <f t="array" ref="N24">IFERROR(INDEX('Max demand'!$D$11:$AB$85,MATCH(1,INDEX(($C24='Max demand'!$B$11:$B$85)*(N$9='Max demand'!$C$11:$C$85),0,1),0),MATCH($B24,'Max demand'!$D$9:$AB$9,0)),0)</f>
        <v>166.64774292000001</v>
      </c>
      <c r="O24" s="21" cm="1">
        <f t="array" ref="O24">IFERROR(INDEX('Max demand'!$D$11:$AB$85,MATCH(1,INDEX(($C24='Max demand'!$B$11:$B$85)*(O$9='Max demand'!$C$11:$C$85),0,1),0),MATCH($B24,'Max demand'!$D$9:$AB$9,0)),0)</f>
        <v>167.58619981999999</v>
      </c>
      <c r="P24" s="21" cm="1">
        <f t="array" ref="P24">IFERROR(INDEX('Max demand'!$D$11:$AB$85,MATCH(1,INDEX(($C24='Max demand'!$B$11:$B$85)*(P$9='Max demand'!$C$11:$C$85),0,1),0),MATCH($B24,'Max demand'!$D$9:$AB$9,0)),0)</f>
        <v>168.71416436000001</v>
      </c>
      <c r="R24" s="73">
        <f t="shared" si="14"/>
        <v>1.0801419139792046E-3</v>
      </c>
      <c r="T24" s="2" t="str">
        <f t="shared" si="1"/>
        <v>North West</v>
      </c>
      <c r="U24" s="35" t="str">
        <f t="shared" si="2"/>
        <v>LV</v>
      </c>
      <c r="V24" s="35"/>
      <c r="W24" s="35" t="str">
        <f t="shared" si="3"/>
        <v>MW</v>
      </c>
      <c r="X24" s="79">
        <f t="shared" si="15"/>
        <v>0.94162591484438773</v>
      </c>
      <c r="Y24" s="79">
        <f t="shared" si="4"/>
        <v>0.94130870850973369</v>
      </c>
      <c r="Z24" s="79">
        <f t="shared" si="5"/>
        <v>0.94110141416083937</v>
      </c>
      <c r="AA24" s="79">
        <f t="shared" si="6"/>
        <v>0.94104876760861256</v>
      </c>
      <c r="AB24" s="79">
        <f t="shared" si="7"/>
        <v>0.94095590566724929</v>
      </c>
      <c r="AC24" s="79">
        <f t="shared" si="8"/>
        <v>0.94087087206615971</v>
      </c>
      <c r="AD24" s="79">
        <f t="shared" si="9"/>
        <v>0.94086322799771482</v>
      </c>
      <c r="AE24" s="79">
        <f t="shared" si="10"/>
        <v>0.94111606066464604</v>
      </c>
      <c r="AF24" s="79">
        <f t="shared" si="11"/>
        <v>0.94134871033753531</v>
      </c>
      <c r="AG24" s="79">
        <f t="shared" si="12"/>
        <v>0.94154337190993309</v>
      </c>
      <c r="AH24" s="79">
        <f t="shared" si="13"/>
        <v>0.94178067665239218</v>
      </c>
      <c r="AJ24" s="60">
        <f t="shared" si="16"/>
        <v>0.94123305731083673</v>
      </c>
      <c r="AN24" s="1"/>
    </row>
    <row r="25" spans="2:40" s="1" customFormat="1">
      <c r="B25" s="2" t="str">
        <v>Pittwater &amp; Terrey Hills</v>
      </c>
      <c r="C25" s="35" t="str" cm="1">
        <f t="array" ref="C25">INDEX(network_levels,COUNTIFS($B$10:$B25,$B$10))</f>
        <v>LV</v>
      </c>
      <c r="D25" s="35"/>
      <c r="E25" s="35" t="s">
        <v>80</v>
      </c>
      <c r="F25" s="21" cm="1">
        <f t="array" ref="F25">IFERROR(INDEX('Max demand'!$D$11:$AB$85,MATCH(1,INDEX(($C25='Max demand'!$B$11:$B$85)*(F$9='Max demand'!$C$11:$C$85),0,1),0),MATCH($B25,'Max demand'!$D$9:$AB$9,0)),0)</f>
        <v>68.101802169999999</v>
      </c>
      <c r="G25" s="21" cm="1">
        <f t="array" ref="G25">IFERROR(INDEX('Max demand'!$D$11:$AB$85,MATCH(1,INDEX(($C25='Max demand'!$B$11:$B$85)*(G$9='Max demand'!$C$11:$C$85),0,1),0),MATCH($B25,'Max demand'!$D$9:$AB$9,0)),0)</f>
        <v>67.281416797000006</v>
      </c>
      <c r="H25" s="21" cm="1">
        <f t="array" ref="H25">IFERROR(INDEX('Max demand'!$D$11:$AB$85,MATCH(1,INDEX(($C25='Max demand'!$B$11:$B$85)*(H$9='Max demand'!$C$11:$C$85),0,1),0),MATCH($B25,'Max demand'!$D$9:$AB$9,0)),0)</f>
        <v>66.634511043000003</v>
      </c>
      <c r="I25" s="21" cm="1">
        <f t="array" ref="I25">IFERROR(INDEX('Max demand'!$D$11:$AB$85,MATCH(1,INDEX(($C25='Max demand'!$B$11:$B$85)*(I$9='Max demand'!$C$11:$C$85),0,1),0),MATCH($B25,'Max demand'!$D$9:$AB$9,0)),0)</f>
        <v>66.306300054999994</v>
      </c>
      <c r="J25" s="21" cm="1">
        <f t="array" ref="J25">IFERROR(INDEX('Max demand'!$D$11:$AB$85,MATCH(1,INDEX(($C25='Max demand'!$B$11:$B$85)*(J$9='Max demand'!$C$11:$C$85),0,1),0),MATCH($B25,'Max demand'!$D$9:$AB$9,0)),0)</f>
        <v>65.894950897000001</v>
      </c>
      <c r="K25" s="21" cm="1">
        <f t="array" ref="K25">IFERROR(INDEX('Max demand'!$D$11:$AB$85,MATCH(1,INDEX(($C25='Max demand'!$B$11:$B$85)*(K$9='Max demand'!$C$11:$C$85),0,1),0),MATCH($B25,'Max demand'!$D$9:$AB$9,0)),0)</f>
        <v>65.520494988999999</v>
      </c>
      <c r="L25" s="21" cm="1">
        <f t="array" ref="L25">IFERROR(INDEX('Max demand'!$D$11:$AB$85,MATCH(1,INDEX(($C25='Max demand'!$B$11:$B$85)*(L$9='Max demand'!$C$11:$C$85),0,1),0),MATCH($B25,'Max demand'!$D$9:$AB$9,0)),0)</f>
        <v>65.203145512999996</v>
      </c>
      <c r="M25" s="21" cm="1">
        <f t="array" ref="M25">IFERROR(INDEX('Max demand'!$D$11:$AB$85,MATCH(1,INDEX(($C25='Max demand'!$B$11:$B$85)*(M$9='Max demand'!$C$11:$C$85),0,1),0),MATCH($B25,'Max demand'!$D$9:$AB$9,0)),0)</f>
        <v>65.392070899000004</v>
      </c>
      <c r="N25" s="21" cm="1">
        <f t="array" ref="N25">IFERROR(INDEX('Max demand'!$D$11:$AB$85,MATCH(1,INDEX(($C25='Max demand'!$B$11:$B$85)*(N$9='Max demand'!$C$11:$C$85),0,1),0),MATCH($B25,'Max demand'!$D$9:$AB$9,0)),0)</f>
        <v>65.597433697</v>
      </c>
      <c r="O25" s="21" cm="1">
        <f t="array" ref="O25">IFERROR(INDEX('Max demand'!$D$11:$AB$85,MATCH(1,INDEX(($C25='Max demand'!$B$11:$B$85)*(O$9='Max demand'!$C$11:$C$85),0,1),0),MATCH($B25,'Max demand'!$D$9:$AB$9,0)),0)</f>
        <v>65.798674227999996</v>
      </c>
      <c r="P25" s="21" cm="1">
        <f t="array" ref="P25">IFERROR(INDEX('Max demand'!$D$11:$AB$85,MATCH(1,INDEX(($C25='Max demand'!$B$11:$B$85)*(P$9='Max demand'!$C$11:$C$85),0,1),0),MATCH($B25,'Max demand'!$D$9:$AB$9,0)),0)</f>
        <v>66.118595878999997</v>
      </c>
      <c r="Q25"/>
      <c r="R25" s="73">
        <f t="shared" si="14"/>
        <v>-2.9510011719365847E-3</v>
      </c>
      <c r="T25" s="2" t="str">
        <f t="shared" si="1"/>
        <v>Pittwater &amp; Terrey Hills</v>
      </c>
      <c r="U25" s="35" t="str">
        <f t="shared" si="2"/>
        <v>LV</v>
      </c>
      <c r="V25" s="35"/>
      <c r="W25" s="35" t="str">
        <f t="shared" si="3"/>
        <v>MW</v>
      </c>
      <c r="X25" s="79">
        <f t="shared" si="15"/>
        <v>0.99780274787940149</v>
      </c>
      <c r="Y25" s="79">
        <f t="shared" si="4"/>
        <v>0.99780876204522806</v>
      </c>
      <c r="Z25" s="79">
        <f t="shared" si="5"/>
        <v>0.99781158442383933</v>
      </c>
      <c r="AA25" s="79">
        <f t="shared" si="6"/>
        <v>0.99781434715906225</v>
      </c>
      <c r="AB25" s="79">
        <f t="shared" si="7"/>
        <v>0.99781839991962562</v>
      </c>
      <c r="AC25" s="79">
        <f t="shared" si="8"/>
        <v>0.99781862492790796</v>
      </c>
      <c r="AD25" s="79">
        <f t="shared" si="9"/>
        <v>0.99782144638336967</v>
      </c>
      <c r="AE25" s="79">
        <f t="shared" si="10"/>
        <v>0.99782581118558944</v>
      </c>
      <c r="AF25" s="79">
        <f t="shared" si="11"/>
        <v>0.99782757369359654</v>
      </c>
      <c r="AG25" s="79">
        <f t="shared" si="12"/>
        <v>0.99783259607268671</v>
      </c>
      <c r="AH25" s="79">
        <f t="shared" si="13"/>
        <v>0.99783658763185668</v>
      </c>
      <c r="AI25"/>
      <c r="AJ25" s="60">
        <f t="shared" si="16"/>
        <v>0.99781986193837857</v>
      </c>
      <c r="AL25"/>
    </row>
    <row r="26" spans="2:40" s="1" customFormat="1">
      <c r="B26" s="2" t="str">
        <v>Port Stephens</v>
      </c>
      <c r="C26" s="35" t="str" cm="1">
        <f t="array" ref="C26">INDEX(network_levels,COUNTIFS($B$10:$B26,$B$10))</f>
        <v>LV</v>
      </c>
      <c r="D26" s="35"/>
      <c r="E26" s="35" t="s">
        <v>80</v>
      </c>
      <c r="F26" s="21" cm="1">
        <f t="array" ref="F26">IFERROR(INDEX('Max demand'!$D$11:$AB$85,MATCH(1,INDEX(($C26='Max demand'!$B$11:$B$85)*(F$9='Max demand'!$C$11:$C$85),0,1),0),MATCH($B26,'Max demand'!$D$9:$AB$9,0)),0)</f>
        <v>97.514491394000004</v>
      </c>
      <c r="G26" s="21" cm="1">
        <f t="array" ref="G26">IFERROR(INDEX('Max demand'!$D$11:$AB$85,MATCH(1,INDEX(($C26='Max demand'!$B$11:$B$85)*(G$9='Max demand'!$C$11:$C$85),0,1),0),MATCH($B26,'Max demand'!$D$9:$AB$9,0)),0)</f>
        <v>96.518214721000007</v>
      </c>
      <c r="H26" s="21" cm="1">
        <f t="array" ref="H26">IFERROR(INDEX('Max demand'!$D$11:$AB$85,MATCH(1,INDEX(($C26='Max demand'!$B$11:$B$85)*(H$9='Max demand'!$C$11:$C$85),0,1),0),MATCH($B26,'Max demand'!$D$9:$AB$9,0)),0)</f>
        <v>96.100735012000001</v>
      </c>
      <c r="I26" s="21" cm="1">
        <f t="array" ref="I26">IFERROR(INDEX('Max demand'!$D$11:$AB$85,MATCH(1,INDEX(($C26='Max demand'!$B$11:$B$85)*(I$9='Max demand'!$C$11:$C$85),0,1),0),MATCH($B26,'Max demand'!$D$9:$AB$9,0)),0)</f>
        <v>96.013591251999998</v>
      </c>
      <c r="J26" s="21" cm="1">
        <f t="array" ref="J26">IFERROR(INDEX('Max demand'!$D$11:$AB$85,MATCH(1,INDEX(($C26='Max demand'!$B$11:$B$85)*(J$9='Max demand'!$C$11:$C$85),0,1),0),MATCH($B26,'Max demand'!$D$9:$AB$9,0)),0)</f>
        <v>95.775030849000004</v>
      </c>
      <c r="K26" s="21" cm="1">
        <f t="array" ref="K26">IFERROR(INDEX('Max demand'!$D$11:$AB$85,MATCH(1,INDEX(($C26='Max demand'!$B$11:$B$85)*(K$9='Max demand'!$C$11:$C$85),0,1),0),MATCH($B26,'Max demand'!$D$9:$AB$9,0)),0)</f>
        <v>95.451594256000007</v>
      </c>
      <c r="L26" s="21" cm="1">
        <f t="array" ref="L26">IFERROR(INDEX('Max demand'!$D$11:$AB$85,MATCH(1,INDEX(($C26='Max demand'!$B$11:$B$85)*(L$9='Max demand'!$C$11:$C$85),0,1),0),MATCH($B26,'Max demand'!$D$9:$AB$9,0)),0)</f>
        <v>95.151477560999993</v>
      </c>
      <c r="M26" s="21" cm="1">
        <f t="array" ref="M26">IFERROR(INDEX('Max demand'!$D$11:$AB$85,MATCH(1,INDEX(($C26='Max demand'!$B$11:$B$85)*(M$9='Max demand'!$C$11:$C$85),0,1),0),MATCH($B26,'Max demand'!$D$9:$AB$9,0)),0)</f>
        <v>95.336723930000005</v>
      </c>
      <c r="N26" s="21" cm="1">
        <f t="array" ref="N26">IFERROR(INDEX('Max demand'!$D$11:$AB$85,MATCH(1,INDEX(($C26='Max demand'!$B$11:$B$85)*(N$9='Max demand'!$C$11:$C$85),0,1),0),MATCH($B26,'Max demand'!$D$9:$AB$9,0)),0)</f>
        <v>95.545406702999998</v>
      </c>
      <c r="O26" s="21" cm="1">
        <f t="array" ref="O26">IFERROR(INDEX('Max demand'!$D$11:$AB$85,MATCH(1,INDEX(($C26='Max demand'!$B$11:$B$85)*(O$9='Max demand'!$C$11:$C$85),0,1),0),MATCH($B26,'Max demand'!$D$9:$AB$9,0)),0)</f>
        <v>95.648692026999996</v>
      </c>
      <c r="P26" s="21" cm="1">
        <f t="array" ref="P26">IFERROR(INDEX('Max demand'!$D$11:$AB$85,MATCH(1,INDEX(($C26='Max demand'!$B$11:$B$85)*(P$9='Max demand'!$C$11:$C$85),0,1),0),MATCH($B26,'Max demand'!$D$9:$AB$9,0)),0)</f>
        <v>95.810121425000006</v>
      </c>
      <c r="Q26"/>
      <c r="R26" s="73">
        <f t="shared" si="14"/>
        <v>-1.7617129215623528E-3</v>
      </c>
      <c r="T26" s="2" t="str">
        <f t="shared" si="1"/>
        <v>Port Stephens</v>
      </c>
      <c r="U26" s="35" t="str">
        <f t="shared" si="2"/>
        <v>LV</v>
      </c>
      <c r="V26" s="35"/>
      <c r="W26" s="35" t="str">
        <f t="shared" si="3"/>
        <v>MW</v>
      </c>
      <c r="X26" s="79">
        <f t="shared" si="15"/>
        <v>0.9324484515552407</v>
      </c>
      <c r="Y26" s="79">
        <f t="shared" si="4"/>
        <v>0.93190176074213793</v>
      </c>
      <c r="Z26" s="79">
        <f t="shared" si="5"/>
        <v>0.93165447855080086</v>
      </c>
      <c r="AA26" s="79">
        <f t="shared" si="6"/>
        <v>0.93159616466121642</v>
      </c>
      <c r="AB26" s="79">
        <f t="shared" si="7"/>
        <v>0.9314472405416947</v>
      </c>
      <c r="AC26" s="79">
        <f t="shared" si="8"/>
        <v>0.93124156192541707</v>
      </c>
      <c r="AD26" s="79">
        <f t="shared" si="9"/>
        <v>0.93104643348040206</v>
      </c>
      <c r="AE26" s="79">
        <f t="shared" si="10"/>
        <v>0.93115298900259746</v>
      </c>
      <c r="AF26" s="79">
        <f t="shared" si="11"/>
        <v>0.93127442487954737</v>
      </c>
      <c r="AG26" s="79">
        <f t="shared" si="12"/>
        <v>0.93132741639708982</v>
      </c>
      <c r="AH26" s="79">
        <f t="shared" si="13"/>
        <v>0.93141255964748726</v>
      </c>
      <c r="AI26"/>
      <c r="AJ26" s="60">
        <f t="shared" si="16"/>
        <v>0.93150031648942111</v>
      </c>
      <c r="AL26"/>
    </row>
    <row r="27" spans="2:40">
      <c r="B27" s="2" t="str">
        <v>Singleton</v>
      </c>
      <c r="C27" s="35" t="str" cm="1">
        <f t="array" ref="C27">INDEX(network_levels,COUNTIFS($B$10:$B27,$B$10))</f>
        <v>LV</v>
      </c>
      <c r="D27" s="35"/>
      <c r="E27" s="35" t="s">
        <v>80</v>
      </c>
      <c r="F27" s="21" cm="1">
        <f t="array" ref="F27">IFERROR(INDEX('Max demand'!$D$11:$AB$85,MATCH(1,INDEX(($C27='Max demand'!$B$11:$B$85)*(F$9='Max demand'!$C$11:$C$85),0,1),0),MATCH($B27,'Max demand'!$D$9:$AB$9,0)),0)</f>
        <v>51.909346048000003</v>
      </c>
      <c r="G27" s="21" cm="1">
        <f t="array" ref="G27">IFERROR(INDEX('Max demand'!$D$11:$AB$85,MATCH(1,INDEX(($C27='Max demand'!$B$11:$B$85)*(G$9='Max demand'!$C$11:$C$85),0,1),0),MATCH($B27,'Max demand'!$D$9:$AB$9,0)),0)</f>
        <v>51.526346808</v>
      </c>
      <c r="H27" s="21" cm="1">
        <f t="array" ref="H27">IFERROR(INDEX('Max demand'!$D$11:$AB$85,MATCH(1,INDEX(($C27='Max demand'!$B$11:$B$85)*(H$9='Max demand'!$C$11:$C$85),0,1),0),MATCH($B27,'Max demand'!$D$9:$AB$9,0)),0)</f>
        <v>51.354787168999998</v>
      </c>
      <c r="I27" s="21" cm="1">
        <f t="array" ref="I27">IFERROR(INDEX('Max demand'!$D$11:$AB$85,MATCH(1,INDEX(($C27='Max demand'!$B$11:$B$85)*(I$9='Max demand'!$C$11:$C$85),0,1),0),MATCH($B27,'Max demand'!$D$9:$AB$9,0)),0)</f>
        <v>51.323846017999998</v>
      </c>
      <c r="J27" s="21" cm="1">
        <f t="array" ref="J27">IFERROR(INDEX('Max demand'!$D$11:$AB$85,MATCH(1,INDEX(($C27='Max demand'!$B$11:$B$85)*(J$9='Max demand'!$C$11:$C$85),0,1),0),MATCH($B27,'Max demand'!$D$9:$AB$9,0)),0)</f>
        <v>51.223766152000003</v>
      </c>
      <c r="K27" s="21" cm="1">
        <f t="array" ref="K27">IFERROR(INDEX('Max demand'!$D$11:$AB$85,MATCH(1,INDEX(($C27='Max demand'!$B$11:$B$85)*(K$9='Max demand'!$C$11:$C$85),0,1),0),MATCH($B27,'Max demand'!$D$9:$AB$9,0)),0)</f>
        <v>51.080241184000002</v>
      </c>
      <c r="L27" s="21" cm="1">
        <f t="array" ref="L27">IFERROR(INDEX('Max demand'!$D$11:$AB$85,MATCH(1,INDEX(($C27='Max demand'!$B$11:$B$85)*(L$9='Max demand'!$C$11:$C$85),0,1),0),MATCH($B27,'Max demand'!$D$9:$AB$9,0)),0)</f>
        <v>50.983280827000002</v>
      </c>
      <c r="M27" s="21" cm="1">
        <f t="array" ref="M27">IFERROR(INDEX('Max demand'!$D$11:$AB$85,MATCH(1,INDEX(($C27='Max demand'!$B$11:$B$85)*(M$9='Max demand'!$C$11:$C$85),0,1),0),MATCH($B27,'Max demand'!$D$9:$AB$9,0)),0)</f>
        <v>51.042009110000002</v>
      </c>
      <c r="N27" s="21" cm="1">
        <f t="array" ref="N27">IFERROR(INDEX('Max demand'!$D$11:$AB$85,MATCH(1,INDEX(($C27='Max demand'!$B$11:$B$85)*(N$9='Max demand'!$C$11:$C$85),0,1),0),MATCH($B27,'Max demand'!$D$9:$AB$9,0)),0)</f>
        <v>51.091194565000002</v>
      </c>
      <c r="O27" s="21" cm="1">
        <f t="array" ref="O27">IFERROR(INDEX('Max demand'!$D$11:$AB$85,MATCH(1,INDEX(($C27='Max demand'!$B$11:$B$85)*(O$9='Max demand'!$C$11:$C$85),0,1),0),MATCH($B27,'Max demand'!$D$9:$AB$9,0)),0)</f>
        <v>51.098655121</v>
      </c>
      <c r="P27" s="21" cm="1">
        <f t="array" ref="P27">IFERROR(INDEX('Max demand'!$D$11:$AB$85,MATCH(1,INDEX(($C27='Max demand'!$B$11:$B$85)*(P$9='Max demand'!$C$11:$C$85),0,1),0),MATCH($B27,'Max demand'!$D$9:$AB$9,0)),0)</f>
        <v>51.195145496999999</v>
      </c>
      <c r="R27" s="73">
        <f t="shared" si="14"/>
        <v>-1.3844546489412135E-3</v>
      </c>
      <c r="T27" s="2" t="str">
        <f t="shared" si="1"/>
        <v>Singleton</v>
      </c>
      <c r="U27" s="35" t="str">
        <f t="shared" si="2"/>
        <v>LV</v>
      </c>
      <c r="V27" s="35"/>
      <c r="W27" s="35" t="str">
        <f t="shared" si="3"/>
        <v>MW</v>
      </c>
      <c r="X27" s="79">
        <f t="shared" si="15"/>
        <v>0.39456414663200517</v>
      </c>
      <c r="Y27" s="79">
        <f t="shared" si="4"/>
        <v>0.39291021624708972</v>
      </c>
      <c r="Z27" s="79">
        <f t="shared" si="5"/>
        <v>0.39217345203139981</v>
      </c>
      <c r="AA27" s="79">
        <f t="shared" si="6"/>
        <v>0.39205393429353952</v>
      </c>
      <c r="AB27" s="79">
        <f t="shared" si="7"/>
        <v>0.39162598977536917</v>
      </c>
      <c r="AC27" s="79">
        <f t="shared" si="8"/>
        <v>0.39099906142070101</v>
      </c>
      <c r="AD27" s="79">
        <f t="shared" si="9"/>
        <v>0.39057603282604958</v>
      </c>
      <c r="AE27" s="79">
        <f t="shared" si="10"/>
        <v>0.39085478759074177</v>
      </c>
      <c r="AF27" s="79">
        <f t="shared" si="11"/>
        <v>0.39109017461737805</v>
      </c>
      <c r="AG27" s="79">
        <f t="shared" si="12"/>
        <v>0.39113760280954296</v>
      </c>
      <c r="AH27" s="79">
        <f t="shared" si="13"/>
        <v>0.39158196693416641</v>
      </c>
      <c r="AJ27" s="60">
        <f t="shared" si="16"/>
        <v>0.39177885137981661</v>
      </c>
      <c r="AN27" s="1"/>
    </row>
    <row r="28" spans="2:40">
      <c r="B28" s="2" t="str">
        <v>St George</v>
      </c>
      <c r="C28" s="35" t="str" cm="1">
        <f t="array" ref="C28">INDEX(network_levels,COUNTIFS($B$10:$B28,$B$10))</f>
        <v>LV</v>
      </c>
      <c r="D28" s="35"/>
      <c r="E28" s="35" t="s">
        <v>80</v>
      </c>
      <c r="F28" s="21" cm="1">
        <f t="array" ref="F28">IFERROR(INDEX('Max demand'!$D$11:$AB$85,MATCH(1,INDEX(($C28='Max demand'!$B$11:$B$85)*(F$9='Max demand'!$C$11:$C$85),0,1),0),MATCH($B28,'Max demand'!$D$9:$AB$9,0)),0)</f>
        <v>226.69816098000001</v>
      </c>
      <c r="G28" s="21" cm="1">
        <f t="array" ref="G28">IFERROR(INDEX('Max demand'!$D$11:$AB$85,MATCH(1,INDEX(($C28='Max demand'!$B$11:$B$85)*(G$9='Max demand'!$C$11:$C$85),0,1),0),MATCH($B28,'Max demand'!$D$9:$AB$9,0)),0)</f>
        <v>224.89090279000001</v>
      </c>
      <c r="H28" s="21" cm="1">
        <f t="array" ref="H28">IFERROR(INDEX('Max demand'!$D$11:$AB$85,MATCH(1,INDEX(($C28='Max demand'!$B$11:$B$85)*(H$9='Max demand'!$C$11:$C$85),0,1),0),MATCH($B28,'Max demand'!$D$9:$AB$9,0)),0)</f>
        <v>223.341228</v>
      </c>
      <c r="I28" s="21" cm="1">
        <f t="array" ref="I28">IFERROR(INDEX('Max demand'!$D$11:$AB$85,MATCH(1,INDEX(($C28='Max demand'!$B$11:$B$85)*(I$9='Max demand'!$C$11:$C$85),0,1),0),MATCH($B28,'Max demand'!$D$9:$AB$9,0)),0)</f>
        <v>222.85942398</v>
      </c>
      <c r="J28" s="21" cm="1">
        <f t="array" ref="J28">IFERROR(INDEX('Max demand'!$D$11:$AB$85,MATCH(1,INDEX(($C28='Max demand'!$B$11:$B$85)*(J$9='Max demand'!$C$11:$C$85),0,1),0),MATCH($B28,'Max demand'!$D$9:$AB$9,0)),0)</f>
        <v>222.06497390000001</v>
      </c>
      <c r="K28" s="21" cm="1">
        <f t="array" ref="K28">IFERROR(INDEX('Max demand'!$D$11:$AB$85,MATCH(1,INDEX(($C28='Max demand'!$B$11:$B$85)*(K$9='Max demand'!$C$11:$C$85),0,1),0),MATCH($B28,'Max demand'!$D$9:$AB$9,0)),0)</f>
        <v>221.17041318</v>
      </c>
      <c r="L28" s="21" cm="1">
        <f t="array" ref="L28">IFERROR(INDEX('Max demand'!$D$11:$AB$85,MATCH(1,INDEX(($C28='Max demand'!$B$11:$B$85)*(L$9='Max demand'!$C$11:$C$85),0,1),0),MATCH($B28,'Max demand'!$D$9:$AB$9,0)),0)</f>
        <v>219.55775204</v>
      </c>
      <c r="M28" s="21" cm="1">
        <f t="array" ref="M28">IFERROR(INDEX('Max demand'!$D$11:$AB$85,MATCH(1,INDEX(($C28='Max demand'!$B$11:$B$85)*(M$9='Max demand'!$C$11:$C$85),0,1),0),MATCH($B28,'Max demand'!$D$9:$AB$9,0)),0)</f>
        <v>219.53620029999999</v>
      </c>
      <c r="N28" s="21" cm="1">
        <f t="array" ref="N28">IFERROR(INDEX('Max demand'!$D$11:$AB$85,MATCH(1,INDEX(($C28='Max demand'!$B$11:$B$85)*(N$9='Max demand'!$C$11:$C$85),0,1),0),MATCH($B28,'Max demand'!$D$9:$AB$9,0)),0)</f>
        <v>219.43315458999999</v>
      </c>
      <c r="O28" s="21" cm="1">
        <f t="array" ref="O28">IFERROR(INDEX('Max demand'!$D$11:$AB$85,MATCH(1,INDEX(($C28='Max demand'!$B$11:$B$85)*(O$9='Max demand'!$C$11:$C$85),0,1),0),MATCH($B28,'Max demand'!$D$9:$AB$9,0)),0)</f>
        <v>219.45186054999999</v>
      </c>
      <c r="P28" s="21" cm="1">
        <f t="array" ref="P28">IFERROR(INDEX('Max demand'!$D$11:$AB$85,MATCH(1,INDEX(($C28='Max demand'!$B$11:$B$85)*(P$9='Max demand'!$C$11:$C$85),0,1),0),MATCH($B28,'Max demand'!$D$9:$AB$9,0)),0)</f>
        <v>219.65459024</v>
      </c>
      <c r="R28" s="73">
        <f t="shared" si="14"/>
        <v>-3.1513417830735246E-3</v>
      </c>
      <c r="T28" s="2" t="str">
        <f t="shared" si="1"/>
        <v>St George</v>
      </c>
      <c r="U28" s="35" t="str">
        <f t="shared" si="2"/>
        <v>LV</v>
      </c>
      <c r="V28" s="35"/>
      <c r="W28" s="35" t="str">
        <f t="shared" si="3"/>
        <v>MW</v>
      </c>
      <c r="X28" s="79">
        <f t="shared" si="15"/>
        <v>0.99247115732511981</v>
      </c>
      <c r="Y28" s="79">
        <f t="shared" si="4"/>
        <v>0.9924935158757382</v>
      </c>
      <c r="Z28" s="79">
        <f t="shared" si="5"/>
        <v>0.99252126042755162</v>
      </c>
      <c r="AA28" s="79">
        <f t="shared" si="6"/>
        <v>0.99254336788995212</v>
      </c>
      <c r="AB28" s="79">
        <f t="shared" si="7"/>
        <v>0.9925658513324338</v>
      </c>
      <c r="AC28" s="79">
        <f t="shared" si="8"/>
        <v>0.99259280817388196</v>
      </c>
      <c r="AD28" s="79">
        <f t="shared" si="9"/>
        <v>0.992626871242967</v>
      </c>
      <c r="AE28" s="79">
        <f t="shared" si="10"/>
        <v>0.99265715190996828</v>
      </c>
      <c r="AF28" s="79">
        <f t="shared" si="11"/>
        <v>0.99269340328574518</v>
      </c>
      <c r="AG28" s="79">
        <f t="shared" si="12"/>
        <v>0.99273909978673547</v>
      </c>
      <c r="AH28" s="79">
        <f t="shared" si="13"/>
        <v>0.99277666420520416</v>
      </c>
      <c r="AJ28" s="60">
        <f t="shared" si="16"/>
        <v>0.99260737740502702</v>
      </c>
      <c r="AN28" s="1"/>
    </row>
    <row r="29" spans="2:40">
      <c r="B29" s="2" t="str">
        <v>Sutherland</v>
      </c>
      <c r="C29" s="35" t="str" cm="1">
        <f t="array" ref="C29">INDEX(network_levels,COUNTIFS($B$10:$B29,$B$10))</f>
        <v>LV</v>
      </c>
      <c r="D29" s="35"/>
      <c r="E29" s="35" t="s">
        <v>80</v>
      </c>
      <c r="F29" s="21" cm="1">
        <f t="array" ref="F29">IFERROR(INDEX('Max demand'!$D$11:$AB$85,MATCH(1,INDEX(($C29='Max demand'!$B$11:$B$85)*(F$9='Max demand'!$C$11:$C$85),0,1),0),MATCH($B29,'Max demand'!$D$9:$AB$9,0)),0)</f>
        <v>259.89808483000002</v>
      </c>
      <c r="G29" s="21" cm="1">
        <f t="array" ref="G29">IFERROR(INDEX('Max demand'!$D$11:$AB$85,MATCH(1,INDEX(($C29='Max demand'!$B$11:$B$85)*(G$9='Max demand'!$C$11:$C$85),0,1),0),MATCH($B29,'Max demand'!$D$9:$AB$9,0)),0)</f>
        <v>258.11510728000002</v>
      </c>
      <c r="H29" s="21" cm="1">
        <f t="array" ref="H29">IFERROR(INDEX('Max demand'!$D$11:$AB$85,MATCH(1,INDEX(($C29='Max demand'!$B$11:$B$85)*(H$9='Max demand'!$C$11:$C$85),0,1),0),MATCH($B29,'Max demand'!$D$9:$AB$9,0)),0)</f>
        <v>256.57885415999999</v>
      </c>
      <c r="I29" s="21" cm="1">
        <f t="array" ref="I29">IFERROR(INDEX('Max demand'!$D$11:$AB$85,MATCH(1,INDEX(($C29='Max demand'!$B$11:$B$85)*(I$9='Max demand'!$C$11:$C$85),0,1),0),MATCH($B29,'Max demand'!$D$9:$AB$9,0)),0)</f>
        <v>255.96397712000001</v>
      </c>
      <c r="J29" s="21" cm="1">
        <f t="array" ref="J29">IFERROR(INDEX('Max demand'!$D$11:$AB$85,MATCH(1,INDEX(($C29='Max demand'!$B$11:$B$85)*(J$9='Max demand'!$C$11:$C$85),0,1),0),MATCH($B29,'Max demand'!$D$9:$AB$9,0)),0)</f>
        <v>254.88641226999999</v>
      </c>
      <c r="K29" s="21" cm="1">
        <f t="array" ref="K29">IFERROR(INDEX('Max demand'!$D$11:$AB$85,MATCH(1,INDEX(($C29='Max demand'!$B$11:$B$85)*(K$9='Max demand'!$C$11:$C$85),0,1),0),MATCH($B29,'Max demand'!$D$9:$AB$9,0)),0)</f>
        <v>253.62586504000001</v>
      </c>
      <c r="L29" s="21" cm="1">
        <f t="array" ref="L29">IFERROR(INDEX('Max demand'!$D$11:$AB$85,MATCH(1,INDEX(($C29='Max demand'!$B$11:$B$85)*(L$9='Max demand'!$C$11:$C$85),0,1),0),MATCH($B29,'Max demand'!$D$9:$AB$9,0)),0)</f>
        <v>252.01431987999999</v>
      </c>
      <c r="M29" s="21" cm="1">
        <f t="array" ref="M29">IFERROR(INDEX('Max demand'!$D$11:$AB$85,MATCH(1,INDEX(($C29='Max demand'!$B$11:$B$85)*(M$9='Max demand'!$C$11:$C$85),0,1),0),MATCH($B29,'Max demand'!$D$9:$AB$9,0)),0)</f>
        <v>251.80260319999999</v>
      </c>
      <c r="N29" s="21" cm="1">
        <f t="array" ref="N29">IFERROR(INDEX('Max demand'!$D$11:$AB$85,MATCH(1,INDEX(($C29='Max demand'!$B$11:$B$85)*(N$9='Max demand'!$C$11:$C$85),0,1),0),MATCH($B29,'Max demand'!$D$9:$AB$9,0)),0)</f>
        <v>251.53644634</v>
      </c>
      <c r="O29" s="21" cm="1">
        <f t="array" ref="O29">IFERROR(INDEX('Max demand'!$D$11:$AB$85,MATCH(1,INDEX(($C29='Max demand'!$B$11:$B$85)*(O$9='Max demand'!$C$11:$C$85),0,1),0),MATCH($B29,'Max demand'!$D$9:$AB$9,0)),0)</f>
        <v>251.03434138</v>
      </c>
      <c r="P29" s="21" cm="1">
        <f t="array" ref="P29">IFERROR(INDEX('Max demand'!$D$11:$AB$85,MATCH(1,INDEX(($C29='Max demand'!$B$11:$B$85)*(P$9='Max demand'!$C$11:$C$85),0,1),0),MATCH($B29,'Max demand'!$D$9:$AB$9,0)),0)</f>
        <v>250.74671283000001</v>
      </c>
      <c r="R29" s="73">
        <f t="shared" si="14"/>
        <v>-3.57820843416079E-3</v>
      </c>
      <c r="T29" s="2" t="str">
        <f t="shared" si="1"/>
        <v>Sutherland</v>
      </c>
      <c r="U29" s="35" t="str">
        <f t="shared" si="2"/>
        <v>LV</v>
      </c>
      <c r="V29" s="35"/>
      <c r="W29" s="35" t="str">
        <f t="shared" si="3"/>
        <v>MW</v>
      </c>
      <c r="X29" s="79">
        <f t="shared" si="15"/>
        <v>0.98003774090736306</v>
      </c>
      <c r="Y29" s="79">
        <f t="shared" si="4"/>
        <v>0.97995153519374045</v>
      </c>
      <c r="Z29" s="79">
        <f t="shared" si="5"/>
        <v>0.97986836216377848</v>
      </c>
      <c r="AA29" s="79">
        <f t="shared" si="6"/>
        <v>0.97983356604989258</v>
      </c>
      <c r="AB29" s="79">
        <f t="shared" si="7"/>
        <v>0.97977269502713882</v>
      </c>
      <c r="AC29" s="79">
        <f t="shared" si="8"/>
        <v>0.97970102028569961</v>
      </c>
      <c r="AD29" s="79">
        <f t="shared" si="9"/>
        <v>0.97960801122098751</v>
      </c>
      <c r="AE29" s="79">
        <f t="shared" si="10"/>
        <v>0.97959555718120217</v>
      </c>
      <c r="AF29" s="79">
        <f t="shared" si="11"/>
        <v>0.97958236434859225</v>
      </c>
      <c r="AG29" s="79">
        <f t="shared" si="12"/>
        <v>0.97955484418091865</v>
      </c>
      <c r="AH29" s="79">
        <f t="shared" si="13"/>
        <v>0.97954060494249717</v>
      </c>
      <c r="AJ29" s="60">
        <f t="shared" si="16"/>
        <v>0.97973148195471016</v>
      </c>
      <c r="AN29" s="1"/>
    </row>
    <row r="30" spans="2:40">
      <c r="B30" s="2" t="str">
        <v>Sydney CBD</v>
      </c>
      <c r="C30" s="35" t="str" cm="1">
        <f t="array" ref="C30">INDEX(network_levels,COUNTIFS($B$10:$B30,$B$10))</f>
        <v>LV</v>
      </c>
      <c r="D30" s="35"/>
      <c r="E30" s="35" t="s">
        <v>80</v>
      </c>
      <c r="F30" s="21" cm="1">
        <f t="array" ref="F30">IFERROR(INDEX('Max demand'!$D$11:$AB$85,MATCH(1,INDEX(($C30='Max demand'!$B$11:$B$85)*(F$9='Max demand'!$C$11:$C$85),0,1),0),MATCH($B30,'Max demand'!$D$9:$AB$9,0)),0)</f>
        <v>282.63145304</v>
      </c>
      <c r="G30" s="21" cm="1">
        <f t="array" ref="G30">IFERROR(INDEX('Max demand'!$D$11:$AB$85,MATCH(1,INDEX(($C30='Max demand'!$B$11:$B$85)*(G$9='Max demand'!$C$11:$C$85),0,1),0),MATCH($B30,'Max demand'!$D$9:$AB$9,0)),0)</f>
        <v>277.98846742000001</v>
      </c>
      <c r="H30" s="21" cm="1">
        <f t="array" ref="H30">IFERROR(INDEX('Max demand'!$D$11:$AB$85,MATCH(1,INDEX(($C30='Max demand'!$B$11:$B$85)*(H$9='Max demand'!$C$11:$C$85),0,1),0),MATCH($B30,'Max demand'!$D$9:$AB$9,0)),0)</f>
        <v>277.04690201</v>
      </c>
      <c r="I30" s="21" cm="1">
        <f t="array" ref="I30">IFERROR(INDEX('Max demand'!$D$11:$AB$85,MATCH(1,INDEX(($C30='Max demand'!$B$11:$B$85)*(I$9='Max demand'!$C$11:$C$85),0,1),0),MATCH($B30,'Max demand'!$D$9:$AB$9,0)),0)</f>
        <v>278.86170078999999</v>
      </c>
      <c r="J30" s="21" cm="1">
        <f t="array" ref="J30">IFERROR(INDEX('Max demand'!$D$11:$AB$85,MATCH(1,INDEX(($C30='Max demand'!$B$11:$B$85)*(J$9='Max demand'!$C$11:$C$85),0,1),0),MATCH($B30,'Max demand'!$D$9:$AB$9,0)),0)</f>
        <v>279.96262917000001</v>
      </c>
      <c r="K30" s="21" cm="1">
        <f t="array" ref="K30">IFERROR(INDEX('Max demand'!$D$11:$AB$85,MATCH(1,INDEX(($C30='Max demand'!$B$11:$B$85)*(K$9='Max demand'!$C$11:$C$85),0,1),0),MATCH($B30,'Max demand'!$D$9:$AB$9,0)),0)</f>
        <v>281.31343686000002</v>
      </c>
      <c r="L30" s="21" cm="1">
        <f t="array" ref="L30">IFERROR(INDEX('Max demand'!$D$11:$AB$85,MATCH(1,INDEX(($C30='Max demand'!$B$11:$B$85)*(L$9='Max demand'!$C$11:$C$85),0,1),0),MATCH($B30,'Max demand'!$D$9:$AB$9,0)),0)</f>
        <v>282.7271599</v>
      </c>
      <c r="M30" s="21" cm="1">
        <f t="array" ref="M30">IFERROR(INDEX('Max demand'!$D$11:$AB$85,MATCH(1,INDEX(($C30='Max demand'!$B$11:$B$85)*(M$9='Max demand'!$C$11:$C$85),0,1),0),MATCH($B30,'Max demand'!$D$9:$AB$9,0)),0)</f>
        <v>285.47033248000002</v>
      </c>
      <c r="N30" s="21" cm="1">
        <f t="array" ref="N30">IFERROR(INDEX('Max demand'!$D$11:$AB$85,MATCH(1,INDEX(($C30='Max demand'!$B$11:$B$85)*(N$9='Max demand'!$C$11:$C$85),0,1),0),MATCH($B30,'Max demand'!$D$9:$AB$9,0)),0)</f>
        <v>288.11779357</v>
      </c>
      <c r="O30" s="21" cm="1">
        <f t="array" ref="O30">IFERROR(INDEX('Max demand'!$D$11:$AB$85,MATCH(1,INDEX(($C30='Max demand'!$B$11:$B$85)*(O$9='Max demand'!$C$11:$C$85),0,1),0),MATCH($B30,'Max demand'!$D$9:$AB$9,0)),0)</f>
        <v>290.64653579999998</v>
      </c>
      <c r="P30" s="21" cm="1">
        <f t="array" ref="P30">IFERROR(INDEX('Max demand'!$D$11:$AB$85,MATCH(1,INDEX(($C30='Max demand'!$B$11:$B$85)*(P$9='Max demand'!$C$11:$C$85),0,1),0),MATCH($B30,'Max demand'!$D$9:$AB$9,0)),0)</f>
        <v>293.92681012000003</v>
      </c>
      <c r="R30" s="73">
        <f t="shared" si="14"/>
        <v>3.9263909874511782E-3</v>
      </c>
      <c r="T30" s="2" t="str">
        <f t="shared" si="1"/>
        <v>Sydney CBD</v>
      </c>
      <c r="U30" s="35" t="str">
        <f t="shared" si="2"/>
        <v>LV</v>
      </c>
      <c r="V30" s="35"/>
      <c r="W30" s="35" t="str">
        <f t="shared" si="3"/>
        <v>MW</v>
      </c>
      <c r="X30" s="79">
        <f t="shared" si="15"/>
        <v>0.9946919022964319</v>
      </c>
      <c r="Y30" s="79">
        <f t="shared" si="4"/>
        <v>0.99469746443228824</v>
      </c>
      <c r="Z30" s="79">
        <f t="shared" si="5"/>
        <v>0.99471105829138073</v>
      </c>
      <c r="AA30" s="79">
        <f t="shared" si="6"/>
        <v>0.99472278105079104</v>
      </c>
      <c r="AB30" s="79">
        <f t="shared" si="7"/>
        <v>0.9947356592660771</v>
      </c>
      <c r="AC30" s="79">
        <f t="shared" si="8"/>
        <v>0.99474852893373022</v>
      </c>
      <c r="AD30" s="79">
        <f t="shared" si="9"/>
        <v>0.99475734651480108</v>
      </c>
      <c r="AE30" s="79">
        <f t="shared" si="10"/>
        <v>0.9947658801603777</v>
      </c>
      <c r="AF30" s="79">
        <f t="shared" si="11"/>
        <v>0.99477318314132679</v>
      </c>
      <c r="AG30" s="79">
        <f t="shared" si="12"/>
        <v>0.99477973574107359</v>
      </c>
      <c r="AH30" s="79">
        <f t="shared" si="13"/>
        <v>0.99478483431104525</v>
      </c>
      <c r="AJ30" s="60">
        <f t="shared" si="16"/>
        <v>0.99474257946721101</v>
      </c>
      <c r="AN30" s="1"/>
    </row>
    <row r="31" spans="2:40">
      <c r="B31" s="2" t="str">
        <v>Upper Central Coast</v>
      </c>
      <c r="C31" s="35" t="str" cm="1">
        <f t="array" ref="C31">INDEX(network_levels,COUNTIFS($B$10:$B31,$B$10))</f>
        <v>LV</v>
      </c>
      <c r="D31" s="35"/>
      <c r="E31" s="35" t="s">
        <v>80</v>
      </c>
      <c r="F31" s="21" cm="1">
        <f t="array" ref="F31">IFERROR(INDEX('Max demand'!$D$11:$AB$85,MATCH(1,INDEX(($C31='Max demand'!$B$11:$B$85)*(F$9='Max demand'!$C$11:$C$85),0,1),0),MATCH($B31,'Max demand'!$D$9:$AB$9,0)),0)</f>
        <v>119.06061808</v>
      </c>
      <c r="G31" s="21" cm="1">
        <f t="array" ref="G31">IFERROR(INDEX('Max demand'!$D$11:$AB$85,MATCH(1,INDEX(($C31='Max demand'!$B$11:$B$85)*(G$9='Max demand'!$C$11:$C$85),0,1),0),MATCH($B31,'Max demand'!$D$9:$AB$9,0)),0)</f>
        <v>118.19030538</v>
      </c>
      <c r="H31" s="21" cm="1">
        <f t="array" ref="H31">IFERROR(INDEX('Max demand'!$D$11:$AB$85,MATCH(1,INDEX(($C31='Max demand'!$B$11:$B$85)*(H$9='Max demand'!$C$11:$C$85),0,1),0),MATCH($B31,'Max demand'!$D$9:$AB$9,0)),0)</f>
        <v>117.94539414</v>
      </c>
      <c r="I31" s="21" cm="1">
        <f t="array" ref="I31">IFERROR(INDEX('Max demand'!$D$11:$AB$85,MATCH(1,INDEX(($C31='Max demand'!$B$11:$B$85)*(I$9='Max demand'!$C$11:$C$85),0,1),0),MATCH($B31,'Max demand'!$D$9:$AB$9,0)),0)</f>
        <v>118.14626081</v>
      </c>
      <c r="J31" s="21" cm="1">
        <f t="array" ref="J31">IFERROR(INDEX('Max demand'!$D$11:$AB$85,MATCH(1,INDEX(($C31='Max demand'!$B$11:$B$85)*(J$9='Max demand'!$C$11:$C$85),0,1),0),MATCH($B31,'Max demand'!$D$9:$AB$9,0)),0)</f>
        <v>118.20093417</v>
      </c>
      <c r="K31" s="21" cm="1">
        <f t="array" ref="K31">IFERROR(INDEX('Max demand'!$D$11:$AB$85,MATCH(1,INDEX(($C31='Max demand'!$B$11:$B$85)*(K$9='Max demand'!$C$11:$C$85),0,1),0),MATCH($B31,'Max demand'!$D$9:$AB$9,0)),0)</f>
        <v>118.4438744</v>
      </c>
      <c r="L31" s="21" cm="1">
        <f t="array" ref="L31">IFERROR(INDEX('Max demand'!$D$11:$AB$85,MATCH(1,INDEX(($C31='Max demand'!$B$11:$B$85)*(L$9='Max demand'!$C$11:$C$85),0,1),0),MATCH($B31,'Max demand'!$D$9:$AB$9,0)),0)</f>
        <v>119.13324937</v>
      </c>
      <c r="M31" s="21" cm="1">
        <f t="array" ref="M31">IFERROR(INDEX('Max demand'!$D$11:$AB$85,MATCH(1,INDEX(($C31='Max demand'!$B$11:$B$85)*(M$9='Max demand'!$C$11:$C$85),0,1),0),MATCH($B31,'Max demand'!$D$9:$AB$9,0)),0)</f>
        <v>120.52517244000001</v>
      </c>
      <c r="N31" s="21" cm="1">
        <f t="array" ref="N31">IFERROR(INDEX('Max demand'!$D$11:$AB$85,MATCH(1,INDEX(($C31='Max demand'!$B$11:$B$85)*(N$9='Max demand'!$C$11:$C$85),0,1),0),MATCH($B31,'Max demand'!$D$9:$AB$9,0)),0)</f>
        <v>121.74310409</v>
      </c>
      <c r="O31" s="21" cm="1">
        <f t="array" ref="O31">IFERROR(INDEX('Max demand'!$D$11:$AB$85,MATCH(1,INDEX(($C31='Max demand'!$B$11:$B$85)*(O$9='Max demand'!$C$11:$C$85),0,1),0),MATCH($B31,'Max demand'!$D$9:$AB$9,0)),0)</f>
        <v>122.67006659</v>
      </c>
      <c r="P31" s="21" cm="1">
        <f t="array" ref="P31">IFERROR(INDEX('Max demand'!$D$11:$AB$85,MATCH(1,INDEX(($C31='Max demand'!$B$11:$B$85)*(P$9='Max demand'!$C$11:$C$85),0,1),0),MATCH($B31,'Max demand'!$D$9:$AB$9,0)),0)</f>
        <v>123.59496835</v>
      </c>
      <c r="R31" s="73">
        <f t="shared" si="14"/>
        <v>3.7447015409761697E-3</v>
      </c>
      <c r="T31" s="2" t="str">
        <f t="shared" si="1"/>
        <v>Upper Central Coast</v>
      </c>
      <c r="U31" s="35" t="str">
        <f t="shared" si="2"/>
        <v>LV</v>
      </c>
      <c r="V31" s="35"/>
      <c r="W31" s="35" t="str">
        <f t="shared" si="3"/>
        <v>MW</v>
      </c>
      <c r="X31" s="79">
        <f t="shared" si="15"/>
        <v>1.0380159768736854</v>
      </c>
      <c r="Y31" s="79">
        <f t="shared" si="4"/>
        <v>1.0383541496352446</v>
      </c>
      <c r="Z31" s="79">
        <f t="shared" si="5"/>
        <v>1.0384533343250215</v>
      </c>
      <c r="AA31" s="79">
        <f t="shared" si="6"/>
        <v>1.038355512607416</v>
      </c>
      <c r="AB31" s="79">
        <f t="shared" si="7"/>
        <v>1.0383208211115482</v>
      </c>
      <c r="AC31" s="79">
        <f t="shared" si="8"/>
        <v>1.0381876594522184</v>
      </c>
      <c r="AD31" s="79">
        <f t="shared" si="9"/>
        <v>1.0378588707502079</v>
      </c>
      <c r="AE31" s="79">
        <f t="shared" si="10"/>
        <v>1.0372268760833714</v>
      </c>
      <c r="AF31" s="79">
        <f t="shared" si="11"/>
        <v>1.0366887929960102</v>
      </c>
      <c r="AG31" s="79">
        <f t="shared" si="12"/>
        <v>1.03629137989521</v>
      </c>
      <c r="AH31" s="79">
        <f t="shared" si="13"/>
        <v>1.0359018747002162</v>
      </c>
      <c r="AJ31" s="60">
        <f t="shared" si="16"/>
        <v>1.037605022584559</v>
      </c>
      <c r="AN31" s="1"/>
    </row>
    <row r="32" spans="2:40">
      <c r="B32" s="2" t="str">
        <v>Upper Hunter</v>
      </c>
      <c r="C32" s="35" t="str" cm="1">
        <f t="array" ref="C32">INDEX(network_levels,COUNTIFS($B$10:$B32,$B$10))</f>
        <v>LV</v>
      </c>
      <c r="D32" s="35"/>
      <c r="E32" s="35" t="s">
        <v>80</v>
      </c>
      <c r="F32" s="21" cm="1">
        <f t="array" ref="F32">IFERROR(INDEX('Max demand'!$D$11:$AB$85,MATCH(1,INDEX(($C32='Max demand'!$B$11:$B$85)*(F$9='Max demand'!$C$11:$C$85),0,1),0),MATCH($B32,'Max demand'!$D$9:$AB$9,0)),0)</f>
        <v>51.978168222999997</v>
      </c>
      <c r="G32" s="21" cm="1">
        <f t="array" ref="G32">IFERROR(INDEX('Max demand'!$D$11:$AB$85,MATCH(1,INDEX(($C32='Max demand'!$B$11:$B$85)*(G$9='Max demand'!$C$11:$C$85),0,1),0),MATCH($B32,'Max demand'!$D$9:$AB$9,0)),0)</f>
        <v>51.566320150999999</v>
      </c>
      <c r="H32" s="21" cm="1">
        <f t="array" ref="H32">IFERROR(INDEX('Max demand'!$D$11:$AB$85,MATCH(1,INDEX(($C32='Max demand'!$B$11:$B$85)*(H$9='Max demand'!$C$11:$C$85),0,1),0),MATCH($B32,'Max demand'!$D$9:$AB$9,0)),0)</f>
        <v>51.331506525999998</v>
      </c>
      <c r="I32" s="21" cm="1">
        <f t="array" ref="I32">IFERROR(INDEX('Max demand'!$D$11:$AB$85,MATCH(1,INDEX(($C32='Max demand'!$B$11:$B$85)*(I$9='Max demand'!$C$11:$C$85),0,1),0),MATCH($B32,'Max demand'!$D$9:$AB$9,0)),0)</f>
        <v>51.278424686000001</v>
      </c>
      <c r="J32" s="21" cm="1">
        <f t="array" ref="J32">IFERROR(INDEX('Max demand'!$D$11:$AB$85,MATCH(1,INDEX(($C32='Max demand'!$B$11:$B$85)*(J$9='Max demand'!$C$11:$C$85),0,1),0),MATCH($B32,'Max demand'!$D$9:$AB$9,0)),0)</f>
        <v>51.139919046999999</v>
      </c>
      <c r="K32" s="21" cm="1">
        <f t="array" ref="K32">IFERROR(INDEX('Max demand'!$D$11:$AB$85,MATCH(1,INDEX(($C32='Max demand'!$B$11:$B$85)*(K$9='Max demand'!$C$11:$C$85),0,1),0),MATCH($B32,'Max demand'!$D$9:$AB$9,0)),0)</f>
        <v>50.962472722999998</v>
      </c>
      <c r="L32" s="21" cm="1">
        <f t="array" ref="L32">IFERROR(INDEX('Max demand'!$D$11:$AB$85,MATCH(1,INDEX(($C32='Max demand'!$B$11:$B$85)*(L$9='Max demand'!$C$11:$C$85),0,1),0),MATCH($B32,'Max demand'!$D$9:$AB$9,0)),0)</f>
        <v>50.757613124999999</v>
      </c>
      <c r="M32" s="21" cm="1">
        <f t="array" ref="M32">IFERROR(INDEX('Max demand'!$D$11:$AB$85,MATCH(1,INDEX(($C32='Max demand'!$B$11:$B$85)*(M$9='Max demand'!$C$11:$C$85),0,1),0),MATCH($B32,'Max demand'!$D$9:$AB$9,0)),0)</f>
        <v>50.784083905999999</v>
      </c>
      <c r="N32" s="21" cm="1">
        <f t="array" ref="N32">IFERROR(INDEX('Max demand'!$D$11:$AB$85,MATCH(1,INDEX(($C32='Max demand'!$B$11:$B$85)*(N$9='Max demand'!$C$11:$C$85),0,1),0),MATCH($B32,'Max demand'!$D$9:$AB$9,0)),0)</f>
        <v>50.803351098999997</v>
      </c>
      <c r="O32" s="21" cm="1">
        <f t="array" ref="O32">IFERROR(INDEX('Max demand'!$D$11:$AB$85,MATCH(1,INDEX(($C32='Max demand'!$B$11:$B$85)*(O$9='Max demand'!$C$11:$C$85),0,1),0),MATCH($B32,'Max demand'!$D$9:$AB$9,0)),0)</f>
        <v>50.855120434</v>
      </c>
      <c r="P32" s="21" cm="1">
        <f t="array" ref="P32">IFERROR(INDEX('Max demand'!$D$11:$AB$85,MATCH(1,INDEX(($C32='Max demand'!$B$11:$B$85)*(P$9='Max demand'!$C$11:$C$85),0,1),0),MATCH($B32,'Max demand'!$D$9:$AB$9,0)),0)</f>
        <v>50.911755882000001</v>
      </c>
      <c r="R32" s="73">
        <f t="shared" si="14"/>
        <v>-2.0708459651712641E-3</v>
      </c>
      <c r="T32" s="2" t="str">
        <f t="shared" si="1"/>
        <v>Upper Hunter</v>
      </c>
      <c r="U32" s="35" t="str">
        <f t="shared" si="2"/>
        <v>LV</v>
      </c>
      <c r="V32" s="35"/>
      <c r="W32" s="35" t="str">
        <f t="shared" si="3"/>
        <v>MW</v>
      </c>
      <c r="X32" s="79">
        <f t="shared" si="15"/>
        <v>0.75904549960337819</v>
      </c>
      <c r="Y32" s="79">
        <f t="shared" si="4"/>
        <v>0.75766999354634978</v>
      </c>
      <c r="Z32" s="79">
        <f t="shared" si="5"/>
        <v>0.756882968434062</v>
      </c>
      <c r="AA32" s="79">
        <f t="shared" si="6"/>
        <v>0.75671210320033178</v>
      </c>
      <c r="AB32" s="79">
        <f t="shared" si="7"/>
        <v>0.75625013988779188</v>
      </c>
      <c r="AC32" s="79">
        <f t="shared" si="8"/>
        <v>0.75565531058004409</v>
      </c>
      <c r="AD32" s="79">
        <f t="shared" si="9"/>
        <v>0.75496828340918731</v>
      </c>
      <c r="AE32" s="79">
        <f t="shared" si="10"/>
        <v>0.75507445625590275</v>
      </c>
      <c r="AF32" s="79">
        <f t="shared" si="11"/>
        <v>0.75515683641038911</v>
      </c>
      <c r="AG32" s="79">
        <f t="shared" si="12"/>
        <v>0.7553272739771123</v>
      </c>
      <c r="AH32" s="79">
        <f t="shared" si="13"/>
        <v>0.75552300662731331</v>
      </c>
      <c r="AJ32" s="60">
        <f t="shared" si="16"/>
        <v>0.75620598835744213</v>
      </c>
      <c r="AN32" s="1"/>
    </row>
    <row r="33" spans="2:40">
      <c r="B33" s="2" t="str">
        <v>Upper North Shore</v>
      </c>
      <c r="C33" s="35" t="str" cm="1">
        <f t="array" ref="C33">INDEX(network_levels,COUNTIFS($B$10:$B33,$B$10))</f>
        <v>LV</v>
      </c>
      <c r="D33" s="35"/>
      <c r="E33" s="35" t="s">
        <v>80</v>
      </c>
      <c r="F33" s="21" cm="1">
        <f t="array" ref="F33">IFERROR(INDEX('Max demand'!$D$11:$AB$85,MATCH(1,INDEX(($C33='Max demand'!$B$11:$B$85)*(F$9='Max demand'!$C$11:$C$85),0,1),0),MATCH($B33,'Max demand'!$D$9:$AB$9,0)),0)</f>
        <v>137.69141658999999</v>
      </c>
      <c r="G33" s="21" cm="1">
        <f t="array" ref="G33">IFERROR(INDEX('Max demand'!$D$11:$AB$85,MATCH(1,INDEX(($C33='Max demand'!$B$11:$B$85)*(G$9='Max demand'!$C$11:$C$85),0,1),0),MATCH($B33,'Max demand'!$D$9:$AB$9,0)),0)</f>
        <v>136.69083795</v>
      </c>
      <c r="H33" s="21" cm="1">
        <f t="array" ref="H33">IFERROR(INDEX('Max demand'!$D$11:$AB$85,MATCH(1,INDEX(($C33='Max demand'!$B$11:$B$85)*(H$9='Max demand'!$C$11:$C$85),0,1),0),MATCH($B33,'Max demand'!$D$9:$AB$9,0)),0)</f>
        <v>135.90270860000001</v>
      </c>
      <c r="I33" s="21" cm="1">
        <f t="array" ref="I33">IFERROR(INDEX('Max demand'!$D$11:$AB$85,MATCH(1,INDEX(($C33='Max demand'!$B$11:$B$85)*(I$9='Max demand'!$C$11:$C$85),0,1),0),MATCH($B33,'Max demand'!$D$9:$AB$9,0)),0)</f>
        <v>135.54887274999999</v>
      </c>
      <c r="J33" s="21" cm="1">
        <f t="array" ref="J33">IFERROR(INDEX('Max demand'!$D$11:$AB$85,MATCH(1,INDEX(($C33='Max demand'!$B$11:$B$85)*(J$9='Max demand'!$C$11:$C$85),0,1),0),MATCH($B33,'Max demand'!$D$9:$AB$9,0)),0)</f>
        <v>135.05083397000001</v>
      </c>
      <c r="K33" s="21" cm="1">
        <f t="array" ref="K33">IFERROR(INDEX('Max demand'!$D$11:$AB$85,MATCH(1,INDEX(($C33='Max demand'!$B$11:$B$85)*(K$9='Max demand'!$C$11:$C$85),0,1),0),MATCH($B33,'Max demand'!$D$9:$AB$9,0)),0)</f>
        <v>134.61161061000001</v>
      </c>
      <c r="L33" s="21" cm="1">
        <f t="array" ref="L33">IFERROR(INDEX('Max demand'!$D$11:$AB$85,MATCH(1,INDEX(($C33='Max demand'!$B$11:$B$85)*(L$9='Max demand'!$C$11:$C$85),0,1),0),MATCH($B33,'Max demand'!$D$9:$AB$9,0)),0)</f>
        <v>133.99834268000001</v>
      </c>
      <c r="M33" s="21" cm="1">
        <f t="array" ref="M33">IFERROR(INDEX('Max demand'!$D$11:$AB$85,MATCH(1,INDEX(($C33='Max demand'!$B$11:$B$85)*(M$9='Max demand'!$C$11:$C$85),0,1),0),MATCH($B33,'Max demand'!$D$9:$AB$9,0)),0)</f>
        <v>134.31944190999999</v>
      </c>
      <c r="N33" s="21" cm="1">
        <f t="array" ref="N33">IFERROR(INDEX('Max demand'!$D$11:$AB$85,MATCH(1,INDEX(($C33='Max demand'!$B$11:$B$85)*(N$9='Max demand'!$C$11:$C$85),0,1),0),MATCH($B33,'Max demand'!$D$9:$AB$9,0)),0)</f>
        <v>134.79699142999999</v>
      </c>
      <c r="O33" s="21" cm="1">
        <f t="array" ref="O33">IFERROR(INDEX('Max demand'!$D$11:$AB$85,MATCH(1,INDEX(($C33='Max demand'!$B$11:$B$85)*(O$9='Max demand'!$C$11:$C$85),0,1),0),MATCH($B33,'Max demand'!$D$9:$AB$9,0)),0)</f>
        <v>135.06354981999999</v>
      </c>
      <c r="P33" s="21" cm="1">
        <f t="array" ref="P33">IFERROR(INDEX('Max demand'!$D$11:$AB$85,MATCH(1,INDEX(($C33='Max demand'!$B$11:$B$85)*(P$9='Max demand'!$C$11:$C$85),0,1),0),MATCH($B33,'Max demand'!$D$9:$AB$9,0)),0)</f>
        <v>135.55440852999999</v>
      </c>
      <c r="R33" s="73">
        <f t="shared" si="14"/>
        <v>-1.5629743781522265E-3</v>
      </c>
      <c r="T33" s="2" t="str">
        <f t="shared" si="1"/>
        <v>Upper North Shore</v>
      </c>
      <c r="U33" s="35" t="str">
        <f t="shared" si="2"/>
        <v>LV</v>
      </c>
      <c r="V33" s="35"/>
      <c r="W33" s="35" t="str">
        <f t="shared" si="3"/>
        <v>MW</v>
      </c>
      <c r="X33" s="79">
        <f t="shared" si="15"/>
        <v>0.99230413396822026</v>
      </c>
      <c r="Y33" s="79">
        <f t="shared" si="4"/>
        <v>0.99229540491499246</v>
      </c>
      <c r="Z33" s="79">
        <f t="shared" si="5"/>
        <v>0.9922903160904426</v>
      </c>
      <c r="AA33" s="79">
        <f t="shared" si="6"/>
        <v>0.99228640956127678</v>
      </c>
      <c r="AB33" s="79">
        <f t="shared" si="7"/>
        <v>0.99228101409931002</v>
      </c>
      <c r="AC33" s="79">
        <f t="shared" si="8"/>
        <v>0.99227855148341626</v>
      </c>
      <c r="AD33" s="79">
        <f t="shared" si="9"/>
        <v>0.99226653192399639</v>
      </c>
      <c r="AE33" s="79">
        <f t="shared" si="10"/>
        <v>0.99224865524292394</v>
      </c>
      <c r="AF33" s="79">
        <f t="shared" si="11"/>
        <v>0.9922335013267537</v>
      </c>
      <c r="AG33" s="79">
        <f t="shared" si="12"/>
        <v>0.99221824511969736</v>
      </c>
      <c r="AH33" s="79">
        <f t="shared" si="13"/>
        <v>0.99220788861343812</v>
      </c>
      <c r="AJ33" s="60">
        <f t="shared" si="16"/>
        <v>0.99226460475858791</v>
      </c>
      <c r="AN33" s="1"/>
    </row>
    <row r="34" spans="2:40">
      <c r="B34" s="2" t="str">
        <v>West Lake Macquarie</v>
      </c>
      <c r="C34" s="35" t="str" cm="1">
        <f t="array" ref="C34">INDEX(network_levels,COUNTIFS($B$10:$B34,$B$10))</f>
        <v>LV</v>
      </c>
      <c r="D34" s="35"/>
      <c r="E34" s="35" t="s">
        <v>80</v>
      </c>
      <c r="F34" s="21" cm="1">
        <f t="array" ref="F34">IFERROR(INDEX('Max demand'!$D$11:$AB$85,MATCH(1,INDEX(($C34='Max demand'!$B$11:$B$85)*(F$9='Max demand'!$C$11:$C$85),0,1),0),MATCH($B34,'Max demand'!$D$9:$AB$9,0)),0)</f>
        <v>71.141029185999997</v>
      </c>
      <c r="G34" s="21" cm="1">
        <f t="array" ref="G34">IFERROR(INDEX('Max demand'!$D$11:$AB$85,MATCH(1,INDEX(($C34='Max demand'!$B$11:$B$85)*(G$9='Max demand'!$C$11:$C$85),0,1),0),MATCH($B34,'Max demand'!$D$9:$AB$9,0)),0)</f>
        <v>71.051465167000003</v>
      </c>
      <c r="H34" s="21" cm="1">
        <f t="array" ref="H34">IFERROR(INDEX('Max demand'!$D$11:$AB$85,MATCH(1,INDEX(($C34='Max demand'!$B$11:$B$85)*(H$9='Max demand'!$C$11:$C$85),0,1),0),MATCH($B34,'Max demand'!$D$9:$AB$9,0)),0)</f>
        <v>70.800500696</v>
      </c>
      <c r="I34" s="21" cm="1">
        <f t="array" ref="I34">IFERROR(INDEX('Max demand'!$D$11:$AB$85,MATCH(1,INDEX(($C34='Max demand'!$B$11:$B$85)*(I$9='Max demand'!$C$11:$C$85),0,1),0),MATCH($B34,'Max demand'!$D$9:$AB$9,0)),0)</f>
        <v>70.724942123000005</v>
      </c>
      <c r="J34" s="21" cm="1">
        <f t="array" ref="J34">IFERROR(INDEX('Max demand'!$D$11:$AB$85,MATCH(1,INDEX(($C34='Max demand'!$B$11:$B$85)*(J$9='Max demand'!$C$11:$C$85),0,1),0),MATCH($B34,'Max demand'!$D$9:$AB$9,0)),0)</f>
        <v>70.544240302000006</v>
      </c>
      <c r="K34" s="21" cm="1">
        <f t="array" ref="K34">IFERROR(INDEX('Max demand'!$D$11:$AB$85,MATCH(1,INDEX(($C34='Max demand'!$B$11:$B$85)*(K$9='Max demand'!$C$11:$C$85),0,1),0),MATCH($B34,'Max demand'!$D$9:$AB$9,0)),0)</f>
        <v>70.30914894</v>
      </c>
      <c r="L34" s="21" cm="1">
        <f t="array" ref="L34">IFERROR(INDEX('Max demand'!$D$11:$AB$85,MATCH(1,INDEX(($C34='Max demand'!$B$11:$B$85)*(L$9='Max demand'!$C$11:$C$85),0,1),0),MATCH($B34,'Max demand'!$D$9:$AB$9,0)),0)</f>
        <v>70.053989819999998</v>
      </c>
      <c r="M34" s="21" cm="1">
        <f t="array" ref="M34">IFERROR(INDEX('Max demand'!$D$11:$AB$85,MATCH(1,INDEX(($C34='Max demand'!$B$11:$B$85)*(M$9='Max demand'!$C$11:$C$85),0,1),0),MATCH($B34,'Max demand'!$D$9:$AB$9,0)),0)</f>
        <v>70.103931661999994</v>
      </c>
      <c r="N34" s="21" cm="1">
        <f t="array" ref="N34">IFERROR(INDEX('Max demand'!$D$11:$AB$85,MATCH(1,INDEX(($C34='Max demand'!$B$11:$B$85)*(N$9='Max demand'!$C$11:$C$85),0,1),0),MATCH($B34,'Max demand'!$D$9:$AB$9,0)),0)</f>
        <v>70.122351033000001</v>
      </c>
      <c r="O34" s="21" cm="1">
        <f t="array" ref="O34">IFERROR(INDEX('Max demand'!$D$11:$AB$85,MATCH(1,INDEX(($C34='Max demand'!$B$11:$B$85)*(O$9='Max demand'!$C$11:$C$85),0,1),0),MATCH($B34,'Max demand'!$D$9:$AB$9,0)),0)</f>
        <v>70.054624430999993</v>
      </c>
      <c r="P34" s="21" cm="1">
        <f t="array" ref="P34">IFERROR(INDEX('Max demand'!$D$11:$AB$85,MATCH(1,INDEX(($C34='Max demand'!$B$11:$B$85)*(P$9='Max demand'!$C$11:$C$85),0,1),0),MATCH($B34,'Max demand'!$D$9:$AB$9,0)),0)</f>
        <v>70.013316532000005</v>
      </c>
      <c r="R34" s="73">
        <f t="shared" si="14"/>
        <v>-1.5966014075313728E-3</v>
      </c>
      <c r="T34" s="2" t="str">
        <f t="shared" si="1"/>
        <v>West Lake Macquarie</v>
      </c>
      <c r="U34" s="35" t="str">
        <f t="shared" si="2"/>
        <v>LV</v>
      </c>
      <c r="V34" s="35"/>
      <c r="W34" s="35" t="str">
        <f t="shared" si="3"/>
        <v>MW</v>
      </c>
      <c r="X34" s="79">
        <f t="shared" si="15"/>
        <v>0.71488211725933337</v>
      </c>
      <c r="Y34" s="79">
        <f t="shared" si="4"/>
        <v>0.71462604933742868</v>
      </c>
      <c r="Z34" s="79">
        <f t="shared" si="5"/>
        <v>0.71391271079644081</v>
      </c>
      <c r="AA34" s="79">
        <f t="shared" si="6"/>
        <v>0.7136968478059883</v>
      </c>
      <c r="AB34" s="79">
        <f t="shared" si="7"/>
        <v>0.71317986182814941</v>
      </c>
      <c r="AC34" s="79">
        <f t="shared" si="8"/>
        <v>0.71250350180342081</v>
      </c>
      <c r="AD34" s="79">
        <f t="shared" si="9"/>
        <v>0.71176533811190434</v>
      </c>
      <c r="AE34" s="79">
        <f t="shared" si="10"/>
        <v>0.71190782284132903</v>
      </c>
      <c r="AF34" s="79">
        <f t="shared" si="11"/>
        <v>0.71195908994931223</v>
      </c>
      <c r="AG34" s="79">
        <f t="shared" si="12"/>
        <v>0.71176167185756822</v>
      </c>
      <c r="AH34" s="79">
        <f t="shared" si="13"/>
        <v>0.71164026069792663</v>
      </c>
      <c r="AJ34" s="60">
        <f t="shared" si="16"/>
        <v>0.7128941156626184</v>
      </c>
      <c r="AN34" s="1"/>
    </row>
    <row r="35" spans="2:40">
      <c r="B35" s="2" t="str">
        <v>System wide</v>
      </c>
      <c r="C35" s="35" t="str" cm="1">
        <f t="array" ref="C35">INDEX(network_levels,COUNTIFS($B$10:$B35,$B$10))</f>
        <v>LV</v>
      </c>
      <c r="D35" s="35"/>
      <c r="E35" s="35" t="s">
        <v>80</v>
      </c>
      <c r="F35" s="21" cm="1">
        <f t="array" ref="F35">IFERROR(INDEX('Max demand'!$D$11:$AB$85,MATCH(1,INDEX(($C35='Max demand'!$B$11:$B$85)*(F$9='Max demand'!$C$11:$C$85),0,1),0),MATCH($B35,'Max demand'!$D$9:$AB$9,0)),0)</f>
        <v>0</v>
      </c>
      <c r="G35" s="21" cm="1">
        <f t="array" ref="G35">IFERROR(INDEX('Max demand'!$D$11:$AB$85,MATCH(1,INDEX(($C35='Max demand'!$B$11:$B$85)*(G$9='Max demand'!$C$11:$C$85),0,1),0),MATCH($B35,'Max demand'!$D$9:$AB$9,0)),0)</f>
        <v>0</v>
      </c>
      <c r="H35" s="21" cm="1">
        <f t="array" ref="H35">IFERROR(INDEX('Max demand'!$D$11:$AB$85,MATCH(1,INDEX(($C35='Max demand'!$B$11:$B$85)*(H$9='Max demand'!$C$11:$C$85),0,1),0),MATCH($B35,'Max demand'!$D$9:$AB$9,0)),0)</f>
        <v>0</v>
      </c>
      <c r="I35" s="21" cm="1">
        <f t="array" ref="I35">IFERROR(INDEX('Max demand'!$D$11:$AB$85,MATCH(1,INDEX(($C35='Max demand'!$B$11:$B$85)*(I$9='Max demand'!$C$11:$C$85),0,1),0),MATCH($B35,'Max demand'!$D$9:$AB$9,0)),0)</f>
        <v>0</v>
      </c>
      <c r="J35" s="21" cm="1">
        <f t="array" ref="J35">IFERROR(INDEX('Max demand'!$D$11:$AB$85,MATCH(1,INDEX(($C35='Max demand'!$B$11:$B$85)*(J$9='Max demand'!$C$11:$C$85),0,1),0),MATCH($B35,'Max demand'!$D$9:$AB$9,0)),0)</f>
        <v>0</v>
      </c>
      <c r="K35" s="21" cm="1">
        <f t="array" ref="K35">IFERROR(INDEX('Max demand'!$D$11:$AB$85,MATCH(1,INDEX(($C35='Max demand'!$B$11:$B$85)*(K$9='Max demand'!$C$11:$C$85),0,1),0),MATCH($B35,'Max demand'!$D$9:$AB$9,0)),0)</f>
        <v>0</v>
      </c>
      <c r="L35" s="21" cm="1">
        <f t="array" ref="L35">IFERROR(INDEX('Max demand'!$D$11:$AB$85,MATCH(1,INDEX(($C35='Max demand'!$B$11:$B$85)*(L$9='Max demand'!$C$11:$C$85),0,1),0),MATCH($B35,'Max demand'!$D$9:$AB$9,0)),0)</f>
        <v>0</v>
      </c>
      <c r="M35" s="21" cm="1">
        <f t="array" ref="M35">IFERROR(INDEX('Max demand'!$D$11:$AB$85,MATCH(1,INDEX(($C35='Max demand'!$B$11:$B$85)*(M$9='Max demand'!$C$11:$C$85),0,1),0),MATCH($B35,'Max demand'!$D$9:$AB$9,0)),0)</f>
        <v>0</v>
      </c>
      <c r="N35" s="21" cm="1">
        <f t="array" ref="N35">IFERROR(INDEX('Max demand'!$D$11:$AB$85,MATCH(1,INDEX(($C35='Max demand'!$B$11:$B$85)*(N$9='Max demand'!$C$11:$C$85),0,1),0),MATCH($B35,'Max demand'!$D$9:$AB$9,0)),0)</f>
        <v>0</v>
      </c>
      <c r="O35" s="21" cm="1">
        <f t="array" ref="O35">IFERROR(INDEX('Max demand'!$D$11:$AB$85,MATCH(1,INDEX(($C35='Max demand'!$B$11:$B$85)*(O$9='Max demand'!$C$11:$C$85),0,1),0),MATCH($B35,'Max demand'!$D$9:$AB$9,0)),0)</f>
        <v>0</v>
      </c>
      <c r="P35" s="21" cm="1">
        <f t="array" ref="P35">IFERROR(INDEX('Max demand'!$D$11:$AB$85,MATCH(1,INDEX(($C35='Max demand'!$B$11:$B$85)*(P$9='Max demand'!$C$11:$C$85),0,1),0),MATCH($B35,'Max demand'!$D$9:$AB$9,0)),0)</f>
        <v>0</v>
      </c>
      <c r="R35" s="73">
        <f t="shared" si="14"/>
        <v>0</v>
      </c>
      <c r="T35" s="2" t="str">
        <f t="shared" si="1"/>
        <v>System wide</v>
      </c>
      <c r="U35" s="35" t="str">
        <f t="shared" si="2"/>
        <v>LV</v>
      </c>
      <c r="V35" s="35"/>
      <c r="W35" s="35" t="str">
        <f t="shared" si="3"/>
        <v>MW</v>
      </c>
      <c r="X35" s="79">
        <f t="shared" si="15"/>
        <v>0</v>
      </c>
      <c r="Y35" s="79">
        <f t="shared" si="4"/>
        <v>0</v>
      </c>
      <c r="Z35" s="79">
        <f t="shared" si="5"/>
        <v>0</v>
      </c>
      <c r="AA35" s="79">
        <f t="shared" si="6"/>
        <v>0</v>
      </c>
      <c r="AB35" s="79">
        <f t="shared" si="7"/>
        <v>0</v>
      </c>
      <c r="AC35" s="79">
        <f t="shared" si="8"/>
        <v>0</v>
      </c>
      <c r="AD35" s="79">
        <f t="shared" si="9"/>
        <v>0</v>
      </c>
      <c r="AE35" s="79">
        <f t="shared" si="10"/>
        <v>0</v>
      </c>
      <c r="AF35" s="79">
        <f t="shared" si="11"/>
        <v>0</v>
      </c>
      <c r="AG35" s="79">
        <f t="shared" si="12"/>
        <v>0</v>
      </c>
      <c r="AH35" s="79">
        <f t="shared" si="13"/>
        <v>0</v>
      </c>
      <c r="AJ35" s="60">
        <f t="shared" si="16"/>
        <v>0</v>
      </c>
      <c r="AN35" s="1"/>
    </row>
    <row r="36" spans="2:40">
      <c r="B36" s="2" t="str">
        <f t="shared" ref="B36:B67" si="17">B10</f>
        <v>Auburn / Homebush</v>
      </c>
      <c r="C36" s="35" t="str" cm="1">
        <f t="array" ref="C36">INDEX(network_levels,COUNTIFS($B$10:$B36,$B$10))</f>
        <v>HV</v>
      </c>
      <c r="D36" s="35"/>
      <c r="E36" s="35" t="s">
        <v>80</v>
      </c>
      <c r="F36" s="21" cm="1">
        <f t="array" ref="F36">IFERROR(INDEX('Max demand'!$D$11:$AB$85,MATCH(1,INDEX(($C36='Max demand'!$B$11:$B$85)*(F$9='Max demand'!$C$11:$C$85),0,1),0),MATCH($B36,'Max demand'!$D$9:$AB$9,0)),0)</f>
        <v>17.610192571999999</v>
      </c>
      <c r="G36" s="21" cm="1">
        <f t="array" ref="G36">IFERROR(INDEX('Max demand'!$D$11:$AB$85,MATCH(1,INDEX(($C36='Max demand'!$B$11:$B$85)*(G$9='Max demand'!$C$11:$C$85),0,1),0),MATCH($B36,'Max demand'!$D$9:$AB$9,0)),0)</f>
        <v>17.389489237999999</v>
      </c>
      <c r="H36" s="21" cm="1">
        <f t="array" ref="H36">IFERROR(INDEX('Max demand'!$D$11:$AB$85,MATCH(1,INDEX(($C36='Max demand'!$B$11:$B$85)*(H$9='Max demand'!$C$11:$C$85),0,1),0),MATCH($B36,'Max demand'!$D$9:$AB$9,0)),0)</f>
        <v>17.339242539000001</v>
      </c>
      <c r="I36" s="21" cm="1">
        <f t="array" ref="I36">IFERROR(INDEX('Max demand'!$D$11:$AB$85,MATCH(1,INDEX(($C36='Max demand'!$B$11:$B$85)*(I$9='Max demand'!$C$11:$C$85),0,1),0),MATCH($B36,'Max demand'!$D$9:$AB$9,0)),0)</f>
        <v>17.379003044000001</v>
      </c>
      <c r="J36" s="21" cm="1">
        <f t="array" ref="J36">IFERROR(INDEX('Max demand'!$D$11:$AB$85,MATCH(1,INDEX(($C36='Max demand'!$B$11:$B$85)*(J$9='Max demand'!$C$11:$C$85),0,1),0),MATCH($B36,'Max demand'!$D$9:$AB$9,0)),0)</f>
        <v>17.400039401000001</v>
      </c>
      <c r="K36" s="21" cm="1">
        <f t="array" ref="K36">IFERROR(INDEX('Max demand'!$D$11:$AB$85,MATCH(1,INDEX(($C36='Max demand'!$B$11:$B$85)*(K$9='Max demand'!$C$11:$C$85),0,1),0),MATCH($B36,'Max demand'!$D$9:$AB$9,0)),0)</f>
        <v>17.440102721999999</v>
      </c>
      <c r="L36" s="21" cm="1">
        <f t="array" ref="L36">IFERROR(INDEX('Max demand'!$D$11:$AB$85,MATCH(1,INDEX(($C36='Max demand'!$B$11:$B$85)*(L$9='Max demand'!$C$11:$C$85),0,1),0),MATCH($B36,'Max demand'!$D$9:$AB$9,0)),0)</f>
        <v>17.539097135999999</v>
      </c>
      <c r="M36" s="21" cm="1">
        <f t="array" ref="M36">IFERROR(INDEX('Max demand'!$D$11:$AB$85,MATCH(1,INDEX(($C36='Max demand'!$B$11:$B$85)*(M$9='Max demand'!$C$11:$C$85),0,1),0),MATCH($B36,'Max demand'!$D$9:$AB$9,0)),0)</f>
        <v>17.696960416</v>
      </c>
      <c r="N36" s="21" cm="1">
        <f t="array" ref="N36">IFERROR(INDEX('Max demand'!$D$11:$AB$85,MATCH(1,INDEX(($C36='Max demand'!$B$11:$B$85)*(N$9='Max demand'!$C$11:$C$85),0,1),0),MATCH($B36,'Max demand'!$D$9:$AB$9,0)),0)</f>
        <v>17.850928286999999</v>
      </c>
      <c r="O36" s="21" cm="1">
        <f t="array" ref="O36">IFERROR(INDEX('Max demand'!$D$11:$AB$85,MATCH(1,INDEX(($C36='Max demand'!$B$11:$B$85)*(O$9='Max demand'!$C$11:$C$85),0,1),0),MATCH($B36,'Max demand'!$D$9:$AB$9,0)),0)</f>
        <v>17.980768260000001</v>
      </c>
      <c r="P36" s="21" cm="1">
        <f t="array" ref="P36">IFERROR(INDEX('Max demand'!$D$11:$AB$85,MATCH(1,INDEX(($C36='Max demand'!$B$11:$B$85)*(P$9='Max demand'!$C$11:$C$85),0,1),0),MATCH($B36,'Max demand'!$D$9:$AB$9,0)),0)</f>
        <v>18.135618546</v>
      </c>
      <c r="R36" s="73">
        <f t="shared" si="14"/>
        <v>2.9443282635097656E-3</v>
      </c>
      <c r="T36" s="2" t="str">
        <f t="shared" si="1"/>
        <v>Auburn / Homebush</v>
      </c>
      <c r="U36" s="35" t="str">
        <f t="shared" si="2"/>
        <v>HV</v>
      </c>
      <c r="V36" s="35"/>
      <c r="W36" s="35" t="str">
        <f t="shared" si="3"/>
        <v>MW</v>
      </c>
      <c r="X36" s="79">
        <f t="shared" si="15"/>
        <v>3.9876553807117396E-2</v>
      </c>
      <c r="Y36" s="79">
        <f t="shared" si="4"/>
        <v>3.8947138364170818E-2</v>
      </c>
      <c r="Z36" s="79">
        <f t="shared" si="5"/>
        <v>3.8953823802323789E-2</v>
      </c>
      <c r="AA36" s="79">
        <f t="shared" si="6"/>
        <v>3.8968067572191414E-2</v>
      </c>
      <c r="AB36" s="79">
        <f t="shared" si="7"/>
        <v>3.8975388842443809E-2</v>
      </c>
      <c r="AC36" s="79">
        <f t="shared" si="8"/>
        <v>3.724365958667291E-2</v>
      </c>
      <c r="AD36" s="79">
        <f t="shared" si="9"/>
        <v>3.7266699083182885E-2</v>
      </c>
      <c r="AE36" s="79">
        <f t="shared" si="10"/>
        <v>3.7280386065323572E-2</v>
      </c>
      <c r="AF36" s="79">
        <f t="shared" si="11"/>
        <v>3.7300178429157706E-2</v>
      </c>
      <c r="AG36" s="79">
        <f t="shared" si="12"/>
        <v>3.7314216641068654E-2</v>
      </c>
      <c r="AH36" s="79">
        <f t="shared" si="13"/>
        <v>3.7336442781170633E-2</v>
      </c>
      <c r="AJ36" s="60">
        <f t="shared" si="16"/>
        <v>3.8132959543165784E-2</v>
      </c>
      <c r="AN36" s="1"/>
    </row>
    <row r="37" spans="2:40">
      <c r="B37" s="2" t="str">
        <f t="shared" si="17"/>
        <v>Camperdown &amp; Blackwattle Bay</v>
      </c>
      <c r="C37" s="35" t="str" cm="1">
        <f t="array" ref="C37">INDEX(network_levels,COUNTIFS($B$10:$B37,$B$10))</f>
        <v>HV</v>
      </c>
      <c r="D37" s="35"/>
      <c r="E37" s="35" t="s">
        <v>80</v>
      </c>
      <c r="F37" s="21" cm="1">
        <f t="array" ref="F37">IFERROR(INDEX('Max demand'!$D$11:$AB$85,MATCH(1,INDEX(($C37='Max demand'!$B$11:$B$85)*(F$9='Max demand'!$C$11:$C$85),0,1),0),MATCH($B37,'Max demand'!$D$9:$AB$9,0)),0)</f>
        <v>3.5724061160999998</v>
      </c>
      <c r="G37" s="21" cm="1">
        <f t="array" ref="G37">IFERROR(INDEX('Max demand'!$D$11:$AB$85,MATCH(1,INDEX(($C37='Max demand'!$B$11:$B$85)*(G$9='Max demand'!$C$11:$C$85),0,1),0),MATCH($B37,'Max demand'!$D$9:$AB$9,0)),0)</f>
        <v>3.5040323703</v>
      </c>
      <c r="H37" s="21" cm="1">
        <f t="array" ref="H37">IFERROR(INDEX('Max demand'!$D$11:$AB$85,MATCH(1,INDEX(($C37='Max demand'!$B$11:$B$85)*(H$9='Max demand'!$C$11:$C$85),0,1),0),MATCH($B37,'Max demand'!$D$9:$AB$9,0)),0)</f>
        <v>3.4735233772999998</v>
      </c>
      <c r="I37" s="21" cm="1">
        <f t="array" ref="I37">IFERROR(INDEX('Max demand'!$D$11:$AB$85,MATCH(1,INDEX(($C37='Max demand'!$B$11:$B$85)*(I$9='Max demand'!$C$11:$C$85),0,1),0),MATCH($B37,'Max demand'!$D$9:$AB$9,0)),0)</f>
        <v>3.4700882481000002</v>
      </c>
      <c r="J37" s="21" cm="1">
        <f t="array" ref="J37">IFERROR(INDEX('Max demand'!$D$11:$AB$85,MATCH(1,INDEX(($C37='Max demand'!$B$11:$B$85)*(J$9='Max demand'!$C$11:$C$85),0,1),0),MATCH($B37,'Max demand'!$D$9:$AB$9,0)),0)</f>
        <v>3.4577910489999999</v>
      </c>
      <c r="K37" s="21" cm="1">
        <f t="array" ref="K37">IFERROR(INDEX('Max demand'!$D$11:$AB$85,MATCH(1,INDEX(($C37='Max demand'!$B$11:$B$85)*(K$9='Max demand'!$C$11:$C$85),0,1),0),MATCH($B37,'Max demand'!$D$9:$AB$9,0)),0)</f>
        <v>3.4452313447999998</v>
      </c>
      <c r="L37" s="21" cm="1">
        <f t="array" ref="L37">IFERROR(INDEX('Max demand'!$D$11:$AB$85,MATCH(1,INDEX(($C37='Max demand'!$B$11:$B$85)*(L$9='Max demand'!$C$11:$C$85),0,1),0),MATCH($B37,'Max demand'!$D$9:$AB$9,0)),0)</f>
        <v>3.4318149089999999</v>
      </c>
      <c r="M37" s="21" cm="1">
        <f t="array" ref="M37">IFERROR(INDEX('Max demand'!$D$11:$AB$85,MATCH(1,INDEX(($C37='Max demand'!$B$11:$B$85)*(M$9='Max demand'!$C$11:$C$85),0,1),0),MATCH($B37,'Max demand'!$D$9:$AB$9,0)),0)</f>
        <v>3.4382957578000002</v>
      </c>
      <c r="N37" s="21" cm="1">
        <f t="array" ref="N37">IFERROR(INDEX('Max demand'!$D$11:$AB$85,MATCH(1,INDEX(($C37='Max demand'!$B$11:$B$85)*(N$9='Max demand'!$C$11:$C$85),0,1),0),MATCH($B37,'Max demand'!$D$9:$AB$9,0)),0)</f>
        <v>3.4424296880999998</v>
      </c>
      <c r="O37" s="21" cm="1">
        <f t="array" ref="O37">IFERROR(INDEX('Max demand'!$D$11:$AB$85,MATCH(1,INDEX(($C37='Max demand'!$B$11:$B$85)*(O$9='Max demand'!$C$11:$C$85),0,1),0),MATCH($B37,'Max demand'!$D$9:$AB$9,0)),0)</f>
        <v>3.4427366355000002</v>
      </c>
      <c r="P37" s="21" cm="1">
        <f t="array" ref="P37">IFERROR(INDEX('Max demand'!$D$11:$AB$85,MATCH(1,INDEX(($C37='Max demand'!$B$11:$B$85)*(P$9='Max demand'!$C$11:$C$85),0,1),0),MATCH($B37,'Max demand'!$D$9:$AB$9,0)),0)</f>
        <v>3.4486060426999998</v>
      </c>
      <c r="R37" s="73">
        <f t="shared" si="14"/>
        <v>-3.5207124134130074E-3</v>
      </c>
      <c r="T37" s="2" t="str">
        <f t="shared" si="1"/>
        <v>Camperdown &amp; Blackwattle Bay</v>
      </c>
      <c r="U37" s="35" t="str">
        <f t="shared" si="2"/>
        <v>HV</v>
      </c>
      <c r="V37" s="35"/>
      <c r="W37" s="35" t="str">
        <f t="shared" si="3"/>
        <v>MW</v>
      </c>
      <c r="X37" s="79">
        <f t="shared" si="15"/>
        <v>2.4544398052062308E-2</v>
      </c>
      <c r="Y37" s="79">
        <f t="shared" si="4"/>
        <v>2.402769519549899E-2</v>
      </c>
      <c r="Z37" s="79">
        <f t="shared" si="5"/>
        <v>2.3768218569600662E-2</v>
      </c>
      <c r="AA37" s="79">
        <f t="shared" si="6"/>
        <v>2.3575757262741429E-2</v>
      </c>
      <c r="AB37" s="79">
        <f t="shared" si="7"/>
        <v>2.336285969153605E-2</v>
      </c>
      <c r="AC37" s="79">
        <f t="shared" si="8"/>
        <v>2.3284078971241937E-2</v>
      </c>
      <c r="AD37" s="79">
        <f t="shared" si="9"/>
        <v>2.3197040974590466E-2</v>
      </c>
      <c r="AE37" s="79">
        <f t="shared" si="10"/>
        <v>2.3171224752703713E-2</v>
      </c>
      <c r="AF37" s="79">
        <f t="shared" si="11"/>
        <v>2.3135907464809844E-2</v>
      </c>
      <c r="AG37" s="79">
        <f t="shared" si="12"/>
        <v>2.3084478788536551E-2</v>
      </c>
      <c r="AH37" s="79">
        <f t="shared" si="13"/>
        <v>2.304184682258037E-2</v>
      </c>
      <c r="AJ37" s="60">
        <f t="shared" si="16"/>
        <v>2.3472136958718394E-2</v>
      </c>
      <c r="AN37" s="1"/>
    </row>
    <row r="38" spans="2:40">
      <c r="B38" s="2" t="str">
        <f t="shared" si="17"/>
        <v>Canterbury Bankstown</v>
      </c>
      <c r="C38" s="35" t="str" cm="1">
        <f t="array" ref="C38">INDEX(network_levels,COUNTIFS($B$10:$B38,$B$10))</f>
        <v>HV</v>
      </c>
      <c r="D38" s="35"/>
      <c r="E38" s="35" t="s">
        <v>80</v>
      </c>
      <c r="F38" s="21" cm="1">
        <f t="array" ref="F38">IFERROR(INDEX('Max demand'!$D$11:$AB$85,MATCH(1,INDEX(($C38='Max demand'!$B$11:$B$85)*(F$9='Max demand'!$C$11:$C$85),0,1),0),MATCH($B38,'Max demand'!$D$9:$AB$9,0)),0)</f>
        <v>3.9981980013</v>
      </c>
      <c r="G38" s="21" cm="1">
        <f t="array" ref="G38">IFERROR(INDEX('Max demand'!$D$11:$AB$85,MATCH(1,INDEX(($C38='Max demand'!$B$11:$B$85)*(G$9='Max demand'!$C$11:$C$85),0,1),0),MATCH($B38,'Max demand'!$D$9:$AB$9,0)),0)</f>
        <v>3.9589954676999999</v>
      </c>
      <c r="H38" s="21" cm="1">
        <f t="array" ref="H38">IFERROR(INDEX('Max demand'!$D$11:$AB$85,MATCH(1,INDEX(($C38='Max demand'!$B$11:$B$85)*(H$9='Max demand'!$C$11:$C$85),0,1),0),MATCH($B38,'Max demand'!$D$9:$AB$9,0)),0)</f>
        <v>3.9443184727</v>
      </c>
      <c r="I38" s="21" cm="1">
        <f t="array" ref="I38">IFERROR(INDEX('Max demand'!$D$11:$AB$85,MATCH(1,INDEX(($C38='Max demand'!$B$11:$B$85)*(I$9='Max demand'!$C$11:$C$85),0,1),0),MATCH($B38,'Max demand'!$D$9:$AB$9,0)),0)</f>
        <v>3.9511541224000002</v>
      </c>
      <c r="J38" s="21" cm="1">
        <f t="array" ref="J38">IFERROR(INDEX('Max demand'!$D$11:$AB$85,MATCH(1,INDEX(($C38='Max demand'!$B$11:$B$85)*(J$9='Max demand'!$C$11:$C$85),0,1),0),MATCH($B38,'Max demand'!$D$9:$AB$9,0)),0)</f>
        <v>3.9513832549000001</v>
      </c>
      <c r="K38" s="21" cm="1">
        <f t="array" ref="K38">IFERROR(INDEX('Max demand'!$D$11:$AB$85,MATCH(1,INDEX(($C38='Max demand'!$B$11:$B$85)*(K$9='Max demand'!$C$11:$C$85),0,1),0),MATCH($B38,'Max demand'!$D$9:$AB$9,0)),0)</f>
        <v>3.9496863294</v>
      </c>
      <c r="L38" s="21" cm="1">
        <f t="array" ref="L38">IFERROR(INDEX('Max demand'!$D$11:$AB$85,MATCH(1,INDEX(($C38='Max demand'!$B$11:$B$85)*(L$9='Max demand'!$C$11:$C$85),0,1),0),MATCH($B38,'Max demand'!$D$9:$AB$9,0)),0)</f>
        <v>3.9513800582999998</v>
      </c>
      <c r="M38" s="21" cm="1">
        <f t="array" ref="M38">IFERROR(INDEX('Max demand'!$D$11:$AB$85,MATCH(1,INDEX(($C38='Max demand'!$B$11:$B$85)*(M$9='Max demand'!$C$11:$C$85),0,1),0),MATCH($B38,'Max demand'!$D$9:$AB$9,0)),0)</f>
        <v>3.9722395979999998</v>
      </c>
      <c r="N38" s="21" cm="1">
        <f t="array" ref="N38">IFERROR(INDEX('Max demand'!$D$11:$AB$85,MATCH(1,INDEX(($C38='Max demand'!$B$11:$B$85)*(N$9='Max demand'!$C$11:$C$85),0,1),0),MATCH($B38,'Max demand'!$D$9:$AB$9,0)),0)</f>
        <v>3.9925615978</v>
      </c>
      <c r="O38" s="21" cm="1">
        <f t="array" ref="O38">IFERROR(INDEX('Max demand'!$D$11:$AB$85,MATCH(1,INDEX(($C38='Max demand'!$B$11:$B$85)*(O$9='Max demand'!$C$11:$C$85),0,1),0),MATCH($B38,'Max demand'!$D$9:$AB$9,0)),0)</f>
        <v>4.0125343154999999</v>
      </c>
      <c r="P38" s="21" cm="1">
        <f t="array" ref="P38">IFERROR(INDEX('Max demand'!$D$11:$AB$85,MATCH(1,INDEX(($C38='Max demand'!$B$11:$B$85)*(P$9='Max demand'!$C$11:$C$85),0,1),0),MATCH($B38,'Max demand'!$D$9:$AB$9,0)),0)</f>
        <v>4.0361474362000003</v>
      </c>
      <c r="R38" s="73">
        <f t="shared" si="14"/>
        <v>9.4513357373582352E-4</v>
      </c>
      <c r="T38" s="2" t="str">
        <f t="shared" si="1"/>
        <v>Canterbury Bankstown</v>
      </c>
      <c r="U38" s="35" t="str">
        <f t="shared" si="2"/>
        <v>HV</v>
      </c>
      <c r="V38" s="35"/>
      <c r="W38" s="35" t="str">
        <f t="shared" si="3"/>
        <v>MW</v>
      </c>
      <c r="X38" s="79">
        <f t="shared" si="15"/>
        <v>8.4081963299500861E-3</v>
      </c>
      <c r="Y38" s="79">
        <f t="shared" si="4"/>
        <v>8.3915098169949631E-3</v>
      </c>
      <c r="Z38" s="79">
        <f t="shared" si="5"/>
        <v>8.3788195904576212E-3</v>
      </c>
      <c r="AA38" s="79">
        <f t="shared" si="6"/>
        <v>8.3720616999690793E-3</v>
      </c>
      <c r="AB38" s="79">
        <f t="shared" si="7"/>
        <v>8.3634189196533423E-3</v>
      </c>
      <c r="AC38" s="79">
        <f t="shared" si="8"/>
        <v>8.3536425484599715E-3</v>
      </c>
      <c r="AD38" s="79">
        <f t="shared" si="9"/>
        <v>8.3455667795250058E-3</v>
      </c>
      <c r="AE38" s="79">
        <f t="shared" si="10"/>
        <v>8.335217896600319E-3</v>
      </c>
      <c r="AF38" s="79">
        <f t="shared" si="11"/>
        <v>8.3267530468767517E-3</v>
      </c>
      <c r="AG38" s="79">
        <f t="shared" si="12"/>
        <v>8.3194442655306206E-3</v>
      </c>
      <c r="AH38" s="79">
        <f t="shared" si="13"/>
        <v>8.3146978555058357E-3</v>
      </c>
      <c r="AJ38" s="60">
        <f t="shared" si="16"/>
        <v>8.355393522683963E-3</v>
      </c>
      <c r="AN38" s="1"/>
    </row>
    <row r="39" spans="2:40">
      <c r="B39" s="2" t="str">
        <f t="shared" si="17"/>
        <v>Carlingford</v>
      </c>
      <c r="C39" s="35" t="str" cm="1">
        <f t="array" ref="C39">INDEX(network_levels,COUNTIFS($B$10:$B39,$B$10))</f>
        <v>HV</v>
      </c>
      <c r="D39" s="35"/>
      <c r="E39" s="35" t="s">
        <v>80</v>
      </c>
      <c r="F39" s="21" cm="1">
        <f t="array" ref="F39">IFERROR(INDEX('Max demand'!$D$11:$AB$85,MATCH(1,INDEX(($C39='Max demand'!$B$11:$B$85)*(F$9='Max demand'!$C$11:$C$85),0,1),0),MATCH($B39,'Max demand'!$D$9:$AB$9,0)),0)</f>
        <v>35.762049761999997</v>
      </c>
      <c r="G39" s="21" cm="1">
        <f t="array" ref="G39">IFERROR(INDEX('Max demand'!$D$11:$AB$85,MATCH(1,INDEX(($C39='Max demand'!$B$11:$B$85)*(G$9='Max demand'!$C$11:$C$85),0,1),0),MATCH($B39,'Max demand'!$D$9:$AB$9,0)),0)</f>
        <v>35.358732117999999</v>
      </c>
      <c r="H39" s="21" cm="1">
        <f t="array" ref="H39">IFERROR(INDEX('Max demand'!$D$11:$AB$85,MATCH(1,INDEX(($C39='Max demand'!$B$11:$B$85)*(H$9='Max demand'!$C$11:$C$85),0,1),0),MATCH($B39,'Max demand'!$D$9:$AB$9,0)),0)</f>
        <v>35.175888483999998</v>
      </c>
      <c r="I39" s="21" cm="1">
        <f t="array" ref="I39">IFERROR(INDEX('Max demand'!$D$11:$AB$85,MATCH(1,INDEX(($C39='Max demand'!$B$11:$B$85)*(I$9='Max demand'!$C$11:$C$85),0,1),0),MATCH($B39,'Max demand'!$D$9:$AB$9,0)),0)</f>
        <v>35.185004503999998</v>
      </c>
      <c r="J39" s="21" cm="1">
        <f t="array" ref="J39">IFERROR(INDEX('Max demand'!$D$11:$AB$85,MATCH(1,INDEX(($C39='Max demand'!$B$11:$B$85)*(J$9='Max demand'!$C$11:$C$85),0,1),0),MATCH($B39,'Max demand'!$D$9:$AB$9,0)),0)</f>
        <v>35.136807687999998</v>
      </c>
      <c r="K39" s="21" cm="1">
        <f t="array" ref="K39">IFERROR(INDEX('Max demand'!$D$11:$AB$85,MATCH(1,INDEX(($C39='Max demand'!$B$11:$B$85)*(K$9='Max demand'!$C$11:$C$85),0,1),0),MATCH($B39,'Max demand'!$D$9:$AB$9,0)),0)</f>
        <v>35.105107287000003</v>
      </c>
      <c r="L39" s="21" cm="1">
        <f t="array" ref="L39">IFERROR(INDEX('Max demand'!$D$11:$AB$85,MATCH(1,INDEX(($C39='Max demand'!$B$11:$B$85)*(L$9='Max demand'!$C$11:$C$85),0,1),0),MATCH($B39,'Max demand'!$D$9:$AB$9,0)),0)</f>
        <v>35.116488210999997</v>
      </c>
      <c r="M39" s="21" cm="1">
        <f t="array" ref="M39">IFERROR(INDEX('Max demand'!$D$11:$AB$85,MATCH(1,INDEX(($C39='Max demand'!$B$11:$B$85)*(M$9='Max demand'!$C$11:$C$85),0,1),0),MATCH($B39,'Max demand'!$D$9:$AB$9,0)),0)</f>
        <v>35.238299243999997</v>
      </c>
      <c r="N39" s="21" cm="1">
        <f t="array" ref="N39">IFERROR(INDEX('Max demand'!$D$11:$AB$85,MATCH(1,INDEX(($C39='Max demand'!$B$11:$B$85)*(N$9='Max demand'!$C$11:$C$85),0,1),0),MATCH($B39,'Max demand'!$D$9:$AB$9,0)),0)</f>
        <v>35.362372714000003</v>
      </c>
      <c r="O39" s="21" cm="1">
        <f t="array" ref="O39">IFERROR(INDEX('Max demand'!$D$11:$AB$85,MATCH(1,INDEX(($C39='Max demand'!$B$11:$B$85)*(O$9='Max demand'!$C$11:$C$85),0,1),0),MATCH($B39,'Max demand'!$D$9:$AB$9,0)),0)</f>
        <v>35.462052458999999</v>
      </c>
      <c r="P39" s="21" cm="1">
        <f t="array" ref="P39">IFERROR(INDEX('Max demand'!$D$11:$AB$85,MATCH(1,INDEX(($C39='Max demand'!$B$11:$B$85)*(P$9='Max demand'!$C$11:$C$85),0,1),0),MATCH($B39,'Max demand'!$D$9:$AB$9,0)),0)</f>
        <v>35.613865453999999</v>
      </c>
      <c r="R39" s="73">
        <f t="shared" si="14"/>
        <v>-4.1513656229952289E-4</v>
      </c>
      <c r="T39" s="2" t="str">
        <f t="shared" si="1"/>
        <v>Carlingford</v>
      </c>
      <c r="U39" s="35" t="str">
        <f t="shared" si="2"/>
        <v>HV</v>
      </c>
      <c r="V39" s="35"/>
      <c r="W39" s="35" t="str">
        <f t="shared" si="3"/>
        <v>MW</v>
      </c>
      <c r="X39" s="79">
        <f t="shared" si="15"/>
        <v>9.6142999085389994E-2</v>
      </c>
      <c r="Y39" s="79">
        <f t="shared" si="4"/>
        <v>9.1366277457111233E-2</v>
      </c>
      <c r="Z39" s="79">
        <f t="shared" si="5"/>
        <v>8.2758664818823435E-2</v>
      </c>
      <c r="AA39" s="79">
        <f t="shared" si="6"/>
        <v>7.8258322925923593E-2</v>
      </c>
      <c r="AB39" s="79">
        <f t="shared" si="7"/>
        <v>7.3463580863663447E-2</v>
      </c>
      <c r="AC39" s="79">
        <f t="shared" si="8"/>
        <v>6.9832249821695391E-2</v>
      </c>
      <c r="AD39" s="79">
        <f t="shared" si="9"/>
        <v>6.673079437863759E-2</v>
      </c>
      <c r="AE39" s="79">
        <f t="shared" si="10"/>
        <v>6.3886063439765134E-2</v>
      </c>
      <c r="AF39" s="79">
        <f t="shared" si="11"/>
        <v>6.3365955228944809E-2</v>
      </c>
      <c r="AG39" s="79">
        <f t="shared" si="12"/>
        <v>6.2847131727077857E-2</v>
      </c>
      <c r="AH39" s="79">
        <f t="shared" si="13"/>
        <v>6.2366155465711177E-2</v>
      </c>
      <c r="AJ39" s="60">
        <f t="shared" si="16"/>
        <v>7.3728926837522163E-2</v>
      </c>
      <c r="AN39" s="1"/>
    </row>
    <row r="40" spans="2:40" s="1" customFormat="1">
      <c r="B40" s="2" t="str">
        <f t="shared" si="17"/>
        <v>Eastern Suburbs</v>
      </c>
      <c r="C40" s="35" t="str" cm="1">
        <f t="array" ref="C40">INDEX(network_levels,COUNTIFS($B$10:$B40,$B$10))</f>
        <v>HV</v>
      </c>
      <c r="D40" s="35"/>
      <c r="E40" s="35" t="s">
        <v>80</v>
      </c>
      <c r="F40" s="21" cm="1">
        <f t="array" ref="F40">IFERROR(INDEX('Max demand'!$D$11:$AB$85,MATCH(1,INDEX(($C40='Max demand'!$B$11:$B$85)*(F$9='Max demand'!$C$11:$C$85),0,1),0),MATCH($B40,'Max demand'!$D$9:$AB$9,0)),0)</f>
        <v>63.446490855</v>
      </c>
      <c r="G40" s="21" cm="1">
        <f t="array" ref="G40">IFERROR(INDEX('Max demand'!$D$11:$AB$85,MATCH(1,INDEX(($C40='Max demand'!$B$11:$B$85)*(G$9='Max demand'!$C$11:$C$85),0,1),0),MATCH($B40,'Max demand'!$D$9:$AB$9,0)),0)</f>
        <v>62.356074556000003</v>
      </c>
      <c r="H40" s="21" cm="1">
        <f t="array" ref="H40">IFERROR(INDEX('Max demand'!$D$11:$AB$85,MATCH(1,INDEX(($C40='Max demand'!$B$11:$B$85)*(H$9='Max demand'!$C$11:$C$85),0,1),0),MATCH($B40,'Max demand'!$D$9:$AB$9,0)),0)</f>
        <v>61.777659487000001</v>
      </c>
      <c r="I40" s="21" cm="1">
        <f t="array" ref="I40">IFERROR(INDEX('Max demand'!$D$11:$AB$85,MATCH(1,INDEX(($C40='Max demand'!$B$11:$B$85)*(I$9='Max demand'!$C$11:$C$85),0,1),0),MATCH($B40,'Max demand'!$D$9:$AB$9,0)),0)</f>
        <v>61.618315015999997</v>
      </c>
      <c r="J40" s="21" cm="1">
        <f t="array" ref="J40">IFERROR(INDEX('Max demand'!$D$11:$AB$85,MATCH(1,INDEX(($C40='Max demand'!$B$11:$B$85)*(J$9='Max demand'!$C$11:$C$85),0,1),0),MATCH($B40,'Max demand'!$D$9:$AB$9,0)),0)</f>
        <v>61.348427237000003</v>
      </c>
      <c r="K40" s="21" cm="1">
        <f t="array" ref="K40">IFERROR(INDEX('Max demand'!$D$11:$AB$85,MATCH(1,INDEX(($C40='Max demand'!$B$11:$B$85)*(K$9='Max demand'!$C$11:$C$85),0,1),0),MATCH($B40,'Max demand'!$D$9:$AB$9,0)),0)</f>
        <v>61.081092683999998</v>
      </c>
      <c r="L40" s="21" cm="1">
        <f t="array" ref="L40">IFERROR(INDEX('Max demand'!$D$11:$AB$85,MATCH(1,INDEX(($C40='Max demand'!$B$11:$B$85)*(L$9='Max demand'!$C$11:$C$85),0,1),0),MATCH($B40,'Max demand'!$D$9:$AB$9,0)),0)</f>
        <v>60.774009745999997</v>
      </c>
      <c r="M40" s="21" cm="1">
        <f t="array" ref="M40">IFERROR(INDEX('Max demand'!$D$11:$AB$85,MATCH(1,INDEX(($C40='Max demand'!$B$11:$B$85)*(M$9='Max demand'!$C$11:$C$85),0,1),0),MATCH($B40,'Max demand'!$D$9:$AB$9,0)),0)</f>
        <v>60.857814423999997</v>
      </c>
      <c r="N40" s="21" cm="1">
        <f t="array" ref="N40">IFERROR(INDEX('Max demand'!$D$11:$AB$85,MATCH(1,INDEX(($C40='Max demand'!$B$11:$B$85)*(N$9='Max demand'!$C$11:$C$85),0,1),0),MATCH($B40,'Max demand'!$D$9:$AB$9,0)),0)</f>
        <v>60.935437837000002</v>
      </c>
      <c r="O40" s="21" cm="1">
        <f t="array" ref="O40">IFERROR(INDEX('Max demand'!$D$11:$AB$85,MATCH(1,INDEX(($C40='Max demand'!$B$11:$B$85)*(O$9='Max demand'!$C$11:$C$85),0,1),0),MATCH($B40,'Max demand'!$D$9:$AB$9,0)),0)</f>
        <v>60.998327633000002</v>
      </c>
      <c r="P40" s="21" cm="1">
        <f t="array" ref="P40">IFERROR(INDEX('Max demand'!$D$11:$AB$85,MATCH(1,INDEX(($C40='Max demand'!$B$11:$B$85)*(P$9='Max demand'!$C$11:$C$85),0,1),0),MATCH($B40,'Max demand'!$D$9:$AB$9,0)),0)</f>
        <v>61.154120677999998</v>
      </c>
      <c r="Q40"/>
      <c r="R40" s="73">
        <f t="shared" si="14"/>
        <v>-3.6732013003770714E-3</v>
      </c>
      <c r="T40" s="2" t="str">
        <f t="shared" si="1"/>
        <v>Eastern Suburbs</v>
      </c>
      <c r="U40" s="35" t="str">
        <f t="shared" si="2"/>
        <v>HV</v>
      </c>
      <c r="V40" s="35"/>
      <c r="W40" s="35" t="str">
        <f t="shared" si="3"/>
        <v>MW</v>
      </c>
      <c r="X40" s="79">
        <f t="shared" si="15"/>
        <v>7.9375314771180455E-2</v>
      </c>
      <c r="Y40" s="79">
        <f t="shared" si="4"/>
        <v>7.8882255157695869E-2</v>
      </c>
      <c r="Z40" s="79">
        <f t="shared" si="5"/>
        <v>7.8291743734399094E-2</v>
      </c>
      <c r="AA40" s="79">
        <f t="shared" si="6"/>
        <v>7.7690758120267517E-2</v>
      </c>
      <c r="AB40" s="79">
        <f t="shared" si="7"/>
        <v>7.6893683909108654E-2</v>
      </c>
      <c r="AC40" s="79">
        <f t="shared" si="8"/>
        <v>7.6787978011963715E-2</v>
      </c>
      <c r="AD40" s="79">
        <f t="shared" si="9"/>
        <v>7.6606882320858188E-2</v>
      </c>
      <c r="AE40" s="79">
        <f t="shared" si="10"/>
        <v>7.6489196270090543E-2</v>
      </c>
      <c r="AF40" s="79">
        <f t="shared" si="11"/>
        <v>7.6359042225232085E-2</v>
      </c>
      <c r="AG40" s="79">
        <f t="shared" si="12"/>
        <v>7.6226410485128196E-2</v>
      </c>
      <c r="AH40" s="79">
        <f t="shared" si="13"/>
        <v>7.610757238040354E-2</v>
      </c>
      <c r="AI40"/>
      <c r="AJ40" s="60">
        <f t="shared" si="16"/>
        <v>7.724643976239344E-2</v>
      </c>
    </row>
    <row r="41" spans="2:40" s="1" customFormat="1">
      <c r="B41" s="2" t="str">
        <f t="shared" si="17"/>
        <v>Greater Cessnock</v>
      </c>
      <c r="C41" s="35" t="str" cm="1">
        <f t="array" ref="C41">INDEX(network_levels,COUNTIFS($B$10:$B41,$B$10))</f>
        <v>HV</v>
      </c>
      <c r="D41" s="35"/>
      <c r="E41" s="35" t="s">
        <v>80</v>
      </c>
      <c r="F41" s="21" cm="1">
        <f t="array" ref="F41">IFERROR(INDEX('Max demand'!$D$11:$AB$85,MATCH(1,INDEX(($C41='Max demand'!$B$11:$B$85)*(F$9='Max demand'!$C$11:$C$85),0,1),0),MATCH($B41,'Max demand'!$D$9:$AB$9,0)),0)</f>
        <v>2.1287967699000001</v>
      </c>
      <c r="G41" s="21" cm="1">
        <f t="array" ref="G41">IFERROR(INDEX('Max demand'!$D$11:$AB$85,MATCH(1,INDEX(($C41='Max demand'!$B$11:$B$85)*(G$9='Max demand'!$C$11:$C$85),0,1),0),MATCH($B41,'Max demand'!$D$9:$AB$9,0)),0)</f>
        <v>2.1203927398000002</v>
      </c>
      <c r="H41" s="21" cm="1">
        <f t="array" ref="H41">IFERROR(INDEX('Max demand'!$D$11:$AB$85,MATCH(1,INDEX(($C41='Max demand'!$B$11:$B$85)*(H$9='Max demand'!$C$11:$C$85),0,1),0),MATCH($B41,'Max demand'!$D$9:$AB$9,0)),0)</f>
        <v>2.1233195048</v>
      </c>
      <c r="I41" s="21" cm="1">
        <f t="array" ref="I41">IFERROR(INDEX('Max demand'!$D$11:$AB$85,MATCH(1,INDEX(($C41='Max demand'!$B$11:$B$85)*(I$9='Max demand'!$C$11:$C$85),0,1),0),MATCH($B41,'Max demand'!$D$9:$AB$9,0)),0)</f>
        <v>2.1325790446999999</v>
      </c>
      <c r="J41" s="21" cm="1">
        <f t="array" ref="J41">IFERROR(INDEX('Max demand'!$D$11:$AB$85,MATCH(1,INDEX(($C41='Max demand'!$B$11:$B$85)*(J$9='Max demand'!$C$11:$C$85),0,1),0),MATCH($B41,'Max demand'!$D$9:$AB$9,0)),0)</f>
        <v>2.1390005344</v>
      </c>
      <c r="K41" s="21" cm="1">
        <f t="array" ref="K41">IFERROR(INDEX('Max demand'!$D$11:$AB$85,MATCH(1,INDEX(($C41='Max demand'!$B$11:$B$85)*(K$9='Max demand'!$C$11:$C$85),0,1),0),MATCH($B41,'Max demand'!$D$9:$AB$9,0)),0)</f>
        <v>2.1442442216000002</v>
      </c>
      <c r="L41" s="21" cm="1">
        <f t="array" ref="L41">IFERROR(INDEX('Max demand'!$D$11:$AB$85,MATCH(1,INDEX(($C41='Max demand'!$B$11:$B$85)*(L$9='Max demand'!$C$11:$C$85),0,1),0),MATCH($B41,'Max demand'!$D$9:$AB$9,0)),0)</f>
        <v>2.1500137822999998</v>
      </c>
      <c r="M41" s="21" cm="1">
        <f t="array" ref="M41">IFERROR(INDEX('Max demand'!$D$11:$AB$85,MATCH(1,INDEX(($C41='Max demand'!$B$11:$B$85)*(M$9='Max demand'!$C$11:$C$85),0,1),0),MATCH($B41,'Max demand'!$D$9:$AB$9,0)),0)</f>
        <v>2.1628562318000002</v>
      </c>
      <c r="N41" s="21" cm="1">
        <f t="array" ref="N41">IFERROR(INDEX('Max demand'!$D$11:$AB$85,MATCH(1,INDEX(($C41='Max demand'!$B$11:$B$85)*(N$9='Max demand'!$C$11:$C$85),0,1),0),MATCH($B41,'Max demand'!$D$9:$AB$9,0)),0)</f>
        <v>2.1745827305000001</v>
      </c>
      <c r="O41" s="21" cm="1">
        <f t="array" ref="O41">IFERROR(INDEX('Max demand'!$D$11:$AB$85,MATCH(1,INDEX(($C41='Max demand'!$B$11:$B$85)*(O$9='Max demand'!$C$11:$C$85),0,1),0),MATCH($B41,'Max demand'!$D$9:$AB$9,0)),0)</f>
        <v>2.1861584344999998</v>
      </c>
      <c r="P41" s="21" cm="1">
        <f t="array" ref="P41">IFERROR(INDEX('Max demand'!$D$11:$AB$85,MATCH(1,INDEX(($C41='Max demand'!$B$11:$B$85)*(P$9='Max demand'!$C$11:$C$85),0,1),0),MATCH($B41,'Max demand'!$D$9:$AB$9,0)),0)</f>
        <v>2.1981992645999999</v>
      </c>
      <c r="Q41"/>
      <c r="R41" s="73">
        <f t="shared" si="14"/>
        <v>3.2133102243205869E-3</v>
      </c>
      <c r="T41" s="2" t="str">
        <f t="shared" si="1"/>
        <v>Greater Cessnock</v>
      </c>
      <c r="U41" s="35" t="str">
        <f t="shared" si="2"/>
        <v>HV</v>
      </c>
      <c r="V41" s="35"/>
      <c r="W41" s="35" t="str">
        <f t="shared" si="3"/>
        <v>MW</v>
      </c>
      <c r="X41" s="79">
        <f t="shared" si="15"/>
        <v>2.0844149555601293E-2</v>
      </c>
      <c r="Y41" s="79">
        <f t="shared" si="4"/>
        <v>2.0755735108778477E-2</v>
      </c>
      <c r="Z41" s="79">
        <f t="shared" si="5"/>
        <v>2.0743862425221849E-2</v>
      </c>
      <c r="AA41" s="79">
        <f t="shared" si="6"/>
        <v>2.0745348049022564E-2</v>
      </c>
      <c r="AB41" s="79">
        <f t="shared" si="7"/>
        <v>2.0744116468629798E-2</v>
      </c>
      <c r="AC41" s="79">
        <f t="shared" si="8"/>
        <v>2.074573472024643E-2</v>
      </c>
      <c r="AD41" s="79">
        <f t="shared" si="9"/>
        <v>2.0750240229742728E-2</v>
      </c>
      <c r="AE41" s="79">
        <f t="shared" si="10"/>
        <v>2.0755692904210088E-2</v>
      </c>
      <c r="AF41" s="79">
        <f t="shared" si="11"/>
        <v>2.0761947814996091E-2</v>
      </c>
      <c r="AG41" s="79">
        <f t="shared" si="12"/>
        <v>2.0767898105248067E-2</v>
      </c>
      <c r="AH41" s="79">
        <f t="shared" si="13"/>
        <v>2.0778641857279338E-2</v>
      </c>
      <c r="AI41"/>
      <c r="AJ41" s="60">
        <f t="shared" si="16"/>
        <v>2.0763033385361521E-2</v>
      </c>
    </row>
    <row r="42" spans="2:40" s="1" customFormat="1">
      <c r="B42" s="2" t="str">
        <f t="shared" si="17"/>
        <v>Lower Central Coast</v>
      </c>
      <c r="C42" s="35" t="str" cm="1">
        <f t="array" ref="C42">INDEX(network_levels,COUNTIFS($B$10:$B42,$B$10))</f>
        <v>HV</v>
      </c>
      <c r="D42" s="35"/>
      <c r="E42" s="35" t="s">
        <v>80</v>
      </c>
      <c r="F42" s="21" cm="1">
        <f t="array" ref="F42">IFERROR(INDEX('Max demand'!$D$11:$AB$85,MATCH(1,INDEX(($C42='Max demand'!$B$11:$B$85)*(F$9='Max demand'!$C$11:$C$85),0,1),0),MATCH($B42,'Max demand'!$D$9:$AB$9,0)),0)</f>
        <v>2.9574322538</v>
      </c>
      <c r="G42" s="21" cm="1">
        <f t="array" ref="G42">IFERROR(INDEX('Max demand'!$D$11:$AB$85,MATCH(1,INDEX(($C42='Max demand'!$B$11:$B$85)*(G$9='Max demand'!$C$11:$C$85),0,1),0),MATCH($B42,'Max demand'!$D$9:$AB$9,0)),0)</f>
        <v>2.9127897935</v>
      </c>
      <c r="H42" s="21" cm="1">
        <f t="array" ref="H42">IFERROR(INDEX('Max demand'!$D$11:$AB$85,MATCH(1,INDEX(($C42='Max demand'!$B$11:$B$85)*(H$9='Max demand'!$C$11:$C$85),0,1),0),MATCH($B42,'Max demand'!$D$9:$AB$9,0)),0)</f>
        <v>2.8991594212999998</v>
      </c>
      <c r="I42" s="21" cm="1">
        <f t="array" ref="I42">IFERROR(INDEX('Max demand'!$D$11:$AB$85,MATCH(1,INDEX(($C42='Max demand'!$B$11:$B$85)*(I$9='Max demand'!$C$11:$C$85),0,1),0),MATCH($B42,'Max demand'!$D$9:$AB$9,0)),0)</f>
        <v>2.8997117799000001</v>
      </c>
      <c r="J42" s="21" cm="1">
        <f t="array" ref="J42">IFERROR(INDEX('Max demand'!$D$11:$AB$85,MATCH(1,INDEX(($C42='Max demand'!$B$11:$B$85)*(J$9='Max demand'!$C$11:$C$85),0,1),0),MATCH($B42,'Max demand'!$D$9:$AB$9,0)),0)</f>
        <v>2.8956159655000002</v>
      </c>
      <c r="K42" s="21" cm="1">
        <f t="array" ref="K42">IFERROR(INDEX('Max demand'!$D$11:$AB$85,MATCH(1,INDEX(($C42='Max demand'!$B$11:$B$85)*(K$9='Max demand'!$C$11:$C$85),0,1),0),MATCH($B42,'Max demand'!$D$9:$AB$9,0)),0)</f>
        <v>2.8905057640999998</v>
      </c>
      <c r="L42" s="21" cm="1">
        <f t="array" ref="L42">IFERROR(INDEX('Max demand'!$D$11:$AB$85,MATCH(1,INDEX(($C42='Max demand'!$B$11:$B$85)*(L$9='Max demand'!$C$11:$C$85),0,1),0),MATCH($B42,'Max demand'!$D$9:$AB$9,0)),0)</f>
        <v>2.8931420404999999</v>
      </c>
      <c r="M42" s="21" cm="1">
        <f t="array" ref="M42">IFERROR(INDEX('Max demand'!$D$11:$AB$85,MATCH(1,INDEX(($C42='Max demand'!$B$11:$B$85)*(M$9='Max demand'!$C$11:$C$85),0,1),0),MATCH($B42,'Max demand'!$D$9:$AB$9,0)),0)</f>
        <v>2.9104996512999999</v>
      </c>
      <c r="N42" s="21" cm="1">
        <f t="array" ref="N42">IFERROR(INDEX('Max demand'!$D$11:$AB$85,MATCH(1,INDEX(($C42='Max demand'!$B$11:$B$85)*(N$9='Max demand'!$C$11:$C$85),0,1),0),MATCH($B42,'Max demand'!$D$9:$AB$9,0)),0)</f>
        <v>2.9289841928000002</v>
      </c>
      <c r="O42" s="21" cm="1">
        <f t="array" ref="O42">IFERROR(INDEX('Max demand'!$D$11:$AB$85,MATCH(1,INDEX(($C42='Max demand'!$B$11:$B$85)*(O$9='Max demand'!$C$11:$C$85),0,1),0),MATCH($B42,'Max demand'!$D$9:$AB$9,0)),0)</f>
        <v>2.9428383169000001</v>
      </c>
      <c r="P42" s="21" cm="1">
        <f t="array" ref="P42">IFERROR(INDEX('Max demand'!$D$11:$AB$85,MATCH(1,INDEX(($C42='Max demand'!$B$11:$B$85)*(P$9='Max demand'!$C$11:$C$85),0,1),0),MATCH($B42,'Max demand'!$D$9:$AB$9,0)),0)</f>
        <v>2.9597894238000002</v>
      </c>
      <c r="Q42"/>
      <c r="R42" s="73">
        <f t="shared" si="14"/>
        <v>7.9674690429909489E-5</v>
      </c>
      <c r="T42" s="2" t="str">
        <f t="shared" ref="T42:T74" si="18">B42</f>
        <v>Lower Central Coast</v>
      </c>
      <c r="U42" s="35" t="str">
        <f t="shared" ref="U42:U74" si="19">C42</f>
        <v>HV</v>
      </c>
      <c r="V42" s="35"/>
      <c r="W42" s="35" t="str">
        <f t="shared" si="3"/>
        <v>MW</v>
      </c>
      <c r="X42" s="79">
        <f t="shared" si="15"/>
        <v>9.6341710402371508E-3</v>
      </c>
      <c r="Y42" s="79">
        <f t="shared" si="4"/>
        <v>9.5907633365956389E-3</v>
      </c>
      <c r="Z42" s="79">
        <f t="shared" si="5"/>
        <v>9.590510436227169E-3</v>
      </c>
      <c r="AA42" s="79">
        <f t="shared" si="6"/>
        <v>9.5962918518684888E-3</v>
      </c>
      <c r="AB42" s="79">
        <f t="shared" si="7"/>
        <v>9.601504338854417E-3</v>
      </c>
      <c r="AC42" s="79">
        <f t="shared" si="8"/>
        <v>9.609110294930806E-3</v>
      </c>
      <c r="AD42" s="79">
        <f t="shared" si="9"/>
        <v>9.6162669691713543E-3</v>
      </c>
      <c r="AE42" s="79">
        <f t="shared" si="10"/>
        <v>9.62066525114901E-3</v>
      </c>
      <c r="AF42" s="79">
        <f t="shared" si="11"/>
        <v>9.6247756489217812E-3</v>
      </c>
      <c r="AG42" s="79">
        <f t="shared" si="12"/>
        <v>9.631468171827879E-3</v>
      </c>
      <c r="AH42" s="79">
        <f t="shared" si="13"/>
        <v>9.6387466791721631E-3</v>
      </c>
      <c r="AI42"/>
      <c r="AJ42" s="60">
        <f t="shared" si="16"/>
        <v>9.6140249108141677E-3</v>
      </c>
    </row>
    <row r="43" spans="2:40" s="1" customFormat="1">
      <c r="B43" s="2" t="str">
        <f t="shared" si="17"/>
        <v>Lower North Shore</v>
      </c>
      <c r="C43" s="35" t="str" cm="1">
        <f t="array" ref="C43">INDEX(network_levels,COUNTIFS($B$10:$B43,$B$10))</f>
        <v>HV</v>
      </c>
      <c r="D43" s="35"/>
      <c r="E43" s="35" t="s">
        <v>80</v>
      </c>
      <c r="F43" s="21" cm="1">
        <f t="array" ref="F43">IFERROR(INDEX('Max demand'!$D$11:$AB$85,MATCH(1,INDEX(($C43='Max demand'!$B$11:$B$85)*(F$9='Max demand'!$C$11:$C$85),0,1),0),MATCH($B43,'Max demand'!$D$9:$AB$9,0)),0)</f>
        <v>11.714714003999999</v>
      </c>
      <c r="G43" s="21" cm="1">
        <f t="array" ref="G43">IFERROR(INDEX('Max demand'!$D$11:$AB$85,MATCH(1,INDEX(($C43='Max demand'!$B$11:$B$85)*(G$9='Max demand'!$C$11:$C$85),0,1),0),MATCH($B43,'Max demand'!$D$9:$AB$9,0)),0)</f>
        <v>12.981487094</v>
      </c>
      <c r="H43" s="21" cm="1">
        <f t="array" ref="H43">IFERROR(INDEX('Max demand'!$D$11:$AB$85,MATCH(1,INDEX(($C43='Max demand'!$B$11:$B$85)*(H$9='Max demand'!$C$11:$C$85),0,1),0),MATCH($B43,'Max demand'!$D$9:$AB$9,0)),0)</f>
        <v>10.625567441999999</v>
      </c>
      <c r="I43" s="21" cm="1">
        <f t="array" ref="I43">IFERROR(INDEX('Max demand'!$D$11:$AB$85,MATCH(1,INDEX(($C43='Max demand'!$B$11:$B$85)*(I$9='Max demand'!$C$11:$C$85),0,1),0),MATCH($B43,'Max demand'!$D$9:$AB$9,0)),0)</f>
        <v>10.621585073</v>
      </c>
      <c r="J43" s="21" cm="1">
        <f t="array" ref="J43">IFERROR(INDEX('Max demand'!$D$11:$AB$85,MATCH(1,INDEX(($C43='Max demand'!$B$11:$B$85)*(J$9='Max demand'!$C$11:$C$85),0,1),0),MATCH($B43,'Max demand'!$D$9:$AB$9,0)),0)</f>
        <v>10.603602180999999</v>
      </c>
      <c r="K43" s="21" cm="1">
        <f t="array" ref="K43">IFERROR(INDEX('Max demand'!$D$11:$AB$85,MATCH(1,INDEX(($C43='Max demand'!$B$11:$B$85)*(K$9='Max demand'!$C$11:$C$85),0,1),0),MATCH($B43,'Max demand'!$D$9:$AB$9,0)),0)</f>
        <v>10.595981202000001</v>
      </c>
      <c r="L43" s="21" cm="1">
        <f t="array" ref="L43">IFERROR(INDEX('Max demand'!$D$11:$AB$85,MATCH(1,INDEX(($C43='Max demand'!$B$11:$B$85)*(L$9='Max demand'!$C$11:$C$85),0,1),0),MATCH($B43,'Max demand'!$D$9:$AB$9,0)),0)</f>
        <v>10.618938</v>
      </c>
      <c r="M43" s="21" cm="1">
        <f t="array" ref="M43">IFERROR(INDEX('Max demand'!$D$11:$AB$85,MATCH(1,INDEX(($C43='Max demand'!$B$11:$B$85)*(M$9='Max demand'!$C$11:$C$85),0,1),0),MATCH($B43,'Max demand'!$D$9:$AB$9,0)),0)</f>
        <v>10.692474896</v>
      </c>
      <c r="N43" s="21" cm="1">
        <f t="array" ref="N43">IFERROR(INDEX('Max demand'!$D$11:$AB$85,MATCH(1,INDEX(($C43='Max demand'!$B$11:$B$85)*(N$9='Max demand'!$C$11:$C$85),0,1),0),MATCH($B43,'Max demand'!$D$9:$AB$9,0)),0)</f>
        <v>10.777795380000001</v>
      </c>
      <c r="O43" s="21" cm="1">
        <f t="array" ref="O43">IFERROR(INDEX('Max demand'!$D$11:$AB$85,MATCH(1,INDEX(($C43='Max demand'!$B$11:$B$85)*(O$9='Max demand'!$C$11:$C$85),0,1),0),MATCH($B43,'Max demand'!$D$9:$AB$9,0)),0)</f>
        <v>10.867909149999999</v>
      </c>
      <c r="P43" s="21" cm="1">
        <f t="array" ref="P43">IFERROR(INDEX('Max demand'!$D$11:$AB$85,MATCH(1,INDEX(($C43='Max demand'!$B$11:$B$85)*(P$9='Max demand'!$C$11:$C$85),0,1),0),MATCH($B43,'Max demand'!$D$9:$AB$9,0)),0)</f>
        <v>10.980239396</v>
      </c>
      <c r="Q43"/>
      <c r="R43" s="73">
        <f t="shared" si="14"/>
        <v>1.0320756770664907E-2</v>
      </c>
      <c r="T43" s="2" t="str">
        <f t="shared" si="18"/>
        <v>Lower North Shore</v>
      </c>
      <c r="U43" s="35" t="str">
        <f t="shared" si="19"/>
        <v>HV</v>
      </c>
      <c r="V43" s="35"/>
      <c r="W43" s="35" t="str">
        <f t="shared" si="3"/>
        <v>MW</v>
      </c>
      <c r="X43" s="79">
        <f t="shared" si="15"/>
        <v>3.3044753121462218E-2</v>
      </c>
      <c r="Y43" s="79">
        <f t="shared" si="4"/>
        <v>3.5402162448670838E-2</v>
      </c>
      <c r="Z43" s="79">
        <f t="shared" si="5"/>
        <v>2.9387496269581592E-2</v>
      </c>
      <c r="AA43" s="79">
        <f t="shared" si="6"/>
        <v>2.8659578443609179E-2</v>
      </c>
      <c r="AB43" s="79">
        <f t="shared" si="7"/>
        <v>2.8009956282225777E-2</v>
      </c>
      <c r="AC43" s="79">
        <f t="shared" si="8"/>
        <v>2.7724913466960131E-2</v>
      </c>
      <c r="AD43" s="79">
        <f t="shared" si="9"/>
        <v>2.775038722642658E-2</v>
      </c>
      <c r="AE43" s="79">
        <f t="shared" si="10"/>
        <v>2.7781011126332598E-2</v>
      </c>
      <c r="AF43" s="79">
        <f t="shared" si="11"/>
        <v>2.7817458619596013E-2</v>
      </c>
      <c r="AG43" s="79">
        <f t="shared" si="12"/>
        <v>2.7875985242948501E-2</v>
      </c>
      <c r="AH43" s="79">
        <f t="shared" si="13"/>
        <v>2.7918643478659473E-2</v>
      </c>
      <c r="AI43"/>
      <c r="AJ43" s="60">
        <f t="shared" si="16"/>
        <v>2.9215667793315716E-2</v>
      </c>
    </row>
    <row r="44" spans="2:40" s="1" customFormat="1">
      <c r="B44" s="2" t="str">
        <f t="shared" si="17"/>
        <v>Maitland</v>
      </c>
      <c r="C44" s="35" t="str" cm="1">
        <f t="array" ref="C44">INDEX(network_levels,COUNTIFS($B$10:$B44,$B$10))</f>
        <v>HV</v>
      </c>
      <c r="D44" s="35"/>
      <c r="E44" s="35" t="s">
        <v>80</v>
      </c>
      <c r="F44" s="21" cm="1">
        <f t="array" ref="F44">IFERROR(INDEX('Max demand'!$D$11:$AB$85,MATCH(1,INDEX(($C44='Max demand'!$B$11:$B$85)*(F$9='Max demand'!$C$11:$C$85),0,1),0),MATCH($B44,'Max demand'!$D$9:$AB$9,0)),0)</f>
        <v>7.9909384327000001</v>
      </c>
      <c r="G44" s="21" cm="1">
        <f t="array" ref="G44">IFERROR(INDEX('Max demand'!$D$11:$AB$85,MATCH(1,INDEX(($C44='Max demand'!$B$11:$B$85)*(G$9='Max demand'!$C$11:$C$85),0,1),0),MATCH($B44,'Max demand'!$D$9:$AB$9,0)),0)</f>
        <v>7.8863630790999997</v>
      </c>
      <c r="H44" s="21" cm="1">
        <f t="array" ref="H44">IFERROR(INDEX('Max demand'!$D$11:$AB$85,MATCH(1,INDEX(($C44='Max demand'!$B$11:$B$85)*(H$9='Max demand'!$C$11:$C$85),0,1),0),MATCH($B44,'Max demand'!$D$9:$AB$9,0)),0)</f>
        <v>7.8607925816000002</v>
      </c>
      <c r="I44" s="21" cm="1">
        <f t="array" ref="I44">IFERROR(INDEX('Max demand'!$D$11:$AB$85,MATCH(1,INDEX(($C44='Max demand'!$B$11:$B$85)*(I$9='Max demand'!$C$11:$C$85),0,1),0),MATCH($B44,'Max demand'!$D$9:$AB$9,0)),0)</f>
        <v>7.8638073177000001</v>
      </c>
      <c r="J44" s="21" cm="1">
        <f t="array" ref="J44">IFERROR(INDEX('Max demand'!$D$11:$AB$85,MATCH(1,INDEX(($C44='Max demand'!$B$11:$B$85)*(J$9='Max demand'!$C$11:$C$85),0,1),0),MATCH($B44,'Max demand'!$D$9:$AB$9,0)),0)</f>
        <v>7.8545818914999996</v>
      </c>
      <c r="K44" s="21" cm="1">
        <f t="array" ref="K44">IFERROR(INDEX('Max demand'!$D$11:$AB$85,MATCH(1,INDEX(($C44='Max demand'!$B$11:$B$85)*(K$9='Max demand'!$C$11:$C$85),0,1),0),MATCH($B44,'Max demand'!$D$9:$AB$9,0)),0)</f>
        <v>7.8458336051000002</v>
      </c>
      <c r="L44" s="21" cm="1">
        <f t="array" ref="L44">IFERROR(INDEX('Max demand'!$D$11:$AB$85,MATCH(1,INDEX(($C44='Max demand'!$B$11:$B$85)*(L$9='Max demand'!$C$11:$C$85),0,1),0),MATCH($B44,'Max demand'!$D$9:$AB$9,0)),0)</f>
        <v>7.8324304775</v>
      </c>
      <c r="M44" s="21" cm="1">
        <f t="array" ref="M44">IFERROR(INDEX('Max demand'!$D$11:$AB$85,MATCH(1,INDEX(($C44='Max demand'!$B$11:$B$85)*(M$9='Max demand'!$C$11:$C$85),0,1),0),MATCH($B44,'Max demand'!$D$9:$AB$9,0)),0)</f>
        <v>7.8578763463000003</v>
      </c>
      <c r="N44" s="21" cm="1">
        <f t="array" ref="N44">IFERROR(INDEX('Max demand'!$D$11:$AB$85,MATCH(1,INDEX(($C44='Max demand'!$B$11:$B$85)*(N$9='Max demand'!$C$11:$C$85),0,1),0),MATCH($B44,'Max demand'!$D$9:$AB$9,0)),0)</f>
        <v>7.8768919534000004</v>
      </c>
      <c r="O44" s="21" cm="1">
        <f t="array" ref="O44">IFERROR(INDEX('Max demand'!$D$11:$AB$85,MATCH(1,INDEX(($C44='Max demand'!$B$11:$B$85)*(O$9='Max demand'!$C$11:$C$85),0,1),0),MATCH($B44,'Max demand'!$D$9:$AB$9,0)),0)</f>
        <v>7.8954103573000003</v>
      </c>
      <c r="P44" s="21" cm="1">
        <f t="array" ref="P44">IFERROR(INDEX('Max demand'!$D$11:$AB$85,MATCH(1,INDEX(($C44='Max demand'!$B$11:$B$85)*(P$9='Max demand'!$C$11:$C$85),0,1),0),MATCH($B44,'Max demand'!$D$9:$AB$9,0)),0)</f>
        <v>7.9226446265000003</v>
      </c>
      <c r="Q44"/>
      <c r="R44" s="73">
        <f t="shared" si="14"/>
        <v>-8.5794537491068468E-4</v>
      </c>
      <c r="T44" s="2" t="str">
        <f t="shared" si="18"/>
        <v>Maitland</v>
      </c>
      <c r="U44" s="35" t="str">
        <f t="shared" si="19"/>
        <v>HV</v>
      </c>
      <c r="V44" s="35"/>
      <c r="W44" s="35" t="str">
        <f t="shared" si="3"/>
        <v>MW</v>
      </c>
      <c r="X44" s="79">
        <f t="shared" si="15"/>
        <v>5.0561118614480122E-2</v>
      </c>
      <c r="Y44" s="79">
        <f t="shared" si="4"/>
        <v>5.0247867854244184E-2</v>
      </c>
      <c r="Z44" s="79">
        <f t="shared" si="5"/>
        <v>5.0129684629749205E-2</v>
      </c>
      <c r="AA44" s="79">
        <f t="shared" si="6"/>
        <v>5.0031892455647257E-2</v>
      </c>
      <c r="AB44" s="79">
        <f t="shared" si="7"/>
        <v>4.9928604100852196E-2</v>
      </c>
      <c r="AC44" s="79">
        <f t="shared" si="8"/>
        <v>4.9846666893144466E-2</v>
      </c>
      <c r="AD44" s="79">
        <f t="shared" si="9"/>
        <v>4.9734119614177758E-2</v>
      </c>
      <c r="AE44" s="79">
        <f t="shared" si="10"/>
        <v>4.9660091580996657E-2</v>
      </c>
      <c r="AF44" s="79">
        <f t="shared" si="11"/>
        <v>4.9558508733021846E-2</v>
      </c>
      <c r="AG44" s="79">
        <f t="shared" si="12"/>
        <v>4.9465461556474154E-2</v>
      </c>
      <c r="AH44" s="79">
        <f t="shared" si="13"/>
        <v>4.9409333535407995E-2</v>
      </c>
      <c r="AI44"/>
      <c r="AJ44" s="60">
        <f t="shared" si="16"/>
        <v>4.9870304506199621E-2</v>
      </c>
    </row>
    <row r="45" spans="2:40" s="1" customFormat="1">
      <c r="B45" s="2" t="str">
        <f t="shared" si="17"/>
        <v>Manly Warringah</v>
      </c>
      <c r="C45" s="35" t="str" cm="1">
        <f t="array" ref="C45">INDEX(network_levels,COUNTIFS($B$10:$B45,$B$10))</f>
        <v>HV</v>
      </c>
      <c r="D45" s="35"/>
      <c r="E45" s="35" t="s">
        <v>80</v>
      </c>
      <c r="F45" s="21" cm="1">
        <f t="array" ref="F45">IFERROR(INDEX('Max demand'!$D$11:$AB$85,MATCH(1,INDEX(($C45='Max demand'!$B$11:$B$85)*(F$9='Max demand'!$C$11:$C$85),0,1),0),MATCH($B45,'Max demand'!$D$9:$AB$9,0)),0)</f>
        <v>0.89222850760000005</v>
      </c>
      <c r="G45" s="21" cm="1">
        <f t="array" ref="G45">IFERROR(INDEX('Max demand'!$D$11:$AB$85,MATCH(1,INDEX(($C45='Max demand'!$B$11:$B$85)*(G$9='Max demand'!$C$11:$C$85),0,1),0),MATCH($B45,'Max demand'!$D$9:$AB$9,0)),0)</f>
        <v>0.89013232850000001</v>
      </c>
      <c r="H45" s="21" cm="1">
        <f t="array" ref="H45">IFERROR(INDEX('Max demand'!$D$11:$AB$85,MATCH(1,INDEX(($C45='Max demand'!$B$11:$B$85)*(H$9='Max demand'!$C$11:$C$85),0,1),0),MATCH($B45,'Max demand'!$D$9:$AB$9,0)),0)</f>
        <v>0.889339039</v>
      </c>
      <c r="I45" s="21" cm="1">
        <f t="array" ref="I45">IFERROR(INDEX('Max demand'!$D$11:$AB$85,MATCH(1,INDEX(($C45='Max demand'!$B$11:$B$85)*(I$9='Max demand'!$C$11:$C$85),0,1),0),MATCH($B45,'Max demand'!$D$9:$AB$9,0)),0)</f>
        <v>0.88975636930000002</v>
      </c>
      <c r="J45" s="21" cm="1">
        <f t="array" ref="J45">IFERROR(INDEX('Max demand'!$D$11:$AB$85,MATCH(1,INDEX(($C45='Max demand'!$B$11:$B$85)*(J$9='Max demand'!$C$11:$C$85),0,1),0),MATCH($B45,'Max demand'!$D$9:$AB$9,0)),0)</f>
        <v>0.88988480459999997</v>
      </c>
      <c r="K45" s="21" cm="1">
        <f t="array" ref="K45">IFERROR(INDEX('Max demand'!$D$11:$AB$85,MATCH(1,INDEX(($C45='Max demand'!$B$11:$B$85)*(K$9='Max demand'!$C$11:$C$85),0,1),0),MATCH($B45,'Max demand'!$D$9:$AB$9,0)),0)</f>
        <v>0.89017107049999999</v>
      </c>
      <c r="L45" s="21" cm="1">
        <f t="array" ref="L45">IFERROR(INDEX('Max demand'!$D$11:$AB$85,MATCH(1,INDEX(($C45='Max demand'!$B$11:$B$85)*(L$9='Max demand'!$C$11:$C$85),0,1),0),MATCH($B45,'Max demand'!$D$9:$AB$9,0)),0)</f>
        <v>0.89078437430000001</v>
      </c>
      <c r="M45" s="21" cm="1">
        <f t="array" ref="M45">IFERROR(INDEX('Max demand'!$D$11:$AB$85,MATCH(1,INDEX(($C45='Max demand'!$B$11:$B$85)*(M$9='Max demand'!$C$11:$C$85),0,1),0),MATCH($B45,'Max demand'!$D$9:$AB$9,0)),0)</f>
        <v>0.89346784930000001</v>
      </c>
      <c r="N45" s="21" cm="1">
        <f t="array" ref="N45">IFERROR(INDEX('Max demand'!$D$11:$AB$85,MATCH(1,INDEX(($C45='Max demand'!$B$11:$B$85)*(N$9='Max demand'!$C$11:$C$85),0,1),0),MATCH($B45,'Max demand'!$D$9:$AB$9,0)),0)</f>
        <v>0.89729399659999998</v>
      </c>
      <c r="O45" s="21" cm="1">
        <f t="array" ref="O45">IFERROR(INDEX('Max demand'!$D$11:$AB$85,MATCH(1,INDEX(($C45='Max demand'!$B$11:$B$85)*(O$9='Max demand'!$C$11:$C$85),0,1),0),MATCH($B45,'Max demand'!$D$9:$AB$9,0)),0)</f>
        <v>0.90017016260000005</v>
      </c>
      <c r="P45" s="21" cm="1">
        <f t="array" ref="P45">IFERROR(INDEX('Max demand'!$D$11:$AB$85,MATCH(1,INDEX(($C45='Max demand'!$B$11:$B$85)*(P$9='Max demand'!$C$11:$C$85),0,1),0),MATCH($B45,'Max demand'!$D$9:$AB$9,0)),0)</f>
        <v>0.90356244760000004</v>
      </c>
      <c r="Q45"/>
      <c r="R45" s="73">
        <f t="shared" si="14"/>
        <v>1.2630921161285169E-3</v>
      </c>
      <c r="T45" s="2" t="str">
        <f t="shared" si="18"/>
        <v>Manly Warringah</v>
      </c>
      <c r="U45" s="35" t="str">
        <f t="shared" si="19"/>
        <v>HV</v>
      </c>
      <c r="V45" s="35"/>
      <c r="W45" s="35" t="str">
        <f t="shared" si="3"/>
        <v>MW</v>
      </c>
      <c r="X45" s="79">
        <f t="shared" si="15"/>
        <v>5.3307537473460693E-3</v>
      </c>
      <c r="Y45" s="79">
        <f t="shared" si="4"/>
        <v>5.3852363562385212E-3</v>
      </c>
      <c r="Z45" s="79">
        <f t="shared" si="5"/>
        <v>5.4278044436042025E-3</v>
      </c>
      <c r="AA45" s="79">
        <f t="shared" si="6"/>
        <v>5.1585140637751452E-3</v>
      </c>
      <c r="AB45" s="79">
        <f t="shared" si="7"/>
        <v>5.1857982803801654E-3</v>
      </c>
      <c r="AC45" s="79">
        <f t="shared" si="8"/>
        <v>5.2150499749478996E-3</v>
      </c>
      <c r="AD45" s="79">
        <f t="shared" si="9"/>
        <v>5.2379966233654061E-3</v>
      </c>
      <c r="AE45" s="79">
        <f t="shared" si="10"/>
        <v>5.2329369159277326E-3</v>
      </c>
      <c r="AF45" s="79">
        <f t="shared" si="11"/>
        <v>5.2356549869013577E-3</v>
      </c>
      <c r="AG45" s="79">
        <f t="shared" si="12"/>
        <v>5.2387797468470962E-3</v>
      </c>
      <c r="AH45" s="79">
        <f t="shared" si="13"/>
        <v>5.237570628084943E-3</v>
      </c>
      <c r="AI45"/>
      <c r="AJ45" s="60">
        <f t="shared" si="16"/>
        <v>5.2623723424925946E-3</v>
      </c>
    </row>
    <row r="46" spans="2:40" s="1" customFormat="1">
      <c r="B46" s="2" t="str">
        <f t="shared" si="17"/>
        <v>Newcastle Inner City</v>
      </c>
      <c r="C46" s="35" t="str" cm="1">
        <f t="array" ref="C46">INDEX(network_levels,COUNTIFS($B$10:$B46,$B$10))</f>
        <v>HV</v>
      </c>
      <c r="D46" s="35"/>
      <c r="E46" s="35" t="s">
        <v>80</v>
      </c>
      <c r="F46" s="21" cm="1">
        <f t="array" ref="F46">IFERROR(INDEX('Max demand'!$D$11:$AB$85,MATCH(1,INDEX(($C46='Max demand'!$B$11:$B$85)*(F$9='Max demand'!$C$11:$C$85),0,1),0),MATCH($B46,'Max demand'!$D$9:$AB$9,0)),0)</f>
        <v>14.548731761999999</v>
      </c>
      <c r="G46" s="21" cm="1">
        <f t="array" ref="G46">IFERROR(INDEX('Max demand'!$D$11:$AB$85,MATCH(1,INDEX(($C46='Max demand'!$B$11:$B$85)*(G$9='Max demand'!$C$11:$C$85),0,1),0),MATCH($B46,'Max demand'!$D$9:$AB$9,0)),0)</f>
        <v>14.494881361999999</v>
      </c>
      <c r="H46" s="21" cm="1">
        <f t="array" ref="H46">IFERROR(INDEX('Max demand'!$D$11:$AB$85,MATCH(1,INDEX(($C46='Max demand'!$B$11:$B$85)*(H$9='Max demand'!$C$11:$C$85),0,1),0),MATCH($B46,'Max demand'!$D$9:$AB$9,0)),0)</f>
        <v>14.439742019000001</v>
      </c>
      <c r="I46" s="21" cm="1">
        <f t="array" ref="I46">IFERROR(INDEX('Max demand'!$D$11:$AB$85,MATCH(1,INDEX(($C46='Max demand'!$B$11:$B$85)*(I$9='Max demand'!$C$11:$C$85),0,1),0),MATCH($B46,'Max demand'!$D$9:$AB$9,0)),0)</f>
        <v>14.423835294</v>
      </c>
      <c r="J46" s="21" cm="1">
        <f t="array" ref="J46">IFERROR(INDEX('Max demand'!$D$11:$AB$85,MATCH(1,INDEX(($C46='Max demand'!$B$11:$B$85)*(J$9='Max demand'!$C$11:$C$85),0,1),0),MATCH($B46,'Max demand'!$D$9:$AB$9,0)),0)</f>
        <v>14.394067069</v>
      </c>
      <c r="K46" s="21" cm="1">
        <f t="array" ref="K46">IFERROR(INDEX('Max demand'!$D$11:$AB$85,MATCH(1,INDEX(($C46='Max demand'!$B$11:$B$85)*(K$9='Max demand'!$C$11:$C$85),0,1),0),MATCH($B46,'Max demand'!$D$9:$AB$9,0)),0)</f>
        <v>14.359233998000001</v>
      </c>
      <c r="L46" s="21" cm="1">
        <f t="array" ref="L46">IFERROR(INDEX('Max demand'!$D$11:$AB$85,MATCH(1,INDEX(($C46='Max demand'!$B$11:$B$85)*(L$9='Max demand'!$C$11:$C$85),0,1),0),MATCH($B46,'Max demand'!$D$9:$AB$9,0)),0)</f>
        <v>14.327582035000001</v>
      </c>
      <c r="M46" s="21" cm="1">
        <f t="array" ref="M46">IFERROR(INDEX('Max demand'!$D$11:$AB$85,MATCH(1,INDEX(($C46='Max demand'!$B$11:$B$85)*(M$9='Max demand'!$C$11:$C$85),0,1),0),MATCH($B46,'Max demand'!$D$9:$AB$9,0)),0)</f>
        <v>14.346268085</v>
      </c>
      <c r="N46" s="21" cm="1">
        <f t="array" ref="N46">IFERROR(INDEX('Max demand'!$D$11:$AB$85,MATCH(1,INDEX(($C46='Max demand'!$B$11:$B$85)*(N$9='Max demand'!$C$11:$C$85),0,1),0),MATCH($B46,'Max demand'!$D$9:$AB$9,0)),0)</f>
        <v>14.370439577999999</v>
      </c>
      <c r="O46" s="21" cm="1">
        <f t="array" ref="O46">IFERROR(INDEX('Max demand'!$D$11:$AB$85,MATCH(1,INDEX(($C46='Max demand'!$B$11:$B$85)*(O$9='Max demand'!$C$11:$C$85),0,1),0),MATCH($B46,'Max demand'!$D$9:$AB$9,0)),0)</f>
        <v>14.383902424</v>
      </c>
      <c r="P46" s="21" cm="1">
        <f t="array" ref="P46">IFERROR(INDEX('Max demand'!$D$11:$AB$85,MATCH(1,INDEX(($C46='Max demand'!$B$11:$B$85)*(P$9='Max demand'!$C$11:$C$85),0,1),0),MATCH($B46,'Max demand'!$D$9:$AB$9,0)),0)</f>
        <v>14.406102741</v>
      </c>
      <c r="Q46"/>
      <c r="R46" s="73">
        <f t="shared" si="14"/>
        <v>-9.847056022278533E-4</v>
      </c>
      <c r="T46" s="2" t="str">
        <f t="shared" si="18"/>
        <v>Newcastle Inner City</v>
      </c>
      <c r="U46" s="35" t="str">
        <f t="shared" si="19"/>
        <v>HV</v>
      </c>
      <c r="V46" s="35"/>
      <c r="W46" s="35" t="str">
        <f t="shared" si="3"/>
        <v>MW</v>
      </c>
      <c r="X46" s="79">
        <f t="shared" si="15"/>
        <v>9.7166024275296609E-2</v>
      </c>
      <c r="Y46" s="79">
        <f t="shared" si="4"/>
        <v>9.7793921100137127E-2</v>
      </c>
      <c r="Z46" s="79">
        <f t="shared" si="5"/>
        <v>9.7990967335937262E-2</v>
      </c>
      <c r="AA46" s="79">
        <f t="shared" si="6"/>
        <v>9.8016130428919254E-2</v>
      </c>
      <c r="AB46" s="79">
        <f t="shared" si="7"/>
        <v>9.8079836362671466E-2</v>
      </c>
      <c r="AC46" s="79">
        <f t="shared" si="8"/>
        <v>9.8152651745254713E-2</v>
      </c>
      <c r="AD46" s="79">
        <f t="shared" si="9"/>
        <v>9.8170973639656475E-2</v>
      </c>
      <c r="AE46" s="79">
        <f t="shared" si="10"/>
        <v>9.8095545678218821E-2</v>
      </c>
      <c r="AF46" s="79">
        <f t="shared" si="11"/>
        <v>9.8014318981007015E-2</v>
      </c>
      <c r="AG46" s="79">
        <f t="shared" si="12"/>
        <v>9.7930311870083872E-2</v>
      </c>
      <c r="AH46" s="79">
        <f t="shared" si="13"/>
        <v>9.7765758840672262E-2</v>
      </c>
      <c r="AI46"/>
      <c r="AJ46" s="60">
        <f t="shared" si="16"/>
        <v>9.7925130932532245E-2</v>
      </c>
    </row>
    <row r="47" spans="2:40" s="1" customFormat="1">
      <c r="B47" s="2" t="str">
        <f t="shared" si="17"/>
        <v>Newcastle Port</v>
      </c>
      <c r="C47" s="35" t="str" cm="1">
        <f t="array" ref="C47">INDEX(network_levels,COUNTIFS($B$10:$B47,$B$10))</f>
        <v>HV</v>
      </c>
      <c r="D47" s="35"/>
      <c r="E47" s="35" t="s">
        <v>80</v>
      </c>
      <c r="F47" s="21" cm="1">
        <f t="array" ref="F47">IFERROR(INDEX('Max demand'!$D$11:$AB$85,MATCH(1,INDEX(($C47='Max demand'!$B$11:$B$85)*(F$9='Max demand'!$C$11:$C$85),0,1),0),MATCH($B47,'Max demand'!$D$9:$AB$9,0)),0)</f>
        <v>4.8190538319999998</v>
      </c>
      <c r="G47" s="21" cm="1">
        <f t="array" ref="G47">IFERROR(INDEX('Max demand'!$D$11:$AB$85,MATCH(1,INDEX(($C47='Max demand'!$B$11:$B$85)*(G$9='Max demand'!$C$11:$C$85),0,1),0),MATCH($B47,'Max demand'!$D$9:$AB$9,0)),0)</f>
        <v>4.8303267658999998</v>
      </c>
      <c r="H47" s="21" cm="1">
        <f t="array" ref="H47">IFERROR(INDEX('Max demand'!$D$11:$AB$85,MATCH(1,INDEX(($C47='Max demand'!$B$11:$B$85)*(H$9='Max demand'!$C$11:$C$85),0,1),0),MATCH($B47,'Max demand'!$D$9:$AB$9,0)),0)</f>
        <v>4.8158963198000002</v>
      </c>
      <c r="I47" s="21" cm="1">
        <f t="array" ref="I47">IFERROR(INDEX('Max demand'!$D$11:$AB$85,MATCH(1,INDEX(($C47='Max demand'!$B$11:$B$85)*(I$9='Max demand'!$C$11:$C$85),0,1),0),MATCH($B47,'Max demand'!$D$9:$AB$9,0)),0)</f>
        <v>4.8199030046000004</v>
      </c>
      <c r="J47" s="21" cm="1">
        <f t="array" ref="J47">IFERROR(INDEX('Max demand'!$D$11:$AB$85,MATCH(1,INDEX(($C47='Max demand'!$B$11:$B$85)*(J$9='Max demand'!$C$11:$C$85),0,1),0),MATCH($B47,'Max demand'!$D$9:$AB$9,0)),0)</f>
        <v>4.814286708</v>
      </c>
      <c r="K47" s="21" cm="1">
        <f t="array" ref="K47">IFERROR(INDEX('Max demand'!$D$11:$AB$85,MATCH(1,INDEX(($C47='Max demand'!$B$11:$B$85)*(K$9='Max demand'!$C$11:$C$85),0,1),0),MATCH($B47,'Max demand'!$D$9:$AB$9,0)),0)</f>
        <v>4.8081501687000001</v>
      </c>
      <c r="L47" s="21" cm="1">
        <f t="array" ref="L47">IFERROR(INDEX('Max demand'!$D$11:$AB$85,MATCH(1,INDEX(($C47='Max demand'!$B$11:$B$85)*(L$9='Max demand'!$C$11:$C$85),0,1),0),MATCH($B47,'Max demand'!$D$9:$AB$9,0)),0)</f>
        <v>4.8042752266999997</v>
      </c>
      <c r="M47" s="21" cm="1">
        <f t="array" ref="M47">IFERROR(INDEX('Max demand'!$D$11:$AB$85,MATCH(1,INDEX(($C47='Max demand'!$B$11:$B$85)*(M$9='Max demand'!$C$11:$C$85),0,1),0),MATCH($B47,'Max demand'!$D$9:$AB$9,0)),0)</f>
        <v>4.8217731213999997</v>
      </c>
      <c r="N47" s="21" cm="1">
        <f t="array" ref="N47">IFERROR(INDEX('Max demand'!$D$11:$AB$85,MATCH(1,INDEX(($C47='Max demand'!$B$11:$B$85)*(N$9='Max demand'!$C$11:$C$85),0,1),0),MATCH($B47,'Max demand'!$D$9:$AB$9,0)),0)</f>
        <v>4.8410723893999998</v>
      </c>
      <c r="O47" s="21" cm="1">
        <f t="array" ref="O47">IFERROR(INDEX('Max demand'!$D$11:$AB$85,MATCH(1,INDEX(($C47='Max demand'!$B$11:$B$85)*(O$9='Max demand'!$C$11:$C$85),0,1),0),MATCH($B47,'Max demand'!$D$9:$AB$9,0)),0)</f>
        <v>4.8589638130999999</v>
      </c>
      <c r="P47" s="21" cm="1">
        <f t="array" ref="P47">IFERROR(INDEX('Max demand'!$D$11:$AB$85,MATCH(1,INDEX(($C47='Max demand'!$B$11:$B$85)*(P$9='Max demand'!$C$11:$C$85),0,1),0),MATCH($B47,'Max demand'!$D$9:$AB$9,0)),0)</f>
        <v>4.8793504323999999</v>
      </c>
      <c r="Q47"/>
      <c r="R47" s="73">
        <f t="shared" si="14"/>
        <v>1.2442228550493262E-3</v>
      </c>
      <c r="T47" s="2" t="str">
        <f t="shared" si="18"/>
        <v>Newcastle Port</v>
      </c>
      <c r="U47" s="35" t="str">
        <f t="shared" si="19"/>
        <v>HV</v>
      </c>
      <c r="V47" s="35"/>
      <c r="W47" s="35" t="str">
        <f t="shared" si="3"/>
        <v>MW</v>
      </c>
      <c r="X47" s="79">
        <f t="shared" si="15"/>
        <v>3.3786812149238205E-2</v>
      </c>
      <c r="Y47" s="79">
        <f t="shared" si="4"/>
        <v>3.380690684801594E-2</v>
      </c>
      <c r="Z47" s="79">
        <f t="shared" si="5"/>
        <v>3.3753429473970628E-2</v>
      </c>
      <c r="AA47" s="79">
        <f t="shared" si="6"/>
        <v>3.3768454028946154E-2</v>
      </c>
      <c r="AB47" s="79">
        <f t="shared" si="7"/>
        <v>3.3747042703256666E-2</v>
      </c>
      <c r="AC47" s="79">
        <f t="shared" si="8"/>
        <v>3.3723486769405037E-2</v>
      </c>
      <c r="AD47" s="79">
        <f t="shared" si="9"/>
        <v>3.3708328091034377E-2</v>
      </c>
      <c r="AE47" s="79">
        <f t="shared" si="10"/>
        <v>3.3772815569045218E-2</v>
      </c>
      <c r="AF47" s="79">
        <f t="shared" si="11"/>
        <v>3.3844970098152849E-2</v>
      </c>
      <c r="AG47" s="79">
        <f t="shared" si="12"/>
        <v>3.3912046643753309E-2</v>
      </c>
      <c r="AH47" s="79">
        <f t="shared" si="13"/>
        <v>3.3987656413827672E-2</v>
      </c>
      <c r="AI47"/>
      <c r="AJ47" s="60">
        <f t="shared" si="16"/>
        <v>3.3801086253513274E-2</v>
      </c>
    </row>
    <row r="48" spans="2:40" s="1" customFormat="1">
      <c r="B48" s="2" t="str">
        <f t="shared" si="17"/>
        <v>Newcastle Western Corridor</v>
      </c>
      <c r="C48" s="35" t="str" cm="1">
        <f t="array" ref="C48">INDEX(network_levels,COUNTIFS($B$10:$B48,$B$10))</f>
        <v>HV</v>
      </c>
      <c r="D48" s="35"/>
      <c r="E48" s="35" t="s">
        <v>80</v>
      </c>
      <c r="F48" s="21" cm="1">
        <f t="array" ref="F48">IFERROR(INDEX('Max demand'!$D$11:$AB$85,MATCH(1,INDEX(($C48='Max demand'!$B$11:$B$85)*(F$9='Max demand'!$C$11:$C$85),0,1),0),MATCH($B48,'Max demand'!$D$9:$AB$9,0)),0)</f>
        <v>0.71704245560000002</v>
      </c>
      <c r="G48" s="21" cm="1">
        <f t="array" ref="G48">IFERROR(INDEX('Max demand'!$D$11:$AB$85,MATCH(1,INDEX(($C48='Max demand'!$B$11:$B$85)*(G$9='Max demand'!$C$11:$C$85),0,1),0),MATCH($B48,'Max demand'!$D$9:$AB$9,0)),0)</f>
        <v>0.71196998209999995</v>
      </c>
      <c r="H48" s="21" cm="1">
        <f t="array" ref="H48">IFERROR(INDEX('Max demand'!$D$11:$AB$85,MATCH(1,INDEX(($C48='Max demand'!$B$11:$B$85)*(H$9='Max demand'!$C$11:$C$85),0,1),0),MATCH($B48,'Max demand'!$D$9:$AB$9,0)),0)</f>
        <v>0.7083210794</v>
      </c>
      <c r="I48" s="21" cm="1">
        <f t="array" ref="I48">IFERROR(INDEX('Max demand'!$D$11:$AB$85,MATCH(1,INDEX(($C48='Max demand'!$B$11:$B$85)*(I$9='Max demand'!$C$11:$C$85),0,1),0),MATCH($B48,'Max demand'!$D$9:$AB$9,0)),0)</f>
        <v>0.70742077140000004</v>
      </c>
      <c r="J48" s="21" cm="1">
        <f t="array" ref="J48">IFERROR(INDEX('Max demand'!$D$11:$AB$85,MATCH(1,INDEX(($C48='Max demand'!$B$11:$B$85)*(J$9='Max demand'!$C$11:$C$85),0,1),0),MATCH($B48,'Max demand'!$D$9:$AB$9,0)),0)</f>
        <v>0.70535259939999995</v>
      </c>
      <c r="K48" s="21" cm="1">
        <f t="array" ref="K48">IFERROR(INDEX('Max demand'!$D$11:$AB$85,MATCH(1,INDEX(($C48='Max demand'!$B$11:$B$85)*(K$9='Max demand'!$C$11:$C$85),0,1),0),MATCH($B48,'Max demand'!$D$9:$AB$9,0)),0)</f>
        <v>0.70273406589999998</v>
      </c>
      <c r="L48" s="21" cm="1">
        <f t="array" ref="L48">IFERROR(INDEX('Max demand'!$D$11:$AB$85,MATCH(1,INDEX(($C48='Max demand'!$B$11:$B$85)*(L$9='Max demand'!$C$11:$C$85),0,1),0),MATCH($B48,'Max demand'!$D$9:$AB$9,0)),0)</f>
        <v>0.70023813690000003</v>
      </c>
      <c r="M48" s="21" cm="1">
        <f t="array" ref="M48">IFERROR(INDEX('Max demand'!$D$11:$AB$85,MATCH(1,INDEX(($C48='Max demand'!$B$11:$B$85)*(M$9='Max demand'!$C$11:$C$85),0,1),0),MATCH($B48,'Max demand'!$D$9:$AB$9,0)),0)</f>
        <v>0.70098387549999996</v>
      </c>
      <c r="N48" s="21" cm="1">
        <f t="array" ref="N48">IFERROR(INDEX('Max demand'!$D$11:$AB$85,MATCH(1,INDEX(($C48='Max demand'!$B$11:$B$85)*(N$9='Max demand'!$C$11:$C$85),0,1),0),MATCH($B48,'Max demand'!$D$9:$AB$9,0)),0)</f>
        <v>0.70134605800000005</v>
      </c>
      <c r="O48" s="21" cm="1">
        <f t="array" ref="O48">IFERROR(INDEX('Max demand'!$D$11:$AB$85,MATCH(1,INDEX(($C48='Max demand'!$B$11:$B$85)*(O$9='Max demand'!$C$11:$C$85),0,1),0),MATCH($B48,'Max demand'!$D$9:$AB$9,0)),0)</f>
        <v>0.70141670280000001</v>
      </c>
      <c r="P48" s="21" cm="1">
        <f t="array" ref="P48">IFERROR(INDEX('Max demand'!$D$11:$AB$85,MATCH(1,INDEX(($C48='Max demand'!$B$11:$B$85)*(P$9='Max demand'!$C$11:$C$85),0,1),0),MATCH($B48,'Max demand'!$D$9:$AB$9,0)),0)</f>
        <v>0.70215477940000004</v>
      </c>
      <c r="Q48"/>
      <c r="R48" s="73">
        <f t="shared" si="14"/>
        <v>-2.095919335115215E-3</v>
      </c>
      <c r="T48" s="2" t="str">
        <f t="shared" si="18"/>
        <v>Newcastle Western Corridor</v>
      </c>
      <c r="U48" s="35" t="str">
        <f t="shared" si="19"/>
        <v>HV</v>
      </c>
      <c r="V48" s="35"/>
      <c r="W48" s="35" t="str">
        <f t="shared" si="3"/>
        <v>MW</v>
      </c>
      <c r="X48" s="79">
        <f t="shared" si="15"/>
        <v>7.1967805228011156E-3</v>
      </c>
      <c r="Y48" s="79">
        <f t="shared" si="4"/>
        <v>7.1869771007448974E-3</v>
      </c>
      <c r="Z48" s="79">
        <f t="shared" si="5"/>
        <v>7.1796493270241462E-3</v>
      </c>
      <c r="AA48" s="79">
        <f t="shared" si="6"/>
        <v>7.1801615299006355E-3</v>
      </c>
      <c r="AB48" s="79">
        <f t="shared" si="7"/>
        <v>7.1790837204167802E-3</v>
      </c>
      <c r="AC48" s="79">
        <f t="shared" si="8"/>
        <v>7.1788949454374496E-3</v>
      </c>
      <c r="AD48" s="79">
        <f t="shared" si="9"/>
        <v>7.1806525286890778E-3</v>
      </c>
      <c r="AE48" s="79">
        <f t="shared" si="10"/>
        <v>7.1830290358064512E-3</v>
      </c>
      <c r="AF48" s="79">
        <f t="shared" si="11"/>
        <v>7.1858731380756418E-3</v>
      </c>
      <c r="AG48" s="79">
        <f t="shared" si="12"/>
        <v>7.1865367162363978E-3</v>
      </c>
      <c r="AH48" s="79">
        <f t="shared" si="13"/>
        <v>7.1937556230670949E-3</v>
      </c>
      <c r="AI48"/>
      <c r="AJ48" s="60">
        <f t="shared" si="16"/>
        <v>7.1846721989272441E-3</v>
      </c>
    </row>
    <row r="49" spans="2:36" s="1" customFormat="1">
      <c r="B49" s="2" t="str">
        <f t="shared" si="17"/>
        <v>North East Lake Macquarie</v>
      </c>
      <c r="C49" s="35" t="str" cm="1">
        <f t="array" ref="C49">INDEX(network_levels,COUNTIFS($B$10:$B49,$B$10))</f>
        <v>HV</v>
      </c>
      <c r="D49" s="35"/>
      <c r="E49" s="35" t="s">
        <v>80</v>
      </c>
      <c r="F49" s="21" cm="1">
        <f t="array" ref="F49">IFERROR(INDEX('Max demand'!$D$11:$AB$85,MATCH(1,INDEX(($C49='Max demand'!$B$11:$B$85)*(F$9='Max demand'!$C$11:$C$85),0,1),0),MATCH($B49,'Max demand'!$D$9:$AB$9,0)),0)</f>
        <v>2.7390029267</v>
      </c>
      <c r="G49" s="21" cm="1">
        <f t="array" ref="G49">IFERROR(INDEX('Max demand'!$D$11:$AB$85,MATCH(1,INDEX(($C49='Max demand'!$B$11:$B$85)*(G$9='Max demand'!$C$11:$C$85),0,1),0),MATCH($B49,'Max demand'!$D$9:$AB$9,0)),0)</f>
        <v>2.7087606210000001</v>
      </c>
      <c r="H49" s="21" cm="1">
        <f t="array" ref="H49">IFERROR(INDEX('Max demand'!$D$11:$AB$85,MATCH(1,INDEX(($C49='Max demand'!$B$11:$B$85)*(H$9='Max demand'!$C$11:$C$85),0,1),0),MATCH($B49,'Max demand'!$D$9:$AB$9,0)),0)</f>
        <v>2.6935425599</v>
      </c>
      <c r="I49" s="21" cm="1">
        <f t="array" ref="I49">IFERROR(INDEX('Max demand'!$D$11:$AB$85,MATCH(1,INDEX(($C49='Max demand'!$B$11:$B$85)*(I$9='Max demand'!$C$11:$C$85),0,1),0),MATCH($B49,'Max demand'!$D$9:$AB$9,0)),0)</f>
        <v>2.6862012247</v>
      </c>
      <c r="J49" s="21" cm="1">
        <f t="array" ref="J49">IFERROR(INDEX('Max demand'!$D$11:$AB$85,MATCH(1,INDEX(($C49='Max demand'!$B$11:$B$85)*(J$9='Max demand'!$C$11:$C$85),0,1),0),MATCH($B49,'Max demand'!$D$9:$AB$9,0)),0)</f>
        <v>2.6750688079999998</v>
      </c>
      <c r="K49" s="21" cm="1">
        <f t="array" ref="K49">IFERROR(INDEX('Max demand'!$D$11:$AB$85,MATCH(1,INDEX(($C49='Max demand'!$B$11:$B$85)*(K$9='Max demand'!$C$11:$C$85),0,1),0),MATCH($B49,'Max demand'!$D$9:$AB$9,0)),0)</f>
        <v>2.6617280577</v>
      </c>
      <c r="L49" s="21" cm="1">
        <f t="array" ref="L49">IFERROR(INDEX('Max demand'!$D$11:$AB$85,MATCH(1,INDEX(($C49='Max demand'!$B$11:$B$85)*(L$9='Max demand'!$C$11:$C$85),0,1),0),MATCH($B49,'Max demand'!$D$9:$AB$9,0)),0)</f>
        <v>2.6485880338999999</v>
      </c>
      <c r="M49" s="21" cm="1">
        <f t="array" ref="M49">IFERROR(INDEX('Max demand'!$D$11:$AB$85,MATCH(1,INDEX(($C49='Max demand'!$B$11:$B$85)*(M$9='Max demand'!$C$11:$C$85),0,1),0),MATCH($B49,'Max demand'!$D$9:$AB$9,0)),0)</f>
        <v>2.6485104959000001</v>
      </c>
      <c r="N49" s="21" cm="1">
        <f t="array" ref="N49">IFERROR(INDEX('Max demand'!$D$11:$AB$85,MATCH(1,INDEX(($C49='Max demand'!$B$11:$B$85)*(N$9='Max demand'!$C$11:$C$85),0,1),0),MATCH($B49,'Max demand'!$D$9:$AB$9,0)),0)</f>
        <v>2.6467082923</v>
      </c>
      <c r="O49" s="21" cm="1">
        <f t="array" ref="O49">IFERROR(INDEX('Max demand'!$D$11:$AB$85,MATCH(1,INDEX(($C49='Max demand'!$B$11:$B$85)*(O$9='Max demand'!$C$11:$C$85),0,1),0),MATCH($B49,'Max demand'!$D$9:$AB$9,0)),0)</f>
        <v>2.6433476998000001</v>
      </c>
      <c r="P49" s="21" cm="1">
        <f t="array" ref="P49">IFERROR(INDEX('Max demand'!$D$11:$AB$85,MATCH(1,INDEX(($C49='Max demand'!$B$11:$B$85)*(P$9='Max demand'!$C$11:$C$85),0,1),0),MATCH($B49,'Max demand'!$D$9:$AB$9,0)),0)</f>
        <v>2.6408578426</v>
      </c>
      <c r="Q49"/>
      <c r="R49" s="73">
        <f t="shared" si="14"/>
        <v>-3.6423658392384928E-3</v>
      </c>
      <c r="T49" s="2" t="str">
        <f t="shared" si="18"/>
        <v>North East Lake Macquarie</v>
      </c>
      <c r="U49" s="35" t="str">
        <f t="shared" si="19"/>
        <v>HV</v>
      </c>
      <c r="V49" s="35"/>
      <c r="W49" s="35" t="str">
        <f t="shared" si="3"/>
        <v>MW</v>
      </c>
      <c r="X49" s="79">
        <f t="shared" si="15"/>
        <v>2.3050474511613409E-2</v>
      </c>
      <c r="Y49" s="79">
        <f t="shared" si="4"/>
        <v>2.308520772290382E-2</v>
      </c>
      <c r="Z49" s="79">
        <f t="shared" si="5"/>
        <v>2.3057480714746698E-2</v>
      </c>
      <c r="AA49" s="79">
        <f t="shared" si="6"/>
        <v>2.3036537739408496E-2</v>
      </c>
      <c r="AB49" s="79">
        <f t="shared" si="7"/>
        <v>2.3014710981268279E-2</v>
      </c>
      <c r="AC49" s="79">
        <f t="shared" si="8"/>
        <v>2.2999542088954845E-2</v>
      </c>
      <c r="AD49" s="79">
        <f t="shared" si="9"/>
        <v>2.2982808312357265E-2</v>
      </c>
      <c r="AE49" s="79">
        <f t="shared" si="10"/>
        <v>2.2964642834225266E-2</v>
      </c>
      <c r="AF49" s="79">
        <f t="shared" si="11"/>
        <v>2.2942630005214477E-2</v>
      </c>
      <c r="AG49" s="79">
        <f t="shared" si="12"/>
        <v>2.2928785707097846E-2</v>
      </c>
      <c r="AH49" s="79">
        <f t="shared" si="13"/>
        <v>2.2906690725563797E-2</v>
      </c>
      <c r="AI49"/>
      <c r="AJ49" s="60">
        <f t="shared" si="16"/>
        <v>2.2997228303941294E-2</v>
      </c>
    </row>
    <row r="50" spans="2:36" s="1" customFormat="1">
      <c r="B50" s="2" t="str">
        <f t="shared" si="17"/>
        <v>North West</v>
      </c>
      <c r="C50" s="35" t="str" cm="1">
        <f t="array" ref="C50">INDEX(network_levels,COUNTIFS($B$10:$B50,$B$10))</f>
        <v>HV</v>
      </c>
      <c r="D50" s="35"/>
      <c r="E50" s="35" t="s">
        <v>80</v>
      </c>
      <c r="F50" s="21" cm="1">
        <f t="array" ref="F50">IFERROR(INDEX('Max demand'!$D$11:$AB$85,MATCH(1,INDEX(($C50='Max demand'!$B$11:$B$85)*(F$9='Max demand'!$C$11:$C$85),0,1),0),MATCH($B50,'Max demand'!$D$9:$AB$9,0)),0)</f>
        <v>2.8374186902999998</v>
      </c>
      <c r="G50" s="21" cm="1">
        <f t="array" ref="G50">IFERROR(INDEX('Max demand'!$D$11:$AB$85,MATCH(1,INDEX(($C50='Max demand'!$B$11:$B$85)*(G$9='Max demand'!$C$11:$C$85),0,1),0),MATCH($B50,'Max demand'!$D$9:$AB$9,0)),0)</f>
        <v>2.8099517327000001</v>
      </c>
      <c r="H50" s="21" cm="1">
        <f t="array" ref="H50">IFERROR(INDEX('Max demand'!$D$11:$AB$85,MATCH(1,INDEX(($C50='Max demand'!$B$11:$B$85)*(H$9='Max demand'!$C$11:$C$85),0,1),0),MATCH($B50,'Max demand'!$D$9:$AB$9,0)),0)</f>
        <v>2.7979610017000001</v>
      </c>
      <c r="I50" s="21" cm="1">
        <f t="array" ref="I50">IFERROR(INDEX('Max demand'!$D$11:$AB$85,MATCH(1,INDEX(($C50='Max demand'!$B$11:$B$85)*(I$9='Max demand'!$C$11:$C$85),0,1),0),MATCH($B50,'Max demand'!$D$9:$AB$9,0)),0)</f>
        <v>2.7974941480000002</v>
      </c>
      <c r="J50" s="21" cm="1">
        <f t="array" ref="J50">IFERROR(INDEX('Max demand'!$D$11:$AB$85,MATCH(1,INDEX(($C50='Max demand'!$B$11:$B$85)*(J$9='Max demand'!$C$11:$C$85),0,1),0),MATCH($B50,'Max demand'!$D$9:$AB$9,0)),0)</f>
        <v>2.7954383588999998</v>
      </c>
      <c r="K50" s="21" cm="1">
        <f t="array" ref="K50">IFERROR(INDEX('Max demand'!$D$11:$AB$85,MATCH(1,INDEX(($C50='Max demand'!$B$11:$B$85)*(K$9='Max demand'!$C$11:$C$85),0,1),0),MATCH($B50,'Max demand'!$D$9:$AB$9,0)),0)</f>
        <v>2.7996775014000002</v>
      </c>
      <c r="L50" s="21" cm="1">
        <f t="array" ref="L50">IFERROR(INDEX('Max demand'!$D$11:$AB$85,MATCH(1,INDEX(($C50='Max demand'!$B$11:$B$85)*(L$9='Max demand'!$C$11:$C$85),0,1),0),MATCH($B50,'Max demand'!$D$9:$AB$9,0)),0)</f>
        <v>2.8124477879000001</v>
      </c>
      <c r="M50" s="21" cm="1">
        <f t="array" ref="M50">IFERROR(INDEX('Max demand'!$D$11:$AB$85,MATCH(1,INDEX(($C50='Max demand'!$B$11:$B$85)*(M$9='Max demand'!$C$11:$C$85),0,1),0),MATCH($B50,'Max demand'!$D$9:$AB$9,0)),0)</f>
        <v>2.8454435984000002</v>
      </c>
      <c r="N50" s="21" cm="1">
        <f t="array" ref="N50">IFERROR(INDEX('Max demand'!$D$11:$AB$85,MATCH(1,INDEX(($C50='Max demand'!$B$11:$B$85)*(N$9='Max demand'!$C$11:$C$85),0,1),0),MATCH($B50,'Max demand'!$D$9:$AB$9,0)),0)</f>
        <v>2.8737358606000001</v>
      </c>
      <c r="O50" s="21" cm="1">
        <f t="array" ref="O50">IFERROR(INDEX('Max demand'!$D$11:$AB$85,MATCH(1,INDEX(($C50='Max demand'!$B$11:$B$85)*(O$9='Max demand'!$C$11:$C$85),0,1),0),MATCH($B50,'Max demand'!$D$9:$AB$9,0)),0)</f>
        <v>2.8954002119000002</v>
      </c>
      <c r="P50" s="21" cm="1">
        <f t="array" ref="P50">IFERROR(INDEX('Max demand'!$D$11:$AB$85,MATCH(1,INDEX(($C50='Max demand'!$B$11:$B$85)*(P$9='Max demand'!$C$11:$C$85),0,1),0),MATCH($B50,'Max demand'!$D$9:$AB$9,0)),0)</f>
        <v>2.9202799277000002</v>
      </c>
      <c r="Q50"/>
      <c r="R50" s="73">
        <f t="shared" si="14"/>
        <v>2.882621821112874E-3</v>
      </c>
      <c r="T50" s="2" t="str">
        <f t="shared" si="18"/>
        <v>North West</v>
      </c>
      <c r="U50" s="35" t="str">
        <f t="shared" si="19"/>
        <v>HV</v>
      </c>
      <c r="V50" s="35"/>
      <c r="W50" s="35" t="str">
        <f t="shared" si="3"/>
        <v>MW</v>
      </c>
      <c r="X50" s="79">
        <f t="shared" si="15"/>
        <v>1.6008061620840557E-2</v>
      </c>
      <c r="Y50" s="79">
        <f t="shared" si="4"/>
        <v>1.5981671146576591E-2</v>
      </c>
      <c r="Z50" s="79">
        <f t="shared" si="5"/>
        <v>1.5988256950722288E-2</v>
      </c>
      <c r="AA50" s="79">
        <f t="shared" si="6"/>
        <v>1.6000602685926957E-2</v>
      </c>
      <c r="AB50" s="79">
        <f t="shared" si="7"/>
        <v>1.6017225287068657E-2</v>
      </c>
      <c r="AC50" s="79">
        <f t="shared" si="8"/>
        <v>1.605801125498264E-2</v>
      </c>
      <c r="AD50" s="79">
        <f t="shared" si="9"/>
        <v>1.6113382327174693E-2</v>
      </c>
      <c r="AE50" s="79">
        <f t="shared" si="10"/>
        <v>1.6181000331581038E-2</v>
      </c>
      <c r="AF50" s="79">
        <f t="shared" si="11"/>
        <v>1.6232968408850124E-2</v>
      </c>
      <c r="AG50" s="79">
        <f t="shared" si="12"/>
        <v>1.6267120332516299E-2</v>
      </c>
      <c r="AH50" s="79">
        <f t="shared" si="13"/>
        <v>1.6301317774690394E-2</v>
      </c>
      <c r="AI50"/>
      <c r="AJ50" s="60">
        <f t="shared" si="16"/>
        <v>1.6104510738266384E-2</v>
      </c>
    </row>
    <row r="51" spans="2:36" s="1" customFormat="1">
      <c r="B51" s="2" t="str">
        <f t="shared" si="17"/>
        <v>Pittwater &amp; Terrey Hills</v>
      </c>
      <c r="C51" s="35" t="str" cm="1">
        <f t="array" ref="C51">INDEX(network_levels,COUNTIFS($B$10:$B51,$B$10))</f>
        <v>HV</v>
      </c>
      <c r="D51" s="35"/>
      <c r="E51" s="35" t="s">
        <v>80</v>
      </c>
      <c r="F51" s="21" cm="1">
        <f t="array" ref="F51">IFERROR(INDEX('Max demand'!$D$11:$AB$85,MATCH(1,INDEX(($C51='Max demand'!$B$11:$B$85)*(F$9='Max demand'!$C$11:$C$85),0,1),0),MATCH($B51,'Max demand'!$D$9:$AB$9,0)),0)</f>
        <v>0.14996634310000001</v>
      </c>
      <c r="G51" s="21" cm="1">
        <f t="array" ref="G51">IFERROR(INDEX('Max demand'!$D$11:$AB$85,MATCH(1,INDEX(($C51='Max demand'!$B$11:$B$85)*(G$9='Max demand'!$C$11:$C$85),0,1),0),MATCH($B51,'Max demand'!$D$9:$AB$9,0)),0)</f>
        <v>0.14775335689999999</v>
      </c>
      <c r="H51" s="21" cm="1">
        <f t="array" ref="H51">IFERROR(INDEX('Max demand'!$D$11:$AB$85,MATCH(1,INDEX(($C51='Max demand'!$B$11:$B$85)*(H$9='Max demand'!$C$11:$C$85),0,1),0),MATCH($B51,'Max demand'!$D$9:$AB$9,0)),0)</f>
        <v>0.1461438253</v>
      </c>
      <c r="I51" s="21" cm="1">
        <f t="array" ref="I51">IFERROR(INDEX('Max demand'!$D$11:$AB$85,MATCH(1,INDEX(($C51='Max demand'!$B$11:$B$85)*(I$9='Max demand'!$C$11:$C$85),0,1),0),MATCH($B51,'Max demand'!$D$9:$AB$9,0)),0)</f>
        <v>0.14523999730000001</v>
      </c>
      <c r="J51" s="21" cm="1">
        <f t="array" ref="J51">IFERROR(INDEX('Max demand'!$D$11:$AB$85,MATCH(1,INDEX(($C51='Max demand'!$B$11:$B$85)*(J$9='Max demand'!$C$11:$C$85),0,1),0),MATCH($B51,'Max demand'!$D$9:$AB$9,0)),0)</f>
        <v>0.1440707349</v>
      </c>
      <c r="K51" s="21" cm="1">
        <f t="array" ref="K51">IFERROR(INDEX('Max demand'!$D$11:$AB$85,MATCH(1,INDEX(($C51='Max demand'!$B$11:$B$85)*(K$9='Max demand'!$C$11:$C$85),0,1),0),MATCH($B51,'Max demand'!$D$9:$AB$9,0)),0)</f>
        <v>0.14323722859999999</v>
      </c>
      <c r="L51" s="21" cm="1">
        <f t="array" ref="L51">IFERROR(INDEX('Max demand'!$D$11:$AB$85,MATCH(1,INDEX(($C51='Max demand'!$B$11:$B$85)*(L$9='Max demand'!$C$11:$C$85),0,1),0),MATCH($B51,'Max demand'!$D$9:$AB$9,0)),0)</f>
        <v>0.1423586845</v>
      </c>
      <c r="M51" s="21" cm="1">
        <f t="array" ref="M51">IFERROR(INDEX('Max demand'!$D$11:$AB$85,MATCH(1,INDEX(($C51='Max demand'!$B$11:$B$85)*(M$9='Max demand'!$C$11:$C$85),0,1),0),MATCH($B51,'Max demand'!$D$9:$AB$9,0)),0)</f>
        <v>0.14248449730000001</v>
      </c>
      <c r="N51" s="21" cm="1">
        <f t="array" ref="N51">IFERROR(INDEX('Max demand'!$D$11:$AB$85,MATCH(1,INDEX(($C51='Max demand'!$B$11:$B$85)*(N$9='Max demand'!$C$11:$C$85),0,1),0),MATCH($B51,'Max demand'!$D$9:$AB$9,0)),0)</f>
        <v>0.14281584750000001</v>
      </c>
      <c r="O51" s="21" cm="1">
        <f t="array" ref="O51">IFERROR(INDEX('Max demand'!$D$11:$AB$85,MATCH(1,INDEX(($C51='Max demand'!$B$11:$B$85)*(O$9='Max demand'!$C$11:$C$85),0,1),0),MATCH($B51,'Max demand'!$D$9:$AB$9,0)),0)</f>
        <v>0.14292207479999999</v>
      </c>
      <c r="P51" s="21" cm="1">
        <f t="array" ref="P51">IFERROR(INDEX('Max demand'!$D$11:$AB$85,MATCH(1,INDEX(($C51='Max demand'!$B$11:$B$85)*(P$9='Max demand'!$C$11:$C$85),0,1),0),MATCH($B51,'Max demand'!$D$9:$AB$9,0)),0)</f>
        <v>0.1433519174</v>
      </c>
      <c r="Q51"/>
      <c r="R51" s="73">
        <f t="shared" si="14"/>
        <v>-4.5006736459944907E-3</v>
      </c>
      <c r="T51" s="2" t="str">
        <f t="shared" si="18"/>
        <v>Pittwater &amp; Terrey Hills</v>
      </c>
      <c r="U51" s="35" t="str">
        <f t="shared" si="19"/>
        <v>HV</v>
      </c>
      <c r="V51" s="35"/>
      <c r="W51" s="35" t="str">
        <f t="shared" si="3"/>
        <v>MW</v>
      </c>
      <c r="X51" s="79">
        <f t="shared" si="15"/>
        <v>2.1972521205983987E-3</v>
      </c>
      <c r="Y51" s="79">
        <f t="shared" si="4"/>
        <v>2.1912379547719255E-3</v>
      </c>
      <c r="Z51" s="79">
        <f t="shared" si="5"/>
        <v>2.1884155761607059E-3</v>
      </c>
      <c r="AA51" s="79">
        <f t="shared" si="6"/>
        <v>2.1856528409377779E-3</v>
      </c>
      <c r="AB51" s="79">
        <f t="shared" si="7"/>
        <v>2.1816000803744034E-3</v>
      </c>
      <c r="AC51" s="79">
        <f t="shared" si="8"/>
        <v>2.1813750720920456E-3</v>
      </c>
      <c r="AD51" s="79">
        <f t="shared" si="9"/>
        <v>2.178553616630391E-3</v>
      </c>
      <c r="AE51" s="79">
        <f t="shared" si="10"/>
        <v>2.1741888144104888E-3</v>
      </c>
      <c r="AF51" s="79">
        <f t="shared" si="11"/>
        <v>2.1724263064034619E-3</v>
      </c>
      <c r="AG51" s="79">
        <f t="shared" si="12"/>
        <v>2.1674039273133472E-3</v>
      </c>
      <c r="AH51" s="79">
        <f t="shared" si="13"/>
        <v>2.1634123681433387E-3</v>
      </c>
      <c r="AI51"/>
      <c r="AJ51" s="60">
        <f t="shared" si="16"/>
        <v>2.1801380616214804E-3</v>
      </c>
    </row>
    <row r="52" spans="2:36" s="1" customFormat="1">
      <c r="B52" s="2" t="str">
        <f t="shared" si="17"/>
        <v>Port Stephens</v>
      </c>
      <c r="C52" s="35" t="str" cm="1">
        <f t="array" ref="C52">INDEX(network_levels,COUNTIFS($B$10:$B52,$B$10))</f>
        <v>HV</v>
      </c>
      <c r="D52" s="35"/>
      <c r="E52" s="35" t="s">
        <v>80</v>
      </c>
      <c r="F52" s="21" cm="1">
        <f t="array" ref="F52">IFERROR(INDEX('Max demand'!$D$11:$AB$85,MATCH(1,INDEX(($C52='Max demand'!$B$11:$B$85)*(F$9='Max demand'!$C$11:$C$85),0,1),0),MATCH($B52,'Max demand'!$D$9:$AB$9,0)),0)</f>
        <v>0.72967375980000004</v>
      </c>
      <c r="G52" s="21" cm="1">
        <f t="array" ref="G52">IFERROR(INDEX('Max demand'!$D$11:$AB$85,MATCH(1,INDEX(($C52='Max demand'!$B$11:$B$85)*(G$9='Max demand'!$C$11:$C$85),0,1),0),MATCH($B52,'Max demand'!$D$9:$AB$9,0)),0)</f>
        <v>0.7182215555</v>
      </c>
      <c r="H52" s="21" cm="1">
        <f t="array" ref="H52">IFERROR(INDEX('Max demand'!$D$11:$AB$85,MATCH(1,INDEX(($C52='Max demand'!$B$11:$B$85)*(H$9='Max demand'!$C$11:$C$85),0,1),0),MATCH($B52,'Max demand'!$D$9:$AB$9,0)),0)</f>
        <v>0.715085686</v>
      </c>
      <c r="I52" s="21" cm="1">
        <f t="array" ref="I52">IFERROR(INDEX('Max demand'!$D$11:$AB$85,MATCH(1,INDEX(($C52='Max demand'!$B$11:$B$85)*(I$9='Max demand'!$C$11:$C$85),0,1),0),MATCH($B52,'Max demand'!$D$9:$AB$9,0)),0)</f>
        <v>0.7151438081</v>
      </c>
      <c r="J52" s="21" cm="1">
        <f t="array" ref="J52">IFERROR(INDEX('Max demand'!$D$11:$AB$85,MATCH(1,INDEX(($C52='Max demand'!$B$11:$B$85)*(J$9='Max demand'!$C$11:$C$85),0,1),0),MATCH($B52,'Max demand'!$D$9:$AB$9,0)),0)</f>
        <v>0.71406448970000003</v>
      </c>
      <c r="K52" s="21" cm="1">
        <f t="array" ref="K52">IFERROR(INDEX('Max demand'!$D$11:$AB$85,MATCH(1,INDEX(($C52='Max demand'!$B$11:$B$85)*(K$9='Max demand'!$C$11:$C$85),0,1),0),MATCH($B52,'Max demand'!$D$9:$AB$9,0)),0)</f>
        <v>0.71289366669999998</v>
      </c>
      <c r="L52" s="21" cm="1">
        <f t="array" ref="L52">IFERROR(INDEX('Max demand'!$D$11:$AB$85,MATCH(1,INDEX(($C52='Max demand'!$B$11:$B$85)*(L$9='Max demand'!$C$11:$C$85),0,1),0),MATCH($B52,'Max demand'!$D$9:$AB$9,0)),0)</f>
        <v>0.71214870880000003</v>
      </c>
      <c r="M52" s="21" cm="1">
        <f t="array" ref="M52">IFERROR(INDEX('Max demand'!$D$11:$AB$85,MATCH(1,INDEX(($C52='Max demand'!$B$11:$B$85)*(M$9='Max demand'!$C$11:$C$85),0,1),0),MATCH($B52,'Max demand'!$D$9:$AB$9,0)),0)</f>
        <v>0.7141503696</v>
      </c>
      <c r="N52" s="21" cm="1">
        <f t="array" ref="N52">IFERROR(INDEX('Max demand'!$D$11:$AB$85,MATCH(1,INDEX(($C52='Max demand'!$B$11:$B$85)*(N$9='Max demand'!$C$11:$C$85),0,1),0),MATCH($B52,'Max demand'!$D$9:$AB$9,0)),0)</f>
        <v>0.71619976529999996</v>
      </c>
      <c r="O52" s="21" cm="1">
        <f t="array" ref="O52">IFERROR(INDEX('Max demand'!$D$11:$AB$85,MATCH(1,INDEX(($C52='Max demand'!$B$11:$B$85)*(O$9='Max demand'!$C$11:$C$85),0,1),0),MATCH($B52,'Max demand'!$D$9:$AB$9,0)),0)</f>
        <v>0.71797801309999998</v>
      </c>
      <c r="P52" s="21" cm="1">
        <f t="array" ref="P52">IFERROR(INDEX('Max demand'!$D$11:$AB$85,MATCH(1,INDEX(($C52='Max demand'!$B$11:$B$85)*(P$9='Max demand'!$C$11:$C$85),0,1),0),MATCH($B52,'Max demand'!$D$9:$AB$9,0)),0)</f>
        <v>0.72047711240000001</v>
      </c>
      <c r="Q52"/>
      <c r="R52" s="73">
        <f t="shared" si="14"/>
        <v>-1.2675840563540763E-3</v>
      </c>
      <c r="T52" s="2" t="str">
        <f t="shared" si="18"/>
        <v>Port Stephens</v>
      </c>
      <c r="U52" s="35" t="str">
        <f t="shared" si="19"/>
        <v>HV</v>
      </c>
      <c r="V52" s="35"/>
      <c r="W52" s="35" t="str">
        <f t="shared" si="3"/>
        <v>MW</v>
      </c>
      <c r="X52" s="79">
        <f t="shared" si="15"/>
        <v>6.9772518703601029E-3</v>
      </c>
      <c r="Y52" s="79">
        <f t="shared" si="4"/>
        <v>6.9345660206019243E-3</v>
      </c>
      <c r="Z52" s="79">
        <f t="shared" si="5"/>
        <v>6.9324421069857835E-3</v>
      </c>
      <c r="AA52" s="79">
        <f t="shared" si="6"/>
        <v>6.9388637600127185E-3</v>
      </c>
      <c r="AB52" s="79">
        <f t="shared" si="7"/>
        <v>6.9445385984631385E-3</v>
      </c>
      <c r="AC52" s="79">
        <f t="shared" si="8"/>
        <v>6.9551086793159037E-3</v>
      </c>
      <c r="AD52" s="79">
        <f t="shared" si="9"/>
        <v>6.9682944756254313E-3</v>
      </c>
      <c r="AE52" s="79">
        <f t="shared" si="10"/>
        <v>6.9751007150047105E-3</v>
      </c>
      <c r="AF52" s="79">
        <f t="shared" si="11"/>
        <v>6.9807492326858459E-3</v>
      </c>
      <c r="AG52" s="79">
        <f t="shared" si="12"/>
        <v>6.9909226545574084E-3</v>
      </c>
      <c r="AH52" s="79">
        <f t="shared" si="13"/>
        <v>7.0040766199552318E-3</v>
      </c>
      <c r="AI52"/>
      <c r="AJ52" s="60">
        <f t="shared" si="16"/>
        <v>6.963810430324382E-3</v>
      </c>
    </row>
    <row r="53" spans="2:36" s="1" customFormat="1">
      <c r="B53" s="2" t="str">
        <f t="shared" si="17"/>
        <v>Singleton</v>
      </c>
      <c r="C53" s="35" t="str" cm="1">
        <f t="array" ref="C53">INDEX(network_levels,COUNTIFS($B$10:$B53,$B$10))</f>
        <v>HV</v>
      </c>
      <c r="D53" s="35"/>
      <c r="E53" s="35" t="s">
        <v>80</v>
      </c>
      <c r="F53" s="21" cm="1">
        <f t="array" ref="F53">IFERROR(INDEX('Max demand'!$D$11:$AB$85,MATCH(1,INDEX(($C53='Max demand'!$B$11:$B$85)*(F$9='Max demand'!$C$11:$C$85),0,1),0),MATCH($B53,'Max demand'!$D$9:$AB$9,0)),0)</f>
        <v>2.9422236274000002</v>
      </c>
      <c r="G53" s="21" cm="1">
        <f t="array" ref="G53">IFERROR(INDEX('Max demand'!$D$11:$AB$85,MATCH(1,INDEX(($C53='Max demand'!$B$11:$B$85)*(G$9='Max demand'!$C$11:$C$85),0,1),0),MATCH($B53,'Max demand'!$D$9:$AB$9,0)),0)</f>
        <v>2.9042459859999998</v>
      </c>
      <c r="H53" s="21" cm="1">
        <f t="array" ref="H53">IFERROR(INDEX('Max demand'!$D$11:$AB$85,MATCH(1,INDEX(($C53='Max demand'!$B$11:$B$85)*(H$9='Max demand'!$C$11:$C$85),0,1),0),MATCH($B53,'Max demand'!$D$9:$AB$9,0)),0)</f>
        <v>2.8847162233999999</v>
      </c>
      <c r="I53" s="21" cm="1">
        <f t="array" ref="I53">IFERROR(INDEX('Max demand'!$D$11:$AB$85,MATCH(1,INDEX(($C53='Max demand'!$B$11:$B$85)*(I$9='Max demand'!$C$11:$C$85),0,1),0),MATCH($B53,'Max demand'!$D$9:$AB$9,0)),0)</f>
        <v>2.8766566111</v>
      </c>
      <c r="J53" s="21" cm="1">
        <f t="array" ref="J53">IFERROR(INDEX('Max demand'!$D$11:$AB$85,MATCH(1,INDEX(($C53='Max demand'!$B$11:$B$85)*(J$9='Max demand'!$C$11:$C$85),0,1),0),MATCH($B53,'Max demand'!$D$9:$AB$9,0)),0)</f>
        <v>2.8642373610999998</v>
      </c>
      <c r="K53" s="21" cm="1">
        <f t="array" ref="K53">IFERROR(INDEX('Max demand'!$D$11:$AB$85,MATCH(1,INDEX(($C53='Max demand'!$B$11:$B$85)*(K$9='Max demand'!$C$11:$C$85),0,1),0),MATCH($B53,'Max demand'!$D$9:$AB$9,0)),0)</f>
        <v>2.8504110530000002</v>
      </c>
      <c r="L53" s="21" cm="1">
        <f t="array" ref="L53">IFERROR(INDEX('Max demand'!$D$11:$AB$85,MATCH(1,INDEX(($C53='Max demand'!$B$11:$B$85)*(L$9='Max demand'!$C$11:$C$85),0,1),0),MATCH($B53,'Max demand'!$D$9:$AB$9,0)),0)</f>
        <v>2.8406168630000002</v>
      </c>
      <c r="M53" s="21" cm="1">
        <f t="array" ref="M53">IFERROR(INDEX('Max demand'!$D$11:$AB$85,MATCH(1,INDEX(($C53='Max demand'!$B$11:$B$85)*(M$9='Max demand'!$C$11:$C$85),0,1),0),MATCH($B53,'Max demand'!$D$9:$AB$9,0)),0)</f>
        <v>2.8390490173999998</v>
      </c>
      <c r="N53" s="21" cm="1">
        <f t="array" ref="N53">IFERROR(INDEX('Max demand'!$D$11:$AB$85,MATCH(1,INDEX(($C53='Max demand'!$B$11:$B$85)*(N$9='Max demand'!$C$11:$C$85),0,1),0),MATCH($B53,'Max demand'!$D$9:$AB$9,0)),0)</f>
        <v>2.8370293934999999</v>
      </c>
      <c r="O53" s="21" cm="1">
        <f t="array" ref="O53">IFERROR(INDEX('Max demand'!$D$11:$AB$85,MATCH(1,INDEX(($C53='Max demand'!$B$11:$B$85)*(O$9='Max demand'!$C$11:$C$85),0,1),0),MATCH($B53,'Max demand'!$D$9:$AB$9,0)),0)</f>
        <v>2.8328020657000001</v>
      </c>
      <c r="P53" s="21" cm="1">
        <f t="array" ref="P53">IFERROR(INDEX('Max demand'!$D$11:$AB$85,MATCH(1,INDEX(($C53='Max demand'!$B$11:$B$85)*(P$9='Max demand'!$C$11:$C$85),0,1),0),MATCH($B53,'Max demand'!$D$9:$AB$9,0)),0)</f>
        <v>2.8344728708</v>
      </c>
      <c r="Q53"/>
      <c r="R53" s="73">
        <f t="shared" si="14"/>
        <v>-3.7240133645325413E-3</v>
      </c>
      <c r="T53" s="2" t="str">
        <f t="shared" si="18"/>
        <v>Singleton</v>
      </c>
      <c r="U53" s="35" t="str">
        <f t="shared" si="19"/>
        <v>HV</v>
      </c>
      <c r="V53" s="35"/>
      <c r="W53" s="35" t="str">
        <f t="shared" si="3"/>
        <v>MW</v>
      </c>
      <c r="X53" s="79">
        <f t="shared" si="15"/>
        <v>2.2363910222874626E-2</v>
      </c>
      <c r="Y53" s="79">
        <f t="shared" si="4"/>
        <v>2.2146105615561192E-2</v>
      </c>
      <c r="Z53" s="79">
        <f t="shared" si="5"/>
        <v>2.2029282601032148E-2</v>
      </c>
      <c r="AA53" s="79">
        <f t="shared" si="6"/>
        <v>2.1974279589213531E-2</v>
      </c>
      <c r="AB53" s="79">
        <f t="shared" si="7"/>
        <v>2.1898229586708791E-2</v>
      </c>
      <c r="AC53" s="79">
        <f t="shared" si="8"/>
        <v>2.1818770243694396E-2</v>
      </c>
      <c r="AD53" s="79">
        <f t="shared" si="9"/>
        <v>2.1761582368425285E-2</v>
      </c>
      <c r="AE53" s="79">
        <f t="shared" si="10"/>
        <v>2.1740051381288213E-2</v>
      </c>
      <c r="AF53" s="79">
        <f t="shared" si="11"/>
        <v>2.1716742588333119E-2</v>
      </c>
      <c r="AG53" s="79">
        <f t="shared" si="12"/>
        <v>2.1683846797691135E-2</v>
      </c>
      <c r="AH53" s="79">
        <f t="shared" si="13"/>
        <v>2.1680345884248702E-2</v>
      </c>
      <c r="AI53"/>
      <c r="AJ53" s="60">
        <f t="shared" si="16"/>
        <v>2.1892104261733738E-2</v>
      </c>
    </row>
    <row r="54" spans="2:36" s="1" customFormat="1">
      <c r="B54" s="2" t="str">
        <f t="shared" si="17"/>
        <v>St George</v>
      </c>
      <c r="C54" s="35" t="str" cm="1">
        <f t="array" ref="C54">INDEX(network_levels,COUNTIFS($B$10:$B54,$B$10))</f>
        <v>HV</v>
      </c>
      <c r="D54" s="35"/>
      <c r="E54" s="35" t="s">
        <v>80</v>
      </c>
      <c r="F54" s="21" cm="1">
        <f t="array" ref="F54">IFERROR(INDEX('Max demand'!$D$11:$AB$85,MATCH(1,INDEX(($C54='Max demand'!$B$11:$B$85)*(F$9='Max demand'!$C$11:$C$85),0,1),0),MATCH($B54,'Max demand'!$D$9:$AB$9,0)),0)</f>
        <v>1.7197223074000001</v>
      </c>
      <c r="G54" s="21" cm="1">
        <f t="array" ref="G54">IFERROR(INDEX('Max demand'!$D$11:$AB$85,MATCH(1,INDEX(($C54='Max demand'!$B$11:$B$85)*(G$9='Max demand'!$C$11:$C$85),0,1),0),MATCH($B54,'Max demand'!$D$9:$AB$9,0)),0)</f>
        <v>1.7009078290999999</v>
      </c>
      <c r="H54" s="21" cm="1">
        <f t="array" ref="H54">IFERROR(INDEX('Max demand'!$D$11:$AB$85,MATCH(1,INDEX(($C54='Max demand'!$B$11:$B$85)*(H$9='Max demand'!$C$11:$C$85),0,1),0),MATCH($B54,'Max demand'!$D$9:$AB$9,0)),0)</f>
        <v>1.6828968271</v>
      </c>
      <c r="I54" s="21" cm="1">
        <f t="array" ref="I54">IFERROR(INDEX('Max demand'!$D$11:$AB$85,MATCH(1,INDEX(($C54='Max demand'!$B$11:$B$85)*(I$9='Max demand'!$C$11:$C$85),0,1),0),MATCH($B54,'Max demand'!$D$9:$AB$9,0)),0)</f>
        <v>1.6742651158999999</v>
      </c>
      <c r="J54" s="21" cm="1">
        <f t="array" ref="J54">IFERROR(INDEX('Max demand'!$D$11:$AB$85,MATCH(1,INDEX(($C54='Max demand'!$B$11:$B$85)*(J$9='Max demand'!$C$11:$C$85),0,1),0),MATCH($B54,'Max demand'!$D$9:$AB$9,0)),0)</f>
        <v>1.6632287193999999</v>
      </c>
      <c r="K54" s="21" cm="1">
        <f t="array" ref="K54">IFERROR(INDEX('Max demand'!$D$11:$AB$85,MATCH(1,INDEX(($C54='Max demand'!$B$11:$B$85)*(K$9='Max demand'!$C$11:$C$85),0,1),0),MATCH($B54,'Max demand'!$D$9:$AB$9,0)),0)</f>
        <v>1.6504770769999999</v>
      </c>
      <c r="L54" s="21" cm="1">
        <f t="array" ref="L54">IFERROR(INDEX('Max demand'!$D$11:$AB$85,MATCH(1,INDEX(($C54='Max demand'!$B$11:$B$85)*(L$9='Max demand'!$C$11:$C$85),0,1),0),MATCH($B54,'Max demand'!$D$9:$AB$9,0)),0)</f>
        <v>1.6308520576000001</v>
      </c>
      <c r="M54" s="21" cm="1">
        <f t="array" ref="M54">IFERROR(INDEX('Max demand'!$D$11:$AB$85,MATCH(1,INDEX(($C54='Max demand'!$B$11:$B$85)*(M$9='Max demand'!$C$11:$C$85),0,1),0),MATCH($B54,'Max demand'!$D$9:$AB$9,0)),0)</f>
        <v>1.6239453531000001</v>
      </c>
      <c r="N54" s="21" cm="1">
        <f t="array" ref="N54">IFERROR(INDEX('Max demand'!$D$11:$AB$85,MATCH(1,INDEX(($C54='Max demand'!$B$11:$B$85)*(N$9='Max demand'!$C$11:$C$85),0,1),0),MATCH($B54,'Max demand'!$D$9:$AB$9,0)),0)</f>
        <v>1.6151105276</v>
      </c>
      <c r="O54" s="21" cm="1">
        <f t="array" ref="O54">IFERROR(INDEX('Max demand'!$D$11:$AB$85,MATCH(1,INDEX(($C54='Max demand'!$B$11:$B$85)*(O$9='Max demand'!$C$11:$C$85),0,1),0),MATCH($B54,'Max demand'!$D$9:$AB$9,0)),0)</f>
        <v>1.6050723310999999</v>
      </c>
      <c r="P54" s="21" cm="1">
        <f t="array" ref="P54">IFERROR(INDEX('Max demand'!$D$11:$AB$85,MATCH(1,INDEX(($C54='Max demand'!$B$11:$B$85)*(P$9='Max demand'!$C$11:$C$85),0,1),0),MATCH($B54,'Max demand'!$D$9:$AB$9,0)),0)</f>
        <v>1.5981830772000001</v>
      </c>
      <c r="Q54"/>
      <c r="R54" s="73">
        <f t="shared" si="14"/>
        <v>-7.3027465489715615E-3</v>
      </c>
      <c r="T54" s="2" t="str">
        <f t="shared" si="18"/>
        <v>St George</v>
      </c>
      <c r="U54" s="35" t="str">
        <f t="shared" si="19"/>
        <v>HV</v>
      </c>
      <c r="V54" s="35"/>
      <c r="W54" s="35" t="str">
        <f t="shared" si="3"/>
        <v>MW</v>
      </c>
      <c r="X54" s="79">
        <f t="shared" si="15"/>
        <v>7.5288426748802793E-3</v>
      </c>
      <c r="Y54" s="79">
        <f t="shared" si="4"/>
        <v>7.5064841242617527E-3</v>
      </c>
      <c r="Z54" s="79">
        <f t="shared" si="5"/>
        <v>7.478739572448395E-3</v>
      </c>
      <c r="AA54" s="79">
        <f t="shared" si="6"/>
        <v>7.4566321100479E-3</v>
      </c>
      <c r="AB54" s="79">
        <f t="shared" si="7"/>
        <v>7.4341486675662295E-3</v>
      </c>
      <c r="AC54" s="79">
        <f t="shared" si="8"/>
        <v>7.4071918261180607E-3</v>
      </c>
      <c r="AD54" s="79">
        <f t="shared" si="9"/>
        <v>7.3731287570329915E-3</v>
      </c>
      <c r="AE54" s="79">
        <f t="shared" si="10"/>
        <v>7.3428480900317103E-3</v>
      </c>
      <c r="AF54" s="79">
        <f t="shared" si="11"/>
        <v>7.3065967142548907E-3</v>
      </c>
      <c r="AG54" s="79">
        <f t="shared" si="12"/>
        <v>7.2609002132646124E-3</v>
      </c>
      <c r="AH54" s="79">
        <f t="shared" si="13"/>
        <v>7.2233357947959279E-3</v>
      </c>
      <c r="AI54"/>
      <c r="AJ54" s="60">
        <f t="shared" si="16"/>
        <v>7.3926225949729777E-3</v>
      </c>
    </row>
    <row r="55" spans="2:36" s="1" customFormat="1">
      <c r="B55" s="2" t="str">
        <f t="shared" si="17"/>
        <v>Sutherland</v>
      </c>
      <c r="C55" s="35" t="str" cm="1">
        <f t="array" ref="C55">INDEX(network_levels,COUNTIFS($B$10:$B55,$B$10))</f>
        <v>HV</v>
      </c>
      <c r="D55" s="35"/>
      <c r="E55" s="35" t="s">
        <v>80</v>
      </c>
      <c r="F55" s="21" cm="1">
        <f t="array" ref="F55">IFERROR(INDEX('Max demand'!$D$11:$AB$85,MATCH(1,INDEX(($C55='Max demand'!$B$11:$B$85)*(F$9='Max demand'!$C$11:$C$85),0,1),0),MATCH($B55,'Max demand'!$D$9:$AB$9,0)),0)</f>
        <v>4.7826234868000004</v>
      </c>
      <c r="G55" s="21" cm="1">
        <f t="array" ref="G55">IFERROR(INDEX('Max demand'!$D$11:$AB$85,MATCH(1,INDEX(($C55='Max demand'!$B$11:$B$85)*(G$9='Max demand'!$C$11:$C$85),0,1),0),MATCH($B55,'Max demand'!$D$9:$AB$9,0)),0)</f>
        <v>4.7694749748999996</v>
      </c>
      <c r="H55" s="21" cm="1">
        <f t="array" ref="H55">IFERROR(INDEX('Max demand'!$D$11:$AB$85,MATCH(1,INDEX(($C55='Max demand'!$B$11:$B$85)*(H$9='Max demand'!$C$11:$C$85),0,1),0),MATCH($B55,'Max demand'!$D$9:$AB$9,0)),0)</f>
        <v>4.7602697939</v>
      </c>
      <c r="I55" s="21" cm="1">
        <f t="array" ref="I55">IFERROR(INDEX('Max demand'!$D$11:$AB$85,MATCH(1,INDEX(($C55='Max demand'!$B$11:$B$85)*(I$9='Max demand'!$C$11:$C$85),0,1),0),MATCH($B55,'Max demand'!$D$9:$AB$9,0)),0)</f>
        <v>4.7569136082999997</v>
      </c>
      <c r="J55" s="21" cm="1">
        <f t="array" ref="J55">IFERROR(INDEX('Max demand'!$D$11:$AB$85,MATCH(1,INDEX(($C55='Max demand'!$B$11:$B$85)*(J$9='Max demand'!$C$11:$C$85),0,1),0),MATCH($B55,'Max demand'!$D$9:$AB$9,0)),0)</f>
        <v>4.7508971434999996</v>
      </c>
      <c r="K55" s="21" cm="1">
        <f t="array" ref="K55">IFERROR(INDEX('Max demand'!$D$11:$AB$85,MATCH(1,INDEX(($C55='Max demand'!$B$11:$B$85)*(K$9='Max demand'!$C$11:$C$85),0,1),0),MATCH($B55,'Max demand'!$D$9:$AB$9,0)),0)</f>
        <v>4.7438115685</v>
      </c>
      <c r="L55" s="21" cm="1">
        <f t="array" ref="L55">IFERROR(INDEX('Max demand'!$D$11:$AB$85,MATCH(1,INDEX(($C55='Max demand'!$B$11:$B$85)*(L$9='Max demand'!$C$11:$C$85),0,1),0),MATCH($B55,'Max demand'!$D$9:$AB$9,0)),0)</f>
        <v>4.7348443674</v>
      </c>
      <c r="M55" s="21" cm="1">
        <f t="array" ref="M55">IFERROR(INDEX('Max demand'!$D$11:$AB$85,MATCH(1,INDEX(($C55='Max demand'!$B$11:$B$85)*(M$9='Max demand'!$C$11:$C$85),0,1),0),MATCH($B55,'Max demand'!$D$9:$AB$9,0)),0)</f>
        <v>4.7337050911</v>
      </c>
      <c r="N55" s="21" cm="1">
        <f t="array" ref="N55">IFERROR(INDEX('Max demand'!$D$11:$AB$85,MATCH(1,INDEX(($C55='Max demand'!$B$11:$B$85)*(N$9='Max demand'!$C$11:$C$85),0,1),0),MATCH($B55,'Max demand'!$D$9:$AB$9,0)),0)</f>
        <v>4.7316193972000002</v>
      </c>
      <c r="O55" s="21" cm="1">
        <f t="array" ref="O55">IFERROR(INDEX('Max demand'!$D$11:$AB$85,MATCH(1,INDEX(($C55='Max demand'!$B$11:$B$85)*(O$9='Max demand'!$C$11:$C$85),0,1),0),MATCH($B55,'Max demand'!$D$9:$AB$9,0)),0)</f>
        <v>4.7283536224000002</v>
      </c>
      <c r="P55" s="21" cm="1">
        <f t="array" ref="P55">IFERROR(INDEX('Max demand'!$D$11:$AB$85,MATCH(1,INDEX(($C55='Max demand'!$B$11:$B$85)*(P$9='Max demand'!$C$11:$C$85),0,1),0),MATCH($B55,'Max demand'!$D$9:$AB$9,0)),0)</f>
        <v>4.7260713679000004</v>
      </c>
      <c r="Q55"/>
      <c r="R55" s="73">
        <f t="shared" si="14"/>
        <v>-1.1887891078099511E-3</v>
      </c>
      <c r="T55" s="2" t="str">
        <f t="shared" si="18"/>
        <v>Sutherland</v>
      </c>
      <c r="U55" s="35" t="str">
        <f t="shared" si="19"/>
        <v>HV</v>
      </c>
      <c r="V55" s="35"/>
      <c r="W55" s="35" t="str">
        <f t="shared" si="3"/>
        <v>MW</v>
      </c>
      <c r="X55" s="79">
        <f t="shared" si="15"/>
        <v>1.803457505537159E-2</v>
      </c>
      <c r="Y55" s="79">
        <f t="shared" si="4"/>
        <v>1.8107635670667054E-2</v>
      </c>
      <c r="Z55" s="79">
        <f t="shared" si="5"/>
        <v>1.8179353796232187E-2</v>
      </c>
      <c r="AA55" s="79">
        <f t="shared" si="6"/>
        <v>1.820952962465772E-2</v>
      </c>
      <c r="AB55" s="79">
        <f t="shared" si="7"/>
        <v>1.8262249668895347E-2</v>
      </c>
      <c r="AC55" s="79">
        <f t="shared" si="8"/>
        <v>1.8324302345778427E-2</v>
      </c>
      <c r="AD55" s="79">
        <f t="shared" si="9"/>
        <v>1.8404872692941391E-2</v>
      </c>
      <c r="AE55" s="79">
        <f t="shared" si="10"/>
        <v>1.8415681241247778E-2</v>
      </c>
      <c r="AF55" s="79">
        <f t="shared" si="11"/>
        <v>1.8426796528888408E-2</v>
      </c>
      <c r="AG55" s="79">
        <f t="shared" si="12"/>
        <v>1.8450390772675865E-2</v>
      </c>
      <c r="AH55" s="79">
        <f t="shared" si="13"/>
        <v>1.8462370870053178E-2</v>
      </c>
      <c r="AI55"/>
      <c r="AJ55" s="60">
        <f t="shared" si="16"/>
        <v>1.8297978024309904E-2</v>
      </c>
    </row>
    <row r="56" spans="2:36" s="1" customFormat="1">
      <c r="B56" s="2" t="str">
        <f t="shared" si="17"/>
        <v>Sydney CBD</v>
      </c>
      <c r="C56" s="35" t="str" cm="1">
        <f t="array" ref="C56">INDEX(network_levels,COUNTIFS($B$10:$B56,$B$10))</f>
        <v>HV</v>
      </c>
      <c r="D56" s="35"/>
      <c r="E56" s="35" t="s">
        <v>80</v>
      </c>
      <c r="F56" s="21" cm="1">
        <f t="array" ref="F56">IFERROR(INDEX('Max demand'!$D$11:$AB$85,MATCH(1,INDEX(($C56='Max demand'!$B$11:$B$85)*(F$9='Max demand'!$C$11:$C$85),0,1),0),MATCH($B56,'Max demand'!$D$9:$AB$9,0)),0)</f>
        <v>1.5082412588</v>
      </c>
      <c r="G56" s="21" cm="1">
        <f t="array" ref="G56">IFERROR(INDEX('Max demand'!$D$11:$AB$85,MATCH(1,INDEX(($C56='Max demand'!$B$11:$B$85)*(G$9='Max demand'!$C$11:$C$85),0,1),0),MATCH($B56,'Max demand'!$D$9:$AB$9,0)),0)</f>
        <v>1.4819015716999999</v>
      </c>
      <c r="H56" s="21" cm="1">
        <f t="array" ref="H56">IFERROR(INDEX('Max demand'!$D$11:$AB$85,MATCH(1,INDEX(($C56='Max demand'!$B$11:$B$85)*(H$9='Max demand'!$C$11:$C$85),0,1),0),MATCH($B56,'Max demand'!$D$9:$AB$9,0)),0)</f>
        <v>1.4730759280000001</v>
      </c>
      <c r="I56" s="21" cm="1">
        <f t="array" ref="I56">IFERROR(INDEX('Max demand'!$D$11:$AB$85,MATCH(1,INDEX(($C56='Max demand'!$B$11:$B$85)*(I$9='Max demand'!$C$11:$C$85),0,1),0),MATCH($B56,'Max demand'!$D$9:$AB$9,0)),0)</f>
        <v>1.4794214827000001</v>
      </c>
      <c r="J56" s="21" cm="1">
        <f t="array" ref="J56">IFERROR(INDEX('Max demand'!$D$11:$AB$85,MATCH(1,INDEX(($C56='Max demand'!$B$11:$B$85)*(J$9='Max demand'!$C$11:$C$85),0,1),0),MATCH($B56,'Max demand'!$D$9:$AB$9,0)),0)</f>
        <v>1.4816184169</v>
      </c>
      <c r="K56" s="21" cm="1">
        <f t="array" ref="K56">IFERROR(INDEX('Max demand'!$D$11:$AB$85,MATCH(1,INDEX(($C56='Max demand'!$B$11:$B$85)*(K$9='Max demand'!$C$11:$C$85),0,1),0),MATCH($B56,'Max demand'!$D$9:$AB$9,0)),0)</f>
        <v>1.4851083779000001</v>
      </c>
      <c r="L56" s="21" cm="1">
        <f t="array" ref="L56">IFERROR(INDEX('Max demand'!$D$11:$AB$85,MATCH(1,INDEX(($C56='Max demand'!$B$11:$B$85)*(L$9='Max demand'!$C$11:$C$85),0,1),0),MATCH($B56,'Max demand'!$D$9:$AB$9,0)),0)</f>
        <v>1.4900523584000001</v>
      </c>
      <c r="M56" s="21" cm="1">
        <f t="array" ref="M56">IFERROR(INDEX('Max demand'!$D$11:$AB$85,MATCH(1,INDEX(($C56='Max demand'!$B$11:$B$85)*(M$9='Max demand'!$C$11:$C$85),0,1),0),MATCH($B56,'Max demand'!$D$9:$AB$9,0)),0)</f>
        <v>1.5020478291999999</v>
      </c>
      <c r="N56" s="21" cm="1">
        <f t="array" ref="N56">IFERROR(INDEX('Max demand'!$D$11:$AB$85,MATCH(1,INDEX(($C56='Max demand'!$B$11:$B$85)*(N$9='Max demand'!$C$11:$C$85),0,1),0),MATCH($B56,'Max demand'!$D$9:$AB$9,0)),0)</f>
        <v>1.5138515656</v>
      </c>
      <c r="O56" s="21" cm="1">
        <f t="array" ref="O56">IFERROR(INDEX('Max demand'!$D$11:$AB$85,MATCH(1,INDEX(($C56='Max demand'!$B$11:$B$85)*(O$9='Max demand'!$C$11:$C$85),0,1),0),MATCH($B56,'Max demand'!$D$9:$AB$9,0)),0)</f>
        <v>1.5252137416</v>
      </c>
      <c r="P56" s="21" cm="1">
        <f t="array" ref="P56">IFERROR(INDEX('Max demand'!$D$11:$AB$85,MATCH(1,INDEX(($C56='Max demand'!$B$11:$B$85)*(P$9='Max demand'!$C$11:$C$85),0,1),0),MATCH($B56,'Max demand'!$D$9:$AB$9,0)),0)</f>
        <v>1.5409131325000001</v>
      </c>
      <c r="Q56"/>
      <c r="R56" s="73">
        <f t="shared" si="14"/>
        <v>2.1453921830574263E-3</v>
      </c>
      <c r="T56" s="2" t="str">
        <f t="shared" si="18"/>
        <v>Sydney CBD</v>
      </c>
      <c r="U56" s="35" t="str">
        <f t="shared" si="19"/>
        <v>HV</v>
      </c>
      <c r="V56" s="35"/>
      <c r="W56" s="35" t="str">
        <f t="shared" si="3"/>
        <v>MW</v>
      </c>
      <c r="X56" s="79">
        <f t="shared" si="15"/>
        <v>5.3080977035680921E-3</v>
      </c>
      <c r="Y56" s="79">
        <f t="shared" si="4"/>
        <v>5.3025355677116916E-3</v>
      </c>
      <c r="Z56" s="79">
        <f t="shared" si="5"/>
        <v>5.288941708619245E-3</v>
      </c>
      <c r="AA56" s="79">
        <f t="shared" si="6"/>
        <v>5.277218949208966E-3</v>
      </c>
      <c r="AB56" s="79">
        <f t="shared" si="7"/>
        <v>5.2643407339229009E-3</v>
      </c>
      <c r="AC56" s="79">
        <f t="shared" si="8"/>
        <v>5.2514710662697178E-3</v>
      </c>
      <c r="AD56" s="79">
        <f t="shared" si="9"/>
        <v>5.2426534851988428E-3</v>
      </c>
      <c r="AE56" s="79">
        <f t="shared" si="10"/>
        <v>5.2341198396222309E-3</v>
      </c>
      <c r="AF56" s="79">
        <f t="shared" si="11"/>
        <v>5.2268168586731729E-3</v>
      </c>
      <c r="AG56" s="79">
        <f t="shared" si="12"/>
        <v>5.2202642589263652E-3</v>
      </c>
      <c r="AH56" s="79">
        <f t="shared" si="13"/>
        <v>5.215165688954697E-3</v>
      </c>
      <c r="AI56"/>
      <c r="AJ56" s="60">
        <f t="shared" si="16"/>
        <v>5.2574205327887208E-3</v>
      </c>
    </row>
    <row r="57" spans="2:36" s="1" customFormat="1">
      <c r="B57" s="2" t="str">
        <f t="shared" si="17"/>
        <v>Upper Central Coast</v>
      </c>
      <c r="C57" s="35" t="str" cm="1">
        <f t="array" ref="C57">INDEX(network_levels,COUNTIFS($B$10:$B57,$B$10))</f>
        <v>HV</v>
      </c>
      <c r="D57" s="35"/>
      <c r="E57" s="35" t="s">
        <v>80</v>
      </c>
      <c r="F57" s="21" cm="1">
        <f t="array" ref="F57">IFERROR(INDEX('Max demand'!$D$11:$AB$85,MATCH(1,INDEX(($C57='Max demand'!$B$11:$B$85)*(F$9='Max demand'!$C$11:$C$85),0,1),0),MATCH($B57,'Max demand'!$D$9:$AB$9,0)),0)</f>
        <v>3.5653344596999998</v>
      </c>
      <c r="G57" s="21" cm="1">
        <f t="array" ref="G57">IFERROR(INDEX('Max demand'!$D$11:$AB$85,MATCH(1,INDEX(($C57='Max demand'!$B$11:$B$85)*(G$9='Max demand'!$C$11:$C$85),0,1),0),MATCH($B57,'Max demand'!$D$9:$AB$9,0)),0)</f>
        <v>3.5601258585000002</v>
      </c>
      <c r="H57" s="21" cm="1">
        <f t="array" ref="H57">IFERROR(INDEX('Max demand'!$D$11:$AB$85,MATCH(1,INDEX(($C57='Max demand'!$B$11:$B$85)*(H$9='Max demand'!$C$11:$C$85),0,1),0),MATCH($B57,'Max demand'!$D$9:$AB$9,0)),0)</f>
        <v>3.5583231683999998</v>
      </c>
      <c r="I57" s="21" cm="1">
        <f t="array" ref="I57">IFERROR(INDEX('Max demand'!$D$11:$AB$85,MATCH(1,INDEX(($C57='Max demand'!$B$11:$B$85)*(I$9='Max demand'!$C$11:$C$85),0,1),0),MATCH($B57,'Max demand'!$D$9:$AB$9,0)),0)</f>
        <v>3.5616033989</v>
      </c>
      <c r="J57" s="21" cm="1">
        <f t="array" ref="J57">IFERROR(INDEX('Max demand'!$D$11:$AB$85,MATCH(1,INDEX(($C57='Max demand'!$B$11:$B$85)*(J$9='Max demand'!$C$11:$C$85),0,1),0),MATCH($B57,'Max demand'!$D$9:$AB$9,0)),0)</f>
        <v>3.5633871855999999</v>
      </c>
      <c r="K57" s="21" cm="1">
        <f t="array" ref="K57">IFERROR(INDEX('Max demand'!$D$11:$AB$85,MATCH(1,INDEX(($C57='Max demand'!$B$11:$B$85)*(K$9='Max demand'!$C$11:$C$85),0,1),0),MATCH($B57,'Max demand'!$D$9:$AB$9,0)),0)</f>
        <v>3.5690524533999999</v>
      </c>
      <c r="L57" s="21" cm="1">
        <f t="array" ref="L57">IFERROR(INDEX('Max demand'!$D$11:$AB$85,MATCH(1,INDEX(($C57='Max demand'!$B$11:$B$85)*(L$9='Max demand'!$C$11:$C$85),0,1),0),MATCH($B57,'Max demand'!$D$9:$AB$9,0)),0)</f>
        <v>3.5800477914000002</v>
      </c>
      <c r="M57" s="21" cm="1">
        <f t="array" ref="M57">IFERROR(INDEX('Max demand'!$D$11:$AB$85,MATCH(1,INDEX(($C57='Max demand'!$B$11:$B$85)*(M$9='Max demand'!$C$11:$C$85),0,1),0),MATCH($B57,'Max demand'!$D$9:$AB$9,0)),0)</f>
        <v>3.6000319967999999</v>
      </c>
      <c r="N57" s="21" cm="1">
        <f t="array" ref="N57">IFERROR(INDEX('Max demand'!$D$11:$AB$85,MATCH(1,INDEX(($C57='Max demand'!$B$11:$B$85)*(N$9='Max demand'!$C$11:$C$85),0,1),0),MATCH($B57,'Max demand'!$D$9:$AB$9,0)),0)</f>
        <v>3.6172411210000002</v>
      </c>
      <c r="O57" s="21" cm="1">
        <f t="array" ref="O57">IFERROR(INDEX('Max demand'!$D$11:$AB$85,MATCH(1,INDEX(($C57='Max demand'!$B$11:$B$85)*(O$9='Max demand'!$C$11:$C$85),0,1),0),MATCH($B57,'Max demand'!$D$9:$AB$9,0)),0)</f>
        <v>3.6298141185000001</v>
      </c>
      <c r="P57" s="21" cm="1">
        <f t="array" ref="P57">IFERROR(INDEX('Max demand'!$D$11:$AB$85,MATCH(1,INDEX(($C57='Max demand'!$B$11:$B$85)*(P$9='Max demand'!$C$11:$C$85),0,1),0),MATCH($B57,'Max demand'!$D$9:$AB$9,0)),0)</f>
        <v>3.6422686017000001</v>
      </c>
      <c r="Q57"/>
      <c r="R57" s="73">
        <f t="shared" si="14"/>
        <v>2.1371667608474088E-3</v>
      </c>
      <c r="T57" s="2" t="str">
        <f t="shared" si="18"/>
        <v>Upper Central Coast</v>
      </c>
      <c r="U57" s="35" t="str">
        <f t="shared" si="19"/>
        <v>HV</v>
      </c>
      <c r="V57" s="35"/>
      <c r="W57" s="35" t="str">
        <f t="shared" si="3"/>
        <v>MW</v>
      </c>
      <c r="X57" s="79">
        <f t="shared" si="15"/>
        <v>3.1083948594825817E-2</v>
      </c>
      <c r="Y57" s="79">
        <f t="shared" si="4"/>
        <v>3.1277281554623677E-2</v>
      </c>
      <c r="Z57" s="79">
        <f t="shared" si="5"/>
        <v>3.1329350211377019E-2</v>
      </c>
      <c r="AA57" s="79">
        <f t="shared" si="6"/>
        <v>3.1301968404370398E-2</v>
      </c>
      <c r="AB57" s="79">
        <f t="shared" si="7"/>
        <v>3.130211393396605E-2</v>
      </c>
      <c r="AC57" s="79">
        <f t="shared" si="8"/>
        <v>3.1283561364635198E-2</v>
      </c>
      <c r="AD57" s="79">
        <f t="shared" si="9"/>
        <v>3.1188474902371244E-2</v>
      </c>
      <c r="AE57" s="79">
        <f t="shared" si="10"/>
        <v>3.0981494290746064E-2</v>
      </c>
      <c r="AF57" s="79">
        <f t="shared" si="11"/>
        <v>3.0802182675848555E-2</v>
      </c>
      <c r="AG57" s="79">
        <f t="shared" si="12"/>
        <v>3.0663919782449353E-2</v>
      </c>
      <c r="AH57" s="79">
        <f t="shared" si="13"/>
        <v>3.0527398671911756E-2</v>
      </c>
      <c r="AI57"/>
      <c r="AJ57" s="60">
        <f t="shared" si="16"/>
        <v>3.1067426762465922E-2</v>
      </c>
    </row>
    <row r="58" spans="2:36" s="1" customFormat="1">
      <c r="B58" s="2" t="str">
        <f t="shared" si="17"/>
        <v>Upper Hunter</v>
      </c>
      <c r="C58" s="35" t="str" cm="1">
        <f t="array" ref="C58">INDEX(network_levels,COUNTIFS($B$10:$B58,$B$10))</f>
        <v>HV</v>
      </c>
      <c r="D58" s="35"/>
      <c r="E58" s="35" t="s">
        <v>80</v>
      </c>
      <c r="F58" s="21" cm="1">
        <f t="array" ref="F58">IFERROR(INDEX('Max demand'!$D$11:$AB$85,MATCH(1,INDEX(($C58='Max demand'!$B$11:$B$85)*(F$9='Max demand'!$C$11:$C$85),0,1),0),MATCH($B58,'Max demand'!$D$9:$AB$9,0)),0)</f>
        <v>1.0493786226999999</v>
      </c>
      <c r="G58" s="21" cm="1">
        <f t="array" ref="G58">IFERROR(INDEX('Max demand'!$D$11:$AB$85,MATCH(1,INDEX(($C58='Max demand'!$B$11:$B$85)*(G$9='Max demand'!$C$11:$C$85),0,1),0),MATCH($B58,'Max demand'!$D$9:$AB$9,0)),0)</f>
        <v>1.0419733034000001</v>
      </c>
      <c r="H58" s="21" cm="1">
        <f t="array" ref="H58">IFERROR(INDEX('Max demand'!$D$11:$AB$85,MATCH(1,INDEX(($C58='Max demand'!$B$11:$B$85)*(H$9='Max demand'!$C$11:$C$85),0,1),0),MATCH($B58,'Max demand'!$D$9:$AB$9,0)),0)</f>
        <v>1.0373187013</v>
      </c>
      <c r="I58" s="21" cm="1">
        <f t="array" ref="I58">IFERROR(INDEX('Max demand'!$D$11:$AB$85,MATCH(1,INDEX(($C58='Max demand'!$B$11:$B$85)*(I$9='Max demand'!$C$11:$C$85),0,1),0),MATCH($B58,'Max demand'!$D$9:$AB$9,0)),0)</f>
        <v>1.0355661775</v>
      </c>
      <c r="J58" s="21" cm="1">
        <f t="array" ref="J58">IFERROR(INDEX('Max demand'!$D$11:$AB$85,MATCH(1,INDEX(($C58='Max demand'!$B$11:$B$85)*(J$9='Max demand'!$C$11:$C$85),0,1),0),MATCH($B58,'Max demand'!$D$9:$AB$9,0)),0)</f>
        <v>1.0323187194000001</v>
      </c>
      <c r="K58" s="21" cm="1">
        <f t="array" ref="K58">IFERROR(INDEX('Max demand'!$D$11:$AB$85,MATCH(1,INDEX(($C58='Max demand'!$B$11:$B$85)*(K$9='Max demand'!$C$11:$C$85),0,1),0),MATCH($B58,'Max demand'!$D$9:$AB$9,0)),0)</f>
        <v>1.0281714420000001</v>
      </c>
      <c r="L58" s="21" cm="1">
        <f t="array" ref="L58">IFERROR(INDEX('Max demand'!$D$11:$AB$85,MATCH(1,INDEX(($C58='Max demand'!$B$11:$B$85)*(L$9='Max demand'!$C$11:$C$85),0,1),0),MATCH($B58,'Max demand'!$D$9:$AB$9,0)),0)</f>
        <v>1.0230546628999999</v>
      </c>
      <c r="M58" s="21" cm="1">
        <f t="array" ref="M58">IFERROR(INDEX('Max demand'!$D$11:$AB$85,MATCH(1,INDEX(($C58='Max demand'!$B$11:$B$85)*(M$9='Max demand'!$C$11:$C$85),0,1),0),MATCH($B58,'Max demand'!$D$9:$AB$9,0)),0)</f>
        <v>1.0221874847000001</v>
      </c>
      <c r="N58" s="21" cm="1">
        <f t="array" ref="N58">IFERROR(INDEX('Max demand'!$D$11:$AB$85,MATCH(1,INDEX(($C58='Max demand'!$B$11:$B$85)*(N$9='Max demand'!$C$11:$C$85),0,1),0),MATCH($B58,'Max demand'!$D$9:$AB$9,0)),0)</f>
        <v>1.0210973720000001</v>
      </c>
      <c r="O58" s="21" cm="1">
        <f t="array" ref="O58">IFERROR(INDEX('Max demand'!$D$11:$AB$85,MATCH(1,INDEX(($C58='Max demand'!$B$11:$B$85)*(O$9='Max demand'!$C$11:$C$85),0,1),0),MATCH($B58,'Max demand'!$D$9:$AB$9,0)),0)</f>
        <v>1.0226865077</v>
      </c>
      <c r="P58" s="21" cm="1">
        <f t="array" ref="P58">IFERROR(INDEX('Max demand'!$D$11:$AB$85,MATCH(1,INDEX(($C58='Max demand'!$B$11:$B$85)*(P$9='Max demand'!$C$11:$C$85),0,1),0),MATCH($B58,'Max demand'!$D$9:$AB$9,0)),0)</f>
        <v>1.0235702143000001</v>
      </c>
      <c r="Q58"/>
      <c r="R58" s="73">
        <f t="shared" si="14"/>
        <v>-2.4870496719103796E-3</v>
      </c>
      <c r="T58" s="2" t="str">
        <f t="shared" si="18"/>
        <v>Upper Hunter</v>
      </c>
      <c r="U58" s="35" t="str">
        <f t="shared" si="19"/>
        <v>HV</v>
      </c>
      <c r="V58" s="35"/>
      <c r="W58" s="35" t="str">
        <f t="shared" si="3"/>
        <v>MW</v>
      </c>
      <c r="X58" s="79">
        <f t="shared" si="15"/>
        <v>1.5324243777178143E-2</v>
      </c>
      <c r="Y58" s="79">
        <f t="shared" si="4"/>
        <v>1.5309836027677786E-2</v>
      </c>
      <c r="Z58" s="79">
        <f t="shared" si="5"/>
        <v>1.5295262324990079E-2</v>
      </c>
      <c r="AA58" s="79">
        <f t="shared" si="6"/>
        <v>1.5281777179732628E-2</v>
      </c>
      <c r="AB58" s="79">
        <f t="shared" si="7"/>
        <v>1.5265788262932997E-2</v>
      </c>
      <c r="AC58" s="79">
        <f t="shared" si="8"/>
        <v>1.5245398600594153E-2</v>
      </c>
      <c r="AD58" s="79">
        <f t="shared" si="9"/>
        <v>1.5216905901017538E-2</v>
      </c>
      <c r="AE58" s="79">
        <f t="shared" si="10"/>
        <v>1.5198219596322228E-2</v>
      </c>
      <c r="AF58" s="79">
        <f t="shared" si="11"/>
        <v>1.517790941790177E-2</v>
      </c>
      <c r="AG58" s="79">
        <f t="shared" si="12"/>
        <v>1.5189483485674171E-2</v>
      </c>
      <c r="AH58" s="79">
        <f t="shared" si="13"/>
        <v>1.5189632186217973E-2</v>
      </c>
      <c r="AI58"/>
      <c r="AJ58" s="60">
        <f t="shared" si="16"/>
        <v>1.5244950614567222E-2</v>
      </c>
    </row>
    <row r="59" spans="2:36" s="1" customFormat="1">
      <c r="B59" s="2" t="str">
        <f t="shared" si="17"/>
        <v>Upper North Shore</v>
      </c>
      <c r="C59" s="35" t="str" cm="1">
        <f t="array" ref="C59">INDEX(network_levels,COUNTIFS($B$10:$B59,$B$10))</f>
        <v>HV</v>
      </c>
      <c r="D59" s="35"/>
      <c r="E59" s="35" t="s">
        <v>80</v>
      </c>
      <c r="F59" s="21" cm="1">
        <f t="array" ref="F59">IFERROR(INDEX('Max demand'!$D$11:$AB$85,MATCH(1,INDEX(($C59='Max demand'!$B$11:$B$85)*(F$9='Max demand'!$C$11:$C$85),0,1),0),MATCH($B59,'Max demand'!$D$9:$AB$9,0)),0)</f>
        <v>1.0678729026</v>
      </c>
      <c r="G59" s="21" cm="1">
        <f t="array" ref="G59">IFERROR(INDEX('Max demand'!$D$11:$AB$85,MATCH(1,INDEX(($C59='Max demand'!$B$11:$B$85)*(G$9='Max demand'!$C$11:$C$85),0,1),0),MATCH($B59,'Max demand'!$D$9:$AB$9,0)),0)</f>
        <v>1.0613246348000001</v>
      </c>
      <c r="H59" s="21" cm="1">
        <f t="array" ref="H59">IFERROR(INDEX('Max demand'!$D$11:$AB$85,MATCH(1,INDEX(($C59='Max demand'!$B$11:$B$85)*(H$9='Max demand'!$C$11:$C$85),0,1),0),MATCH($B59,'Max demand'!$D$9:$AB$9,0)),0)</f>
        <v>1.0559076399</v>
      </c>
      <c r="I59" s="21" cm="1">
        <f t="array" ref="I59">IFERROR(INDEX('Max demand'!$D$11:$AB$85,MATCH(1,INDEX(($C59='Max demand'!$B$11:$B$85)*(I$9='Max demand'!$C$11:$C$85),0,1),0),MATCH($B59,'Max demand'!$D$9:$AB$9,0)),0)</f>
        <v>1.0536962702999999</v>
      </c>
      <c r="J59" s="21" cm="1">
        <f t="array" ref="J59">IFERROR(INDEX('Max demand'!$D$11:$AB$85,MATCH(1,INDEX(($C59='Max demand'!$B$11:$B$85)*(J$9='Max demand'!$C$11:$C$85),0,1),0),MATCH($B59,'Max demand'!$D$9:$AB$9,0)),0)</f>
        <v>1.050564778</v>
      </c>
      <c r="K59" s="21" cm="1">
        <f t="array" ref="K59">IFERROR(INDEX('Max demand'!$D$11:$AB$85,MATCH(1,INDEX(($C59='Max demand'!$B$11:$B$85)*(K$9='Max demand'!$C$11:$C$85),0,1),0),MATCH($B59,'Max demand'!$D$9:$AB$9,0)),0)</f>
        <v>1.0474847204</v>
      </c>
      <c r="L59" s="21" cm="1">
        <f t="array" ref="L59">IFERROR(INDEX('Max demand'!$D$11:$AB$85,MATCH(1,INDEX(($C59='Max demand'!$B$11:$B$85)*(L$9='Max demand'!$C$11:$C$85),0,1),0),MATCH($B59,'Max demand'!$D$9:$AB$9,0)),0)</f>
        <v>1.0443483399</v>
      </c>
      <c r="M59" s="21" cm="1">
        <f t="array" ref="M59">IFERROR(INDEX('Max demand'!$D$11:$AB$85,MATCH(1,INDEX(($C59='Max demand'!$B$11:$B$85)*(M$9='Max demand'!$C$11:$C$85),0,1),0),MATCH($B59,'Max demand'!$D$9:$AB$9,0)),0)</f>
        <v>1.0492897081000001</v>
      </c>
      <c r="N59" s="21" cm="1">
        <f t="array" ref="N59">IFERROR(INDEX('Max demand'!$D$11:$AB$85,MATCH(1,INDEX(($C59='Max demand'!$B$11:$B$85)*(N$9='Max demand'!$C$11:$C$85),0,1),0),MATCH($B59,'Max demand'!$D$9:$AB$9,0)),0)</f>
        <v>1.0550950494</v>
      </c>
      <c r="O59" s="21" cm="1">
        <f t="array" ref="O59">IFERROR(INDEX('Max demand'!$D$11:$AB$85,MATCH(1,INDEX(($C59='Max demand'!$B$11:$B$85)*(O$9='Max demand'!$C$11:$C$85),0,1),0),MATCH($B59,'Max demand'!$D$9:$AB$9,0)),0)</f>
        <v>1.0592744520999999</v>
      </c>
      <c r="P59" s="21" cm="1">
        <f t="array" ref="P59">IFERROR(INDEX('Max demand'!$D$11:$AB$85,MATCH(1,INDEX(($C59='Max demand'!$B$11:$B$85)*(P$9='Max demand'!$C$11:$C$85),0,1),0),MATCH($B59,'Max demand'!$D$9:$AB$9,0)),0)</f>
        <v>1.0645501435</v>
      </c>
      <c r="Q59"/>
      <c r="R59" s="73">
        <f t="shared" si="14"/>
        <v>-3.1159333915520282E-4</v>
      </c>
      <c r="T59" s="2" t="str">
        <f t="shared" si="18"/>
        <v>Upper North Shore</v>
      </c>
      <c r="U59" s="35" t="str">
        <f t="shared" si="19"/>
        <v>HV</v>
      </c>
      <c r="V59" s="35"/>
      <c r="W59" s="35" t="str">
        <f t="shared" si="3"/>
        <v>MW</v>
      </c>
      <c r="X59" s="79">
        <f t="shared" si="15"/>
        <v>7.695866031779801E-3</v>
      </c>
      <c r="Y59" s="79">
        <f t="shared" si="4"/>
        <v>7.7045950850074705E-3</v>
      </c>
      <c r="Z59" s="79">
        <f t="shared" si="5"/>
        <v>7.7096839095573714E-3</v>
      </c>
      <c r="AA59" s="79">
        <f t="shared" si="6"/>
        <v>7.713590438723111E-3</v>
      </c>
      <c r="AB59" s="79">
        <f t="shared" si="7"/>
        <v>7.7189859006900029E-3</v>
      </c>
      <c r="AC59" s="79">
        <f t="shared" si="8"/>
        <v>7.7214485165836705E-3</v>
      </c>
      <c r="AD59" s="79">
        <f t="shared" si="9"/>
        <v>7.7334680760034902E-3</v>
      </c>
      <c r="AE59" s="79">
        <f t="shared" si="10"/>
        <v>7.7513447570760931E-3</v>
      </c>
      <c r="AF59" s="79">
        <f t="shared" si="11"/>
        <v>7.7664986732462879E-3</v>
      </c>
      <c r="AG59" s="79">
        <f t="shared" si="12"/>
        <v>7.7817548803026928E-3</v>
      </c>
      <c r="AH59" s="79">
        <f t="shared" si="13"/>
        <v>7.7921113865618338E-3</v>
      </c>
      <c r="AI59"/>
      <c r="AJ59" s="60">
        <f t="shared" si="16"/>
        <v>7.7353952414119832E-3</v>
      </c>
    </row>
    <row r="60" spans="2:36" s="1" customFormat="1">
      <c r="B60" s="2" t="str">
        <f t="shared" si="17"/>
        <v>West Lake Macquarie</v>
      </c>
      <c r="C60" s="35" t="str" cm="1">
        <f t="array" ref="C60">INDEX(network_levels,COUNTIFS($B$10:$B60,$B$10))</f>
        <v>HV</v>
      </c>
      <c r="D60" s="35"/>
      <c r="E60" s="35" t="s">
        <v>80</v>
      </c>
      <c r="F60" s="21" cm="1">
        <f t="array" ref="F60">IFERROR(INDEX('Max demand'!$D$11:$AB$85,MATCH(1,INDEX(($C60='Max demand'!$B$11:$B$85)*(F$9='Max demand'!$C$11:$C$85),0,1),0),MATCH($B60,'Max demand'!$D$9:$AB$9,0)),0)</f>
        <v>0.34829632469999999</v>
      </c>
      <c r="G60" s="21" cm="1">
        <f t="array" ref="G60">IFERROR(INDEX('Max demand'!$D$11:$AB$85,MATCH(1,INDEX(($C60='Max demand'!$B$11:$B$85)*(G$9='Max demand'!$C$11:$C$85),0,1),0),MATCH($B60,'Max demand'!$D$9:$AB$9,0)),0)</f>
        <v>0.3481888487</v>
      </c>
      <c r="H60" s="21" cm="1">
        <f t="array" ref="H60">IFERROR(INDEX('Max demand'!$D$11:$AB$85,MATCH(1,INDEX(($C60='Max demand'!$B$11:$B$85)*(H$9='Max demand'!$C$11:$C$85),0,1),0),MATCH($B60,'Max demand'!$D$9:$AB$9,0)),0)</f>
        <v>0.34696420300000003</v>
      </c>
      <c r="I60" s="21" cm="1">
        <f t="array" ref="I60">IFERROR(INDEX('Max demand'!$D$11:$AB$85,MATCH(1,INDEX(($C60='Max demand'!$B$11:$B$85)*(I$9='Max demand'!$C$11:$C$85),0,1),0),MATCH($B60,'Max demand'!$D$9:$AB$9,0)),0)</f>
        <v>0.3466489606</v>
      </c>
      <c r="J60" s="21" cm="1">
        <f t="array" ref="J60">IFERROR(INDEX('Max demand'!$D$11:$AB$85,MATCH(1,INDEX(($C60='Max demand'!$B$11:$B$85)*(J$9='Max demand'!$C$11:$C$85),0,1),0),MATCH($B60,'Max demand'!$D$9:$AB$9,0)),0)</f>
        <v>0.34581135899999998</v>
      </c>
      <c r="K60" s="21" cm="1">
        <f t="array" ref="K60">IFERROR(INDEX('Max demand'!$D$11:$AB$85,MATCH(1,INDEX(($C60='Max demand'!$B$11:$B$85)*(K$9='Max demand'!$C$11:$C$85),0,1),0),MATCH($B60,'Max demand'!$D$9:$AB$9,0)),0)</f>
        <v>0.34484892160000002</v>
      </c>
      <c r="L60" s="21" cm="1">
        <f t="array" ref="L60">IFERROR(INDEX('Max demand'!$D$11:$AB$85,MATCH(1,INDEX(($C60='Max demand'!$B$11:$B$85)*(L$9='Max demand'!$C$11:$C$85),0,1),0),MATCH($B60,'Max demand'!$D$9:$AB$9,0)),0)</f>
        <v>0.34385922559999998</v>
      </c>
      <c r="M60" s="21" cm="1">
        <f t="array" ref="M60">IFERROR(INDEX('Max demand'!$D$11:$AB$85,MATCH(1,INDEX(($C60='Max demand'!$B$11:$B$85)*(M$9='Max demand'!$C$11:$C$85),0,1),0),MATCH($B60,'Max demand'!$D$9:$AB$9,0)),0)</f>
        <v>0.3443706647</v>
      </c>
      <c r="N60" s="21" cm="1">
        <f t="array" ref="N60">IFERROR(INDEX('Max demand'!$D$11:$AB$85,MATCH(1,INDEX(($C60='Max demand'!$B$11:$B$85)*(N$9='Max demand'!$C$11:$C$85),0,1),0),MATCH($B60,'Max demand'!$D$9:$AB$9,0)),0)</f>
        <v>0.34473176649999998</v>
      </c>
      <c r="O60" s="21" cm="1">
        <f t="array" ref="O60">IFERROR(INDEX('Max demand'!$D$11:$AB$85,MATCH(1,INDEX(($C60='Max demand'!$B$11:$B$85)*(O$9='Max demand'!$C$11:$C$85),0,1),0),MATCH($B60,'Max demand'!$D$9:$AB$9,0)),0)</f>
        <v>0.34462319270000003</v>
      </c>
      <c r="P60" s="21" cm="1">
        <f t="array" ref="P60">IFERROR(INDEX('Max demand'!$D$11:$AB$85,MATCH(1,INDEX(($C60='Max demand'!$B$11:$B$85)*(P$9='Max demand'!$C$11:$C$85),0,1),0),MATCH($B60,'Max demand'!$D$9:$AB$9,0)),0)</f>
        <v>0.34467696990000002</v>
      </c>
      <c r="Q60"/>
      <c r="R60" s="73">
        <f t="shared" si="14"/>
        <v>-1.0440511914717732E-3</v>
      </c>
      <c r="T60" s="2" t="str">
        <f t="shared" si="18"/>
        <v>West Lake Macquarie</v>
      </c>
      <c r="U60" s="35" t="str">
        <f t="shared" si="19"/>
        <v>HV</v>
      </c>
      <c r="V60" s="35"/>
      <c r="W60" s="35" t="str">
        <f t="shared" si="3"/>
        <v>MW</v>
      </c>
      <c r="X60" s="79">
        <f t="shared" si="15"/>
        <v>3.4999608086100009E-3</v>
      </c>
      <c r="Y60" s="79">
        <f t="shared" si="4"/>
        <v>3.5020364574465646E-3</v>
      </c>
      <c r="Z60" s="79">
        <f t="shared" si="5"/>
        <v>3.4985932624492155E-3</v>
      </c>
      <c r="AA60" s="79">
        <f t="shared" si="6"/>
        <v>3.4980908156160388E-3</v>
      </c>
      <c r="AB60" s="79">
        <f t="shared" si="7"/>
        <v>3.4960429962023771E-3</v>
      </c>
      <c r="AC60" s="79">
        <f t="shared" si="8"/>
        <v>3.4946528003462611E-3</v>
      </c>
      <c r="AD60" s="79">
        <f t="shared" si="9"/>
        <v>3.4936922022706517E-3</v>
      </c>
      <c r="AE60" s="79">
        <f t="shared" si="10"/>
        <v>3.4970958738664865E-3</v>
      </c>
      <c r="AF60" s="79">
        <f t="shared" si="11"/>
        <v>3.5000953496048021E-3</v>
      </c>
      <c r="AG60" s="79">
        <f t="shared" si="12"/>
        <v>3.5014045366646976E-3</v>
      </c>
      <c r="AH60" s="79">
        <f t="shared" si="13"/>
        <v>3.5034193617166816E-3</v>
      </c>
      <c r="AI60"/>
      <c r="AJ60" s="60">
        <f t="shared" si="16"/>
        <v>3.4986440422539798E-3</v>
      </c>
    </row>
    <row r="61" spans="2:36" s="1" customFormat="1">
      <c r="B61" s="2" t="str">
        <f t="shared" si="17"/>
        <v>System wide</v>
      </c>
      <c r="C61" s="35" t="str" cm="1">
        <f t="array" ref="C61">INDEX(network_levels,COUNTIFS($B$10:$B61,$B$10))</f>
        <v>HV</v>
      </c>
      <c r="D61" s="35"/>
      <c r="E61" s="35" t="s">
        <v>80</v>
      </c>
      <c r="F61" s="21" cm="1">
        <f t="array" ref="F61">IFERROR(INDEX('Max demand'!$D$11:$AB$85,MATCH(1,INDEX(($C61='Max demand'!$B$11:$B$85)*(F$9='Max demand'!$C$11:$C$85),0,1),0),MATCH($B61,'Max demand'!$D$9:$AB$9,0)),0)</f>
        <v>0</v>
      </c>
      <c r="G61" s="21" cm="1">
        <f t="array" ref="G61">IFERROR(INDEX('Max demand'!$D$11:$AB$85,MATCH(1,INDEX(($C61='Max demand'!$B$11:$B$85)*(G$9='Max demand'!$C$11:$C$85),0,1),0),MATCH($B61,'Max demand'!$D$9:$AB$9,0)),0)</f>
        <v>0</v>
      </c>
      <c r="H61" s="21" cm="1">
        <f t="array" ref="H61">IFERROR(INDEX('Max demand'!$D$11:$AB$85,MATCH(1,INDEX(($C61='Max demand'!$B$11:$B$85)*(H$9='Max demand'!$C$11:$C$85),0,1),0),MATCH($B61,'Max demand'!$D$9:$AB$9,0)),0)</f>
        <v>0</v>
      </c>
      <c r="I61" s="21" cm="1">
        <f t="array" ref="I61">IFERROR(INDEX('Max demand'!$D$11:$AB$85,MATCH(1,INDEX(($C61='Max demand'!$B$11:$B$85)*(I$9='Max demand'!$C$11:$C$85),0,1),0),MATCH($B61,'Max demand'!$D$9:$AB$9,0)),0)</f>
        <v>0</v>
      </c>
      <c r="J61" s="21" cm="1">
        <f t="array" ref="J61">IFERROR(INDEX('Max demand'!$D$11:$AB$85,MATCH(1,INDEX(($C61='Max demand'!$B$11:$B$85)*(J$9='Max demand'!$C$11:$C$85),0,1),0),MATCH($B61,'Max demand'!$D$9:$AB$9,0)),0)</f>
        <v>0</v>
      </c>
      <c r="K61" s="21" cm="1">
        <f t="array" ref="K61">IFERROR(INDEX('Max demand'!$D$11:$AB$85,MATCH(1,INDEX(($C61='Max demand'!$B$11:$B$85)*(K$9='Max demand'!$C$11:$C$85),0,1),0),MATCH($B61,'Max demand'!$D$9:$AB$9,0)),0)</f>
        <v>0</v>
      </c>
      <c r="L61" s="21" cm="1">
        <f t="array" ref="L61">IFERROR(INDEX('Max demand'!$D$11:$AB$85,MATCH(1,INDEX(($C61='Max demand'!$B$11:$B$85)*(L$9='Max demand'!$C$11:$C$85),0,1),0),MATCH($B61,'Max demand'!$D$9:$AB$9,0)),0)</f>
        <v>0</v>
      </c>
      <c r="M61" s="21" cm="1">
        <f t="array" ref="M61">IFERROR(INDEX('Max demand'!$D$11:$AB$85,MATCH(1,INDEX(($C61='Max demand'!$B$11:$B$85)*(M$9='Max demand'!$C$11:$C$85),0,1),0),MATCH($B61,'Max demand'!$D$9:$AB$9,0)),0)</f>
        <v>0</v>
      </c>
      <c r="N61" s="21" cm="1">
        <f t="array" ref="N61">IFERROR(INDEX('Max demand'!$D$11:$AB$85,MATCH(1,INDEX(($C61='Max demand'!$B$11:$B$85)*(N$9='Max demand'!$C$11:$C$85),0,1),0),MATCH($B61,'Max demand'!$D$9:$AB$9,0)),0)</f>
        <v>0</v>
      </c>
      <c r="O61" s="21" cm="1">
        <f t="array" ref="O61">IFERROR(INDEX('Max demand'!$D$11:$AB$85,MATCH(1,INDEX(($C61='Max demand'!$B$11:$B$85)*(O$9='Max demand'!$C$11:$C$85),0,1),0),MATCH($B61,'Max demand'!$D$9:$AB$9,0)),0)</f>
        <v>0</v>
      </c>
      <c r="P61" s="21" cm="1">
        <f t="array" ref="P61">IFERROR(INDEX('Max demand'!$D$11:$AB$85,MATCH(1,INDEX(($C61='Max demand'!$B$11:$B$85)*(P$9='Max demand'!$C$11:$C$85),0,1),0),MATCH($B61,'Max demand'!$D$9:$AB$9,0)),0)</f>
        <v>0</v>
      </c>
      <c r="Q61"/>
      <c r="R61" s="73">
        <f t="shared" si="14"/>
        <v>0</v>
      </c>
      <c r="T61" s="2" t="str">
        <f t="shared" si="18"/>
        <v>System wide</v>
      </c>
      <c r="U61" s="35" t="str">
        <f t="shared" si="19"/>
        <v>HV</v>
      </c>
      <c r="V61" s="35"/>
      <c r="W61" s="35" t="str">
        <f t="shared" si="3"/>
        <v>MW</v>
      </c>
      <c r="X61" s="79">
        <f t="shared" si="15"/>
        <v>0</v>
      </c>
      <c r="Y61" s="79">
        <f t="shared" si="4"/>
        <v>0</v>
      </c>
      <c r="Z61" s="79">
        <f t="shared" si="5"/>
        <v>0</v>
      </c>
      <c r="AA61" s="79">
        <f t="shared" si="6"/>
        <v>0</v>
      </c>
      <c r="AB61" s="79">
        <f t="shared" si="7"/>
        <v>0</v>
      </c>
      <c r="AC61" s="79">
        <f t="shared" si="8"/>
        <v>0</v>
      </c>
      <c r="AD61" s="79">
        <f t="shared" si="9"/>
        <v>0</v>
      </c>
      <c r="AE61" s="79">
        <f t="shared" si="10"/>
        <v>0</v>
      </c>
      <c r="AF61" s="79">
        <f t="shared" si="11"/>
        <v>0</v>
      </c>
      <c r="AG61" s="79">
        <f t="shared" si="12"/>
        <v>0</v>
      </c>
      <c r="AH61" s="79">
        <f t="shared" si="13"/>
        <v>0</v>
      </c>
      <c r="AI61"/>
      <c r="AJ61" s="60">
        <f t="shared" si="16"/>
        <v>0</v>
      </c>
    </row>
    <row r="62" spans="2:36" s="1" customFormat="1">
      <c r="B62" s="2" t="str">
        <f t="shared" si="17"/>
        <v>Auburn / Homebush</v>
      </c>
      <c r="C62" s="35" t="str" cm="1">
        <f t="array" ref="C62">INDEX(network_levels,COUNTIFS($B$10:$B62,$B$10))</f>
        <v>ST</v>
      </c>
      <c r="D62" s="35"/>
      <c r="E62" s="35" t="s">
        <v>80</v>
      </c>
      <c r="F62" s="21" cm="1">
        <f t="array" ref="F62">IFERROR(INDEX('Max demand'!$D$11:$AB$85,MATCH(1,INDEX(($C62='Max demand'!$B$11:$B$85)*(F$9='Max demand'!$C$11:$C$85),0,1),0),MATCH($B62,'Max demand'!$D$9:$AB$9,0)),0)</f>
        <v>57.112787308472861</v>
      </c>
      <c r="G62" s="21" cm="1">
        <f t="array" ref="G62">IFERROR(INDEX('Max demand'!$D$11:$AB$85,MATCH(1,INDEX(($C62='Max demand'!$B$11:$B$85)*(G$9='Max demand'!$C$11:$C$85),0,1),0),MATCH($B62,'Max demand'!$D$9:$AB$9,0)),0)</f>
        <v>65.870055616272865</v>
      </c>
      <c r="H62" s="21" cm="1">
        <f t="array" ref="H62">IFERROR(INDEX('Max demand'!$D$11:$AB$85,MATCH(1,INDEX(($C62='Max demand'!$B$11:$B$85)*(H$9='Max demand'!$C$11:$C$85),0,1),0),MATCH($B62,'Max demand'!$D$9:$AB$9,0)),0)</f>
        <v>65.870055616272865</v>
      </c>
      <c r="I62" s="21" cm="1">
        <f t="array" ref="I62">IFERROR(INDEX('Max demand'!$D$11:$AB$85,MATCH(1,INDEX(($C62='Max demand'!$B$11:$B$85)*(I$9='Max demand'!$C$11:$C$85),0,1),0),MATCH($B62,'Max demand'!$D$9:$AB$9,0)),0)</f>
        <v>65.870055616272865</v>
      </c>
      <c r="J62" s="21" cm="1">
        <f t="array" ref="J62">IFERROR(INDEX('Max demand'!$D$11:$AB$85,MATCH(1,INDEX(($C62='Max demand'!$B$11:$B$85)*(J$9='Max demand'!$C$11:$C$85),0,1),0),MATCH($B62,'Max demand'!$D$9:$AB$9,0)),0)</f>
        <v>65.870055616272865</v>
      </c>
      <c r="K62" s="21" cm="1">
        <f t="array" ref="K62">IFERROR(INDEX('Max demand'!$D$11:$AB$85,MATCH(1,INDEX(($C62='Max demand'!$B$11:$B$85)*(K$9='Max demand'!$C$11:$C$85),0,1),0),MATCH($B62,'Max demand'!$D$9:$AB$9,0)),0)</f>
        <v>86.871011992272855</v>
      </c>
      <c r="L62" s="21" cm="1">
        <f t="array" ref="L62">IFERROR(INDEX('Max demand'!$D$11:$AB$85,MATCH(1,INDEX(($C62='Max demand'!$B$11:$B$85)*(L$9='Max demand'!$C$11:$C$85),0,1),0),MATCH($B62,'Max demand'!$D$9:$AB$9,0)),0)</f>
        <v>86.871011992272855</v>
      </c>
      <c r="M62" s="21" cm="1">
        <f t="array" ref="M62">IFERROR(INDEX('Max demand'!$D$11:$AB$85,MATCH(1,INDEX(($C62='Max demand'!$B$11:$B$85)*(M$9='Max demand'!$C$11:$C$85),0,1),0),MATCH($B62,'Max demand'!$D$9:$AB$9,0)),0)</f>
        <v>86.871011992272855</v>
      </c>
      <c r="N62" s="21" cm="1">
        <f t="array" ref="N62">IFERROR(INDEX('Max demand'!$D$11:$AB$85,MATCH(1,INDEX(($C62='Max demand'!$B$11:$B$85)*(N$9='Max demand'!$C$11:$C$85),0,1),0),MATCH($B62,'Max demand'!$D$9:$AB$9,0)),0)</f>
        <v>86.871011992272855</v>
      </c>
      <c r="O62" s="21" cm="1">
        <f t="array" ref="O62">IFERROR(INDEX('Max demand'!$D$11:$AB$85,MATCH(1,INDEX(($C62='Max demand'!$B$11:$B$85)*(O$9='Max demand'!$C$11:$C$85),0,1),0),MATCH($B62,'Max demand'!$D$9:$AB$9,0)),0)</f>
        <v>86.871011992272855</v>
      </c>
      <c r="P62" s="21" cm="1">
        <f t="array" ref="P62">IFERROR(INDEX('Max demand'!$D$11:$AB$85,MATCH(1,INDEX(($C62='Max demand'!$B$11:$B$85)*(P$9='Max demand'!$C$11:$C$85),0,1),0),MATCH($B62,'Max demand'!$D$9:$AB$9,0)),0)</f>
        <v>86.871011992272855</v>
      </c>
      <c r="Q62"/>
      <c r="R62" s="73">
        <f t="shared" si="14"/>
        <v>4.2831527395460922E-2</v>
      </c>
      <c r="T62" s="2" t="str">
        <f t="shared" si="18"/>
        <v>Auburn / Homebush</v>
      </c>
      <c r="U62" s="35" t="str">
        <f t="shared" si="19"/>
        <v>ST</v>
      </c>
      <c r="V62" s="35"/>
      <c r="W62" s="35" t="str">
        <f t="shared" si="3"/>
        <v>MW</v>
      </c>
      <c r="X62" s="79">
        <f t="shared" si="15"/>
        <v>0.12932630502870857</v>
      </c>
      <c r="Y62" s="79">
        <f t="shared" si="4"/>
        <v>0.14752878218737514</v>
      </c>
      <c r="Z62" s="79">
        <f t="shared" si="5"/>
        <v>0.14798169727162391</v>
      </c>
      <c r="AA62" s="79">
        <f t="shared" si="6"/>
        <v>0.14769712461297427</v>
      </c>
      <c r="AB62" s="79">
        <f t="shared" si="7"/>
        <v>0.14754627685326324</v>
      </c>
      <c r="AC62" s="79">
        <f t="shared" si="8"/>
        <v>0.18551464117861352</v>
      </c>
      <c r="AD62" s="79">
        <f t="shared" si="9"/>
        <v>0.18458167132917375</v>
      </c>
      <c r="AE62" s="79">
        <f t="shared" si="10"/>
        <v>0.1830023229316402</v>
      </c>
      <c r="AF62" s="79">
        <f t="shared" si="11"/>
        <v>0.1815202097917249</v>
      </c>
      <c r="AG62" s="79">
        <f t="shared" si="12"/>
        <v>0.18027726704646058</v>
      </c>
      <c r="AH62" s="79">
        <f t="shared" si="13"/>
        <v>0.17884444141593733</v>
      </c>
      <c r="AI62"/>
      <c r="AJ62" s="60">
        <f t="shared" si="16"/>
        <v>0.16489279451340866</v>
      </c>
    </row>
    <row r="63" spans="2:36" s="1" customFormat="1">
      <c r="B63" s="2" t="str">
        <f t="shared" si="17"/>
        <v>Camperdown &amp; Blackwattle Bay</v>
      </c>
      <c r="C63" s="35" t="str" cm="1">
        <f t="array" ref="C63">INDEX(network_levels,COUNTIFS($B$10:$B63,$B$10))</f>
        <v>ST</v>
      </c>
      <c r="D63" s="35"/>
      <c r="E63" s="35" t="s">
        <v>80</v>
      </c>
      <c r="F63" s="21" cm="1">
        <f t="array" ref="F63">IFERROR(INDEX('Max demand'!$D$11:$AB$85,MATCH(1,INDEX(($C63='Max demand'!$B$11:$B$85)*(F$9='Max demand'!$C$11:$C$85),0,1),0),MATCH($B63,'Max demand'!$D$9:$AB$9,0)),0)</f>
        <v>69.058004777336762</v>
      </c>
      <c r="G63" s="21" cm="1">
        <f t="array" ref="G63">IFERROR(INDEX('Max demand'!$D$11:$AB$85,MATCH(1,INDEX(($C63='Max demand'!$B$11:$B$85)*(G$9='Max demand'!$C$11:$C$85),0,1),0),MATCH($B63,'Max demand'!$D$9:$AB$9,0)),0)</f>
        <v>71.044174610761104</v>
      </c>
      <c r="H63" s="21" cm="1">
        <f t="array" ref="H63">IFERROR(INDEX('Max demand'!$D$11:$AB$85,MATCH(1,INDEX(($C63='Max demand'!$B$11:$B$85)*(H$9='Max demand'!$C$11:$C$85),0,1),0),MATCH($B63,'Max demand'!$D$9:$AB$9,0)),0)</f>
        <v>71.918687063761098</v>
      </c>
      <c r="I63" s="21" cm="1">
        <f t="array" ref="I63">IFERROR(INDEX('Max demand'!$D$11:$AB$85,MATCH(1,INDEX(($C63='Max demand'!$B$11:$B$85)*(I$9='Max demand'!$C$11:$C$85),0,1),0),MATCH($B63,'Max demand'!$D$9:$AB$9,0)),0)</f>
        <v>72.793199516761092</v>
      </c>
      <c r="J63" s="21" cm="1">
        <f t="array" ref="J63">IFERROR(INDEX('Max demand'!$D$11:$AB$85,MATCH(1,INDEX(($C63='Max demand'!$B$11:$B$85)*(J$9='Max demand'!$C$11:$C$85),0,1),0),MATCH($B63,'Max demand'!$D$9:$AB$9,0)),0)</f>
        <v>73.667711969761115</v>
      </c>
      <c r="K63" s="21" cm="1">
        <f t="array" ref="K63">IFERROR(INDEX('Max demand'!$D$11:$AB$85,MATCH(1,INDEX(($C63='Max demand'!$B$11:$B$85)*(K$9='Max demand'!$C$11:$C$85),0,1),0),MATCH($B63,'Max demand'!$D$9:$AB$9,0)),0)</f>
        <v>73.667711969761115</v>
      </c>
      <c r="L63" s="21" cm="1">
        <f t="array" ref="L63">IFERROR(INDEX('Max demand'!$D$11:$AB$85,MATCH(1,INDEX(($C63='Max demand'!$B$11:$B$85)*(L$9='Max demand'!$C$11:$C$85),0,1),0),MATCH($B63,'Max demand'!$D$9:$AB$9,0)),0)</f>
        <v>73.667711969761115</v>
      </c>
      <c r="M63" s="21" cm="1">
        <f t="array" ref="M63">IFERROR(INDEX('Max demand'!$D$11:$AB$85,MATCH(1,INDEX(($C63='Max demand'!$B$11:$B$85)*(M$9='Max demand'!$C$11:$C$85),0,1),0),MATCH($B63,'Max demand'!$D$9:$AB$9,0)),0)</f>
        <v>73.667711969761115</v>
      </c>
      <c r="N63" s="21" cm="1">
        <f t="array" ref="N63">IFERROR(INDEX('Max demand'!$D$11:$AB$85,MATCH(1,INDEX(($C63='Max demand'!$B$11:$B$85)*(N$9='Max demand'!$C$11:$C$85),0,1),0),MATCH($B63,'Max demand'!$D$9:$AB$9,0)),0)</f>
        <v>73.667711969761115</v>
      </c>
      <c r="O63" s="21" cm="1">
        <f t="array" ref="O63">IFERROR(INDEX('Max demand'!$D$11:$AB$85,MATCH(1,INDEX(($C63='Max demand'!$B$11:$B$85)*(O$9='Max demand'!$C$11:$C$85),0,1),0),MATCH($B63,'Max demand'!$D$9:$AB$9,0)),0)</f>
        <v>73.667711969761115</v>
      </c>
      <c r="P63" s="21" cm="1">
        <f t="array" ref="P63">IFERROR(INDEX('Max demand'!$D$11:$AB$85,MATCH(1,INDEX(($C63='Max demand'!$B$11:$B$85)*(P$9='Max demand'!$C$11:$C$85),0,1),0),MATCH($B63,'Max demand'!$D$9:$AB$9,0)),0)</f>
        <v>73.667711969761115</v>
      </c>
      <c r="Q63"/>
      <c r="R63" s="73">
        <f t="shared" si="14"/>
        <v>6.4827025412832473E-3</v>
      </c>
      <c r="T63" s="2" t="str">
        <f t="shared" si="18"/>
        <v>Camperdown &amp; Blackwattle Bay</v>
      </c>
      <c r="U63" s="35" t="str">
        <f t="shared" si="19"/>
        <v>ST</v>
      </c>
      <c r="V63" s="35"/>
      <c r="W63" s="35" t="str">
        <f t="shared" si="3"/>
        <v>MW</v>
      </c>
      <c r="X63" s="79">
        <f t="shared" si="15"/>
        <v>0.47446653679638018</v>
      </c>
      <c r="Y63" s="79">
        <f t="shared" si="4"/>
        <v>0.48716095987921126</v>
      </c>
      <c r="Z63" s="79">
        <f t="shared" si="5"/>
        <v>0.49211676090658724</v>
      </c>
      <c r="AA63" s="79">
        <f t="shared" si="6"/>
        <v>0.4945565298303648</v>
      </c>
      <c r="AB63" s="79">
        <f t="shared" si="7"/>
        <v>0.49774216954022193</v>
      </c>
      <c r="AC63" s="79">
        <f t="shared" si="8"/>
        <v>0.49787217503508385</v>
      </c>
      <c r="AD63" s="79">
        <f t="shared" si="9"/>
        <v>0.49795020372028964</v>
      </c>
      <c r="AE63" s="79">
        <f t="shared" si="10"/>
        <v>0.4964584873760205</v>
      </c>
      <c r="AF63" s="79">
        <f t="shared" si="11"/>
        <v>0.49510651536861461</v>
      </c>
      <c r="AG63" s="79">
        <f t="shared" si="12"/>
        <v>0.49396190136367762</v>
      </c>
      <c r="AH63" s="79">
        <f t="shared" si="13"/>
        <v>0.49221050881423317</v>
      </c>
      <c r="AI63"/>
      <c r="AJ63" s="60">
        <f t="shared" si="16"/>
        <v>0.4926911589664259</v>
      </c>
    </row>
    <row r="64" spans="2:36" s="1" customFormat="1">
      <c r="B64" s="2" t="str">
        <f t="shared" si="17"/>
        <v>Canterbury Bankstown</v>
      </c>
      <c r="C64" s="35" t="str" cm="1">
        <f t="array" ref="C64">INDEX(network_levels,COUNTIFS($B$10:$B64,$B$10))</f>
        <v>ST</v>
      </c>
      <c r="D64" s="35"/>
      <c r="E64" s="35" t="s">
        <v>80</v>
      </c>
      <c r="F64" s="21" cm="1">
        <f t="array" ref="F64">IFERROR(INDEX('Max demand'!$D$11:$AB$85,MATCH(1,INDEX(($C64='Max demand'!$B$11:$B$85)*(F$9='Max demand'!$C$11:$C$85),0,1),0),MATCH($B64,'Max demand'!$D$9:$AB$9,0)),0)</f>
        <v>20.749773334220585</v>
      </c>
      <c r="G64" s="21" cm="1">
        <f t="array" ref="G64">IFERROR(INDEX('Max demand'!$D$11:$AB$85,MATCH(1,INDEX(($C64='Max demand'!$B$11:$B$85)*(G$9='Max demand'!$C$11:$C$85),0,1),0),MATCH($B64,'Max demand'!$D$9:$AB$9,0)),0)</f>
        <v>20.749773334220585</v>
      </c>
      <c r="H64" s="21" cm="1">
        <f t="array" ref="H64">IFERROR(INDEX('Max demand'!$D$11:$AB$85,MATCH(1,INDEX(($C64='Max demand'!$B$11:$B$85)*(H$9='Max demand'!$C$11:$C$85),0,1),0),MATCH($B64,'Max demand'!$D$9:$AB$9,0)),0)</f>
        <v>20.749773334220585</v>
      </c>
      <c r="I64" s="21" cm="1">
        <f t="array" ref="I64">IFERROR(INDEX('Max demand'!$D$11:$AB$85,MATCH(1,INDEX(($C64='Max demand'!$B$11:$B$85)*(I$9='Max demand'!$C$11:$C$85),0,1),0),MATCH($B64,'Max demand'!$D$9:$AB$9,0)),0)</f>
        <v>20.749773334220585</v>
      </c>
      <c r="J64" s="21" cm="1">
        <f t="array" ref="J64">IFERROR(INDEX('Max demand'!$D$11:$AB$85,MATCH(1,INDEX(($C64='Max demand'!$B$11:$B$85)*(J$9='Max demand'!$C$11:$C$85),0,1),0),MATCH($B64,'Max demand'!$D$9:$AB$9,0)),0)</f>
        <v>20.749773334220585</v>
      </c>
      <c r="K64" s="21" cm="1">
        <f t="array" ref="K64">IFERROR(INDEX('Max demand'!$D$11:$AB$85,MATCH(1,INDEX(($C64='Max demand'!$B$11:$B$85)*(K$9='Max demand'!$C$11:$C$85),0,1),0),MATCH($B64,'Max demand'!$D$9:$AB$9,0)),0)</f>
        <v>20.749773334220585</v>
      </c>
      <c r="L64" s="21" cm="1">
        <f t="array" ref="L64">IFERROR(INDEX('Max demand'!$D$11:$AB$85,MATCH(1,INDEX(($C64='Max demand'!$B$11:$B$85)*(L$9='Max demand'!$C$11:$C$85),0,1),0),MATCH($B64,'Max demand'!$D$9:$AB$9,0)),0)</f>
        <v>20.749773334220585</v>
      </c>
      <c r="M64" s="21" cm="1">
        <f t="array" ref="M64">IFERROR(INDEX('Max demand'!$D$11:$AB$85,MATCH(1,INDEX(($C64='Max demand'!$B$11:$B$85)*(M$9='Max demand'!$C$11:$C$85),0,1),0),MATCH($B64,'Max demand'!$D$9:$AB$9,0)),0)</f>
        <v>20.749773334220585</v>
      </c>
      <c r="N64" s="21" cm="1">
        <f t="array" ref="N64">IFERROR(INDEX('Max demand'!$D$11:$AB$85,MATCH(1,INDEX(($C64='Max demand'!$B$11:$B$85)*(N$9='Max demand'!$C$11:$C$85),0,1),0),MATCH($B64,'Max demand'!$D$9:$AB$9,0)),0)</f>
        <v>20.749773334220585</v>
      </c>
      <c r="O64" s="21" cm="1">
        <f t="array" ref="O64">IFERROR(INDEX('Max demand'!$D$11:$AB$85,MATCH(1,INDEX(($C64='Max demand'!$B$11:$B$85)*(O$9='Max demand'!$C$11:$C$85),0,1),0),MATCH($B64,'Max demand'!$D$9:$AB$9,0)),0)</f>
        <v>20.749773334220585</v>
      </c>
      <c r="P64" s="21" cm="1">
        <f t="array" ref="P64">IFERROR(INDEX('Max demand'!$D$11:$AB$85,MATCH(1,INDEX(($C64='Max demand'!$B$11:$B$85)*(P$9='Max demand'!$C$11:$C$85),0,1),0),MATCH($B64,'Max demand'!$D$9:$AB$9,0)),0)</f>
        <v>20.749773334220585</v>
      </c>
      <c r="Q64"/>
      <c r="R64" s="73">
        <f t="shared" si="14"/>
        <v>0</v>
      </c>
      <c r="T64" s="2" t="str">
        <f t="shared" si="18"/>
        <v>Canterbury Bankstown</v>
      </c>
      <c r="U64" s="35" t="str">
        <f t="shared" si="19"/>
        <v>ST</v>
      </c>
      <c r="V64" s="35"/>
      <c r="W64" s="35" t="str">
        <f t="shared" si="3"/>
        <v>MW</v>
      </c>
      <c r="X64" s="79">
        <f t="shared" si="15"/>
        <v>4.3636700318333901E-2</v>
      </c>
      <c r="Y64" s="79">
        <f t="shared" si="4"/>
        <v>4.3981340230149199E-2</v>
      </c>
      <c r="Z64" s="79">
        <f t="shared" si="5"/>
        <v>4.4078237726912384E-2</v>
      </c>
      <c r="AA64" s="79">
        <f t="shared" si="6"/>
        <v>4.3966491114486896E-2</v>
      </c>
      <c r="AB64" s="79">
        <f t="shared" si="7"/>
        <v>4.3918556031419607E-2</v>
      </c>
      <c r="AC64" s="79">
        <f t="shared" si="8"/>
        <v>4.3886064598445428E-2</v>
      </c>
      <c r="AD64" s="79">
        <f t="shared" si="9"/>
        <v>4.3824845108735848E-2</v>
      </c>
      <c r="AE64" s="79">
        <f t="shared" si="10"/>
        <v>4.3540646977306405E-2</v>
      </c>
      <c r="AF64" s="79">
        <f t="shared" si="11"/>
        <v>4.3275033859948034E-2</v>
      </c>
      <c r="AG64" s="79">
        <f t="shared" si="12"/>
        <v>4.3021833385848737E-2</v>
      </c>
      <c r="AH64" s="79">
        <f t="shared" si="13"/>
        <v>4.2745736762953804E-2</v>
      </c>
      <c r="AI64"/>
      <c r="AJ64" s="60">
        <f t="shared" si="16"/>
        <v>4.3625044192230927E-2</v>
      </c>
    </row>
    <row r="65" spans="2:36" s="1" customFormat="1">
      <c r="B65" s="2" t="str">
        <f t="shared" si="17"/>
        <v>Carlingford</v>
      </c>
      <c r="C65" s="35" t="str" cm="1">
        <f t="array" ref="C65">INDEX(network_levels,COUNTIFS($B$10:$B65,$B$10))</f>
        <v>ST</v>
      </c>
      <c r="D65" s="35"/>
      <c r="E65" s="35" t="s">
        <v>80</v>
      </c>
      <c r="F65" s="21" cm="1">
        <f t="array" ref="F65">IFERROR(INDEX('Max demand'!$D$11:$AB$85,MATCH(1,INDEX(($C65='Max demand'!$B$11:$B$85)*(F$9='Max demand'!$C$11:$C$85),0,1),0),MATCH($B65,'Max demand'!$D$9:$AB$9,0)),0)</f>
        <v>66.480498109999999</v>
      </c>
      <c r="G65" s="21" cm="1">
        <f t="array" ref="G65">IFERROR(INDEX('Max demand'!$D$11:$AB$85,MATCH(1,INDEX(($C65='Max demand'!$B$11:$B$85)*(G$9='Max demand'!$C$11:$C$85),0,1),0),MATCH($B65,'Max demand'!$D$9:$AB$9,0)),0)</f>
        <v>84.148506455000003</v>
      </c>
      <c r="H65" s="21" cm="1">
        <f t="array" ref="H65">IFERROR(INDEX('Max demand'!$D$11:$AB$85,MATCH(1,INDEX(($C65='Max demand'!$B$11:$B$85)*(H$9='Max demand'!$C$11:$C$85),0,1),0),MATCH($B65,'Max demand'!$D$9:$AB$9,0)),0)</f>
        <v>123.17788421039999</v>
      </c>
      <c r="I65" s="21" cm="1">
        <f t="array" ref="I65">IFERROR(INDEX('Max demand'!$D$11:$AB$85,MATCH(1,INDEX(($C65='Max demand'!$B$11:$B$85)*(I$9='Max demand'!$C$11:$C$85),0,1),0),MATCH($B65,'Max demand'!$D$9:$AB$9,0)),0)</f>
        <v>147.238133264</v>
      </c>
      <c r="J65" s="21" cm="1">
        <f t="array" ref="J65">IFERROR(INDEX('Max demand'!$D$11:$AB$85,MATCH(1,INDEX(($C65='Max demand'!$B$11:$B$85)*(J$9='Max demand'!$C$11:$C$85),0,1),0),MATCH($B65,'Max demand'!$D$9:$AB$9,0)),0)</f>
        <v>175.82527031000001</v>
      </c>
      <c r="K65" s="21" cm="1">
        <f t="array" ref="K65">IFERROR(INDEX('Max demand'!$D$11:$AB$85,MATCH(1,INDEX(($C65='Max demand'!$B$11:$B$85)*(K$9='Max demand'!$C$11:$C$85),0,1),0),MATCH($B65,'Max demand'!$D$9:$AB$9,0)),0)</f>
        <v>200.00240735599999</v>
      </c>
      <c r="L65" s="21" cm="1">
        <f t="array" ref="L65">IFERROR(INDEX('Max demand'!$D$11:$AB$85,MATCH(1,INDEX(($C65='Max demand'!$B$11:$B$85)*(L$9='Max demand'!$C$11:$C$85),0,1),0),MATCH($B65,'Max demand'!$D$9:$AB$9,0)),0)</f>
        <v>222.81610040599998</v>
      </c>
      <c r="M65" s="21" cm="1">
        <f t="array" ref="M65">IFERROR(INDEX('Max demand'!$D$11:$AB$85,MATCH(1,INDEX(($C65='Max demand'!$B$11:$B$85)*(M$9='Max demand'!$C$11:$C$85),0,1),0),MATCH($B65,'Max demand'!$D$9:$AB$9,0)),0)</f>
        <v>246.079793456</v>
      </c>
      <c r="N65" s="21" cm="1">
        <f t="array" ref="N65">IFERROR(INDEX('Max demand'!$D$11:$AB$85,MATCH(1,INDEX(($C65='Max demand'!$B$11:$B$85)*(N$9='Max demand'!$C$11:$C$85),0,1),0),MATCH($B65,'Max demand'!$D$9:$AB$9,0)),0)</f>
        <v>250.40091381100001</v>
      </c>
      <c r="O65" s="21" cm="1">
        <f t="array" ref="O65">IFERROR(INDEX('Max demand'!$D$11:$AB$85,MATCH(1,INDEX(($C65='Max demand'!$B$11:$B$85)*(O$9='Max demand'!$C$11:$C$85),0,1),0),MATCH($B65,'Max demand'!$D$9:$AB$9,0)),0)</f>
        <v>254.72203416600001</v>
      </c>
      <c r="P65" s="21" cm="1">
        <f t="array" ref="P65">IFERROR(INDEX('Max demand'!$D$11:$AB$85,MATCH(1,INDEX(($C65='Max demand'!$B$11:$B$85)*(P$9='Max demand'!$C$11:$C$85),0,1),0),MATCH($B65,'Max demand'!$D$9:$AB$9,0)),0)</f>
        <v>259.04315452100002</v>
      </c>
      <c r="Q65"/>
      <c r="R65" s="73">
        <f t="shared" si="14"/>
        <v>0.14569174930201112</v>
      </c>
      <c r="T65" s="2" t="str">
        <f t="shared" si="18"/>
        <v>Carlingford</v>
      </c>
      <c r="U65" s="35" t="str">
        <f t="shared" si="19"/>
        <v>ST</v>
      </c>
      <c r="V65" s="35"/>
      <c r="W65" s="35" t="str">
        <f t="shared" si="3"/>
        <v>MW</v>
      </c>
      <c r="X65" s="79">
        <f t="shared" si="15"/>
        <v>0.17872673718433268</v>
      </c>
      <c r="Y65" s="79">
        <f t="shared" si="4"/>
        <v>0.21743810730292448</v>
      </c>
      <c r="Z65" s="79">
        <f t="shared" si="5"/>
        <v>0.28980184074375737</v>
      </c>
      <c r="AA65" s="79">
        <f t="shared" si="6"/>
        <v>0.3274863693331157</v>
      </c>
      <c r="AB65" s="79">
        <f t="shared" si="7"/>
        <v>0.36761319007661386</v>
      </c>
      <c r="AC65" s="79">
        <f t="shared" si="8"/>
        <v>0.39785145680488343</v>
      </c>
      <c r="AD65" s="79">
        <f t="shared" si="9"/>
        <v>0.42341065801064742</v>
      </c>
      <c r="AE65" s="79">
        <f t="shared" si="10"/>
        <v>0.44613587015415151</v>
      </c>
      <c r="AF65" s="79">
        <f t="shared" si="11"/>
        <v>0.44869424408144909</v>
      </c>
      <c r="AG65" s="79">
        <f t="shared" si="12"/>
        <v>0.45142760006709604</v>
      </c>
      <c r="AH65" s="79">
        <f t="shared" si="13"/>
        <v>0.45363022073669373</v>
      </c>
      <c r="AI65"/>
      <c r="AJ65" s="60">
        <f t="shared" si="16"/>
        <v>0.36383784495415133</v>
      </c>
    </row>
    <row r="66" spans="2:36" s="1" customFormat="1">
      <c r="B66" s="2" t="str">
        <f t="shared" si="17"/>
        <v>Eastern Suburbs</v>
      </c>
      <c r="C66" s="35" t="str" cm="1">
        <f t="array" ref="C66">INDEX(network_levels,COUNTIFS($B$10:$B66,$B$10))</f>
        <v>ST</v>
      </c>
      <c r="D66" s="35"/>
      <c r="E66" s="35" t="s">
        <v>80</v>
      </c>
      <c r="F66" s="21" cm="1">
        <f t="array" ref="F66">IFERROR(INDEX('Max demand'!$D$11:$AB$85,MATCH(1,INDEX(($C66='Max demand'!$B$11:$B$85)*(F$9='Max demand'!$C$11:$C$85),0,1),0),MATCH($B66,'Max demand'!$D$9:$AB$9,0)),0)</f>
        <v>141.88911140335154</v>
      </c>
      <c r="G66" s="21" cm="1">
        <f t="array" ref="G66">IFERROR(INDEX('Max demand'!$D$11:$AB$85,MATCH(1,INDEX(($C66='Max demand'!$B$11:$B$85)*(G$9='Max demand'!$C$11:$C$85),0,1),0),MATCH($B66,'Max demand'!$D$9:$AB$9,0)),0)</f>
        <v>144.08284245255152</v>
      </c>
      <c r="H66" s="21" cm="1">
        <f t="array" ref="H66">IFERROR(INDEX('Max demand'!$D$11:$AB$85,MATCH(1,INDEX(($C66='Max demand'!$B$11:$B$85)*(H$9='Max demand'!$C$11:$C$85),0,1),0),MATCH($B66,'Max demand'!$D$9:$AB$9,0)),0)</f>
        <v>148.43942608555153</v>
      </c>
      <c r="I66" s="21" cm="1">
        <f t="array" ref="I66">IFERROR(INDEX('Max demand'!$D$11:$AB$85,MATCH(1,INDEX(($C66='Max demand'!$B$11:$B$85)*(I$9='Max demand'!$C$11:$C$85),0,1),0),MATCH($B66,'Max demand'!$D$9:$AB$9,0)),0)</f>
        <v>153.69679637695151</v>
      </c>
      <c r="J66" s="21" cm="1">
        <f t="array" ref="J66">IFERROR(INDEX('Max demand'!$D$11:$AB$85,MATCH(1,INDEX(($C66='Max demand'!$B$11:$B$85)*(J$9='Max demand'!$C$11:$C$85),0,1),0),MATCH($B66,'Max demand'!$D$9:$AB$9,0)),0)</f>
        <v>160.72502502895151</v>
      </c>
      <c r="K66" s="21" cm="1">
        <f t="array" ref="K66">IFERROR(INDEX('Max demand'!$D$11:$AB$85,MATCH(1,INDEX(($C66='Max demand'!$B$11:$B$85)*(K$9='Max demand'!$C$11:$C$85),0,1),0),MATCH($B66,'Max demand'!$D$9:$AB$9,0)),0)</f>
        <v>160.72502502895151</v>
      </c>
      <c r="L66" s="21" cm="1">
        <f t="array" ref="L66">IFERROR(INDEX('Max demand'!$D$11:$AB$85,MATCH(1,INDEX(($C66='Max demand'!$B$11:$B$85)*(L$9='Max demand'!$C$11:$C$85),0,1),0),MATCH($B66,'Max demand'!$D$9:$AB$9,0)),0)</f>
        <v>160.72502502895151</v>
      </c>
      <c r="M66" s="21" cm="1">
        <f t="array" ref="M66">IFERROR(INDEX('Max demand'!$D$11:$AB$85,MATCH(1,INDEX(($C66='Max demand'!$B$11:$B$85)*(M$9='Max demand'!$C$11:$C$85),0,1),0),MATCH($B66,'Max demand'!$D$9:$AB$9,0)),0)</f>
        <v>160.72502502895151</v>
      </c>
      <c r="N66" s="21" cm="1">
        <f t="array" ref="N66">IFERROR(INDEX('Max demand'!$D$11:$AB$85,MATCH(1,INDEX(($C66='Max demand'!$B$11:$B$85)*(N$9='Max demand'!$C$11:$C$85),0,1),0),MATCH($B66,'Max demand'!$D$9:$AB$9,0)),0)</f>
        <v>160.72502502895151</v>
      </c>
      <c r="O66" s="21" cm="1">
        <f t="array" ref="O66">IFERROR(INDEX('Max demand'!$D$11:$AB$85,MATCH(1,INDEX(($C66='Max demand'!$B$11:$B$85)*(O$9='Max demand'!$C$11:$C$85),0,1),0),MATCH($B66,'Max demand'!$D$9:$AB$9,0)),0)</f>
        <v>160.72502502895151</v>
      </c>
      <c r="P66" s="21" cm="1">
        <f t="array" ref="P66">IFERROR(INDEX('Max demand'!$D$11:$AB$85,MATCH(1,INDEX(($C66='Max demand'!$B$11:$B$85)*(P$9='Max demand'!$C$11:$C$85),0,1),0),MATCH($B66,'Max demand'!$D$9:$AB$9,0)),0)</f>
        <v>160.72502502895151</v>
      </c>
      <c r="Q66"/>
      <c r="R66" s="73">
        <f t="shared" si="14"/>
        <v>1.254292471762275E-2</v>
      </c>
      <c r="T66" s="2" t="str">
        <f t="shared" si="18"/>
        <v>Eastern Suburbs</v>
      </c>
      <c r="U66" s="35" t="str">
        <f t="shared" si="19"/>
        <v>ST</v>
      </c>
      <c r="V66" s="35"/>
      <c r="W66" s="35" t="str">
        <f t="shared" si="3"/>
        <v>MW</v>
      </c>
      <c r="X66" s="79">
        <f t="shared" si="15"/>
        <v>0.17751167524746655</v>
      </c>
      <c r="Y66" s="79">
        <f t="shared" si="4"/>
        <v>0.18226900303002874</v>
      </c>
      <c r="Z66" s="79">
        <f t="shared" si="5"/>
        <v>0.18811948532327982</v>
      </c>
      <c r="AA66" s="79">
        <f t="shared" si="6"/>
        <v>0.19378687372546877</v>
      </c>
      <c r="AB66" s="79">
        <f t="shared" si="7"/>
        <v>0.20145160727781564</v>
      </c>
      <c r="AC66" s="79">
        <f t="shared" si="8"/>
        <v>0.2020551556231136</v>
      </c>
      <c r="AD66" s="79">
        <f t="shared" si="9"/>
        <v>0.20259718142458527</v>
      </c>
      <c r="AE66" s="79">
        <f t="shared" si="10"/>
        <v>0.20200738559724732</v>
      </c>
      <c r="AF66" s="79">
        <f t="shared" si="11"/>
        <v>0.20140675784863468</v>
      </c>
      <c r="AG66" s="79">
        <f t="shared" si="12"/>
        <v>0.20084963323586796</v>
      </c>
      <c r="AH66" s="79">
        <f t="shared" si="13"/>
        <v>0.20002562934624388</v>
      </c>
      <c r="AI66"/>
      <c r="AJ66" s="60">
        <f t="shared" si="16"/>
        <v>0.19564367160725019</v>
      </c>
    </row>
    <row r="67" spans="2:36" s="1" customFormat="1">
      <c r="B67" s="2" t="str">
        <f t="shared" si="17"/>
        <v>Greater Cessnock</v>
      </c>
      <c r="C67" s="35" t="str" cm="1">
        <f t="array" ref="C67">INDEX(network_levels,COUNTIFS($B$10:$B67,$B$10))</f>
        <v>ST</v>
      </c>
      <c r="D67" s="35"/>
      <c r="E67" s="35" t="s">
        <v>80</v>
      </c>
      <c r="F67" s="21" cm="1">
        <f t="array" ref="F67">IFERROR(INDEX('Max demand'!$D$11:$AB$85,MATCH(1,INDEX(($C67='Max demand'!$B$11:$B$85)*(F$9='Max demand'!$C$11:$C$85),0,1),0),MATCH($B67,'Max demand'!$D$9:$AB$9,0)),0)</f>
        <v>4.2997912339560624</v>
      </c>
      <c r="G67" s="21" cm="1">
        <f t="array" ref="G67">IFERROR(INDEX('Max demand'!$D$11:$AB$85,MATCH(1,INDEX(($C67='Max demand'!$B$11:$B$85)*(G$9='Max demand'!$C$11:$C$85),0,1),0),MATCH($B67,'Max demand'!$D$9:$AB$9,0)),0)</f>
        <v>4.2997912339560624</v>
      </c>
      <c r="H67" s="21" cm="1">
        <f t="array" ref="H67">IFERROR(INDEX('Max demand'!$D$11:$AB$85,MATCH(1,INDEX(($C67='Max demand'!$B$11:$B$85)*(H$9='Max demand'!$C$11:$C$85),0,1),0),MATCH($B67,'Max demand'!$D$9:$AB$9,0)),0)</f>
        <v>4.2997912339560624</v>
      </c>
      <c r="I67" s="21" cm="1">
        <f t="array" ref="I67">IFERROR(INDEX('Max demand'!$D$11:$AB$85,MATCH(1,INDEX(($C67='Max demand'!$B$11:$B$85)*(I$9='Max demand'!$C$11:$C$85),0,1),0),MATCH($B67,'Max demand'!$D$9:$AB$9,0)),0)</f>
        <v>4.2997912339560624</v>
      </c>
      <c r="J67" s="21" cm="1">
        <f t="array" ref="J67">IFERROR(INDEX('Max demand'!$D$11:$AB$85,MATCH(1,INDEX(($C67='Max demand'!$B$11:$B$85)*(J$9='Max demand'!$C$11:$C$85),0,1),0),MATCH($B67,'Max demand'!$D$9:$AB$9,0)),0)</f>
        <v>4.2997912339560624</v>
      </c>
      <c r="K67" s="21" cm="1">
        <f t="array" ref="K67">IFERROR(INDEX('Max demand'!$D$11:$AB$85,MATCH(1,INDEX(($C67='Max demand'!$B$11:$B$85)*(K$9='Max demand'!$C$11:$C$85),0,1),0),MATCH($B67,'Max demand'!$D$9:$AB$9,0)),0)</f>
        <v>4.2997912339560624</v>
      </c>
      <c r="L67" s="21" cm="1">
        <f t="array" ref="L67">IFERROR(INDEX('Max demand'!$D$11:$AB$85,MATCH(1,INDEX(($C67='Max demand'!$B$11:$B$85)*(L$9='Max demand'!$C$11:$C$85),0,1),0),MATCH($B67,'Max demand'!$D$9:$AB$9,0)),0)</f>
        <v>4.2997912339560624</v>
      </c>
      <c r="M67" s="21" cm="1">
        <f t="array" ref="M67">IFERROR(INDEX('Max demand'!$D$11:$AB$85,MATCH(1,INDEX(($C67='Max demand'!$B$11:$B$85)*(M$9='Max demand'!$C$11:$C$85),0,1),0),MATCH($B67,'Max demand'!$D$9:$AB$9,0)),0)</f>
        <v>4.2997912339560624</v>
      </c>
      <c r="N67" s="21" cm="1">
        <f t="array" ref="N67">IFERROR(INDEX('Max demand'!$D$11:$AB$85,MATCH(1,INDEX(($C67='Max demand'!$B$11:$B$85)*(N$9='Max demand'!$C$11:$C$85),0,1),0),MATCH($B67,'Max demand'!$D$9:$AB$9,0)),0)</f>
        <v>4.2997912339560624</v>
      </c>
      <c r="O67" s="21" cm="1">
        <f t="array" ref="O67">IFERROR(INDEX('Max demand'!$D$11:$AB$85,MATCH(1,INDEX(($C67='Max demand'!$B$11:$B$85)*(O$9='Max demand'!$C$11:$C$85),0,1),0),MATCH($B67,'Max demand'!$D$9:$AB$9,0)),0)</f>
        <v>4.2997912339560624</v>
      </c>
      <c r="P67" s="21" cm="1">
        <f t="array" ref="P67">IFERROR(INDEX('Max demand'!$D$11:$AB$85,MATCH(1,INDEX(($C67='Max demand'!$B$11:$B$85)*(P$9='Max demand'!$C$11:$C$85),0,1),0),MATCH($B67,'Max demand'!$D$9:$AB$9,0)),0)</f>
        <v>4.2997912339560624</v>
      </c>
      <c r="Q67"/>
      <c r="R67" s="73">
        <f t="shared" si="14"/>
        <v>0</v>
      </c>
      <c r="T67" s="2" t="str">
        <f t="shared" si="18"/>
        <v>Greater Cessnock</v>
      </c>
      <c r="U67" s="35" t="str">
        <f t="shared" si="19"/>
        <v>ST</v>
      </c>
      <c r="V67" s="35"/>
      <c r="W67" s="35" t="str">
        <f t="shared" si="3"/>
        <v>MW</v>
      </c>
      <c r="X67" s="79">
        <f t="shared" si="15"/>
        <v>4.2101478546800755E-2</v>
      </c>
      <c r="Y67" s="79">
        <f t="shared" si="4"/>
        <v>4.2089055579136524E-2</v>
      </c>
      <c r="Z67" s="79">
        <f t="shared" si="5"/>
        <v>4.2006997822384179E-2</v>
      </c>
      <c r="AA67" s="79">
        <f t="shared" si="6"/>
        <v>4.1827601142495049E-2</v>
      </c>
      <c r="AB67" s="79">
        <f t="shared" si="7"/>
        <v>4.1699554868506718E-2</v>
      </c>
      <c r="AC67" s="79">
        <f t="shared" si="8"/>
        <v>4.1600824847055996E-2</v>
      </c>
      <c r="AD67" s="79">
        <f t="shared" si="9"/>
        <v>4.1498199582183308E-2</v>
      </c>
      <c r="AE67" s="79">
        <f t="shared" si="10"/>
        <v>4.1262634608835662E-2</v>
      </c>
      <c r="AF67" s="79">
        <f t="shared" si="11"/>
        <v>4.1052492490937405E-2</v>
      </c>
      <c r="AG67" s="79">
        <f t="shared" si="12"/>
        <v>4.0846822815502747E-2</v>
      </c>
      <c r="AH67" s="79">
        <f t="shared" si="13"/>
        <v>4.0644096079114941E-2</v>
      </c>
      <c r="AI67"/>
      <c r="AJ67" s="60">
        <f t="shared" si="16"/>
        <v>4.1511796216632119E-2</v>
      </c>
    </row>
    <row r="68" spans="2:36" s="1" customFormat="1">
      <c r="B68" s="2" t="str">
        <f t="shared" ref="B68:B87" si="20">B42</f>
        <v>Lower Central Coast</v>
      </c>
      <c r="C68" s="35" t="str" cm="1">
        <f t="array" ref="C68">INDEX(network_levels,COUNTIFS($B$10:$B68,$B$10))</f>
        <v>ST</v>
      </c>
      <c r="D68" s="35"/>
      <c r="E68" s="35" t="s">
        <v>80</v>
      </c>
      <c r="F68" s="21" cm="1">
        <f t="array" ref="F68">IFERROR(INDEX('Max demand'!$D$11:$AB$85,MATCH(1,INDEX(($C68='Max demand'!$B$11:$B$85)*(F$9='Max demand'!$C$11:$C$85),0,1),0),MATCH($B68,'Max demand'!$D$9:$AB$9,0)),0)</f>
        <v>8.5614101123526396</v>
      </c>
      <c r="G68" s="21" cm="1">
        <f t="array" ref="G68">IFERROR(INDEX('Max demand'!$D$11:$AB$85,MATCH(1,INDEX(($C68='Max demand'!$B$11:$B$85)*(G$9='Max demand'!$C$11:$C$85),0,1),0),MATCH($B68,'Max demand'!$D$9:$AB$9,0)),0)</f>
        <v>8.5614101123526396</v>
      </c>
      <c r="H68" s="21" cm="1">
        <f t="array" ref="H68">IFERROR(INDEX('Max demand'!$D$11:$AB$85,MATCH(1,INDEX(($C68='Max demand'!$B$11:$B$85)*(H$9='Max demand'!$C$11:$C$85),0,1),0),MATCH($B68,'Max demand'!$D$9:$AB$9,0)),0)</f>
        <v>8.5614101123526396</v>
      </c>
      <c r="I68" s="21" cm="1">
        <f t="array" ref="I68">IFERROR(INDEX('Max demand'!$D$11:$AB$85,MATCH(1,INDEX(($C68='Max demand'!$B$11:$B$85)*(I$9='Max demand'!$C$11:$C$85),0,1),0),MATCH($B68,'Max demand'!$D$9:$AB$9,0)),0)</f>
        <v>8.5614101123526396</v>
      </c>
      <c r="J68" s="21" cm="1">
        <f t="array" ref="J68">IFERROR(INDEX('Max demand'!$D$11:$AB$85,MATCH(1,INDEX(($C68='Max demand'!$B$11:$B$85)*(J$9='Max demand'!$C$11:$C$85),0,1),0),MATCH($B68,'Max demand'!$D$9:$AB$9,0)),0)</f>
        <v>8.5614101123526396</v>
      </c>
      <c r="K68" s="21" cm="1">
        <f t="array" ref="K68">IFERROR(INDEX('Max demand'!$D$11:$AB$85,MATCH(1,INDEX(($C68='Max demand'!$B$11:$B$85)*(K$9='Max demand'!$C$11:$C$85),0,1),0),MATCH($B68,'Max demand'!$D$9:$AB$9,0)),0)</f>
        <v>8.5614101123526396</v>
      </c>
      <c r="L68" s="21" cm="1">
        <f t="array" ref="L68">IFERROR(INDEX('Max demand'!$D$11:$AB$85,MATCH(1,INDEX(($C68='Max demand'!$B$11:$B$85)*(L$9='Max demand'!$C$11:$C$85),0,1),0),MATCH($B68,'Max demand'!$D$9:$AB$9,0)),0)</f>
        <v>8.5614101123526396</v>
      </c>
      <c r="M68" s="21" cm="1">
        <f t="array" ref="M68">IFERROR(INDEX('Max demand'!$D$11:$AB$85,MATCH(1,INDEX(($C68='Max demand'!$B$11:$B$85)*(M$9='Max demand'!$C$11:$C$85),0,1),0),MATCH($B68,'Max demand'!$D$9:$AB$9,0)),0)</f>
        <v>8.5614101123526396</v>
      </c>
      <c r="N68" s="21" cm="1">
        <f t="array" ref="N68">IFERROR(INDEX('Max demand'!$D$11:$AB$85,MATCH(1,INDEX(($C68='Max demand'!$B$11:$B$85)*(N$9='Max demand'!$C$11:$C$85),0,1),0),MATCH($B68,'Max demand'!$D$9:$AB$9,0)),0)</f>
        <v>8.5614101123526396</v>
      </c>
      <c r="O68" s="21" cm="1">
        <f t="array" ref="O68">IFERROR(INDEX('Max demand'!$D$11:$AB$85,MATCH(1,INDEX(($C68='Max demand'!$B$11:$B$85)*(O$9='Max demand'!$C$11:$C$85),0,1),0),MATCH($B68,'Max demand'!$D$9:$AB$9,0)),0)</f>
        <v>8.5614101123526396</v>
      </c>
      <c r="P68" s="21" cm="1">
        <f t="array" ref="P68">IFERROR(INDEX('Max demand'!$D$11:$AB$85,MATCH(1,INDEX(($C68='Max demand'!$B$11:$B$85)*(P$9='Max demand'!$C$11:$C$85),0,1),0),MATCH($B68,'Max demand'!$D$9:$AB$9,0)),0)</f>
        <v>8.5614101123526396</v>
      </c>
      <c r="Q68"/>
      <c r="R68" s="73">
        <f t="shared" si="14"/>
        <v>0</v>
      </c>
      <c r="T68" s="2" t="str">
        <f t="shared" si="18"/>
        <v>Lower Central Coast</v>
      </c>
      <c r="U68" s="35" t="str">
        <f t="shared" si="19"/>
        <v>ST</v>
      </c>
      <c r="V68" s="35"/>
      <c r="W68" s="35" t="str">
        <f t="shared" si="3"/>
        <v>MW</v>
      </c>
      <c r="X68" s="79">
        <f t="shared" si="15"/>
        <v>2.7889764596311609E-2</v>
      </c>
      <c r="Y68" s="79">
        <f t="shared" si="4"/>
        <v>2.8189627139707584E-2</v>
      </c>
      <c r="Z68" s="79">
        <f t="shared" si="5"/>
        <v>2.8321413589088167E-2</v>
      </c>
      <c r="AA68" s="79">
        <f t="shared" si="6"/>
        <v>2.833308836801271E-2</v>
      </c>
      <c r="AB68" s="79">
        <f t="shared" si="7"/>
        <v>2.8388576841636405E-2</v>
      </c>
      <c r="AC68" s="79">
        <f t="shared" si="8"/>
        <v>2.8461293892402123E-2</v>
      </c>
      <c r="AD68" s="79">
        <f t="shared" si="9"/>
        <v>2.8456537605294357E-2</v>
      </c>
      <c r="AE68" s="79">
        <f t="shared" si="10"/>
        <v>2.8299766581987768E-2</v>
      </c>
      <c r="AF68" s="79">
        <f t="shared" si="11"/>
        <v>2.813318411631012E-2</v>
      </c>
      <c r="AG68" s="79">
        <f t="shared" si="12"/>
        <v>2.8020210464689218E-2</v>
      </c>
      <c r="AH68" s="79">
        <f t="shared" si="13"/>
        <v>2.7880788621618555E-2</v>
      </c>
      <c r="AI68"/>
      <c r="AJ68" s="60">
        <f t="shared" si="16"/>
        <v>2.8215841074278058E-2</v>
      </c>
    </row>
    <row r="69" spans="2:36" s="1" customFormat="1">
      <c r="B69" s="2" t="str">
        <f t="shared" si="20"/>
        <v>Lower North Shore</v>
      </c>
      <c r="C69" s="35" t="str" cm="1">
        <f t="array" ref="C69">INDEX(network_levels,COUNTIFS($B$10:$B69,$B$10))</f>
        <v>ST</v>
      </c>
      <c r="D69" s="35"/>
      <c r="E69" s="35" t="s">
        <v>80</v>
      </c>
      <c r="F69" s="21" cm="1">
        <f t="array" ref="F69">IFERROR(INDEX('Max demand'!$D$11:$AB$85,MATCH(1,INDEX(($C69='Max demand'!$B$11:$B$85)*(F$9='Max demand'!$C$11:$C$85),0,1),0),MATCH($B69,'Max demand'!$D$9:$AB$9,0)),0)</f>
        <v>68.202052379760119</v>
      </c>
      <c r="G69" s="21" cm="1">
        <f t="array" ref="G69">IFERROR(INDEX('Max demand'!$D$11:$AB$85,MATCH(1,INDEX(($C69='Max demand'!$B$11:$B$85)*(G$9='Max demand'!$C$11:$C$85),0,1),0),MATCH($B69,'Max demand'!$D$9:$AB$9,0)),0)</f>
        <v>79.515040345685478</v>
      </c>
      <c r="H69" s="21" cm="1">
        <f t="array" ref="H69">IFERROR(INDEX('Max demand'!$D$11:$AB$85,MATCH(1,INDEX(($C69='Max demand'!$B$11:$B$85)*(H$9='Max demand'!$C$11:$C$85),0,1),0),MATCH($B69,'Max demand'!$D$9:$AB$9,0)),0)</f>
        <v>90.828028311702241</v>
      </c>
      <c r="I69" s="21" cm="1">
        <f t="array" ref="I69">IFERROR(INDEX('Max demand'!$D$11:$AB$85,MATCH(1,INDEX(($C69='Max demand'!$B$11:$B$85)*(I$9='Max demand'!$C$11:$C$85),0,1),0),MATCH($B69,'Max demand'!$D$9:$AB$9,0)),0)</f>
        <v>99.782831117701832</v>
      </c>
      <c r="J69" s="21" cm="1">
        <f t="array" ref="J69">IFERROR(INDEX('Max demand'!$D$11:$AB$85,MATCH(1,INDEX(($C69='Max demand'!$B$11:$B$85)*(J$9='Max demand'!$C$11:$C$85),0,1),0),MATCH($B69,'Max demand'!$D$9:$AB$9,0)),0)</f>
        <v>108.12631851219585</v>
      </c>
      <c r="K69" s="21" cm="1">
        <f t="array" ref="K69">IFERROR(INDEX('Max demand'!$D$11:$AB$85,MATCH(1,INDEX(($C69='Max demand'!$B$11:$B$85)*(K$9='Max demand'!$C$11:$C$85),0,1),0),MATCH($B69,'Max demand'!$D$9:$AB$9,0)),0)</f>
        <v>111.95836939709585</v>
      </c>
      <c r="L69" s="21" cm="1">
        <f t="array" ref="L69">IFERROR(INDEX('Max demand'!$D$11:$AB$85,MATCH(1,INDEX(($C69='Max demand'!$B$11:$B$85)*(L$9='Max demand'!$C$11:$C$85),0,1),0),MATCH($B69,'Max demand'!$D$9:$AB$9,0)),0)</f>
        <v>111.95836939709585</v>
      </c>
      <c r="M69" s="21" cm="1">
        <f t="array" ref="M69">IFERROR(INDEX('Max demand'!$D$11:$AB$85,MATCH(1,INDEX(($C69='Max demand'!$B$11:$B$85)*(M$9='Max demand'!$C$11:$C$85),0,1),0),MATCH($B69,'Max demand'!$D$9:$AB$9,0)),0)</f>
        <v>111.95836939709585</v>
      </c>
      <c r="N69" s="21" cm="1">
        <f t="array" ref="N69">IFERROR(INDEX('Max demand'!$D$11:$AB$85,MATCH(1,INDEX(($C69='Max demand'!$B$11:$B$85)*(N$9='Max demand'!$C$11:$C$85),0,1),0),MATCH($B69,'Max demand'!$D$9:$AB$9,0)),0)</f>
        <v>111.95836939709585</v>
      </c>
      <c r="O69" s="21" cm="1">
        <f t="array" ref="O69">IFERROR(INDEX('Max demand'!$D$11:$AB$85,MATCH(1,INDEX(($C69='Max demand'!$B$11:$B$85)*(O$9='Max demand'!$C$11:$C$85),0,1),0),MATCH($B69,'Max demand'!$D$9:$AB$9,0)),0)</f>
        <v>111.95836939709585</v>
      </c>
      <c r="P69" s="21" cm="1">
        <f t="array" ref="P69">IFERROR(INDEX('Max demand'!$D$11:$AB$85,MATCH(1,INDEX(($C69='Max demand'!$B$11:$B$85)*(P$9='Max demand'!$C$11:$C$85),0,1),0),MATCH($B69,'Max demand'!$D$9:$AB$9,0)),0)</f>
        <v>111.95836939709585</v>
      </c>
      <c r="Q69"/>
      <c r="R69" s="73">
        <f t="shared" si="14"/>
        <v>5.0814149553477517E-2</v>
      </c>
      <c r="T69" s="2" t="str">
        <f t="shared" si="18"/>
        <v>Lower North Shore</v>
      </c>
      <c r="U69" s="35" t="str">
        <f t="shared" si="19"/>
        <v>ST</v>
      </c>
      <c r="V69" s="35"/>
      <c r="W69" s="35" t="str">
        <f t="shared" si="3"/>
        <v>MW</v>
      </c>
      <c r="X69" s="79">
        <f t="shared" si="15"/>
        <v>0.19238369647749601</v>
      </c>
      <c r="Y69" s="79">
        <f t="shared" si="4"/>
        <v>0.21684760421105059</v>
      </c>
      <c r="Z69" s="79">
        <f t="shared" si="5"/>
        <v>0.25120619277545037</v>
      </c>
      <c r="AA69" s="79">
        <f t="shared" si="6"/>
        <v>0.26923795799674077</v>
      </c>
      <c r="AB69" s="79">
        <f t="shared" si="7"/>
        <v>0.28562118823275245</v>
      </c>
      <c r="AC69" s="79">
        <f t="shared" si="8"/>
        <v>0.29294465932523078</v>
      </c>
      <c r="AD69" s="79">
        <f t="shared" si="9"/>
        <v>0.29257992692006651</v>
      </c>
      <c r="AE69" s="79">
        <f t="shared" si="10"/>
        <v>0.29088838048806909</v>
      </c>
      <c r="AF69" s="79">
        <f t="shared" si="11"/>
        <v>0.28896422672863531</v>
      </c>
      <c r="AG69" s="79">
        <f t="shared" si="12"/>
        <v>0.28717113936658378</v>
      </c>
      <c r="AH69" s="79">
        <f t="shared" si="13"/>
        <v>0.28466827424438956</v>
      </c>
      <c r="AI69"/>
      <c r="AJ69" s="60">
        <f t="shared" si="16"/>
        <v>0.26841029516058773</v>
      </c>
    </row>
    <row r="70" spans="2:36" s="1" customFormat="1">
      <c r="B70" s="2" t="str">
        <f t="shared" si="20"/>
        <v>Maitland</v>
      </c>
      <c r="C70" s="35" t="str" cm="1">
        <f t="array" ref="C70">INDEX(network_levels,COUNTIFS($B$10:$B70,$B$10))</f>
        <v>ST</v>
      </c>
      <c r="D70" s="35"/>
      <c r="E70" s="35" t="s">
        <v>80</v>
      </c>
      <c r="F70" s="21" cm="1">
        <f t="array" ref="F70">IFERROR(INDEX('Max demand'!$D$11:$AB$85,MATCH(1,INDEX(($C70='Max demand'!$B$11:$B$85)*(F$9='Max demand'!$C$11:$C$85),0,1),0),MATCH($B70,'Max demand'!$D$9:$AB$9,0)),0)</f>
        <v>-13.231695466893409</v>
      </c>
      <c r="G70" s="21" cm="1">
        <f t="array" ref="G70">IFERROR(INDEX('Max demand'!$D$11:$AB$85,MATCH(1,INDEX(($C70='Max demand'!$B$11:$B$85)*(G$9='Max demand'!$C$11:$C$85),0,1),0),MATCH($B70,'Max demand'!$D$9:$AB$9,0)),0)</f>
        <v>-13.231695466893409</v>
      </c>
      <c r="H70" s="21" cm="1">
        <f t="array" ref="H70">IFERROR(INDEX('Max demand'!$D$11:$AB$85,MATCH(1,INDEX(($C70='Max demand'!$B$11:$B$85)*(H$9='Max demand'!$C$11:$C$85),0,1),0),MATCH($B70,'Max demand'!$D$9:$AB$9,0)),0)</f>
        <v>-13.231695466893409</v>
      </c>
      <c r="I70" s="21" cm="1">
        <f t="array" ref="I70">IFERROR(INDEX('Max demand'!$D$11:$AB$85,MATCH(1,INDEX(($C70='Max demand'!$B$11:$B$85)*(I$9='Max demand'!$C$11:$C$85),0,1),0),MATCH($B70,'Max demand'!$D$9:$AB$9,0)),0)</f>
        <v>-13.231695466893409</v>
      </c>
      <c r="J70" s="21" cm="1">
        <f t="array" ref="J70">IFERROR(INDEX('Max demand'!$D$11:$AB$85,MATCH(1,INDEX(($C70='Max demand'!$B$11:$B$85)*(J$9='Max demand'!$C$11:$C$85),0,1),0),MATCH($B70,'Max demand'!$D$9:$AB$9,0)),0)</f>
        <v>-13.231695466893409</v>
      </c>
      <c r="K70" s="21" cm="1">
        <f t="array" ref="K70">IFERROR(INDEX('Max demand'!$D$11:$AB$85,MATCH(1,INDEX(($C70='Max demand'!$B$11:$B$85)*(K$9='Max demand'!$C$11:$C$85),0,1),0),MATCH($B70,'Max demand'!$D$9:$AB$9,0)),0)</f>
        <v>-13.231695466893409</v>
      </c>
      <c r="L70" s="21" cm="1">
        <f t="array" ref="L70">IFERROR(INDEX('Max demand'!$D$11:$AB$85,MATCH(1,INDEX(($C70='Max demand'!$B$11:$B$85)*(L$9='Max demand'!$C$11:$C$85),0,1),0),MATCH($B70,'Max demand'!$D$9:$AB$9,0)),0)</f>
        <v>-13.231695466893409</v>
      </c>
      <c r="M70" s="21" cm="1">
        <f t="array" ref="M70">IFERROR(INDEX('Max demand'!$D$11:$AB$85,MATCH(1,INDEX(($C70='Max demand'!$B$11:$B$85)*(M$9='Max demand'!$C$11:$C$85),0,1),0),MATCH($B70,'Max demand'!$D$9:$AB$9,0)),0)</f>
        <v>-13.231695466893409</v>
      </c>
      <c r="N70" s="21" cm="1">
        <f t="array" ref="N70">IFERROR(INDEX('Max demand'!$D$11:$AB$85,MATCH(1,INDEX(($C70='Max demand'!$B$11:$B$85)*(N$9='Max demand'!$C$11:$C$85),0,1),0),MATCH($B70,'Max demand'!$D$9:$AB$9,0)),0)</f>
        <v>-13.231695466893409</v>
      </c>
      <c r="O70" s="21" cm="1">
        <f t="array" ref="O70">IFERROR(INDEX('Max demand'!$D$11:$AB$85,MATCH(1,INDEX(($C70='Max demand'!$B$11:$B$85)*(O$9='Max demand'!$C$11:$C$85),0,1),0),MATCH($B70,'Max demand'!$D$9:$AB$9,0)),0)</f>
        <v>-13.231695466893409</v>
      </c>
      <c r="P70" s="21" cm="1">
        <f t="array" ref="P70">IFERROR(INDEX('Max demand'!$D$11:$AB$85,MATCH(1,INDEX(($C70='Max demand'!$B$11:$B$85)*(P$9='Max demand'!$C$11:$C$85),0,1),0),MATCH($B70,'Max demand'!$D$9:$AB$9,0)),0)</f>
        <v>-13.231695466893409</v>
      </c>
      <c r="Q70"/>
      <c r="R70" s="73">
        <f t="shared" si="14"/>
        <v>0</v>
      </c>
      <c r="T70" s="2" t="str">
        <f t="shared" si="18"/>
        <v>Maitland</v>
      </c>
      <c r="U70" s="35" t="str">
        <f t="shared" si="19"/>
        <v>ST</v>
      </c>
      <c r="V70" s="35"/>
      <c r="W70" s="35" t="str">
        <f t="shared" si="3"/>
        <v>MW</v>
      </c>
      <c r="X70" s="79">
        <f t="shared" si="15"/>
        <v>-8.3720995926410843E-2</v>
      </c>
      <c r="Y70" s="79">
        <f t="shared" si="4"/>
        <v>-8.430558910862837E-2</v>
      </c>
      <c r="Z70" s="79">
        <f t="shared" si="5"/>
        <v>-8.4380895944876758E-2</v>
      </c>
      <c r="AA70" s="79">
        <f t="shared" si="6"/>
        <v>-8.4184001191818306E-2</v>
      </c>
      <c r="AB70" s="79">
        <f t="shared" si="7"/>
        <v>-8.4108879845595244E-2</v>
      </c>
      <c r="AC70" s="79">
        <f t="shared" si="8"/>
        <v>-8.4064479259544397E-2</v>
      </c>
      <c r="AD70" s="79">
        <f t="shared" si="9"/>
        <v>-8.4018201877343171E-2</v>
      </c>
      <c r="AE70" s="79">
        <f t="shared" si="10"/>
        <v>-8.3621474772529916E-2</v>
      </c>
      <c r="AF70" s="79">
        <f t="shared" si="11"/>
        <v>-8.3248964087374089E-2</v>
      </c>
      <c r="AG70" s="79">
        <f t="shared" si="12"/>
        <v>-8.2897771467880146E-2</v>
      </c>
      <c r="AH70" s="79">
        <f t="shared" si="13"/>
        <v>-8.2519068490832875E-2</v>
      </c>
      <c r="AI70"/>
      <c r="AJ70" s="60">
        <f t="shared" si="16"/>
        <v>-8.3733665633894006E-2</v>
      </c>
    </row>
    <row r="71" spans="2:36" s="1" customFormat="1">
      <c r="B71" s="2" t="str">
        <f t="shared" si="20"/>
        <v>Manly Warringah</v>
      </c>
      <c r="C71" s="35" t="str" cm="1">
        <f t="array" ref="C71">INDEX(network_levels,COUNTIFS($B$10:$B71,$B$10))</f>
        <v>ST</v>
      </c>
      <c r="D71" s="35"/>
      <c r="E71" s="35" t="s">
        <v>80</v>
      </c>
      <c r="F71" s="21" cm="1">
        <f t="array" ref="F71">IFERROR(INDEX('Max demand'!$D$11:$AB$85,MATCH(1,INDEX(($C71='Max demand'!$B$11:$B$85)*(F$9='Max demand'!$C$11:$C$85),0,1),0),MATCH($B71,'Max demand'!$D$9:$AB$9,0)),0)</f>
        <v>0</v>
      </c>
      <c r="G71" s="21" cm="1">
        <f t="array" ref="G71">IFERROR(INDEX('Max demand'!$D$11:$AB$85,MATCH(1,INDEX(($C71='Max demand'!$B$11:$B$85)*(G$9='Max demand'!$C$11:$C$85),0,1),0),MATCH($B71,'Max demand'!$D$9:$AB$9,0)),0)</f>
        <v>0</v>
      </c>
      <c r="H71" s="21" cm="1">
        <f t="array" ref="H71">IFERROR(INDEX('Max demand'!$D$11:$AB$85,MATCH(1,INDEX(($C71='Max demand'!$B$11:$B$85)*(H$9='Max demand'!$C$11:$C$85),0,1),0),MATCH($B71,'Max demand'!$D$9:$AB$9,0)),0)</f>
        <v>0</v>
      </c>
      <c r="I71" s="21" cm="1">
        <f t="array" ref="I71">IFERROR(INDEX('Max demand'!$D$11:$AB$85,MATCH(1,INDEX(($C71='Max demand'!$B$11:$B$85)*(I$9='Max demand'!$C$11:$C$85),0,1),0),MATCH($B71,'Max demand'!$D$9:$AB$9,0)),0)</f>
        <v>9.1736554034999997</v>
      </c>
      <c r="J71" s="21" cm="1">
        <f t="array" ref="J71">IFERROR(INDEX('Max demand'!$D$11:$AB$85,MATCH(1,INDEX(($C71='Max demand'!$B$11:$B$85)*(J$9='Max demand'!$C$11:$C$85),0,1),0),MATCH($B71,'Max demand'!$D$9:$AB$9,0)),0)</f>
        <v>9.1736554034999997</v>
      </c>
      <c r="K71" s="21" cm="1">
        <f t="array" ref="K71">IFERROR(INDEX('Max demand'!$D$11:$AB$85,MATCH(1,INDEX(($C71='Max demand'!$B$11:$B$85)*(K$9='Max demand'!$C$11:$C$85),0,1),0),MATCH($B71,'Max demand'!$D$9:$AB$9,0)),0)</f>
        <v>9.1736554034999997</v>
      </c>
      <c r="L71" s="21" cm="1">
        <f t="array" ref="L71">IFERROR(INDEX('Max demand'!$D$11:$AB$85,MATCH(1,INDEX(($C71='Max demand'!$B$11:$B$85)*(L$9='Max demand'!$C$11:$C$85),0,1),0),MATCH($B71,'Max demand'!$D$9:$AB$9,0)),0)</f>
        <v>9.1736554034999997</v>
      </c>
      <c r="M71" s="21" cm="1">
        <f t="array" ref="M71">IFERROR(INDEX('Max demand'!$D$11:$AB$85,MATCH(1,INDEX(($C71='Max demand'!$B$11:$B$85)*(M$9='Max demand'!$C$11:$C$85),0,1),0),MATCH($B71,'Max demand'!$D$9:$AB$9,0)),0)</f>
        <v>9.1736554034999997</v>
      </c>
      <c r="N71" s="21" cm="1">
        <f t="array" ref="N71">IFERROR(INDEX('Max demand'!$D$11:$AB$85,MATCH(1,INDEX(($C71='Max demand'!$B$11:$B$85)*(N$9='Max demand'!$C$11:$C$85),0,1),0),MATCH($B71,'Max demand'!$D$9:$AB$9,0)),0)</f>
        <v>9.1736554034999997</v>
      </c>
      <c r="O71" s="21" cm="1">
        <f t="array" ref="O71">IFERROR(INDEX('Max demand'!$D$11:$AB$85,MATCH(1,INDEX(($C71='Max demand'!$B$11:$B$85)*(O$9='Max demand'!$C$11:$C$85),0,1),0),MATCH($B71,'Max demand'!$D$9:$AB$9,0)),0)</f>
        <v>9.1736554034999997</v>
      </c>
      <c r="P71" s="21" cm="1">
        <f t="array" ref="P71">IFERROR(INDEX('Max demand'!$D$11:$AB$85,MATCH(1,INDEX(($C71='Max demand'!$B$11:$B$85)*(P$9='Max demand'!$C$11:$C$85),0,1),0),MATCH($B71,'Max demand'!$D$9:$AB$9,0)),0)</f>
        <v>9.1736554034999997</v>
      </c>
      <c r="Q71"/>
      <c r="R71" s="73">
        <f t="shared" si="14"/>
        <v>0</v>
      </c>
      <c r="T71" s="2" t="str">
        <f t="shared" si="18"/>
        <v>Manly Warringah</v>
      </c>
      <c r="U71" s="35" t="str">
        <f t="shared" si="19"/>
        <v>ST</v>
      </c>
      <c r="V71" s="35"/>
      <c r="W71" s="35" t="str">
        <f t="shared" si="3"/>
        <v>MW</v>
      </c>
      <c r="X71" s="79">
        <f t="shared" si="15"/>
        <v>0</v>
      </c>
      <c r="Y71" s="79">
        <f t="shared" si="4"/>
        <v>0</v>
      </c>
      <c r="Z71" s="79">
        <f t="shared" si="5"/>
        <v>0</v>
      </c>
      <c r="AA71" s="79">
        <f t="shared" si="6"/>
        <v>5.3185829343836769E-2</v>
      </c>
      <c r="AB71" s="79">
        <f t="shared" si="7"/>
        <v>5.3459421006356304E-2</v>
      </c>
      <c r="AC71" s="79">
        <f t="shared" si="8"/>
        <v>5.3743682498389317E-2</v>
      </c>
      <c r="AD71" s="79">
        <f t="shared" si="9"/>
        <v>5.3942993853266577E-2</v>
      </c>
      <c r="AE71" s="79">
        <f t="shared" si="10"/>
        <v>5.3729029032869392E-2</v>
      </c>
      <c r="AF71" s="79">
        <f t="shared" si="11"/>
        <v>5.352771203579159E-2</v>
      </c>
      <c r="AG71" s="79">
        <f t="shared" si="12"/>
        <v>5.3388528224041609E-2</v>
      </c>
      <c r="AH71" s="79">
        <f t="shared" si="13"/>
        <v>5.3175813383088549E-2</v>
      </c>
      <c r="AI71"/>
      <c r="AJ71" s="60">
        <f t="shared" si="16"/>
        <v>3.892300085251274E-2</v>
      </c>
    </row>
    <row r="72" spans="2:36" s="1" customFormat="1">
      <c r="B72" s="2" t="str">
        <f t="shared" si="20"/>
        <v>Newcastle Inner City</v>
      </c>
      <c r="C72" s="35" t="str" cm="1">
        <f t="array" ref="C72">INDEX(network_levels,COUNTIFS($B$10:$B72,$B$10))</f>
        <v>ST</v>
      </c>
      <c r="D72" s="35"/>
      <c r="E72" s="35" t="s">
        <v>80</v>
      </c>
      <c r="F72" s="21" cm="1">
        <f t="array" ref="F72">IFERROR(INDEX('Max demand'!$D$11:$AB$85,MATCH(1,INDEX(($C72='Max demand'!$B$11:$B$85)*(F$9='Max demand'!$C$11:$C$85),0,1),0),MATCH($B72,'Max demand'!$D$9:$AB$9,0)),0)</f>
        <v>0</v>
      </c>
      <c r="G72" s="21" cm="1">
        <f t="array" ref="G72">IFERROR(INDEX('Max demand'!$D$11:$AB$85,MATCH(1,INDEX(($C72='Max demand'!$B$11:$B$85)*(G$9='Max demand'!$C$11:$C$85),0,1),0),MATCH($B72,'Max demand'!$D$9:$AB$9,0)),0)</f>
        <v>0</v>
      </c>
      <c r="H72" s="21" cm="1">
        <f t="array" ref="H72">IFERROR(INDEX('Max demand'!$D$11:$AB$85,MATCH(1,INDEX(($C72='Max demand'!$B$11:$B$85)*(H$9='Max demand'!$C$11:$C$85),0,1),0),MATCH($B72,'Max demand'!$D$9:$AB$9,0)),0)</f>
        <v>0</v>
      </c>
      <c r="I72" s="21" cm="1">
        <f t="array" ref="I72">IFERROR(INDEX('Max demand'!$D$11:$AB$85,MATCH(1,INDEX(($C72='Max demand'!$B$11:$B$85)*(I$9='Max demand'!$C$11:$C$85),0,1),0),MATCH($B72,'Max demand'!$D$9:$AB$9,0)),0)</f>
        <v>0</v>
      </c>
      <c r="J72" s="21" cm="1">
        <f t="array" ref="J72">IFERROR(INDEX('Max demand'!$D$11:$AB$85,MATCH(1,INDEX(($C72='Max demand'!$B$11:$B$85)*(J$9='Max demand'!$C$11:$C$85),0,1),0),MATCH($B72,'Max demand'!$D$9:$AB$9,0)),0)</f>
        <v>0</v>
      </c>
      <c r="K72" s="21" cm="1">
        <f t="array" ref="K72">IFERROR(INDEX('Max demand'!$D$11:$AB$85,MATCH(1,INDEX(($C72='Max demand'!$B$11:$B$85)*(K$9='Max demand'!$C$11:$C$85),0,1),0),MATCH($B72,'Max demand'!$D$9:$AB$9,0)),0)</f>
        <v>0</v>
      </c>
      <c r="L72" s="21" cm="1">
        <f t="array" ref="L72">IFERROR(INDEX('Max demand'!$D$11:$AB$85,MATCH(1,INDEX(($C72='Max demand'!$B$11:$B$85)*(L$9='Max demand'!$C$11:$C$85),0,1),0),MATCH($B72,'Max demand'!$D$9:$AB$9,0)),0)</f>
        <v>0</v>
      </c>
      <c r="M72" s="21" cm="1">
        <f t="array" ref="M72">IFERROR(INDEX('Max demand'!$D$11:$AB$85,MATCH(1,INDEX(($C72='Max demand'!$B$11:$B$85)*(M$9='Max demand'!$C$11:$C$85),0,1),0),MATCH($B72,'Max demand'!$D$9:$AB$9,0)),0)</f>
        <v>0</v>
      </c>
      <c r="N72" s="21" cm="1">
        <f t="array" ref="N72">IFERROR(INDEX('Max demand'!$D$11:$AB$85,MATCH(1,INDEX(($C72='Max demand'!$B$11:$B$85)*(N$9='Max demand'!$C$11:$C$85),0,1),0),MATCH($B72,'Max demand'!$D$9:$AB$9,0)),0)</f>
        <v>0</v>
      </c>
      <c r="O72" s="21" cm="1">
        <f t="array" ref="O72">IFERROR(INDEX('Max demand'!$D$11:$AB$85,MATCH(1,INDEX(($C72='Max demand'!$B$11:$B$85)*(O$9='Max demand'!$C$11:$C$85),0,1),0),MATCH($B72,'Max demand'!$D$9:$AB$9,0)),0)</f>
        <v>0</v>
      </c>
      <c r="P72" s="21" cm="1">
        <f t="array" ref="P72">IFERROR(INDEX('Max demand'!$D$11:$AB$85,MATCH(1,INDEX(($C72='Max demand'!$B$11:$B$85)*(P$9='Max demand'!$C$11:$C$85),0,1),0),MATCH($B72,'Max demand'!$D$9:$AB$9,0)),0)</f>
        <v>0</v>
      </c>
      <c r="Q72"/>
      <c r="R72" s="73">
        <f t="shared" si="14"/>
        <v>0</v>
      </c>
      <c r="T72" s="2" t="str">
        <f t="shared" si="18"/>
        <v>Newcastle Inner City</v>
      </c>
      <c r="U72" s="35" t="str">
        <f t="shared" si="19"/>
        <v>ST</v>
      </c>
      <c r="V72" s="35"/>
      <c r="W72" s="35" t="str">
        <f t="shared" si="3"/>
        <v>MW</v>
      </c>
      <c r="X72" s="79">
        <f t="shared" si="15"/>
        <v>0</v>
      </c>
      <c r="Y72" s="79">
        <f t="shared" si="4"/>
        <v>0</v>
      </c>
      <c r="Z72" s="79">
        <f t="shared" si="5"/>
        <v>0</v>
      </c>
      <c r="AA72" s="79">
        <f t="shared" si="6"/>
        <v>0</v>
      </c>
      <c r="AB72" s="79">
        <f t="shared" si="7"/>
        <v>0</v>
      </c>
      <c r="AC72" s="79">
        <f t="shared" si="8"/>
        <v>0</v>
      </c>
      <c r="AD72" s="79">
        <f t="shared" si="9"/>
        <v>0</v>
      </c>
      <c r="AE72" s="79">
        <f t="shared" si="10"/>
        <v>0</v>
      </c>
      <c r="AF72" s="79">
        <f t="shared" si="11"/>
        <v>0</v>
      </c>
      <c r="AG72" s="79">
        <f t="shared" si="12"/>
        <v>0</v>
      </c>
      <c r="AH72" s="79">
        <f t="shared" si="13"/>
        <v>0</v>
      </c>
      <c r="AI72"/>
      <c r="AJ72" s="60">
        <f t="shared" si="16"/>
        <v>0</v>
      </c>
    </row>
    <row r="73" spans="2:36" s="1" customFormat="1">
      <c r="B73" s="2" t="str">
        <f t="shared" si="20"/>
        <v>Newcastle Port</v>
      </c>
      <c r="C73" s="35" t="str" cm="1">
        <f t="array" ref="C73">INDEX(network_levels,COUNTIFS($B$10:$B73,$B$10))</f>
        <v>ST</v>
      </c>
      <c r="D73" s="35"/>
      <c r="E73" s="35" t="s">
        <v>80</v>
      </c>
      <c r="F73" s="21" cm="1">
        <f t="array" ref="F73">IFERROR(INDEX('Max demand'!$D$11:$AB$85,MATCH(1,INDEX(($C73='Max demand'!$B$11:$B$85)*(F$9='Max demand'!$C$11:$C$85),0,1),0),MATCH($B73,'Max demand'!$D$9:$AB$9,0)),0)</f>
        <v>76.734074436276515</v>
      </c>
      <c r="G73" s="21" cm="1">
        <f t="array" ref="G73">IFERROR(INDEX('Max demand'!$D$11:$AB$85,MATCH(1,INDEX(($C73='Max demand'!$B$11:$B$85)*(G$9='Max demand'!$C$11:$C$85),0,1),0),MATCH($B73,'Max demand'!$D$9:$AB$9,0)),0)</f>
        <v>76.734074436276515</v>
      </c>
      <c r="H73" s="21" cm="1">
        <f t="array" ref="H73">IFERROR(INDEX('Max demand'!$D$11:$AB$85,MATCH(1,INDEX(($C73='Max demand'!$B$11:$B$85)*(H$9='Max demand'!$C$11:$C$85),0,1),0),MATCH($B73,'Max demand'!$D$9:$AB$9,0)),0)</f>
        <v>76.734074436276515</v>
      </c>
      <c r="I73" s="21" cm="1">
        <f t="array" ref="I73">IFERROR(INDEX('Max demand'!$D$11:$AB$85,MATCH(1,INDEX(($C73='Max demand'!$B$11:$B$85)*(I$9='Max demand'!$C$11:$C$85),0,1),0),MATCH($B73,'Max demand'!$D$9:$AB$9,0)),0)</f>
        <v>76.734074436276515</v>
      </c>
      <c r="J73" s="21" cm="1">
        <f t="array" ref="J73">IFERROR(INDEX('Max demand'!$D$11:$AB$85,MATCH(1,INDEX(($C73='Max demand'!$B$11:$B$85)*(J$9='Max demand'!$C$11:$C$85),0,1),0),MATCH($B73,'Max demand'!$D$9:$AB$9,0)),0)</f>
        <v>76.734074436276515</v>
      </c>
      <c r="K73" s="21" cm="1">
        <f t="array" ref="K73">IFERROR(INDEX('Max demand'!$D$11:$AB$85,MATCH(1,INDEX(($C73='Max demand'!$B$11:$B$85)*(K$9='Max demand'!$C$11:$C$85),0,1),0),MATCH($B73,'Max demand'!$D$9:$AB$9,0)),0)</f>
        <v>76.734074436276515</v>
      </c>
      <c r="L73" s="21" cm="1">
        <f t="array" ref="L73">IFERROR(INDEX('Max demand'!$D$11:$AB$85,MATCH(1,INDEX(($C73='Max demand'!$B$11:$B$85)*(L$9='Max demand'!$C$11:$C$85),0,1),0),MATCH($B73,'Max demand'!$D$9:$AB$9,0)),0)</f>
        <v>76.734074436276515</v>
      </c>
      <c r="M73" s="21" cm="1">
        <f t="array" ref="M73">IFERROR(INDEX('Max demand'!$D$11:$AB$85,MATCH(1,INDEX(($C73='Max demand'!$B$11:$B$85)*(M$9='Max demand'!$C$11:$C$85),0,1),0),MATCH($B73,'Max demand'!$D$9:$AB$9,0)),0)</f>
        <v>76.734074436276515</v>
      </c>
      <c r="N73" s="21" cm="1">
        <f t="array" ref="N73">IFERROR(INDEX('Max demand'!$D$11:$AB$85,MATCH(1,INDEX(($C73='Max demand'!$B$11:$B$85)*(N$9='Max demand'!$C$11:$C$85),0,1),0),MATCH($B73,'Max demand'!$D$9:$AB$9,0)),0)</f>
        <v>76.734074436276515</v>
      </c>
      <c r="O73" s="21" cm="1">
        <f t="array" ref="O73">IFERROR(INDEX('Max demand'!$D$11:$AB$85,MATCH(1,INDEX(($C73='Max demand'!$B$11:$B$85)*(O$9='Max demand'!$C$11:$C$85),0,1),0),MATCH($B73,'Max demand'!$D$9:$AB$9,0)),0)</f>
        <v>76.734074436276515</v>
      </c>
      <c r="P73" s="21" cm="1">
        <f t="array" ref="P73">IFERROR(INDEX('Max demand'!$D$11:$AB$85,MATCH(1,INDEX(($C73='Max demand'!$B$11:$B$85)*(P$9='Max demand'!$C$11:$C$85),0,1),0),MATCH($B73,'Max demand'!$D$9:$AB$9,0)),0)</f>
        <v>76.734074436276515</v>
      </c>
      <c r="Q73"/>
      <c r="R73" s="73">
        <f t="shared" si="14"/>
        <v>0</v>
      </c>
      <c r="T73" s="2" t="str">
        <f t="shared" si="18"/>
        <v>Newcastle Port</v>
      </c>
      <c r="U73" s="35" t="str">
        <f t="shared" si="19"/>
        <v>ST</v>
      </c>
      <c r="V73" s="35"/>
      <c r="W73" s="35" t="str">
        <f t="shared" si="3"/>
        <v>MW</v>
      </c>
      <c r="X73" s="79">
        <f t="shared" si="15"/>
        <v>0.5379893748454263</v>
      </c>
      <c r="Y73" s="79">
        <f t="shared" si="4"/>
        <v>0.53705304677303212</v>
      </c>
      <c r="Z73" s="79">
        <f t="shared" si="5"/>
        <v>0.53781020141289781</v>
      </c>
      <c r="AA73" s="79">
        <f t="shared" si="6"/>
        <v>0.53760232572775113</v>
      </c>
      <c r="AB73" s="79">
        <f t="shared" si="7"/>
        <v>0.53788821560892774</v>
      </c>
      <c r="AC73" s="79">
        <f t="shared" si="8"/>
        <v>0.53819877774615565</v>
      </c>
      <c r="AD73" s="79">
        <f t="shared" si="9"/>
        <v>0.53839075298701244</v>
      </c>
      <c r="AE73" s="79">
        <f t="shared" si="10"/>
        <v>0.53746322743723496</v>
      </c>
      <c r="AF73" s="79">
        <f t="shared" si="11"/>
        <v>0.53646428846875649</v>
      </c>
      <c r="AG73" s="79">
        <f t="shared" si="12"/>
        <v>0.53554823858382439</v>
      </c>
      <c r="AH73" s="79">
        <f t="shared" si="13"/>
        <v>0.5344997030456049</v>
      </c>
      <c r="AI73"/>
      <c r="AJ73" s="60">
        <f t="shared" si="16"/>
        <v>0.53717346842151126</v>
      </c>
    </row>
    <row r="74" spans="2:36" s="1" customFormat="1">
      <c r="B74" s="2" t="str">
        <f t="shared" si="20"/>
        <v>Newcastle Western Corridor</v>
      </c>
      <c r="C74" s="35" t="str" cm="1">
        <f t="array" ref="C74">INDEX(network_levels,COUNTIFS($B$10:$B74,$B$10))</f>
        <v>ST</v>
      </c>
      <c r="D74" s="35"/>
      <c r="E74" s="35" t="s">
        <v>80</v>
      </c>
      <c r="F74" s="21" cm="1">
        <f t="array" ref="F74">IFERROR(INDEX('Max demand'!$D$11:$AB$85,MATCH(1,INDEX(($C74='Max demand'!$B$11:$B$85)*(F$9='Max demand'!$C$11:$C$85),0,1),0),MATCH($B74,'Max demand'!$D$9:$AB$9,0)),0)</f>
        <v>2.815824132418274E-2</v>
      </c>
      <c r="G74" s="21" cm="1">
        <f t="array" ref="G74">IFERROR(INDEX('Max demand'!$D$11:$AB$85,MATCH(1,INDEX(($C74='Max demand'!$B$11:$B$85)*(G$9='Max demand'!$C$11:$C$85),0,1),0),MATCH($B74,'Max demand'!$D$9:$AB$9,0)),0)</f>
        <v>2.815824132418274E-2</v>
      </c>
      <c r="H74" s="21" cm="1">
        <f t="array" ref="H74">IFERROR(INDEX('Max demand'!$D$11:$AB$85,MATCH(1,INDEX(($C74='Max demand'!$B$11:$B$85)*(H$9='Max demand'!$C$11:$C$85),0,1),0),MATCH($B74,'Max demand'!$D$9:$AB$9,0)),0)</f>
        <v>2.815824132418274E-2</v>
      </c>
      <c r="I74" s="21" cm="1">
        <f t="array" ref="I74">IFERROR(INDEX('Max demand'!$D$11:$AB$85,MATCH(1,INDEX(($C74='Max demand'!$B$11:$B$85)*(I$9='Max demand'!$C$11:$C$85),0,1),0),MATCH($B74,'Max demand'!$D$9:$AB$9,0)),0)</f>
        <v>2.815824132418274E-2</v>
      </c>
      <c r="J74" s="21" cm="1">
        <f t="array" ref="J74">IFERROR(INDEX('Max demand'!$D$11:$AB$85,MATCH(1,INDEX(($C74='Max demand'!$B$11:$B$85)*(J$9='Max demand'!$C$11:$C$85),0,1),0),MATCH($B74,'Max demand'!$D$9:$AB$9,0)),0)</f>
        <v>2.815824132418274E-2</v>
      </c>
      <c r="K74" s="21" cm="1">
        <f t="array" ref="K74">IFERROR(INDEX('Max demand'!$D$11:$AB$85,MATCH(1,INDEX(($C74='Max demand'!$B$11:$B$85)*(K$9='Max demand'!$C$11:$C$85),0,1),0),MATCH($B74,'Max demand'!$D$9:$AB$9,0)),0)</f>
        <v>2.815824132418274E-2</v>
      </c>
      <c r="L74" s="21" cm="1">
        <f t="array" ref="L74">IFERROR(INDEX('Max demand'!$D$11:$AB$85,MATCH(1,INDEX(($C74='Max demand'!$B$11:$B$85)*(L$9='Max demand'!$C$11:$C$85),0,1),0),MATCH($B74,'Max demand'!$D$9:$AB$9,0)),0)</f>
        <v>2.815824132418274E-2</v>
      </c>
      <c r="M74" s="21" cm="1">
        <f t="array" ref="M74">IFERROR(INDEX('Max demand'!$D$11:$AB$85,MATCH(1,INDEX(($C74='Max demand'!$B$11:$B$85)*(M$9='Max demand'!$C$11:$C$85),0,1),0),MATCH($B74,'Max demand'!$D$9:$AB$9,0)),0)</f>
        <v>2.815824132418274E-2</v>
      </c>
      <c r="N74" s="21" cm="1">
        <f t="array" ref="N74">IFERROR(INDEX('Max demand'!$D$11:$AB$85,MATCH(1,INDEX(($C74='Max demand'!$B$11:$B$85)*(N$9='Max demand'!$C$11:$C$85),0,1),0),MATCH($B74,'Max demand'!$D$9:$AB$9,0)),0)</f>
        <v>2.815824132418274E-2</v>
      </c>
      <c r="O74" s="21" cm="1">
        <f t="array" ref="O74">IFERROR(INDEX('Max demand'!$D$11:$AB$85,MATCH(1,INDEX(($C74='Max demand'!$B$11:$B$85)*(O$9='Max demand'!$C$11:$C$85),0,1),0),MATCH($B74,'Max demand'!$D$9:$AB$9,0)),0)</f>
        <v>2.815824132418274E-2</v>
      </c>
      <c r="P74" s="21" cm="1">
        <f t="array" ref="P74">IFERROR(INDEX('Max demand'!$D$11:$AB$85,MATCH(1,INDEX(($C74='Max demand'!$B$11:$B$85)*(P$9='Max demand'!$C$11:$C$85),0,1),0),MATCH($B74,'Max demand'!$D$9:$AB$9,0)),0)</f>
        <v>2.815824132418274E-2</v>
      </c>
      <c r="Q74"/>
      <c r="R74" s="73">
        <f t="shared" si="14"/>
        <v>0</v>
      </c>
      <c r="T74" s="2" t="str">
        <f t="shared" si="18"/>
        <v>Newcastle Western Corridor</v>
      </c>
      <c r="U74" s="35" t="str">
        <f t="shared" si="19"/>
        <v>ST</v>
      </c>
      <c r="V74" s="35"/>
      <c r="W74" s="35" t="str">
        <f t="shared" ref="W74:W87" si="21">E74</f>
        <v>MW</v>
      </c>
      <c r="X74" s="79">
        <f t="shared" si="15"/>
        <v>2.8261741147341321E-4</v>
      </c>
      <c r="Y74" s="79">
        <f t="shared" ref="Y74:Y87" si="22">IFERROR(G74/SUMIFS(G$10:G$87,$B$10:$B$87,$B74),0)</f>
        <v>2.8424321345295951E-4</v>
      </c>
      <c r="Z74" s="79">
        <f t="shared" ref="Z74:Z87" si="23">IFERROR(H74/SUMIFS(H$10:H$87,$B$10:$B$87,$B74),0)</f>
        <v>2.8541618236831498E-4</v>
      </c>
      <c r="AA74" s="79">
        <f t="shared" ref="AA74:AA87" si="24">IFERROR(I74/SUMIFS(I$10:I$87,$B$10:$B$87,$B74),0)</f>
        <v>2.8579980865621951E-4</v>
      </c>
      <c r="AB74" s="79">
        <f t="shared" ref="AB74:AB87" si="25">IFERROR(J74/SUMIFS(J$10:J$87,$B$10:$B$87,$B74),0)</f>
        <v>2.8659477835335723E-4</v>
      </c>
      <c r="AC74" s="79">
        <f t="shared" ref="AC74:AC87" si="26">IFERROR(K74/SUMIFS(K$10:K$87,$B$10:$B$87,$B74),0)</f>
        <v>2.8765512606208123E-4</v>
      </c>
      <c r="AD74" s="79">
        <f t="shared" ref="AD74:AD87" si="27">IFERROR(L74/SUMIFS(L$10:L$87,$B$10:$B$87,$B74),0)</f>
        <v>2.8875112067311632E-4</v>
      </c>
      <c r="AE74" s="79">
        <f t="shared" ref="AE74:AE87" si="28">IFERROR(M74/SUMIFS(M$10:M$87,$B$10:$B$87,$B74),0)</f>
        <v>2.8853939740708021E-4</v>
      </c>
      <c r="AF74" s="79">
        <f t="shared" ref="AF74:AF87" si="29">IFERROR(N74/SUMIFS(N$10:N$87,$B$10:$B$87,$B74),0)</f>
        <v>2.8850458006979523E-4</v>
      </c>
      <c r="AG74" s="79">
        <f t="shared" ref="AG74:AG87" si="30">IFERROR(O74/SUMIFS(O$10:O$87,$B$10:$B$87,$B74),0)</f>
        <v>2.8850216188619146E-4</v>
      </c>
      <c r="AH74" s="79">
        <f t="shared" ref="AH74:AH87" si="31">IFERROR(P74/SUMIFS(P$10:P$87,$B$10:$B$87,$B74),0)</f>
        <v>2.8848839715171185E-4</v>
      </c>
      <c r="AI74"/>
      <c r="AJ74" s="60">
        <f t="shared" si="16"/>
        <v>2.8682837977765831E-4</v>
      </c>
    </row>
    <row r="75" spans="2:36" s="1" customFormat="1">
      <c r="B75" s="2" t="str">
        <f t="shared" si="20"/>
        <v>North East Lake Macquarie</v>
      </c>
      <c r="C75" s="35" t="str" cm="1">
        <f t="array" ref="C75">INDEX(network_levels,COUNTIFS($B$10:$B75,$B$10))</f>
        <v>ST</v>
      </c>
      <c r="D75" s="35"/>
      <c r="E75" s="35" t="s">
        <v>80</v>
      </c>
      <c r="F75" s="21" cm="1">
        <f t="array" ref="F75">IFERROR(INDEX('Max demand'!$D$11:$AB$85,MATCH(1,INDEX(($C75='Max demand'!$B$11:$B$85)*(F$9='Max demand'!$C$11:$C$85),0,1),0),MATCH($B75,'Max demand'!$D$9:$AB$9,0)),0)</f>
        <v>0</v>
      </c>
      <c r="G75" s="21" cm="1">
        <f t="array" ref="G75">IFERROR(INDEX('Max demand'!$D$11:$AB$85,MATCH(1,INDEX(($C75='Max demand'!$B$11:$B$85)*(G$9='Max demand'!$C$11:$C$85),0,1),0),MATCH($B75,'Max demand'!$D$9:$AB$9,0)),0)</f>
        <v>0</v>
      </c>
      <c r="H75" s="21" cm="1">
        <f t="array" ref="H75">IFERROR(INDEX('Max demand'!$D$11:$AB$85,MATCH(1,INDEX(($C75='Max demand'!$B$11:$B$85)*(H$9='Max demand'!$C$11:$C$85),0,1),0),MATCH($B75,'Max demand'!$D$9:$AB$9,0)),0)</f>
        <v>0</v>
      </c>
      <c r="I75" s="21" cm="1">
        <f t="array" ref="I75">IFERROR(INDEX('Max demand'!$D$11:$AB$85,MATCH(1,INDEX(($C75='Max demand'!$B$11:$B$85)*(I$9='Max demand'!$C$11:$C$85),0,1),0),MATCH($B75,'Max demand'!$D$9:$AB$9,0)),0)</f>
        <v>0</v>
      </c>
      <c r="J75" s="21" cm="1">
        <f t="array" ref="J75">IFERROR(INDEX('Max demand'!$D$11:$AB$85,MATCH(1,INDEX(($C75='Max demand'!$B$11:$B$85)*(J$9='Max demand'!$C$11:$C$85),0,1),0),MATCH($B75,'Max demand'!$D$9:$AB$9,0)),0)</f>
        <v>0</v>
      </c>
      <c r="K75" s="21" cm="1">
        <f t="array" ref="K75">IFERROR(INDEX('Max demand'!$D$11:$AB$85,MATCH(1,INDEX(($C75='Max demand'!$B$11:$B$85)*(K$9='Max demand'!$C$11:$C$85),0,1),0),MATCH($B75,'Max demand'!$D$9:$AB$9,0)),0)</f>
        <v>0</v>
      </c>
      <c r="L75" s="21" cm="1">
        <f t="array" ref="L75">IFERROR(INDEX('Max demand'!$D$11:$AB$85,MATCH(1,INDEX(($C75='Max demand'!$B$11:$B$85)*(L$9='Max demand'!$C$11:$C$85),0,1),0),MATCH($B75,'Max demand'!$D$9:$AB$9,0)),0)</f>
        <v>0</v>
      </c>
      <c r="M75" s="21" cm="1">
        <f t="array" ref="M75">IFERROR(INDEX('Max demand'!$D$11:$AB$85,MATCH(1,INDEX(($C75='Max demand'!$B$11:$B$85)*(M$9='Max demand'!$C$11:$C$85),0,1),0),MATCH($B75,'Max demand'!$D$9:$AB$9,0)),0)</f>
        <v>0</v>
      </c>
      <c r="N75" s="21" cm="1">
        <f t="array" ref="N75">IFERROR(INDEX('Max demand'!$D$11:$AB$85,MATCH(1,INDEX(($C75='Max demand'!$B$11:$B$85)*(N$9='Max demand'!$C$11:$C$85),0,1),0),MATCH($B75,'Max demand'!$D$9:$AB$9,0)),0)</f>
        <v>0</v>
      </c>
      <c r="O75" s="21" cm="1">
        <f t="array" ref="O75">IFERROR(INDEX('Max demand'!$D$11:$AB$85,MATCH(1,INDEX(($C75='Max demand'!$B$11:$B$85)*(O$9='Max demand'!$C$11:$C$85),0,1),0),MATCH($B75,'Max demand'!$D$9:$AB$9,0)),0)</f>
        <v>0</v>
      </c>
      <c r="P75" s="21" cm="1">
        <f t="array" ref="P75">IFERROR(INDEX('Max demand'!$D$11:$AB$85,MATCH(1,INDEX(($C75='Max demand'!$B$11:$B$85)*(P$9='Max demand'!$C$11:$C$85),0,1),0),MATCH($B75,'Max demand'!$D$9:$AB$9,0)),0)</f>
        <v>0</v>
      </c>
      <c r="Q75"/>
      <c r="R75" s="73">
        <f t="shared" ref="R75:R87" si="32">IFERROR(IF($F75&lt;MAX($G75:$P75),(MAX($G75:$P75)/$F75)^(1/10)-1,($P75/$F75)^(1/10)-1),0)</f>
        <v>0</v>
      </c>
      <c r="T75" s="2" t="str">
        <f t="shared" ref="T75:T87" si="33">B75</f>
        <v>North East Lake Macquarie</v>
      </c>
      <c r="U75" s="35" t="str">
        <f t="shared" ref="U75:U87" si="34">C75</f>
        <v>ST</v>
      </c>
      <c r="V75" s="35"/>
      <c r="W75" s="35" t="str">
        <f t="shared" si="21"/>
        <v>MW</v>
      </c>
      <c r="X75" s="79">
        <f t="shared" ref="X75:X87" si="35">IFERROR(F75/SUMIFS(F$10:F$87,$B$10:$B$87,$B75),0)</f>
        <v>0</v>
      </c>
      <c r="Y75" s="79">
        <f t="shared" si="22"/>
        <v>0</v>
      </c>
      <c r="Z75" s="79">
        <f t="shared" si="23"/>
        <v>0</v>
      </c>
      <c r="AA75" s="79">
        <f t="shared" si="24"/>
        <v>0</v>
      </c>
      <c r="AB75" s="79">
        <f t="shared" si="25"/>
        <v>0</v>
      </c>
      <c r="AC75" s="79">
        <f t="shared" si="26"/>
        <v>0</v>
      </c>
      <c r="AD75" s="79">
        <f t="shared" si="27"/>
        <v>0</v>
      </c>
      <c r="AE75" s="79">
        <f t="shared" si="28"/>
        <v>0</v>
      </c>
      <c r="AF75" s="79">
        <f t="shared" si="29"/>
        <v>0</v>
      </c>
      <c r="AG75" s="79">
        <f t="shared" si="30"/>
        <v>0</v>
      </c>
      <c r="AH75" s="79">
        <f t="shared" si="31"/>
        <v>0</v>
      </c>
      <c r="AI75"/>
      <c r="AJ75" s="60">
        <f t="shared" ref="AJ75:AJ87" si="36">AVERAGE(X75:AH75)</f>
        <v>0</v>
      </c>
    </row>
    <row r="76" spans="2:36" s="1" customFormat="1">
      <c r="B76" s="2" t="str">
        <f t="shared" si="20"/>
        <v>North West</v>
      </c>
      <c r="C76" s="35" t="str" cm="1">
        <f t="array" ref="C76">INDEX(network_levels,COUNTIFS($B$10:$B76,$B$10))</f>
        <v>ST</v>
      </c>
      <c r="D76" s="35"/>
      <c r="E76" s="35" t="s">
        <v>80</v>
      </c>
      <c r="F76" s="21" cm="1">
        <f t="array" ref="F76">IFERROR(INDEX('Max demand'!$D$11:$AB$85,MATCH(1,INDEX(($C76='Max demand'!$B$11:$B$85)*(F$9='Max demand'!$C$11:$C$85),0,1),0),MATCH($B76,'Max demand'!$D$9:$AB$9,0)),0)</f>
        <v>7.5093505921261512</v>
      </c>
      <c r="G76" s="21" cm="1">
        <f t="array" ref="G76">IFERROR(INDEX('Max demand'!$D$11:$AB$85,MATCH(1,INDEX(($C76='Max demand'!$B$11:$B$85)*(G$9='Max demand'!$C$11:$C$85),0,1),0),MATCH($B76,'Max demand'!$D$9:$AB$9,0)),0)</f>
        <v>7.5093505921261512</v>
      </c>
      <c r="H76" s="21" cm="1">
        <f t="array" ref="H76">IFERROR(INDEX('Max demand'!$D$11:$AB$85,MATCH(1,INDEX(($C76='Max demand'!$B$11:$B$85)*(H$9='Max demand'!$C$11:$C$85),0,1),0),MATCH($B76,'Max demand'!$D$9:$AB$9,0)),0)</f>
        <v>7.5093505921261512</v>
      </c>
      <c r="I76" s="21" cm="1">
        <f t="array" ref="I76">IFERROR(INDEX('Max demand'!$D$11:$AB$85,MATCH(1,INDEX(($C76='Max demand'!$B$11:$B$85)*(I$9='Max demand'!$C$11:$C$85),0,1),0),MATCH($B76,'Max demand'!$D$9:$AB$9,0)),0)</f>
        <v>7.5093505921261512</v>
      </c>
      <c r="J76" s="21" cm="1">
        <f t="array" ref="J76">IFERROR(INDEX('Max demand'!$D$11:$AB$85,MATCH(1,INDEX(($C76='Max demand'!$B$11:$B$85)*(J$9='Max demand'!$C$11:$C$85),0,1),0),MATCH($B76,'Max demand'!$D$9:$AB$9,0)),0)</f>
        <v>7.5093505921261512</v>
      </c>
      <c r="K76" s="21" cm="1">
        <f t="array" ref="K76">IFERROR(INDEX('Max demand'!$D$11:$AB$85,MATCH(1,INDEX(($C76='Max demand'!$B$11:$B$85)*(K$9='Max demand'!$C$11:$C$85),0,1),0),MATCH($B76,'Max demand'!$D$9:$AB$9,0)),0)</f>
        <v>7.5093505921261512</v>
      </c>
      <c r="L76" s="21" cm="1">
        <f t="array" ref="L76">IFERROR(INDEX('Max demand'!$D$11:$AB$85,MATCH(1,INDEX(($C76='Max demand'!$B$11:$B$85)*(L$9='Max demand'!$C$11:$C$85),0,1),0),MATCH($B76,'Max demand'!$D$9:$AB$9,0)),0)</f>
        <v>7.5093505921261512</v>
      </c>
      <c r="M76" s="21" cm="1">
        <f t="array" ref="M76">IFERROR(INDEX('Max demand'!$D$11:$AB$85,MATCH(1,INDEX(($C76='Max demand'!$B$11:$B$85)*(M$9='Max demand'!$C$11:$C$85),0,1),0),MATCH($B76,'Max demand'!$D$9:$AB$9,0)),0)</f>
        <v>7.5093505921261512</v>
      </c>
      <c r="N76" s="21" cm="1">
        <f t="array" ref="N76">IFERROR(INDEX('Max demand'!$D$11:$AB$85,MATCH(1,INDEX(($C76='Max demand'!$B$11:$B$85)*(N$9='Max demand'!$C$11:$C$85),0,1),0),MATCH($B76,'Max demand'!$D$9:$AB$9,0)),0)</f>
        <v>7.5093505921261512</v>
      </c>
      <c r="O76" s="21" cm="1">
        <f t="array" ref="O76">IFERROR(INDEX('Max demand'!$D$11:$AB$85,MATCH(1,INDEX(($C76='Max demand'!$B$11:$B$85)*(O$9='Max demand'!$C$11:$C$85),0,1),0),MATCH($B76,'Max demand'!$D$9:$AB$9,0)),0)</f>
        <v>7.5093505921261512</v>
      </c>
      <c r="P76" s="21" cm="1">
        <f t="array" ref="P76">IFERROR(INDEX('Max demand'!$D$11:$AB$85,MATCH(1,INDEX(($C76='Max demand'!$B$11:$B$85)*(P$9='Max demand'!$C$11:$C$85),0,1),0),MATCH($B76,'Max demand'!$D$9:$AB$9,0)),0)</f>
        <v>7.5093505921261512</v>
      </c>
      <c r="Q76"/>
      <c r="R76" s="73">
        <f t="shared" si="32"/>
        <v>0</v>
      </c>
      <c r="T76" s="2" t="str">
        <f t="shared" si="33"/>
        <v>North West</v>
      </c>
      <c r="U76" s="35" t="str">
        <f t="shared" si="34"/>
        <v>ST</v>
      </c>
      <c r="V76" s="35"/>
      <c r="W76" s="35" t="str">
        <f t="shared" si="21"/>
        <v>MW</v>
      </c>
      <c r="X76" s="79">
        <f t="shared" si="35"/>
        <v>4.2366023534771723E-2</v>
      </c>
      <c r="Y76" s="79">
        <f t="shared" si="22"/>
        <v>4.2709620343689809E-2</v>
      </c>
      <c r="Z76" s="79">
        <f t="shared" si="23"/>
        <v>4.2910328888438369E-2</v>
      </c>
      <c r="AA76" s="79">
        <f t="shared" si="24"/>
        <v>4.2950629705460555E-2</v>
      </c>
      <c r="AB76" s="79">
        <f t="shared" si="25"/>
        <v>4.3026869045682176E-2</v>
      </c>
      <c r="AC76" s="79">
        <f t="shared" si="26"/>
        <v>4.3071116678857727E-2</v>
      </c>
      <c r="AD76" s="79">
        <f t="shared" si="27"/>
        <v>4.3023389675110539E-2</v>
      </c>
      <c r="AE76" s="79">
        <f t="shared" si="28"/>
        <v>4.2702939003772984E-2</v>
      </c>
      <c r="AF76" s="79">
        <f t="shared" si="29"/>
        <v>4.2418321253614721E-2</v>
      </c>
      <c r="AG76" s="79">
        <f t="shared" si="30"/>
        <v>4.2189507757550572E-2</v>
      </c>
      <c r="AH76" s="79">
        <f t="shared" si="31"/>
        <v>4.1918005572917555E-2</v>
      </c>
      <c r="AI76"/>
      <c r="AJ76" s="60">
        <f t="shared" si="36"/>
        <v>4.266243195089698E-2</v>
      </c>
    </row>
    <row r="77" spans="2:36" s="1" customFormat="1">
      <c r="B77" s="2" t="str">
        <f t="shared" si="20"/>
        <v>Pittwater &amp; Terrey Hills</v>
      </c>
      <c r="C77" s="35" t="str" cm="1">
        <f t="array" ref="C77">INDEX(network_levels,COUNTIFS($B$10:$B77,$B$10))</f>
        <v>ST</v>
      </c>
      <c r="D77" s="35"/>
      <c r="E77" s="35" t="s">
        <v>80</v>
      </c>
      <c r="F77" s="21" cm="1">
        <f t="array" ref="F77">IFERROR(INDEX('Max demand'!$D$11:$AB$85,MATCH(1,INDEX(($C77='Max demand'!$B$11:$B$85)*(F$9='Max demand'!$C$11:$C$85),0,1),0),MATCH($B77,'Max demand'!$D$9:$AB$9,0)),0)</f>
        <v>0</v>
      </c>
      <c r="G77" s="21" cm="1">
        <f t="array" ref="G77">IFERROR(INDEX('Max demand'!$D$11:$AB$85,MATCH(1,INDEX(($C77='Max demand'!$B$11:$B$85)*(G$9='Max demand'!$C$11:$C$85),0,1),0),MATCH($B77,'Max demand'!$D$9:$AB$9,0)),0)</f>
        <v>0</v>
      </c>
      <c r="H77" s="21" cm="1">
        <f t="array" ref="H77">IFERROR(INDEX('Max demand'!$D$11:$AB$85,MATCH(1,INDEX(($C77='Max demand'!$B$11:$B$85)*(H$9='Max demand'!$C$11:$C$85),0,1),0),MATCH($B77,'Max demand'!$D$9:$AB$9,0)),0)</f>
        <v>0</v>
      </c>
      <c r="I77" s="21" cm="1">
        <f t="array" ref="I77">IFERROR(INDEX('Max demand'!$D$11:$AB$85,MATCH(1,INDEX(($C77='Max demand'!$B$11:$B$85)*(I$9='Max demand'!$C$11:$C$85),0,1),0),MATCH($B77,'Max demand'!$D$9:$AB$9,0)),0)</f>
        <v>0</v>
      </c>
      <c r="J77" s="21" cm="1">
        <f t="array" ref="J77">IFERROR(INDEX('Max demand'!$D$11:$AB$85,MATCH(1,INDEX(($C77='Max demand'!$B$11:$B$85)*(J$9='Max demand'!$C$11:$C$85),0,1),0),MATCH($B77,'Max demand'!$D$9:$AB$9,0)),0)</f>
        <v>0</v>
      </c>
      <c r="K77" s="21" cm="1">
        <f t="array" ref="K77">IFERROR(INDEX('Max demand'!$D$11:$AB$85,MATCH(1,INDEX(($C77='Max demand'!$B$11:$B$85)*(K$9='Max demand'!$C$11:$C$85),0,1),0),MATCH($B77,'Max demand'!$D$9:$AB$9,0)),0)</f>
        <v>0</v>
      </c>
      <c r="L77" s="21" cm="1">
        <f t="array" ref="L77">IFERROR(INDEX('Max demand'!$D$11:$AB$85,MATCH(1,INDEX(($C77='Max demand'!$B$11:$B$85)*(L$9='Max demand'!$C$11:$C$85),0,1),0),MATCH($B77,'Max demand'!$D$9:$AB$9,0)),0)</f>
        <v>0</v>
      </c>
      <c r="M77" s="21" cm="1">
        <f t="array" ref="M77">IFERROR(INDEX('Max demand'!$D$11:$AB$85,MATCH(1,INDEX(($C77='Max demand'!$B$11:$B$85)*(M$9='Max demand'!$C$11:$C$85),0,1),0),MATCH($B77,'Max demand'!$D$9:$AB$9,0)),0)</f>
        <v>0</v>
      </c>
      <c r="N77" s="21" cm="1">
        <f t="array" ref="N77">IFERROR(INDEX('Max demand'!$D$11:$AB$85,MATCH(1,INDEX(($C77='Max demand'!$B$11:$B$85)*(N$9='Max demand'!$C$11:$C$85),0,1),0),MATCH($B77,'Max demand'!$D$9:$AB$9,0)),0)</f>
        <v>0</v>
      </c>
      <c r="O77" s="21" cm="1">
        <f t="array" ref="O77">IFERROR(INDEX('Max demand'!$D$11:$AB$85,MATCH(1,INDEX(($C77='Max demand'!$B$11:$B$85)*(O$9='Max demand'!$C$11:$C$85),0,1),0),MATCH($B77,'Max demand'!$D$9:$AB$9,0)),0)</f>
        <v>0</v>
      </c>
      <c r="P77" s="21" cm="1">
        <f t="array" ref="P77">IFERROR(INDEX('Max demand'!$D$11:$AB$85,MATCH(1,INDEX(($C77='Max demand'!$B$11:$B$85)*(P$9='Max demand'!$C$11:$C$85),0,1),0),MATCH($B77,'Max demand'!$D$9:$AB$9,0)),0)</f>
        <v>0</v>
      </c>
      <c r="Q77"/>
      <c r="R77" s="73">
        <f t="shared" si="32"/>
        <v>0</v>
      </c>
      <c r="T77" s="2" t="str">
        <f t="shared" si="33"/>
        <v>Pittwater &amp; Terrey Hills</v>
      </c>
      <c r="U77" s="35" t="str">
        <f t="shared" si="34"/>
        <v>ST</v>
      </c>
      <c r="V77" s="35"/>
      <c r="W77" s="35" t="str">
        <f t="shared" si="21"/>
        <v>MW</v>
      </c>
      <c r="X77" s="79">
        <f t="shared" si="35"/>
        <v>0</v>
      </c>
      <c r="Y77" s="79">
        <f t="shared" si="22"/>
        <v>0</v>
      </c>
      <c r="Z77" s="79">
        <f t="shared" si="23"/>
        <v>0</v>
      </c>
      <c r="AA77" s="79">
        <f t="shared" si="24"/>
        <v>0</v>
      </c>
      <c r="AB77" s="79">
        <f t="shared" si="25"/>
        <v>0</v>
      </c>
      <c r="AC77" s="79">
        <f t="shared" si="26"/>
        <v>0</v>
      </c>
      <c r="AD77" s="79">
        <f t="shared" si="27"/>
        <v>0</v>
      </c>
      <c r="AE77" s="79">
        <f t="shared" si="28"/>
        <v>0</v>
      </c>
      <c r="AF77" s="79">
        <f t="shared" si="29"/>
        <v>0</v>
      </c>
      <c r="AG77" s="79">
        <f t="shared" si="30"/>
        <v>0</v>
      </c>
      <c r="AH77" s="79">
        <f t="shared" si="31"/>
        <v>0</v>
      </c>
      <c r="AI77"/>
      <c r="AJ77" s="60">
        <f t="shared" si="36"/>
        <v>0</v>
      </c>
    </row>
    <row r="78" spans="2:36" s="1" customFormat="1">
      <c r="B78" s="2" t="str">
        <f t="shared" si="20"/>
        <v>Port Stephens</v>
      </c>
      <c r="C78" s="35" t="str" cm="1">
        <f t="array" ref="C78">INDEX(network_levels,COUNTIFS($B$10:$B78,$B$10))</f>
        <v>ST</v>
      </c>
      <c r="D78" s="35"/>
      <c r="E78" s="35" t="s">
        <v>80</v>
      </c>
      <c r="F78" s="21" cm="1">
        <f t="array" ref="F78">IFERROR(INDEX('Max demand'!$D$11:$AB$85,MATCH(1,INDEX(($C78='Max demand'!$B$11:$B$85)*(F$9='Max demand'!$C$11:$C$85),0,1),0),MATCH($B78,'Max demand'!$D$9:$AB$9,0)),0)</f>
        <v>6.3347970733928793</v>
      </c>
      <c r="G78" s="21" cm="1">
        <f t="array" ref="G78">IFERROR(INDEX('Max demand'!$D$11:$AB$85,MATCH(1,INDEX(($C78='Max demand'!$B$11:$B$85)*(G$9='Max demand'!$C$11:$C$85),0,1),0),MATCH($B78,'Max demand'!$D$9:$AB$9,0)),0)</f>
        <v>6.3347970733928793</v>
      </c>
      <c r="H78" s="21" cm="1">
        <f t="array" ref="H78">IFERROR(INDEX('Max demand'!$D$11:$AB$85,MATCH(1,INDEX(($C78='Max demand'!$B$11:$B$85)*(H$9='Max demand'!$C$11:$C$85),0,1),0),MATCH($B78,'Max demand'!$D$9:$AB$9,0)),0)</f>
        <v>6.3347970733928793</v>
      </c>
      <c r="I78" s="21" cm="1">
        <f t="array" ref="I78">IFERROR(INDEX('Max demand'!$D$11:$AB$85,MATCH(1,INDEX(($C78='Max demand'!$B$11:$B$85)*(I$9='Max demand'!$C$11:$C$85),0,1),0),MATCH($B78,'Max demand'!$D$9:$AB$9,0)),0)</f>
        <v>6.3347970733928793</v>
      </c>
      <c r="J78" s="21" cm="1">
        <f t="array" ref="J78">IFERROR(INDEX('Max demand'!$D$11:$AB$85,MATCH(1,INDEX(($C78='Max demand'!$B$11:$B$85)*(J$9='Max demand'!$C$11:$C$85),0,1),0),MATCH($B78,'Max demand'!$D$9:$AB$9,0)),0)</f>
        <v>6.3347970733928793</v>
      </c>
      <c r="K78" s="21" cm="1">
        <f t="array" ref="K78">IFERROR(INDEX('Max demand'!$D$11:$AB$85,MATCH(1,INDEX(($C78='Max demand'!$B$11:$B$85)*(K$9='Max demand'!$C$11:$C$85),0,1),0),MATCH($B78,'Max demand'!$D$9:$AB$9,0)),0)</f>
        <v>6.3347970733928793</v>
      </c>
      <c r="L78" s="21" cm="1">
        <f t="array" ref="L78">IFERROR(INDEX('Max demand'!$D$11:$AB$85,MATCH(1,INDEX(($C78='Max demand'!$B$11:$B$85)*(L$9='Max demand'!$C$11:$C$85),0,1),0),MATCH($B78,'Max demand'!$D$9:$AB$9,0)),0)</f>
        <v>6.3347970733928793</v>
      </c>
      <c r="M78" s="21" cm="1">
        <f t="array" ref="M78">IFERROR(INDEX('Max demand'!$D$11:$AB$85,MATCH(1,INDEX(($C78='Max demand'!$B$11:$B$85)*(M$9='Max demand'!$C$11:$C$85),0,1),0),MATCH($B78,'Max demand'!$D$9:$AB$9,0)),0)</f>
        <v>6.3347970733928793</v>
      </c>
      <c r="N78" s="21" cm="1">
        <f t="array" ref="N78">IFERROR(INDEX('Max demand'!$D$11:$AB$85,MATCH(1,INDEX(($C78='Max demand'!$B$11:$B$85)*(N$9='Max demand'!$C$11:$C$85),0,1),0),MATCH($B78,'Max demand'!$D$9:$AB$9,0)),0)</f>
        <v>6.3347970733928793</v>
      </c>
      <c r="O78" s="21" cm="1">
        <f t="array" ref="O78">IFERROR(INDEX('Max demand'!$D$11:$AB$85,MATCH(1,INDEX(($C78='Max demand'!$B$11:$B$85)*(O$9='Max demand'!$C$11:$C$85),0,1),0),MATCH($B78,'Max demand'!$D$9:$AB$9,0)),0)</f>
        <v>6.3347970733928793</v>
      </c>
      <c r="P78" s="21" cm="1">
        <f t="array" ref="P78">IFERROR(INDEX('Max demand'!$D$11:$AB$85,MATCH(1,INDEX(($C78='Max demand'!$B$11:$B$85)*(P$9='Max demand'!$C$11:$C$85),0,1),0),MATCH($B78,'Max demand'!$D$9:$AB$9,0)),0)</f>
        <v>6.3347970733928793</v>
      </c>
      <c r="Q78"/>
      <c r="R78" s="73">
        <f t="shared" si="32"/>
        <v>0</v>
      </c>
      <c r="T78" s="2" t="str">
        <f t="shared" si="33"/>
        <v>Port Stephens</v>
      </c>
      <c r="U78" s="35" t="str">
        <f t="shared" si="34"/>
        <v>ST</v>
      </c>
      <c r="V78" s="35"/>
      <c r="W78" s="35" t="str">
        <f t="shared" si="21"/>
        <v>MW</v>
      </c>
      <c r="X78" s="79">
        <f t="shared" si="35"/>
        <v>6.0574296574399264E-2</v>
      </c>
      <c r="Y78" s="79">
        <f t="shared" si="22"/>
        <v>6.1163673237260248E-2</v>
      </c>
      <c r="Z78" s="79">
        <f t="shared" si="23"/>
        <v>6.1413079342213413E-2</v>
      </c>
      <c r="AA78" s="79">
        <f t="shared" si="24"/>
        <v>6.1464971578770886E-2</v>
      </c>
      <c r="AB78" s="79">
        <f t="shared" si="25"/>
        <v>6.1608220859842286E-2</v>
      </c>
      <c r="AC78" s="79">
        <f t="shared" si="26"/>
        <v>6.1803329395267025E-2</v>
      </c>
      <c r="AD78" s="79">
        <f t="shared" si="27"/>
        <v>6.19852720439725E-2</v>
      </c>
      <c r="AE78" s="79">
        <f t="shared" si="28"/>
        <v>6.1871910282397788E-2</v>
      </c>
      <c r="AF78" s="79">
        <f t="shared" si="29"/>
        <v>6.1744825887766717E-2</v>
      </c>
      <c r="AG78" s="79">
        <f t="shared" si="30"/>
        <v>6.1681660948352868E-2</v>
      </c>
      <c r="AH78" s="79">
        <f t="shared" si="31"/>
        <v>6.1583363732557475E-2</v>
      </c>
      <c r="AI78"/>
      <c r="AJ78" s="60">
        <f t="shared" si="36"/>
        <v>6.1535873080254586E-2</v>
      </c>
    </row>
    <row r="79" spans="2:36" s="1" customFormat="1">
      <c r="B79" s="2" t="str">
        <f t="shared" si="20"/>
        <v>Singleton</v>
      </c>
      <c r="C79" s="35" t="str" cm="1">
        <f t="array" ref="C79">INDEX(network_levels,COUNTIFS($B$10:$B79,$B$10))</f>
        <v>ST</v>
      </c>
      <c r="D79" s="35"/>
      <c r="E79" s="35" t="s">
        <v>80</v>
      </c>
      <c r="F79" s="21" cm="1">
        <f t="array" ref="F79">IFERROR(INDEX('Max demand'!$D$11:$AB$85,MATCH(1,INDEX(($C79='Max demand'!$B$11:$B$85)*(F$9='Max demand'!$C$11:$C$85),0,1),0),MATCH($B79,'Max demand'!$D$9:$AB$9,0)),0)</f>
        <v>76.709664387800004</v>
      </c>
      <c r="G79" s="21" cm="1">
        <f t="array" ref="G79">IFERROR(INDEX('Max demand'!$D$11:$AB$85,MATCH(1,INDEX(($C79='Max demand'!$B$11:$B$85)*(G$9='Max demand'!$C$11:$C$85),0,1),0),MATCH($B79,'Max demand'!$D$9:$AB$9,0)),0)</f>
        <v>76.709664387800004</v>
      </c>
      <c r="H79" s="21" cm="1">
        <f t="array" ref="H79">IFERROR(INDEX('Max demand'!$D$11:$AB$85,MATCH(1,INDEX(($C79='Max demand'!$B$11:$B$85)*(H$9='Max demand'!$C$11:$C$85),0,1),0),MATCH($B79,'Max demand'!$D$9:$AB$9,0)),0)</f>
        <v>76.709664387800004</v>
      </c>
      <c r="I79" s="21" cm="1">
        <f t="array" ref="I79">IFERROR(INDEX('Max demand'!$D$11:$AB$85,MATCH(1,INDEX(($C79='Max demand'!$B$11:$B$85)*(I$9='Max demand'!$C$11:$C$85),0,1),0),MATCH($B79,'Max demand'!$D$9:$AB$9,0)),0)</f>
        <v>76.709664387800004</v>
      </c>
      <c r="J79" s="21" cm="1">
        <f t="array" ref="J79">IFERROR(INDEX('Max demand'!$D$11:$AB$85,MATCH(1,INDEX(($C79='Max demand'!$B$11:$B$85)*(J$9='Max demand'!$C$11:$C$85),0,1),0),MATCH($B79,'Max demand'!$D$9:$AB$9,0)),0)</f>
        <v>76.709664387800004</v>
      </c>
      <c r="K79" s="21" cm="1">
        <f t="array" ref="K79">IFERROR(INDEX('Max demand'!$D$11:$AB$85,MATCH(1,INDEX(($C79='Max demand'!$B$11:$B$85)*(K$9='Max demand'!$C$11:$C$85),0,1),0),MATCH($B79,'Max demand'!$D$9:$AB$9,0)),0)</f>
        <v>76.709664387800004</v>
      </c>
      <c r="L79" s="21" cm="1">
        <f t="array" ref="L79">IFERROR(INDEX('Max demand'!$D$11:$AB$85,MATCH(1,INDEX(($C79='Max demand'!$B$11:$B$85)*(L$9='Max demand'!$C$11:$C$85),0,1),0),MATCH($B79,'Max demand'!$D$9:$AB$9,0)),0)</f>
        <v>76.709664387800004</v>
      </c>
      <c r="M79" s="21" cm="1">
        <f t="array" ref="M79">IFERROR(INDEX('Max demand'!$D$11:$AB$85,MATCH(1,INDEX(($C79='Max demand'!$B$11:$B$85)*(M$9='Max demand'!$C$11:$C$85),0,1),0),MATCH($B79,'Max demand'!$D$9:$AB$9,0)),0)</f>
        <v>76.709664387800004</v>
      </c>
      <c r="N79" s="21" cm="1">
        <f t="array" ref="N79">IFERROR(INDEX('Max demand'!$D$11:$AB$85,MATCH(1,INDEX(($C79='Max demand'!$B$11:$B$85)*(N$9='Max demand'!$C$11:$C$85),0,1),0),MATCH($B79,'Max demand'!$D$9:$AB$9,0)),0)</f>
        <v>76.709664387800004</v>
      </c>
      <c r="O79" s="21" cm="1">
        <f t="array" ref="O79">IFERROR(INDEX('Max demand'!$D$11:$AB$85,MATCH(1,INDEX(($C79='Max demand'!$B$11:$B$85)*(O$9='Max demand'!$C$11:$C$85),0,1),0),MATCH($B79,'Max demand'!$D$9:$AB$9,0)),0)</f>
        <v>76.709664387800004</v>
      </c>
      <c r="P79" s="21" cm="1">
        <f t="array" ref="P79">IFERROR(INDEX('Max demand'!$D$11:$AB$85,MATCH(1,INDEX(($C79='Max demand'!$B$11:$B$85)*(P$9='Max demand'!$C$11:$C$85),0,1),0),MATCH($B79,'Max demand'!$D$9:$AB$9,0)),0)</f>
        <v>76.709664387800004</v>
      </c>
      <c r="Q79"/>
      <c r="R79" s="73">
        <f t="shared" si="32"/>
        <v>0</v>
      </c>
      <c r="T79" s="2" t="str">
        <f t="shared" si="33"/>
        <v>Singleton</v>
      </c>
      <c r="U79" s="35" t="str">
        <f t="shared" si="34"/>
        <v>ST</v>
      </c>
      <c r="V79" s="35"/>
      <c r="W79" s="35" t="str">
        <f t="shared" si="21"/>
        <v>MW</v>
      </c>
      <c r="X79" s="79">
        <f t="shared" si="35"/>
        <v>0.58307194314512023</v>
      </c>
      <c r="Y79" s="79">
        <f t="shared" si="22"/>
        <v>0.58494367813734915</v>
      </c>
      <c r="Z79" s="79">
        <f t="shared" si="23"/>
        <v>0.58579726536756793</v>
      </c>
      <c r="AA79" s="79">
        <f t="shared" si="24"/>
        <v>0.58597178611724698</v>
      </c>
      <c r="AB79" s="79">
        <f t="shared" si="25"/>
        <v>0.58647578063792194</v>
      </c>
      <c r="AC79" s="79">
        <f t="shared" si="26"/>
        <v>0.58718216833560466</v>
      </c>
      <c r="AD79" s="79">
        <f t="shared" si="27"/>
        <v>0.58766238480552502</v>
      </c>
      <c r="AE79" s="79">
        <f t="shared" si="28"/>
        <v>0.58740516102796991</v>
      </c>
      <c r="AF79" s="79">
        <f t="shared" si="29"/>
        <v>0.58719308279428883</v>
      </c>
      <c r="AG79" s="79">
        <f t="shared" si="30"/>
        <v>0.5871785503927659</v>
      </c>
      <c r="AH79" s="79">
        <f t="shared" si="31"/>
        <v>0.58673768718158481</v>
      </c>
      <c r="AI79"/>
      <c r="AJ79" s="60">
        <f t="shared" si="36"/>
        <v>0.58632904435844957</v>
      </c>
    </row>
    <row r="80" spans="2:36" s="1" customFormat="1">
      <c r="B80" s="2" t="str">
        <f t="shared" si="20"/>
        <v>St George</v>
      </c>
      <c r="C80" s="35" t="str" cm="1">
        <f t="array" ref="C80">INDEX(network_levels,COUNTIFS($B$10:$B80,$B$10))</f>
        <v>ST</v>
      </c>
      <c r="D80" s="35"/>
      <c r="E80" s="35" t="s">
        <v>80</v>
      </c>
      <c r="F80" s="21" cm="1">
        <f t="array" ref="F80">IFERROR(INDEX('Max demand'!$D$11:$AB$85,MATCH(1,INDEX(($C80='Max demand'!$B$11:$B$85)*(F$9='Max demand'!$C$11:$C$85),0,1),0),MATCH($B80,'Max demand'!$D$9:$AB$9,0)),0)</f>
        <v>0</v>
      </c>
      <c r="G80" s="21" cm="1">
        <f t="array" ref="G80">IFERROR(INDEX('Max demand'!$D$11:$AB$85,MATCH(1,INDEX(($C80='Max demand'!$B$11:$B$85)*(G$9='Max demand'!$C$11:$C$85),0,1),0),MATCH($B80,'Max demand'!$D$9:$AB$9,0)),0)</f>
        <v>0</v>
      </c>
      <c r="H80" s="21" cm="1">
        <f t="array" ref="H80">IFERROR(INDEX('Max demand'!$D$11:$AB$85,MATCH(1,INDEX(($C80='Max demand'!$B$11:$B$85)*(H$9='Max demand'!$C$11:$C$85),0,1),0),MATCH($B80,'Max demand'!$D$9:$AB$9,0)),0)</f>
        <v>0</v>
      </c>
      <c r="I80" s="21" cm="1">
        <f t="array" ref="I80">IFERROR(INDEX('Max demand'!$D$11:$AB$85,MATCH(1,INDEX(($C80='Max demand'!$B$11:$B$85)*(I$9='Max demand'!$C$11:$C$85),0,1),0),MATCH($B80,'Max demand'!$D$9:$AB$9,0)),0)</f>
        <v>0</v>
      </c>
      <c r="J80" s="21" cm="1">
        <f t="array" ref="J80">IFERROR(INDEX('Max demand'!$D$11:$AB$85,MATCH(1,INDEX(($C80='Max demand'!$B$11:$B$85)*(J$9='Max demand'!$C$11:$C$85),0,1),0),MATCH($B80,'Max demand'!$D$9:$AB$9,0)),0)</f>
        <v>0</v>
      </c>
      <c r="K80" s="21" cm="1">
        <f t="array" ref="K80">IFERROR(INDEX('Max demand'!$D$11:$AB$85,MATCH(1,INDEX(($C80='Max demand'!$B$11:$B$85)*(K$9='Max demand'!$C$11:$C$85),0,1),0),MATCH($B80,'Max demand'!$D$9:$AB$9,0)),0)</f>
        <v>0</v>
      </c>
      <c r="L80" s="21" cm="1">
        <f t="array" ref="L80">IFERROR(INDEX('Max demand'!$D$11:$AB$85,MATCH(1,INDEX(($C80='Max demand'!$B$11:$B$85)*(L$9='Max demand'!$C$11:$C$85),0,1),0),MATCH($B80,'Max demand'!$D$9:$AB$9,0)),0)</f>
        <v>0</v>
      </c>
      <c r="M80" s="21" cm="1">
        <f t="array" ref="M80">IFERROR(INDEX('Max demand'!$D$11:$AB$85,MATCH(1,INDEX(($C80='Max demand'!$B$11:$B$85)*(M$9='Max demand'!$C$11:$C$85),0,1),0),MATCH($B80,'Max demand'!$D$9:$AB$9,0)),0)</f>
        <v>0</v>
      </c>
      <c r="N80" s="21" cm="1">
        <f t="array" ref="N80">IFERROR(INDEX('Max demand'!$D$11:$AB$85,MATCH(1,INDEX(($C80='Max demand'!$B$11:$B$85)*(N$9='Max demand'!$C$11:$C$85),0,1),0),MATCH($B80,'Max demand'!$D$9:$AB$9,0)),0)</f>
        <v>0</v>
      </c>
      <c r="O80" s="21" cm="1">
        <f t="array" ref="O80">IFERROR(INDEX('Max demand'!$D$11:$AB$85,MATCH(1,INDEX(($C80='Max demand'!$B$11:$B$85)*(O$9='Max demand'!$C$11:$C$85),0,1),0),MATCH($B80,'Max demand'!$D$9:$AB$9,0)),0)</f>
        <v>0</v>
      </c>
      <c r="P80" s="21" cm="1">
        <f t="array" ref="P80">IFERROR(INDEX('Max demand'!$D$11:$AB$85,MATCH(1,INDEX(($C80='Max demand'!$B$11:$B$85)*(P$9='Max demand'!$C$11:$C$85),0,1),0),MATCH($B80,'Max demand'!$D$9:$AB$9,0)),0)</f>
        <v>0</v>
      </c>
      <c r="Q80"/>
      <c r="R80" s="73">
        <f t="shared" si="32"/>
        <v>0</v>
      </c>
      <c r="T80" s="2" t="str">
        <f t="shared" si="33"/>
        <v>St George</v>
      </c>
      <c r="U80" s="35" t="str">
        <f t="shared" si="34"/>
        <v>ST</v>
      </c>
      <c r="V80" s="35"/>
      <c r="W80" s="35" t="str">
        <f t="shared" si="21"/>
        <v>MW</v>
      </c>
      <c r="X80" s="79">
        <f t="shared" si="35"/>
        <v>0</v>
      </c>
      <c r="Y80" s="79">
        <f t="shared" si="22"/>
        <v>0</v>
      </c>
      <c r="Z80" s="79">
        <f t="shared" si="23"/>
        <v>0</v>
      </c>
      <c r="AA80" s="79">
        <f t="shared" si="24"/>
        <v>0</v>
      </c>
      <c r="AB80" s="79">
        <f t="shared" si="25"/>
        <v>0</v>
      </c>
      <c r="AC80" s="79">
        <f t="shared" si="26"/>
        <v>0</v>
      </c>
      <c r="AD80" s="79">
        <f t="shared" si="27"/>
        <v>0</v>
      </c>
      <c r="AE80" s="79">
        <f t="shared" si="28"/>
        <v>0</v>
      </c>
      <c r="AF80" s="79">
        <f t="shared" si="29"/>
        <v>0</v>
      </c>
      <c r="AG80" s="79">
        <f t="shared" si="30"/>
        <v>0</v>
      </c>
      <c r="AH80" s="79">
        <f t="shared" si="31"/>
        <v>0</v>
      </c>
      <c r="AI80"/>
      <c r="AJ80" s="60">
        <f t="shared" si="36"/>
        <v>0</v>
      </c>
    </row>
    <row r="81" spans="2:36" s="1" customFormat="1">
      <c r="B81" s="2" t="str">
        <f t="shared" si="20"/>
        <v>Sutherland</v>
      </c>
      <c r="C81" s="35" t="str" cm="1">
        <f t="array" ref="C81">INDEX(network_levels,COUNTIFS($B$10:$B81,$B$10))</f>
        <v>ST</v>
      </c>
      <c r="D81" s="35"/>
      <c r="E81" s="35" t="s">
        <v>80</v>
      </c>
      <c r="F81" s="21" cm="1">
        <f t="array" ref="F81">IFERROR(INDEX('Max demand'!$D$11:$AB$85,MATCH(1,INDEX(($C81='Max demand'!$B$11:$B$85)*(F$9='Max demand'!$C$11:$C$85),0,1),0),MATCH($B81,'Max demand'!$D$9:$AB$9,0)),0)</f>
        <v>0.51120622046533271</v>
      </c>
      <c r="G81" s="21" cm="1">
        <f t="array" ref="G81">IFERROR(INDEX('Max demand'!$D$11:$AB$85,MATCH(1,INDEX(($C81='Max demand'!$B$11:$B$85)*(G$9='Max demand'!$C$11:$C$85),0,1),0),MATCH($B81,'Max demand'!$D$9:$AB$9,0)),0)</f>
        <v>0.51120622046533271</v>
      </c>
      <c r="H81" s="21" cm="1">
        <f t="array" ref="H81">IFERROR(INDEX('Max demand'!$D$11:$AB$85,MATCH(1,INDEX(($C81='Max demand'!$B$11:$B$85)*(H$9='Max demand'!$C$11:$C$85),0,1),0),MATCH($B81,'Max demand'!$D$9:$AB$9,0)),0)</f>
        <v>0.51120622046533271</v>
      </c>
      <c r="I81" s="21" cm="1">
        <f t="array" ref="I81">IFERROR(INDEX('Max demand'!$D$11:$AB$85,MATCH(1,INDEX(($C81='Max demand'!$B$11:$B$85)*(I$9='Max demand'!$C$11:$C$85),0,1),0),MATCH($B81,'Max demand'!$D$9:$AB$9,0)),0)</f>
        <v>0.51120622046533271</v>
      </c>
      <c r="J81" s="21" cm="1">
        <f t="array" ref="J81">IFERROR(INDEX('Max demand'!$D$11:$AB$85,MATCH(1,INDEX(($C81='Max demand'!$B$11:$B$85)*(J$9='Max demand'!$C$11:$C$85),0,1),0),MATCH($B81,'Max demand'!$D$9:$AB$9,0)),0)</f>
        <v>0.51120622046533271</v>
      </c>
      <c r="K81" s="21" cm="1">
        <f t="array" ref="K81">IFERROR(INDEX('Max demand'!$D$11:$AB$85,MATCH(1,INDEX(($C81='Max demand'!$B$11:$B$85)*(K$9='Max demand'!$C$11:$C$85),0,1),0),MATCH($B81,'Max demand'!$D$9:$AB$9,0)),0)</f>
        <v>0.51120622046533271</v>
      </c>
      <c r="L81" s="21" cm="1">
        <f t="array" ref="L81">IFERROR(INDEX('Max demand'!$D$11:$AB$85,MATCH(1,INDEX(($C81='Max demand'!$B$11:$B$85)*(L$9='Max demand'!$C$11:$C$85),0,1),0),MATCH($B81,'Max demand'!$D$9:$AB$9,0)),0)</f>
        <v>0.51120622046533271</v>
      </c>
      <c r="M81" s="21" cm="1">
        <f t="array" ref="M81">IFERROR(INDEX('Max demand'!$D$11:$AB$85,MATCH(1,INDEX(($C81='Max demand'!$B$11:$B$85)*(M$9='Max demand'!$C$11:$C$85),0,1),0),MATCH($B81,'Max demand'!$D$9:$AB$9,0)),0)</f>
        <v>0.51120622046533271</v>
      </c>
      <c r="N81" s="21" cm="1">
        <f t="array" ref="N81">IFERROR(INDEX('Max demand'!$D$11:$AB$85,MATCH(1,INDEX(($C81='Max demand'!$B$11:$B$85)*(N$9='Max demand'!$C$11:$C$85),0,1),0),MATCH($B81,'Max demand'!$D$9:$AB$9,0)),0)</f>
        <v>0.51120622046533271</v>
      </c>
      <c r="O81" s="21" cm="1">
        <f t="array" ref="O81">IFERROR(INDEX('Max demand'!$D$11:$AB$85,MATCH(1,INDEX(($C81='Max demand'!$B$11:$B$85)*(O$9='Max demand'!$C$11:$C$85),0,1),0),MATCH($B81,'Max demand'!$D$9:$AB$9,0)),0)</f>
        <v>0.51120622046533271</v>
      </c>
      <c r="P81" s="21" cm="1">
        <f t="array" ref="P81">IFERROR(INDEX('Max demand'!$D$11:$AB$85,MATCH(1,INDEX(($C81='Max demand'!$B$11:$B$85)*(P$9='Max demand'!$C$11:$C$85),0,1),0),MATCH($B81,'Max demand'!$D$9:$AB$9,0)),0)</f>
        <v>0.51120622046533271</v>
      </c>
      <c r="Q81"/>
      <c r="R81" s="73">
        <f t="shared" si="32"/>
        <v>0</v>
      </c>
      <c r="T81" s="2" t="str">
        <f t="shared" si="33"/>
        <v>Sutherland</v>
      </c>
      <c r="U81" s="35" t="str">
        <f t="shared" si="34"/>
        <v>ST</v>
      </c>
      <c r="V81" s="35"/>
      <c r="W81" s="35" t="str">
        <f t="shared" si="21"/>
        <v>MW</v>
      </c>
      <c r="X81" s="79">
        <f t="shared" si="35"/>
        <v>1.9276840372653853E-3</v>
      </c>
      <c r="Y81" s="79">
        <f t="shared" si="22"/>
        <v>1.9408291355924407E-3</v>
      </c>
      <c r="Z81" s="79">
        <f t="shared" si="23"/>
        <v>1.9522840399892642E-3</v>
      </c>
      <c r="AA81" s="79">
        <f t="shared" si="24"/>
        <v>1.9569043254496939E-3</v>
      </c>
      <c r="AB81" s="79">
        <f t="shared" si="25"/>
        <v>1.9650553039657201E-3</v>
      </c>
      <c r="AC81" s="79">
        <f t="shared" si="26"/>
        <v>1.9746773685219198E-3</v>
      </c>
      <c r="AD81" s="79">
        <f t="shared" si="27"/>
        <v>1.987116086071205E-3</v>
      </c>
      <c r="AE81" s="79">
        <f t="shared" si="28"/>
        <v>1.9887615775500216E-3</v>
      </c>
      <c r="AF81" s="79">
        <f t="shared" si="29"/>
        <v>1.9908391225192594E-3</v>
      </c>
      <c r="AG81" s="79">
        <f t="shared" si="30"/>
        <v>1.9947650464054423E-3</v>
      </c>
      <c r="AH81" s="79">
        <f t="shared" si="31"/>
        <v>1.9970241874495628E-3</v>
      </c>
      <c r="AI81"/>
      <c r="AJ81" s="60">
        <f t="shared" si="36"/>
        <v>1.9705400209799923E-3</v>
      </c>
    </row>
    <row r="82" spans="2:36" s="1" customFormat="1">
      <c r="B82" s="2" t="str">
        <f t="shared" si="20"/>
        <v>Sydney CBD</v>
      </c>
      <c r="C82" s="35" t="str" cm="1">
        <f t="array" ref="C82">INDEX(network_levels,COUNTIFS($B$10:$B82,$B$10))</f>
        <v>ST</v>
      </c>
      <c r="D82" s="35"/>
      <c r="E82" s="35" t="s">
        <v>80</v>
      </c>
      <c r="F82" s="21" cm="1">
        <f t="array" ref="F82">IFERROR(INDEX('Max demand'!$D$11:$AB$85,MATCH(1,INDEX(($C82='Max demand'!$B$11:$B$85)*(F$9='Max demand'!$C$11:$C$85),0,1),0),MATCH($B82,'Max demand'!$D$9:$AB$9,0)),0)</f>
        <v>0</v>
      </c>
      <c r="G82" s="21" cm="1">
        <f t="array" ref="G82">IFERROR(INDEX('Max demand'!$D$11:$AB$85,MATCH(1,INDEX(($C82='Max demand'!$B$11:$B$85)*(G$9='Max demand'!$C$11:$C$85),0,1),0),MATCH($B82,'Max demand'!$D$9:$AB$9,0)),0)</f>
        <v>0</v>
      </c>
      <c r="H82" s="21" cm="1">
        <f t="array" ref="H82">IFERROR(INDEX('Max demand'!$D$11:$AB$85,MATCH(1,INDEX(($C82='Max demand'!$B$11:$B$85)*(H$9='Max demand'!$C$11:$C$85),0,1),0),MATCH($B82,'Max demand'!$D$9:$AB$9,0)),0)</f>
        <v>0</v>
      </c>
      <c r="I82" s="21" cm="1">
        <f t="array" ref="I82">IFERROR(INDEX('Max demand'!$D$11:$AB$85,MATCH(1,INDEX(($C82='Max demand'!$B$11:$B$85)*(I$9='Max demand'!$C$11:$C$85),0,1),0),MATCH($B82,'Max demand'!$D$9:$AB$9,0)),0)</f>
        <v>0</v>
      </c>
      <c r="J82" s="21" cm="1">
        <f t="array" ref="J82">IFERROR(INDEX('Max demand'!$D$11:$AB$85,MATCH(1,INDEX(($C82='Max demand'!$B$11:$B$85)*(J$9='Max demand'!$C$11:$C$85),0,1),0),MATCH($B82,'Max demand'!$D$9:$AB$9,0)),0)</f>
        <v>0</v>
      </c>
      <c r="K82" s="21" cm="1">
        <f t="array" ref="K82">IFERROR(INDEX('Max demand'!$D$11:$AB$85,MATCH(1,INDEX(($C82='Max demand'!$B$11:$B$85)*(K$9='Max demand'!$C$11:$C$85),0,1),0),MATCH($B82,'Max demand'!$D$9:$AB$9,0)),0)</f>
        <v>0</v>
      </c>
      <c r="L82" s="21" cm="1">
        <f t="array" ref="L82">IFERROR(INDEX('Max demand'!$D$11:$AB$85,MATCH(1,INDEX(($C82='Max demand'!$B$11:$B$85)*(L$9='Max demand'!$C$11:$C$85),0,1),0),MATCH($B82,'Max demand'!$D$9:$AB$9,0)),0)</f>
        <v>0</v>
      </c>
      <c r="M82" s="21" cm="1">
        <f t="array" ref="M82">IFERROR(INDEX('Max demand'!$D$11:$AB$85,MATCH(1,INDEX(($C82='Max demand'!$B$11:$B$85)*(M$9='Max demand'!$C$11:$C$85),0,1),0),MATCH($B82,'Max demand'!$D$9:$AB$9,0)),0)</f>
        <v>0</v>
      </c>
      <c r="N82" s="21" cm="1">
        <f t="array" ref="N82">IFERROR(INDEX('Max demand'!$D$11:$AB$85,MATCH(1,INDEX(($C82='Max demand'!$B$11:$B$85)*(N$9='Max demand'!$C$11:$C$85),0,1),0),MATCH($B82,'Max demand'!$D$9:$AB$9,0)),0)</f>
        <v>0</v>
      </c>
      <c r="O82" s="21" cm="1">
        <f t="array" ref="O82">IFERROR(INDEX('Max demand'!$D$11:$AB$85,MATCH(1,INDEX(($C82='Max demand'!$B$11:$B$85)*(O$9='Max demand'!$C$11:$C$85),0,1),0),MATCH($B82,'Max demand'!$D$9:$AB$9,0)),0)</f>
        <v>0</v>
      </c>
      <c r="P82" s="21" cm="1">
        <f t="array" ref="P82">IFERROR(INDEX('Max demand'!$D$11:$AB$85,MATCH(1,INDEX(($C82='Max demand'!$B$11:$B$85)*(P$9='Max demand'!$C$11:$C$85),0,1),0),MATCH($B82,'Max demand'!$D$9:$AB$9,0)),0)</f>
        <v>0</v>
      </c>
      <c r="Q82"/>
      <c r="R82" s="73">
        <f t="shared" si="32"/>
        <v>0</v>
      </c>
      <c r="T82" s="2" t="str">
        <f t="shared" si="33"/>
        <v>Sydney CBD</v>
      </c>
      <c r="U82" s="35" t="str">
        <f t="shared" si="34"/>
        <v>ST</v>
      </c>
      <c r="V82" s="35"/>
      <c r="W82" s="35" t="str">
        <f t="shared" si="21"/>
        <v>MW</v>
      </c>
      <c r="X82" s="79">
        <f t="shared" si="35"/>
        <v>0</v>
      </c>
      <c r="Y82" s="79">
        <f t="shared" si="22"/>
        <v>0</v>
      </c>
      <c r="Z82" s="79">
        <f t="shared" si="23"/>
        <v>0</v>
      </c>
      <c r="AA82" s="79">
        <f t="shared" si="24"/>
        <v>0</v>
      </c>
      <c r="AB82" s="79">
        <f t="shared" si="25"/>
        <v>0</v>
      </c>
      <c r="AC82" s="79">
        <f t="shared" si="26"/>
        <v>0</v>
      </c>
      <c r="AD82" s="79">
        <f t="shared" si="27"/>
        <v>0</v>
      </c>
      <c r="AE82" s="79">
        <f t="shared" si="28"/>
        <v>0</v>
      </c>
      <c r="AF82" s="79">
        <f t="shared" si="29"/>
        <v>0</v>
      </c>
      <c r="AG82" s="79">
        <f t="shared" si="30"/>
        <v>0</v>
      </c>
      <c r="AH82" s="79">
        <f t="shared" si="31"/>
        <v>0</v>
      </c>
      <c r="AI82"/>
      <c r="AJ82" s="60">
        <f t="shared" si="36"/>
        <v>0</v>
      </c>
    </row>
    <row r="83" spans="2:36" s="1" customFormat="1">
      <c r="B83" s="2" t="str">
        <f t="shared" si="20"/>
        <v>Upper Central Coast</v>
      </c>
      <c r="C83" s="35" t="str" cm="1">
        <f t="array" ref="C83">INDEX(network_levels,COUNTIFS($B$10:$B83,$B$10))</f>
        <v>ST</v>
      </c>
      <c r="D83" s="35"/>
      <c r="E83" s="35" t="s">
        <v>80</v>
      </c>
      <c r="F83" s="21" cm="1">
        <f t="array" ref="F83">IFERROR(INDEX('Max demand'!$D$11:$AB$85,MATCH(1,INDEX(($C83='Max demand'!$B$11:$B$85)*(F$9='Max demand'!$C$11:$C$85),0,1),0),MATCH($B83,'Max demand'!$D$9:$AB$9,0)),0)</f>
        <v>-7.9257738020000001</v>
      </c>
      <c r="G83" s="21" cm="1">
        <f t="array" ref="G83">IFERROR(INDEX('Max demand'!$D$11:$AB$85,MATCH(1,INDEX(($C83='Max demand'!$B$11:$B$85)*(G$9='Max demand'!$C$11:$C$85),0,1),0),MATCH($B83,'Max demand'!$D$9:$AB$9,0)),0)</f>
        <v>-7.9257738020000001</v>
      </c>
      <c r="H83" s="21" cm="1">
        <f t="array" ref="H83">IFERROR(INDEX('Max demand'!$D$11:$AB$85,MATCH(1,INDEX(($C83='Max demand'!$B$11:$B$85)*(H$9='Max demand'!$C$11:$C$85),0,1),0),MATCH($B83,'Max demand'!$D$9:$AB$9,0)),0)</f>
        <v>-7.9257738020000001</v>
      </c>
      <c r="I83" s="21" cm="1">
        <f t="array" ref="I83">IFERROR(INDEX('Max demand'!$D$11:$AB$85,MATCH(1,INDEX(($C83='Max demand'!$B$11:$B$85)*(I$9='Max demand'!$C$11:$C$85),0,1),0),MATCH($B83,'Max demand'!$D$9:$AB$9,0)),0)</f>
        <v>-7.9257738020000001</v>
      </c>
      <c r="J83" s="21" cm="1">
        <f t="array" ref="J83">IFERROR(INDEX('Max demand'!$D$11:$AB$85,MATCH(1,INDEX(($C83='Max demand'!$B$11:$B$85)*(J$9='Max demand'!$C$11:$C$85),0,1),0),MATCH($B83,'Max demand'!$D$9:$AB$9,0)),0)</f>
        <v>-7.9257738020000001</v>
      </c>
      <c r="K83" s="21" cm="1">
        <f t="array" ref="K83">IFERROR(INDEX('Max demand'!$D$11:$AB$85,MATCH(1,INDEX(($C83='Max demand'!$B$11:$B$85)*(K$9='Max demand'!$C$11:$C$85),0,1),0),MATCH($B83,'Max demand'!$D$9:$AB$9,0)),0)</f>
        <v>-7.9257738020000001</v>
      </c>
      <c r="L83" s="21" cm="1">
        <f t="array" ref="L83">IFERROR(INDEX('Max demand'!$D$11:$AB$85,MATCH(1,INDEX(($C83='Max demand'!$B$11:$B$85)*(L$9='Max demand'!$C$11:$C$85),0,1),0),MATCH($B83,'Max demand'!$D$9:$AB$9,0)),0)</f>
        <v>-7.9257738020000001</v>
      </c>
      <c r="M83" s="21" cm="1">
        <f t="array" ref="M83">IFERROR(INDEX('Max demand'!$D$11:$AB$85,MATCH(1,INDEX(($C83='Max demand'!$B$11:$B$85)*(M$9='Max demand'!$C$11:$C$85),0,1),0),MATCH($B83,'Max demand'!$D$9:$AB$9,0)),0)</f>
        <v>-7.9257738020000001</v>
      </c>
      <c r="N83" s="21" cm="1">
        <f t="array" ref="N83">IFERROR(INDEX('Max demand'!$D$11:$AB$85,MATCH(1,INDEX(($C83='Max demand'!$B$11:$B$85)*(N$9='Max demand'!$C$11:$C$85),0,1),0),MATCH($B83,'Max demand'!$D$9:$AB$9,0)),0)</f>
        <v>-7.9257738020000001</v>
      </c>
      <c r="O83" s="21" cm="1">
        <f t="array" ref="O83">IFERROR(INDEX('Max demand'!$D$11:$AB$85,MATCH(1,INDEX(($C83='Max demand'!$B$11:$B$85)*(O$9='Max demand'!$C$11:$C$85),0,1),0),MATCH($B83,'Max demand'!$D$9:$AB$9,0)),0)</f>
        <v>-7.9257738020000001</v>
      </c>
      <c r="P83" s="21" cm="1">
        <f t="array" ref="P83">IFERROR(INDEX('Max demand'!$D$11:$AB$85,MATCH(1,INDEX(($C83='Max demand'!$B$11:$B$85)*(P$9='Max demand'!$C$11:$C$85),0,1),0),MATCH($B83,'Max demand'!$D$9:$AB$9,0)),0)</f>
        <v>-7.9257738020000001</v>
      </c>
      <c r="Q83"/>
      <c r="R83" s="73">
        <f t="shared" si="32"/>
        <v>0</v>
      </c>
      <c r="T83" s="2" t="str">
        <f t="shared" si="33"/>
        <v>Upper Central Coast</v>
      </c>
      <c r="U83" s="35" t="str">
        <f t="shared" si="34"/>
        <v>ST</v>
      </c>
      <c r="V83" s="35"/>
      <c r="W83" s="35" t="str">
        <f t="shared" si="21"/>
        <v>MW</v>
      </c>
      <c r="X83" s="79">
        <f t="shared" si="35"/>
        <v>-6.9099925468511347E-2</v>
      </c>
      <c r="Y83" s="79">
        <f t="shared" si="22"/>
        <v>-6.9631431189868462E-2</v>
      </c>
      <c r="Z83" s="79">
        <f t="shared" si="23"/>
        <v>-6.9782684536398479E-2</v>
      </c>
      <c r="AA83" s="79">
        <f t="shared" si="24"/>
        <v>-6.9657481011786399E-2</v>
      </c>
      <c r="AB83" s="79">
        <f t="shared" si="25"/>
        <v>-6.9622935045514436E-2</v>
      </c>
      <c r="AC83" s="79">
        <f t="shared" si="26"/>
        <v>-6.9471220816853752E-2</v>
      </c>
      <c r="AD83" s="79">
        <f t="shared" si="27"/>
        <v>-6.9047345652579181E-2</v>
      </c>
      <c r="AE83" s="79">
        <f t="shared" si="28"/>
        <v>-6.820837037411738E-2</v>
      </c>
      <c r="AF83" s="79">
        <f t="shared" si="29"/>
        <v>-6.7490975671858924E-2</v>
      </c>
      <c r="AG83" s="79">
        <f t="shared" si="30"/>
        <v>-6.6955299677659411E-2</v>
      </c>
      <c r="AH83" s="79">
        <f t="shared" si="31"/>
        <v>-6.642927337212802E-2</v>
      </c>
      <c r="AI83"/>
      <c r="AJ83" s="60">
        <f t="shared" si="36"/>
        <v>-6.8672449347025086E-2</v>
      </c>
    </row>
    <row r="84" spans="2:36" s="1" customFormat="1">
      <c r="B84" s="2" t="str">
        <f t="shared" si="20"/>
        <v>Upper Hunter</v>
      </c>
      <c r="C84" s="35" t="str" cm="1">
        <f t="array" ref="C84">INDEX(network_levels,COUNTIFS($B$10:$B84,$B$10))</f>
        <v>ST</v>
      </c>
      <c r="D84" s="35"/>
      <c r="E84" s="35" t="s">
        <v>80</v>
      </c>
      <c r="F84" s="21" cm="1">
        <f t="array" ref="F84">IFERROR(INDEX('Max demand'!$D$11:$AB$85,MATCH(1,INDEX(($C84='Max demand'!$B$11:$B$85)*(F$9='Max demand'!$C$11:$C$85),0,1),0),MATCH($B84,'Max demand'!$D$9:$AB$9,0)),0)</f>
        <v>15.450783175570134</v>
      </c>
      <c r="G84" s="21" cm="1">
        <f t="array" ref="G84">IFERROR(INDEX('Max demand'!$D$11:$AB$85,MATCH(1,INDEX(($C84='Max demand'!$B$11:$B$85)*(G$9='Max demand'!$C$11:$C$85),0,1),0),MATCH($B84,'Max demand'!$D$9:$AB$9,0)),0)</f>
        <v>15.450783175570134</v>
      </c>
      <c r="H84" s="21" cm="1">
        <f t="array" ref="H84">IFERROR(INDEX('Max demand'!$D$11:$AB$85,MATCH(1,INDEX(($C84='Max demand'!$B$11:$B$85)*(H$9='Max demand'!$C$11:$C$85),0,1),0),MATCH($B84,'Max demand'!$D$9:$AB$9,0)),0)</f>
        <v>15.450783175570134</v>
      </c>
      <c r="I84" s="21" cm="1">
        <f t="array" ref="I84">IFERROR(INDEX('Max demand'!$D$11:$AB$85,MATCH(1,INDEX(($C84='Max demand'!$B$11:$B$85)*(I$9='Max demand'!$C$11:$C$85),0,1),0),MATCH($B84,'Max demand'!$D$9:$AB$9,0)),0)</f>
        <v>15.450783175570134</v>
      </c>
      <c r="J84" s="21" cm="1">
        <f t="array" ref="J84">IFERROR(INDEX('Max demand'!$D$11:$AB$85,MATCH(1,INDEX(($C84='Max demand'!$B$11:$B$85)*(J$9='Max demand'!$C$11:$C$85),0,1),0),MATCH($B84,'Max demand'!$D$9:$AB$9,0)),0)</f>
        <v>15.450783175570134</v>
      </c>
      <c r="K84" s="21" cm="1">
        <f t="array" ref="K84">IFERROR(INDEX('Max demand'!$D$11:$AB$85,MATCH(1,INDEX(($C84='Max demand'!$B$11:$B$85)*(K$9='Max demand'!$C$11:$C$85),0,1),0),MATCH($B84,'Max demand'!$D$9:$AB$9,0)),0)</f>
        <v>15.450783175570134</v>
      </c>
      <c r="L84" s="21" cm="1">
        <f t="array" ref="L84">IFERROR(INDEX('Max demand'!$D$11:$AB$85,MATCH(1,INDEX(($C84='Max demand'!$B$11:$B$85)*(L$9='Max demand'!$C$11:$C$85),0,1),0),MATCH($B84,'Max demand'!$D$9:$AB$9,0)),0)</f>
        <v>15.450783175570134</v>
      </c>
      <c r="M84" s="21" cm="1">
        <f t="array" ref="M84">IFERROR(INDEX('Max demand'!$D$11:$AB$85,MATCH(1,INDEX(($C84='Max demand'!$B$11:$B$85)*(M$9='Max demand'!$C$11:$C$85),0,1),0),MATCH($B84,'Max demand'!$D$9:$AB$9,0)),0)</f>
        <v>15.450783175570134</v>
      </c>
      <c r="N84" s="21" cm="1">
        <f t="array" ref="N84">IFERROR(INDEX('Max demand'!$D$11:$AB$85,MATCH(1,INDEX(($C84='Max demand'!$B$11:$B$85)*(N$9='Max demand'!$C$11:$C$85),0,1),0),MATCH($B84,'Max demand'!$D$9:$AB$9,0)),0)</f>
        <v>15.450783175570134</v>
      </c>
      <c r="O84" s="21" cm="1">
        <f t="array" ref="O84">IFERROR(INDEX('Max demand'!$D$11:$AB$85,MATCH(1,INDEX(($C84='Max demand'!$B$11:$B$85)*(O$9='Max demand'!$C$11:$C$85),0,1),0),MATCH($B84,'Max demand'!$D$9:$AB$9,0)),0)</f>
        <v>15.450783175570134</v>
      </c>
      <c r="P84" s="21" cm="1">
        <f t="array" ref="P84">IFERROR(INDEX('Max demand'!$D$11:$AB$85,MATCH(1,INDEX(($C84='Max demand'!$B$11:$B$85)*(P$9='Max demand'!$C$11:$C$85),0,1),0),MATCH($B84,'Max demand'!$D$9:$AB$9,0)),0)</f>
        <v>15.450783175570134</v>
      </c>
      <c r="Q84"/>
      <c r="R84" s="73">
        <f t="shared" si="32"/>
        <v>0</v>
      </c>
      <c r="T84" s="2" t="str">
        <f t="shared" si="33"/>
        <v>Upper Hunter</v>
      </c>
      <c r="U84" s="35" t="str">
        <f t="shared" si="34"/>
        <v>ST</v>
      </c>
      <c r="V84" s="35"/>
      <c r="W84" s="35" t="str">
        <f t="shared" si="21"/>
        <v>MW</v>
      </c>
      <c r="X84" s="79">
        <f t="shared" si="35"/>
        <v>0.22563025661944369</v>
      </c>
      <c r="Y84" s="79">
        <f t="shared" si="22"/>
        <v>0.22702017042597239</v>
      </c>
      <c r="Z84" s="79">
        <f t="shared" si="23"/>
        <v>0.22782176924094796</v>
      </c>
      <c r="AA84" s="79">
        <f t="shared" si="24"/>
        <v>0.22800611961993564</v>
      </c>
      <c r="AB84" s="79">
        <f t="shared" si="25"/>
        <v>0.22848407184927499</v>
      </c>
      <c r="AC84" s="79">
        <f t="shared" si="26"/>
        <v>0.22909929081936178</v>
      </c>
      <c r="AD84" s="79">
        <f t="shared" si="27"/>
        <v>0.22981481068979512</v>
      </c>
      <c r="AE84" s="79">
        <f t="shared" si="28"/>
        <v>0.22972732414777508</v>
      </c>
      <c r="AF84" s="79">
        <f t="shared" si="29"/>
        <v>0.22966525417170905</v>
      </c>
      <c r="AG84" s="79">
        <f t="shared" si="30"/>
        <v>0.22948324253721342</v>
      </c>
      <c r="AH84" s="79">
        <f t="shared" si="31"/>
        <v>0.22928736118646867</v>
      </c>
      <c r="AI84"/>
      <c r="AJ84" s="60">
        <f t="shared" si="36"/>
        <v>0.22854906102799075</v>
      </c>
    </row>
    <row r="85" spans="2:36" s="1" customFormat="1">
      <c r="B85" s="2" t="str">
        <f t="shared" si="20"/>
        <v>Upper North Shore</v>
      </c>
      <c r="C85" s="35" t="str" cm="1">
        <f t="array" ref="C85">INDEX(network_levels,COUNTIFS($B$10:$B85,$B$10))</f>
        <v>ST</v>
      </c>
      <c r="D85" s="35"/>
      <c r="E85" s="35" t="s">
        <v>80</v>
      </c>
      <c r="F85" s="21" cm="1">
        <f t="array" ref="F85">IFERROR(INDEX('Max demand'!$D$11:$AB$85,MATCH(1,INDEX(($C85='Max demand'!$B$11:$B$85)*(F$9='Max demand'!$C$11:$C$85),0,1),0),MATCH($B85,'Max demand'!$D$9:$AB$9,0)),0)</f>
        <v>0</v>
      </c>
      <c r="G85" s="21" cm="1">
        <f t="array" ref="G85">IFERROR(INDEX('Max demand'!$D$11:$AB$85,MATCH(1,INDEX(($C85='Max demand'!$B$11:$B$85)*(G$9='Max demand'!$C$11:$C$85),0,1),0),MATCH($B85,'Max demand'!$D$9:$AB$9,0)),0)</f>
        <v>0</v>
      </c>
      <c r="H85" s="21" cm="1">
        <f t="array" ref="H85">IFERROR(INDEX('Max demand'!$D$11:$AB$85,MATCH(1,INDEX(($C85='Max demand'!$B$11:$B$85)*(H$9='Max demand'!$C$11:$C$85),0,1),0),MATCH($B85,'Max demand'!$D$9:$AB$9,0)),0)</f>
        <v>0</v>
      </c>
      <c r="I85" s="21" cm="1">
        <f t="array" ref="I85">IFERROR(INDEX('Max demand'!$D$11:$AB$85,MATCH(1,INDEX(($C85='Max demand'!$B$11:$B$85)*(I$9='Max demand'!$C$11:$C$85),0,1),0),MATCH($B85,'Max demand'!$D$9:$AB$9,0)),0)</f>
        <v>0</v>
      </c>
      <c r="J85" s="21" cm="1">
        <f t="array" ref="J85">IFERROR(INDEX('Max demand'!$D$11:$AB$85,MATCH(1,INDEX(($C85='Max demand'!$B$11:$B$85)*(J$9='Max demand'!$C$11:$C$85),0,1),0),MATCH($B85,'Max demand'!$D$9:$AB$9,0)),0)</f>
        <v>0</v>
      </c>
      <c r="K85" s="21" cm="1">
        <f t="array" ref="K85">IFERROR(INDEX('Max demand'!$D$11:$AB$85,MATCH(1,INDEX(($C85='Max demand'!$B$11:$B$85)*(K$9='Max demand'!$C$11:$C$85),0,1),0),MATCH($B85,'Max demand'!$D$9:$AB$9,0)),0)</f>
        <v>0</v>
      </c>
      <c r="L85" s="21" cm="1">
        <f t="array" ref="L85">IFERROR(INDEX('Max demand'!$D$11:$AB$85,MATCH(1,INDEX(($C85='Max demand'!$B$11:$B$85)*(L$9='Max demand'!$C$11:$C$85),0,1),0),MATCH($B85,'Max demand'!$D$9:$AB$9,0)),0)</f>
        <v>0</v>
      </c>
      <c r="M85" s="21" cm="1">
        <f t="array" ref="M85">IFERROR(INDEX('Max demand'!$D$11:$AB$85,MATCH(1,INDEX(($C85='Max demand'!$B$11:$B$85)*(M$9='Max demand'!$C$11:$C$85),0,1),0),MATCH($B85,'Max demand'!$D$9:$AB$9,0)),0)</f>
        <v>0</v>
      </c>
      <c r="N85" s="21" cm="1">
        <f t="array" ref="N85">IFERROR(INDEX('Max demand'!$D$11:$AB$85,MATCH(1,INDEX(($C85='Max demand'!$B$11:$B$85)*(N$9='Max demand'!$C$11:$C$85),0,1),0),MATCH($B85,'Max demand'!$D$9:$AB$9,0)),0)</f>
        <v>0</v>
      </c>
      <c r="O85" s="21" cm="1">
        <f t="array" ref="O85">IFERROR(INDEX('Max demand'!$D$11:$AB$85,MATCH(1,INDEX(($C85='Max demand'!$B$11:$B$85)*(O$9='Max demand'!$C$11:$C$85),0,1),0),MATCH($B85,'Max demand'!$D$9:$AB$9,0)),0)</f>
        <v>0</v>
      </c>
      <c r="P85" s="21" cm="1">
        <f t="array" ref="P85">IFERROR(INDEX('Max demand'!$D$11:$AB$85,MATCH(1,INDEX(($C85='Max demand'!$B$11:$B$85)*(P$9='Max demand'!$C$11:$C$85),0,1),0),MATCH($B85,'Max demand'!$D$9:$AB$9,0)),0)</f>
        <v>0</v>
      </c>
      <c r="Q85"/>
      <c r="R85" s="73">
        <f t="shared" si="32"/>
        <v>0</v>
      </c>
      <c r="T85" s="2" t="str">
        <f t="shared" si="33"/>
        <v>Upper North Shore</v>
      </c>
      <c r="U85" s="35" t="str">
        <f t="shared" si="34"/>
        <v>ST</v>
      </c>
      <c r="V85" s="35"/>
      <c r="W85" s="35" t="str">
        <f t="shared" si="21"/>
        <v>MW</v>
      </c>
      <c r="X85" s="79">
        <f t="shared" si="35"/>
        <v>0</v>
      </c>
      <c r="Y85" s="79">
        <f t="shared" si="22"/>
        <v>0</v>
      </c>
      <c r="Z85" s="79">
        <f t="shared" si="23"/>
        <v>0</v>
      </c>
      <c r="AA85" s="79">
        <f t="shared" si="24"/>
        <v>0</v>
      </c>
      <c r="AB85" s="79">
        <f t="shared" si="25"/>
        <v>0</v>
      </c>
      <c r="AC85" s="79">
        <f t="shared" si="26"/>
        <v>0</v>
      </c>
      <c r="AD85" s="79">
        <f t="shared" si="27"/>
        <v>0</v>
      </c>
      <c r="AE85" s="79">
        <f t="shared" si="28"/>
        <v>0</v>
      </c>
      <c r="AF85" s="79">
        <f t="shared" si="29"/>
        <v>0</v>
      </c>
      <c r="AG85" s="79">
        <f t="shared" si="30"/>
        <v>0</v>
      </c>
      <c r="AH85" s="79">
        <f t="shared" si="31"/>
        <v>0</v>
      </c>
      <c r="AI85"/>
      <c r="AJ85" s="60">
        <f t="shared" si="36"/>
        <v>0</v>
      </c>
    </row>
    <row r="86" spans="2:36" s="1" customFormat="1">
      <c r="B86" s="2" t="str">
        <f t="shared" si="20"/>
        <v>West Lake Macquarie</v>
      </c>
      <c r="C86" s="35" t="str" cm="1">
        <f t="array" ref="C86">INDEX(network_levels,COUNTIFS($B$10:$B86,$B$10))</f>
        <v>ST</v>
      </c>
      <c r="D86" s="35"/>
      <c r="E86" s="35" t="s">
        <v>80</v>
      </c>
      <c r="F86" s="21" cm="1">
        <f t="array" ref="F86">IFERROR(INDEX('Max demand'!$D$11:$AB$85,MATCH(1,INDEX(($C86='Max demand'!$B$11:$B$85)*(F$9='Max demand'!$C$11:$C$85),0,1),0),MATCH($B86,'Max demand'!$D$9:$AB$9,0)),0)</f>
        <v>28.025024433785482</v>
      </c>
      <c r="G86" s="21" cm="1">
        <f t="array" ref="G86">IFERROR(INDEX('Max demand'!$D$11:$AB$85,MATCH(1,INDEX(($C86='Max demand'!$B$11:$B$85)*(G$9='Max demand'!$C$11:$C$85),0,1),0),MATCH($B86,'Max demand'!$D$9:$AB$9,0)),0)</f>
        <v>28.025024433785482</v>
      </c>
      <c r="H86" s="21" cm="1">
        <f t="array" ref="H86">IFERROR(INDEX('Max demand'!$D$11:$AB$85,MATCH(1,INDEX(($C86='Max demand'!$B$11:$B$85)*(H$9='Max demand'!$C$11:$C$85),0,1),0),MATCH($B86,'Max demand'!$D$9:$AB$9,0)),0)</f>
        <v>28.025024433785482</v>
      </c>
      <c r="I86" s="21" cm="1">
        <f t="array" ref="I86">IFERROR(INDEX('Max demand'!$D$11:$AB$85,MATCH(1,INDEX(($C86='Max demand'!$B$11:$B$85)*(I$9='Max demand'!$C$11:$C$85),0,1),0),MATCH($B86,'Max demand'!$D$9:$AB$9,0)),0)</f>
        <v>28.025024433785482</v>
      </c>
      <c r="J86" s="21" cm="1">
        <f t="array" ref="J86">IFERROR(INDEX('Max demand'!$D$11:$AB$85,MATCH(1,INDEX(($C86='Max demand'!$B$11:$B$85)*(J$9='Max demand'!$C$11:$C$85),0,1),0),MATCH($B86,'Max demand'!$D$9:$AB$9,0)),0)</f>
        <v>28.025024433785482</v>
      </c>
      <c r="K86" s="21" cm="1">
        <f t="array" ref="K86">IFERROR(INDEX('Max demand'!$D$11:$AB$85,MATCH(1,INDEX(($C86='Max demand'!$B$11:$B$85)*(K$9='Max demand'!$C$11:$C$85),0,1),0),MATCH($B86,'Max demand'!$D$9:$AB$9,0)),0)</f>
        <v>28.025024433785482</v>
      </c>
      <c r="L86" s="21" cm="1">
        <f t="array" ref="L86">IFERROR(INDEX('Max demand'!$D$11:$AB$85,MATCH(1,INDEX(($C86='Max demand'!$B$11:$B$85)*(L$9='Max demand'!$C$11:$C$85),0,1),0),MATCH($B86,'Max demand'!$D$9:$AB$9,0)),0)</f>
        <v>28.025024433785482</v>
      </c>
      <c r="M86" s="21" cm="1">
        <f t="array" ref="M86">IFERROR(INDEX('Max demand'!$D$11:$AB$85,MATCH(1,INDEX(($C86='Max demand'!$B$11:$B$85)*(M$9='Max demand'!$C$11:$C$85),0,1),0),MATCH($B86,'Max demand'!$D$9:$AB$9,0)),0)</f>
        <v>28.025024433785482</v>
      </c>
      <c r="N86" s="21" cm="1">
        <f t="array" ref="N86">IFERROR(INDEX('Max demand'!$D$11:$AB$85,MATCH(1,INDEX(($C86='Max demand'!$B$11:$B$85)*(N$9='Max demand'!$C$11:$C$85),0,1),0),MATCH($B86,'Max demand'!$D$9:$AB$9,0)),0)</f>
        <v>28.025024433785482</v>
      </c>
      <c r="O86" s="21" cm="1">
        <f t="array" ref="O86">IFERROR(INDEX('Max demand'!$D$11:$AB$85,MATCH(1,INDEX(($C86='Max demand'!$B$11:$B$85)*(O$9='Max demand'!$C$11:$C$85),0,1),0),MATCH($B86,'Max demand'!$D$9:$AB$9,0)),0)</f>
        <v>28.025024433785482</v>
      </c>
      <c r="P86" s="21" cm="1">
        <f t="array" ref="P86">IFERROR(INDEX('Max demand'!$D$11:$AB$85,MATCH(1,INDEX(($C86='Max demand'!$B$11:$B$85)*(P$9='Max demand'!$C$11:$C$85),0,1),0),MATCH($B86,'Max demand'!$D$9:$AB$9,0)),0)</f>
        <v>28.025024433785482</v>
      </c>
      <c r="Q86"/>
      <c r="R86" s="73">
        <f t="shared" si="32"/>
        <v>0</v>
      </c>
      <c r="T86" s="2" t="str">
        <f t="shared" si="33"/>
        <v>West Lake Macquarie</v>
      </c>
      <c r="U86" s="35" t="str">
        <f t="shared" si="34"/>
        <v>ST</v>
      </c>
      <c r="V86" s="35"/>
      <c r="W86" s="35" t="str">
        <f t="shared" si="21"/>
        <v>MW</v>
      </c>
      <c r="X86" s="79">
        <f t="shared" si="35"/>
        <v>0.2816179219320567</v>
      </c>
      <c r="Y86" s="79">
        <f t="shared" si="22"/>
        <v>0.28187191420512464</v>
      </c>
      <c r="Z86" s="79">
        <f t="shared" si="23"/>
        <v>0.28258869594110991</v>
      </c>
      <c r="AA86" s="79">
        <f t="shared" si="24"/>
        <v>0.28280506137839567</v>
      </c>
      <c r="AB86" s="79">
        <f t="shared" si="25"/>
        <v>0.28332409517564816</v>
      </c>
      <c r="AC86" s="79">
        <f t="shared" si="26"/>
        <v>0.2840018453962328</v>
      </c>
      <c r="AD86" s="79">
        <f t="shared" si="27"/>
        <v>0.28474096968582491</v>
      </c>
      <c r="AE86" s="79">
        <f t="shared" si="28"/>
        <v>0.2845950812848046</v>
      </c>
      <c r="AF86" s="79">
        <f t="shared" si="29"/>
        <v>0.284540814701083</v>
      </c>
      <c r="AG86" s="79">
        <f t="shared" si="30"/>
        <v>0.28473692360576713</v>
      </c>
      <c r="AH86" s="79">
        <f t="shared" si="31"/>
        <v>0.28485631994035682</v>
      </c>
      <c r="AI86"/>
      <c r="AJ86" s="60">
        <f t="shared" si="36"/>
        <v>0.28360724029512768</v>
      </c>
    </row>
    <row r="87" spans="2:36" s="1" customFormat="1">
      <c r="B87" s="2" t="str">
        <f t="shared" si="20"/>
        <v>System wide</v>
      </c>
      <c r="C87" s="35" t="str" cm="1">
        <f t="array" ref="C87">INDEX(network_levels,COUNTIFS($B$10:$B87,$B$10))</f>
        <v>ST</v>
      </c>
      <c r="D87" s="35"/>
      <c r="E87" s="35" t="s">
        <v>80</v>
      </c>
      <c r="F87" s="21" cm="1">
        <f t="array" ref="F87">IFERROR(INDEX('Max demand'!$D$11:$AB$85,MATCH(1,INDEX(($C87='Max demand'!$B$11:$B$85)*(F$9='Max demand'!$C$11:$C$85),0,1),0),MATCH($B87,'Max demand'!$D$9:$AB$9,0)),0)</f>
        <v>0</v>
      </c>
      <c r="G87" s="21" cm="1">
        <f t="array" ref="G87">IFERROR(INDEX('Max demand'!$D$11:$AB$85,MATCH(1,INDEX(($C87='Max demand'!$B$11:$B$85)*(G$9='Max demand'!$C$11:$C$85),0,1),0),MATCH($B87,'Max demand'!$D$9:$AB$9,0)),0)</f>
        <v>0</v>
      </c>
      <c r="H87" s="21" cm="1">
        <f t="array" ref="H87">IFERROR(INDEX('Max demand'!$D$11:$AB$85,MATCH(1,INDEX(($C87='Max demand'!$B$11:$B$85)*(H$9='Max demand'!$C$11:$C$85),0,1),0),MATCH($B87,'Max demand'!$D$9:$AB$9,0)),0)</f>
        <v>0</v>
      </c>
      <c r="I87" s="21" cm="1">
        <f t="array" ref="I87">IFERROR(INDEX('Max demand'!$D$11:$AB$85,MATCH(1,INDEX(($C87='Max demand'!$B$11:$B$85)*(I$9='Max demand'!$C$11:$C$85),0,1),0),MATCH($B87,'Max demand'!$D$9:$AB$9,0)),0)</f>
        <v>0</v>
      </c>
      <c r="J87" s="21" cm="1">
        <f t="array" ref="J87">IFERROR(INDEX('Max demand'!$D$11:$AB$85,MATCH(1,INDEX(($C87='Max demand'!$B$11:$B$85)*(J$9='Max demand'!$C$11:$C$85),0,1),0),MATCH($B87,'Max demand'!$D$9:$AB$9,0)),0)</f>
        <v>0</v>
      </c>
      <c r="K87" s="21" cm="1">
        <f t="array" ref="K87">IFERROR(INDEX('Max demand'!$D$11:$AB$85,MATCH(1,INDEX(($C87='Max demand'!$B$11:$B$85)*(K$9='Max demand'!$C$11:$C$85),0,1),0),MATCH($B87,'Max demand'!$D$9:$AB$9,0)),0)</f>
        <v>0</v>
      </c>
      <c r="L87" s="21" cm="1">
        <f t="array" ref="L87">IFERROR(INDEX('Max demand'!$D$11:$AB$85,MATCH(1,INDEX(($C87='Max demand'!$B$11:$B$85)*(L$9='Max demand'!$C$11:$C$85),0,1),0),MATCH($B87,'Max demand'!$D$9:$AB$9,0)),0)</f>
        <v>0</v>
      </c>
      <c r="M87" s="21" cm="1">
        <f t="array" ref="M87">IFERROR(INDEX('Max demand'!$D$11:$AB$85,MATCH(1,INDEX(($C87='Max demand'!$B$11:$B$85)*(M$9='Max demand'!$C$11:$C$85),0,1),0),MATCH($B87,'Max demand'!$D$9:$AB$9,0)),0)</f>
        <v>0</v>
      </c>
      <c r="N87" s="21" cm="1">
        <f t="array" ref="N87">IFERROR(INDEX('Max demand'!$D$11:$AB$85,MATCH(1,INDEX(($C87='Max demand'!$B$11:$B$85)*(N$9='Max demand'!$C$11:$C$85),0,1),0),MATCH($B87,'Max demand'!$D$9:$AB$9,0)),0)</f>
        <v>0</v>
      </c>
      <c r="O87" s="21" cm="1">
        <f t="array" ref="O87">IFERROR(INDEX('Max demand'!$D$11:$AB$85,MATCH(1,INDEX(($C87='Max demand'!$B$11:$B$85)*(O$9='Max demand'!$C$11:$C$85),0,1),0),MATCH($B87,'Max demand'!$D$9:$AB$9,0)),0)</f>
        <v>0</v>
      </c>
      <c r="P87" s="21" cm="1">
        <f t="array" ref="P87">IFERROR(INDEX('Max demand'!$D$11:$AB$85,MATCH(1,INDEX(($C87='Max demand'!$B$11:$B$85)*(P$9='Max demand'!$C$11:$C$85),0,1),0),MATCH($B87,'Max demand'!$D$9:$AB$9,0)),0)</f>
        <v>0</v>
      </c>
      <c r="Q87"/>
      <c r="R87" s="73">
        <f t="shared" si="32"/>
        <v>0</v>
      </c>
      <c r="T87" s="2" t="str">
        <f t="shared" si="33"/>
        <v>System wide</v>
      </c>
      <c r="U87" s="35" t="str">
        <f t="shared" si="34"/>
        <v>ST</v>
      </c>
      <c r="V87" s="35"/>
      <c r="W87" s="35" t="str">
        <f t="shared" si="21"/>
        <v>MW</v>
      </c>
      <c r="X87" s="79">
        <f t="shared" si="35"/>
        <v>0</v>
      </c>
      <c r="Y87" s="79">
        <f t="shared" si="22"/>
        <v>0</v>
      </c>
      <c r="Z87" s="79">
        <f t="shared" si="23"/>
        <v>0</v>
      </c>
      <c r="AA87" s="79">
        <f t="shared" si="24"/>
        <v>0</v>
      </c>
      <c r="AB87" s="79">
        <f t="shared" si="25"/>
        <v>0</v>
      </c>
      <c r="AC87" s="79">
        <f t="shared" si="26"/>
        <v>0</v>
      </c>
      <c r="AD87" s="79">
        <f t="shared" si="27"/>
        <v>0</v>
      </c>
      <c r="AE87" s="79">
        <f t="shared" si="28"/>
        <v>0</v>
      </c>
      <c r="AF87" s="79">
        <f t="shared" si="29"/>
        <v>0</v>
      </c>
      <c r="AG87" s="79">
        <f t="shared" si="30"/>
        <v>0</v>
      </c>
      <c r="AH87" s="79">
        <f t="shared" si="31"/>
        <v>0</v>
      </c>
      <c r="AI87"/>
      <c r="AJ87" s="60">
        <f t="shared" si="36"/>
        <v>0</v>
      </c>
    </row>
    <row r="89" spans="2:36"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4">
    <tabColor rgb="FF9EC0DB"/>
  </sheetPr>
  <dimension ref="A1:X69"/>
  <sheetViews>
    <sheetView showGridLines="0" zoomScale="70" zoomScaleNormal="70" workbookViewId="0"/>
  </sheetViews>
  <sheetFormatPr defaultColWidth="8.84375" defaultRowHeight="15.5"/>
  <cols>
    <col min="1" max="1" width="19.69140625" bestFit="1" customWidth="1"/>
    <col min="2" max="2" width="34.84375" customWidth="1"/>
    <col min="3" max="19" width="13.84375" customWidth="1"/>
    <col min="21" max="24" width="13.84375" customWidth="1"/>
  </cols>
  <sheetData>
    <row r="1" spans="1:24" s="1" customFormat="1" ht="18">
      <c r="A1" s="49" t="str">
        <f ca="1">MID(CELL("filename",A2),FIND("]",CELL("filename",A2))+1,256)</f>
        <v>Growing &amp; falling</v>
      </c>
    </row>
    <row r="2" spans="1:24" s="1" customFormat="1" ht="14"/>
    <row r="3" spans="1:24" s="1" customFormat="1" ht="21">
      <c r="B3" s="6" t="s">
        <v>100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s="1" customFormat="1" ht="14"/>
    <row r="5" spans="1:24" s="1" customFormat="1">
      <c r="B5" s="14"/>
      <c r="C5" s="18" t="str" cm="1">
        <f t="array" ref="C5:E5">TRANSPOSE(network_levels)</f>
        <v>LV</v>
      </c>
      <c r="D5" s="18" t="str">
        <v>HV</v>
      </c>
      <c r="E5" s="18" t="str">
        <v>ST</v>
      </c>
    </row>
    <row r="6" spans="1:24" s="1" customFormat="1">
      <c r="B6" s="2" t="s">
        <v>101</v>
      </c>
      <c r="C6" s="46" t="s">
        <v>102</v>
      </c>
      <c r="D6" s="46" t="s">
        <v>102</v>
      </c>
      <c r="E6" s="46" t="s">
        <v>102</v>
      </c>
    </row>
    <row r="7" spans="1:24" s="1" customFormat="1">
      <c r="B7"/>
    </row>
    <row r="8" spans="1:24" s="1" customFormat="1">
      <c r="B8" s="14"/>
      <c r="C8" s="18" t="s">
        <v>103</v>
      </c>
      <c r="D8" s="18" t="s">
        <v>104</v>
      </c>
    </row>
    <row r="9" spans="1:24" s="1" customFormat="1">
      <c r="B9" s="2" t="s">
        <v>105</v>
      </c>
      <c r="C9" s="47">
        <v>2024</v>
      </c>
      <c r="D9" s="47">
        <v>2034</v>
      </c>
    </row>
    <row r="10" spans="1:24" s="1" customFormat="1" ht="14">
      <c r="C10" s="19"/>
      <c r="D10" s="19"/>
    </row>
    <row r="11" spans="1:24" s="1" customFormat="1">
      <c r="B11" s="5" t="s">
        <v>106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U11" s="5" t="s">
        <v>107</v>
      </c>
      <c r="V11" s="5"/>
      <c r="W11" s="5"/>
      <c r="X11" s="5"/>
    </row>
    <row r="12" spans="1:24" s="1" customFormat="1" ht="14"/>
    <row r="13" spans="1:24" s="1" customFormat="1" ht="31">
      <c r="B13" s="14" t="s">
        <v>86</v>
      </c>
      <c r="C13" s="17" t="s">
        <v>108</v>
      </c>
      <c r="D13" s="18" t="s">
        <v>88</v>
      </c>
      <c r="E13" s="18" t="s">
        <v>109</v>
      </c>
      <c r="F13" s="18">
        <f>G13-1</f>
        <v>2024</v>
      </c>
      <c r="G13" s="18" cm="1">
        <f t="array" ref="G13:P13">TRANSPOSE(years)</f>
        <v>2025</v>
      </c>
      <c r="H13" s="18">
        <v>2026</v>
      </c>
      <c r="I13" s="18">
        <v>2027</v>
      </c>
      <c r="J13" s="18">
        <v>2028</v>
      </c>
      <c r="K13" s="18">
        <v>2029</v>
      </c>
      <c r="L13" s="18">
        <v>2030</v>
      </c>
      <c r="M13" s="18">
        <v>2031</v>
      </c>
      <c r="N13" s="18">
        <v>2032</v>
      </c>
      <c r="O13" s="18">
        <v>2033</v>
      </c>
      <c r="P13" s="18">
        <v>2034</v>
      </c>
      <c r="R13" s="17" t="s">
        <v>110</v>
      </c>
      <c r="S13" s="17" t="s">
        <v>111</v>
      </c>
      <c r="U13" s="18" t="s">
        <v>88</v>
      </c>
      <c r="V13" s="18" t="s">
        <v>109</v>
      </c>
      <c r="W13" s="78" t="s">
        <v>112</v>
      </c>
      <c r="X13" s="17" t="s">
        <v>111</v>
      </c>
    </row>
    <row r="14" spans="1:24" s="1" customFormat="1">
      <c r="B14" s="2" t="str" cm="1">
        <f t="array" ref="B14:B39">area_plans</f>
        <v>Auburn / Homebush</v>
      </c>
      <c r="C14" s="44">
        <f t="shared" ref="C14:C39" si="0">IFERROR((($P14/$F14)^(1/10)-1),0)</f>
        <v>9.5673453686886401E-3</v>
      </c>
      <c r="D14" s="35" t="str">
        <f>IF($B14=Lists!$D$31,$B14,IF($C14&gt;0,"Growth","Decline"))</f>
        <v>Growth</v>
      </c>
      <c r="E14" s="35" t="s">
        <v>80</v>
      </c>
      <c r="F14" s="71">
        <f>IFERROR(
IF($C$6="Yes",SUMIFS('Raw demand'!F:F,'Raw demand'!$B:$B,$B14,'Raw demand'!$C:$C,$C$5),0)+
IF($D$6="Yes",SUMIFS('Raw demand'!F:F,'Raw demand'!$B:$B,$B14,'Raw demand'!$C:$C,$D$5),0)+
IF($E$6="Yes",SUMIFS('Raw demand'!F:F,'Raw demand'!$B:$B,$B14,'Raw demand'!$C:$C,$E$5),0),
0)</f>
        <v>441.61771494047287</v>
      </c>
      <c r="G14" s="71">
        <f>IFERROR(
IF($C$6="Yes",SUMIFS('Raw demand'!G:G,'Raw demand'!$B:$B,$B14,'Raw demand'!$C:$C,$C$5),0)+
IF($D$6="Yes",SUMIFS('Raw demand'!G:G,'Raw demand'!$B:$B,$B14,'Raw demand'!$C:$C,$D$5),0)+
IF($E$6="Yes",SUMIFS('Raw demand'!G:G,'Raw demand'!$B:$B,$B14,'Raw demand'!$C:$C,$E$5),0),
0)</f>
        <v>446.48952319427286</v>
      </c>
      <c r="H14" s="71">
        <f>IFERROR(
IF($C$6="Yes",SUMIFS('Raw demand'!H:H,'Raw demand'!$B:$B,$B14,'Raw demand'!$C:$C,$C$5),0)+
IF($D$6="Yes",SUMIFS('Raw demand'!H:H,'Raw demand'!$B:$B,$B14,'Raw demand'!$C:$C,$D$5),0)+
IF($E$6="Yes",SUMIFS('Raw demand'!H:H,'Raw demand'!$B:$B,$B14,'Raw demand'!$C:$C,$E$5),0),
0)</f>
        <v>445.12299041527285</v>
      </c>
      <c r="I14" s="71">
        <f>IFERROR(
IF($C$6="Yes",SUMIFS('Raw demand'!I:I,'Raw demand'!$B:$B,$B14,'Raw demand'!$C:$C,$C$5),0)+
IF($D$6="Yes",SUMIFS('Raw demand'!I:I,'Raw demand'!$B:$B,$B14,'Raw demand'!$C:$C,$D$5),0)+
IF($E$6="Yes",SUMIFS('Raw demand'!I:I,'Raw demand'!$B:$B,$B14,'Raw demand'!$C:$C,$E$5),0),
0)</f>
        <v>445.98062277027287</v>
      </c>
      <c r="J14" s="71">
        <f>IFERROR(
IF($C$6="Yes",SUMIFS('Raw demand'!J:J,'Raw demand'!$B:$B,$B14,'Raw demand'!$C:$C,$C$5),0)+
IF($D$6="Yes",SUMIFS('Raw demand'!J:J,'Raw demand'!$B:$B,$B14,'Raw demand'!$C:$C,$D$5),0)+
IF($E$6="Yes",SUMIFS('Raw demand'!J:J,'Raw demand'!$B:$B,$B14,'Raw demand'!$C:$C,$E$5),0),
0)</f>
        <v>446.43658261727285</v>
      </c>
      <c r="K14" s="71">
        <f>IFERROR(
IF($C$6="Yes",SUMIFS('Raw demand'!K:K,'Raw demand'!$B:$B,$B14,'Raw demand'!$C:$C,$C$5),0)+
IF($D$6="Yes",SUMIFS('Raw demand'!K:K,'Raw demand'!$B:$B,$B14,'Raw demand'!$C:$C,$D$5),0)+
IF($E$6="Yes",SUMIFS('Raw demand'!K:K,'Raw demand'!$B:$B,$B14,'Raw demand'!$C:$C,$E$5),0),
0)</f>
        <v>468.27038254427282</v>
      </c>
      <c r="L14" s="71">
        <f>IFERROR(
IF($C$6="Yes",SUMIFS('Raw demand'!L:L,'Raw demand'!$B:$B,$B14,'Raw demand'!$C:$C,$C$5),0)+
IF($D$6="Yes",SUMIFS('Raw demand'!L:L,'Raw demand'!$B:$B,$B14,'Raw demand'!$C:$C,$D$5),0)+
IF($E$6="Yes",SUMIFS('Raw demand'!L:L,'Raw demand'!$B:$B,$B14,'Raw demand'!$C:$C,$E$5),0),
0)</f>
        <v>470.63725973827286</v>
      </c>
      <c r="M14" s="71">
        <f>IFERROR(
IF($C$6="Yes",SUMIFS('Raw demand'!M:M,'Raw demand'!$B:$B,$B14,'Raw demand'!$C:$C,$C$5),0)+
IF($D$6="Yes",SUMIFS('Raw demand'!M:M,'Raw demand'!$B:$B,$B14,'Raw demand'!$C:$C,$D$5),0)+
IF($E$6="Yes",SUMIFS('Raw demand'!M:M,'Raw demand'!$B:$B,$B14,'Raw demand'!$C:$C,$E$5),0),
0)</f>
        <v>474.69895791827287</v>
      </c>
      <c r="N14" s="71">
        <f>IFERROR(
IF($C$6="Yes",SUMIFS('Raw demand'!N:N,'Raw demand'!$B:$B,$B14,'Raw demand'!$C:$C,$C$5),0)+
IF($D$6="Yes",SUMIFS('Raw demand'!N:N,'Raw demand'!$B:$B,$B14,'Raw demand'!$C:$C,$D$5),0)+
IF($E$6="Yes",SUMIFS('Raw demand'!N:N,'Raw demand'!$B:$B,$B14,'Raw demand'!$C:$C,$E$5),0),
0)</f>
        <v>478.57487654927286</v>
      </c>
      <c r="O14" s="71">
        <f>IFERROR(
IF($C$6="Yes",SUMIFS('Raw demand'!O:O,'Raw demand'!$B:$B,$B14,'Raw demand'!$C:$C,$C$5),0)+
IF($D$6="Yes",SUMIFS('Raw demand'!O:O,'Raw demand'!$B:$B,$B14,'Raw demand'!$C:$C,$D$5),0)+
IF($E$6="Yes",SUMIFS('Raw demand'!O:O,'Raw demand'!$B:$B,$B14,'Raw demand'!$C:$C,$E$5),0),
0)</f>
        <v>481.87446712227279</v>
      </c>
      <c r="P14" s="71">
        <f>IFERROR(
IF($C$6="Yes",SUMIFS('Raw demand'!P:P,'Raw demand'!$B:$B,$B14,'Raw demand'!$C:$C,$C$5),0)+
IF($D$6="Yes",SUMIFS('Raw demand'!P:P,'Raw demand'!$B:$B,$B14,'Raw demand'!$C:$C,$D$5),0)+
IF($E$6="Yes",SUMIFS('Raw demand'!P:P,'Raw demand'!$B:$B,$B14,'Raw demand'!$C:$C,$E$5),0),
0)</f>
        <v>485.73504048827283</v>
      </c>
      <c r="Q14" s="34"/>
      <c r="R14" s="71">
        <f>AVERAGE(G14:P14)</f>
        <v>464.38207033577282</v>
      </c>
      <c r="S14" s="72">
        <f t="shared" ref="S14:S39" si="1">R14/SUM($R$14:$R$38)</f>
        <v>8.1990962017909119E-2</v>
      </c>
      <c r="U14" s="2" t="s">
        <v>91</v>
      </c>
      <c r="V14" s="35" t="str">
        <f>E14</f>
        <v>MW</v>
      </c>
      <c r="W14" s="71">
        <f>SUMIFS($P$14:$P$39,$D$14:$D$39,$U14)-SUMIFS($F$14:$F$39,$D$14:$D$39,$U14)</f>
        <v>330.17707064816022</v>
      </c>
      <c r="X14" s="72">
        <f>SUMIFS($S$14:$S$39,$D$14:$D$39,$U14)</f>
        <v>0.74492496945912501</v>
      </c>
    </row>
    <row r="15" spans="1:24" s="1" customFormat="1">
      <c r="B15" s="2" t="str">
        <v>Camperdown &amp; Blackwattle Bay</v>
      </c>
      <c r="C15" s="44">
        <f t="shared" si="0"/>
        <v>2.7941369480977141E-3</v>
      </c>
      <c r="D15" s="35" t="str">
        <f>IF($B15=Lists!$D$31,$B15,IF($C15&gt;0,"Growth","Decline"))</f>
        <v>Growth</v>
      </c>
      <c r="E15" s="35" t="str">
        <f t="shared" ref="E15:E39" si="2">$E$14</f>
        <v>MW</v>
      </c>
      <c r="F15" s="71">
        <f>IFERROR(
IF($C$6="Yes",SUMIFS('Raw demand'!F:F,'Raw demand'!$B:$B,$B15,'Raw demand'!$C:$C,$C$5),0)+
IF($D$6="Yes",SUMIFS('Raw demand'!F:F,'Raw demand'!$B:$B,$B15,'Raw demand'!$C:$C,$D$5),0)+
IF($E$6="Yes",SUMIFS('Raw demand'!F:F,'Raw demand'!$B:$B,$B15,'Raw demand'!$C:$C,$E$5),0),
0)</f>
        <v>145.54873615243676</v>
      </c>
      <c r="G15" s="71">
        <f>IFERROR(
IF($C$6="Yes",SUMIFS('Raw demand'!G:G,'Raw demand'!$B:$B,$B15,'Raw demand'!$C:$C,$C$5),0)+
IF($D$6="Yes",SUMIFS('Raw demand'!G:G,'Raw demand'!$B:$B,$B15,'Raw demand'!$C:$C,$D$5),0)+
IF($E$6="Yes",SUMIFS('Raw demand'!G:G,'Raw demand'!$B:$B,$B15,'Raw demand'!$C:$C,$E$5),0),
0)</f>
        <v>145.8330622970611</v>
      </c>
      <c r="H15" s="71">
        <f>IFERROR(
IF($C$6="Yes",SUMIFS('Raw demand'!H:H,'Raw demand'!$B:$B,$B15,'Raw demand'!$C:$C,$C$5),0)+
IF($D$6="Yes",SUMIFS('Raw demand'!H:H,'Raw demand'!$B:$B,$B15,'Raw demand'!$C:$C,$D$5),0)+
IF($E$6="Yes",SUMIFS('Raw demand'!H:H,'Raw demand'!$B:$B,$B15,'Raw demand'!$C:$C,$E$5),0),
0)</f>
        <v>146.1415110740611</v>
      </c>
      <c r="I15" s="71">
        <f>IFERROR(
IF($C$6="Yes",SUMIFS('Raw demand'!I:I,'Raw demand'!$B:$B,$B15,'Raw demand'!$C:$C,$C$5),0)+
IF($D$6="Yes",SUMIFS('Raw demand'!I:I,'Raw demand'!$B:$B,$B15,'Raw demand'!$C:$C,$D$5),0)+
IF($E$6="Yes",SUMIFS('Raw demand'!I:I,'Raw demand'!$B:$B,$B15,'Raw demand'!$C:$C,$E$5),0),
0)</f>
        <v>147.18883509986108</v>
      </c>
      <c r="J15" s="71">
        <f>IFERROR(
IF($C$6="Yes",SUMIFS('Raw demand'!J:J,'Raw demand'!$B:$B,$B15,'Raw demand'!$C:$C,$C$5),0)+
IF($D$6="Yes",SUMIFS('Raw demand'!J:J,'Raw demand'!$B:$B,$B15,'Raw demand'!$C:$C,$D$5),0)+
IF($E$6="Yes",SUMIFS('Raw demand'!J:J,'Raw demand'!$B:$B,$B15,'Raw demand'!$C:$C,$E$5),0),
0)</f>
        <v>148.00375872876111</v>
      </c>
      <c r="K15" s="71">
        <f>IFERROR(
IF($C$6="Yes",SUMIFS('Raw demand'!K:K,'Raw demand'!$B:$B,$B15,'Raw demand'!$C:$C,$C$5),0)+
IF($D$6="Yes",SUMIFS('Raw demand'!K:K,'Raw demand'!$B:$B,$B15,'Raw demand'!$C:$C,$D$5),0)+
IF($E$6="Yes",SUMIFS('Raw demand'!K:K,'Raw demand'!$B:$B,$B15,'Raw demand'!$C:$C,$E$5),0),
0)</f>
        <v>147.96511165656111</v>
      </c>
      <c r="L15" s="71">
        <f>IFERROR(
IF($C$6="Yes",SUMIFS('Raw demand'!L:L,'Raw demand'!$B:$B,$B15,'Raw demand'!$C:$C,$C$5),0)+
IF($D$6="Yes",SUMIFS('Raw demand'!L:L,'Raw demand'!$B:$B,$B15,'Raw demand'!$C:$C,$D$5),0)+
IF($E$6="Yes",SUMIFS('Raw demand'!L:L,'Raw demand'!$B:$B,$B15,'Raw demand'!$C:$C,$E$5),0),
0)</f>
        <v>147.94192555676111</v>
      </c>
      <c r="M15" s="71">
        <f>IFERROR(
IF($C$6="Yes",SUMIFS('Raw demand'!M:M,'Raw demand'!$B:$B,$B15,'Raw demand'!$C:$C,$C$5),0)+
IF($D$6="Yes",SUMIFS('Raw demand'!M:M,'Raw demand'!$B:$B,$B15,'Raw demand'!$C:$C,$D$5),0)+
IF($E$6="Yes",SUMIFS('Raw demand'!M:M,'Raw demand'!$B:$B,$B15,'Raw demand'!$C:$C,$E$5),0),
0)</f>
        <v>148.38644890356113</v>
      </c>
      <c r="N15" s="71">
        <f>IFERROR(
IF($C$6="Yes",SUMIFS('Raw demand'!N:N,'Raw demand'!$B:$B,$B15,'Raw demand'!$C:$C,$C$5),0)+
IF($D$6="Yes",SUMIFS('Raw demand'!N:N,'Raw demand'!$B:$B,$B15,'Raw demand'!$C:$C,$D$5),0)+
IF($E$6="Yes",SUMIFS('Raw demand'!N:N,'Raw demand'!$B:$B,$B15,'Raw demand'!$C:$C,$E$5),0),
0)</f>
        <v>148.79164317786112</v>
      </c>
      <c r="O15" s="71">
        <f>IFERROR(
IF($C$6="Yes",SUMIFS('Raw demand'!O:O,'Raw demand'!$B:$B,$B15,'Raw demand'!$C:$C,$C$5),0)+
IF($D$6="Yes",SUMIFS('Raw demand'!O:O,'Raw demand'!$B:$B,$B15,'Raw demand'!$C:$C,$D$5),0)+
IF($E$6="Yes",SUMIFS('Raw demand'!O:O,'Raw demand'!$B:$B,$B15,'Raw demand'!$C:$C,$E$5),0),
0)</f>
        <v>149.13642482626111</v>
      </c>
      <c r="P15" s="71">
        <f>IFERROR(
IF($C$6="Yes",SUMIFS('Raw demand'!P:P,'Raw demand'!$B:$B,$B15,'Raw demand'!$C:$C,$C$5),0)+
IF($D$6="Yes",SUMIFS('Raw demand'!P:P,'Raw demand'!$B:$B,$B15,'Raw demand'!$C:$C,$D$5),0)+
IF($E$6="Yes",SUMIFS('Raw demand'!P:P,'Raw demand'!$B:$B,$B15,'Raw demand'!$C:$C,$E$5),0),
0)</f>
        <v>149.66708481546112</v>
      </c>
      <c r="Q15" s="34"/>
      <c r="R15" s="71">
        <f t="shared" ref="R15:R39" si="3">AVERAGE(G15:P15)</f>
        <v>147.90558061362111</v>
      </c>
      <c r="S15" s="72">
        <f t="shared" si="1"/>
        <v>2.6114102195116617E-2</v>
      </c>
      <c r="U15" s="2" t="s">
        <v>92</v>
      </c>
      <c r="V15" s="35" t="str">
        <f>E15</f>
        <v>MW</v>
      </c>
      <c r="W15" s="71">
        <f>SUMIFS($P$14:$P$39,$D$14:$D$39,$U15)-SUMIFS($F$14:$F$39,$D$14:$D$39,$U15)</f>
        <v>-33.205977123400089</v>
      </c>
      <c r="X15" s="72">
        <f>SUMIFS($S$14:$S$39,$D$14:$D$39,$U15)</f>
        <v>0.25507503054087516</v>
      </c>
    </row>
    <row r="16" spans="1:24" s="1" customFormat="1">
      <c r="B16" s="2" t="str">
        <v>Canterbury Bankstown</v>
      </c>
      <c r="C16" s="44">
        <f t="shared" si="0"/>
        <v>2.0650373724013793E-3</v>
      </c>
      <c r="D16" s="35" t="str">
        <f>IF($B16=Lists!$D$31,$B16,IF($C16&gt;0,"Growth","Decline"))</f>
        <v>Growth</v>
      </c>
      <c r="E16" s="35" t="str">
        <f t="shared" si="2"/>
        <v>MW</v>
      </c>
      <c r="F16" s="71">
        <f>IFERROR(
IF($C$6="Yes",SUMIFS('Raw demand'!F:F,'Raw demand'!$B:$B,$B16,'Raw demand'!$C:$C,$C$5),0)+
IF($D$6="Yes",SUMIFS('Raw demand'!F:F,'Raw demand'!$B:$B,$B16,'Raw demand'!$C:$C,$D$5),0)+
IF($E$6="Yes",SUMIFS('Raw demand'!F:F,'Raw demand'!$B:$B,$B16,'Raw demand'!$C:$C,$E$5),0),
0)</f>
        <v>475.51197003552062</v>
      </c>
      <c r="G16" s="71">
        <f>IFERROR(
IF($C$6="Yes",SUMIFS('Raw demand'!G:G,'Raw demand'!$B:$B,$B16,'Raw demand'!$C:$C,$C$5),0)+
IF($D$6="Yes",SUMIFS('Raw demand'!G:G,'Raw demand'!$B:$B,$B16,'Raw demand'!$C:$C,$D$5),0)+
IF($E$6="Yes",SUMIFS('Raw demand'!G:G,'Raw demand'!$B:$B,$B16,'Raw demand'!$C:$C,$E$5),0),
0)</f>
        <v>471.78583521192058</v>
      </c>
      <c r="H16" s="71">
        <f>IFERROR(
IF($C$6="Yes",SUMIFS('Raw demand'!H:H,'Raw demand'!$B:$B,$B16,'Raw demand'!$C:$C,$C$5),0)+
IF($D$6="Yes",SUMIFS('Raw demand'!H:H,'Raw demand'!$B:$B,$B16,'Raw demand'!$C:$C,$D$5),0)+
IF($E$6="Yes",SUMIFS('Raw demand'!H:H,'Raw demand'!$B:$B,$B16,'Raw demand'!$C:$C,$E$5),0),
0)</f>
        <v>470.74870512692058</v>
      </c>
      <c r="I16" s="71">
        <f>IFERROR(
IF($C$6="Yes",SUMIFS('Raw demand'!I:I,'Raw demand'!$B:$B,$B16,'Raw demand'!$C:$C,$C$5),0)+
IF($D$6="Yes",SUMIFS('Raw demand'!I:I,'Raw demand'!$B:$B,$B16,'Raw demand'!$C:$C,$D$5),0)+
IF($E$6="Yes",SUMIFS('Raw demand'!I:I,'Raw demand'!$B:$B,$B16,'Raw demand'!$C:$C,$E$5),0),
0)</f>
        <v>471.94517479662062</v>
      </c>
      <c r="J16" s="71">
        <f>IFERROR(
IF($C$6="Yes",SUMIFS('Raw demand'!J:J,'Raw demand'!$B:$B,$B16,'Raw demand'!$C:$C,$C$5),0)+
IF($D$6="Yes",SUMIFS('Raw demand'!J:J,'Raw demand'!$B:$B,$B16,'Raw demand'!$C:$C,$D$5),0)+
IF($E$6="Yes",SUMIFS('Raw demand'!J:J,'Raw demand'!$B:$B,$B16,'Raw demand'!$C:$C,$E$5),0),
0)</f>
        <v>472.4602812391206</v>
      </c>
      <c r="K16" s="71">
        <f>IFERROR(
IF($C$6="Yes",SUMIFS('Raw demand'!K:K,'Raw demand'!$B:$B,$B16,'Raw demand'!$C:$C,$C$5),0)+
IF($D$6="Yes",SUMIFS('Raw demand'!K:K,'Raw demand'!$B:$B,$B16,'Raw demand'!$C:$C,$D$5),0)+
IF($E$6="Yes",SUMIFS('Raw demand'!K:K,'Raw demand'!$B:$B,$B16,'Raw demand'!$C:$C,$E$5),0),
0)</f>
        <v>472.81007135362057</v>
      </c>
      <c r="L16" s="71">
        <f>IFERROR(
IF($C$6="Yes",SUMIFS('Raw demand'!L:L,'Raw demand'!$B:$B,$B16,'Raw demand'!$C:$C,$C$5),0)+
IF($D$6="Yes",SUMIFS('Raw demand'!L:L,'Raw demand'!$B:$B,$B16,'Raw demand'!$C:$C,$D$5),0)+
IF($E$6="Yes",SUMIFS('Raw demand'!L:L,'Raw demand'!$B:$B,$B16,'Raw demand'!$C:$C,$E$5),0),
0)</f>
        <v>473.47054582252059</v>
      </c>
      <c r="M16" s="71">
        <f>IFERROR(
IF($C$6="Yes",SUMIFS('Raw demand'!M:M,'Raw demand'!$B:$B,$B16,'Raw demand'!$C:$C,$C$5),0)+
IF($D$6="Yes",SUMIFS('Raw demand'!M:M,'Raw demand'!$B:$B,$B16,'Raw demand'!$C:$C,$D$5),0)+
IF($E$6="Yes",SUMIFS('Raw demand'!M:M,'Raw demand'!$B:$B,$B16,'Raw demand'!$C:$C,$E$5),0),
0)</f>
        <v>476.56097864222062</v>
      </c>
      <c r="N16" s="71">
        <f>IFERROR(
IF($C$6="Yes",SUMIFS('Raw demand'!N:N,'Raw demand'!$B:$B,$B16,'Raw demand'!$C:$C,$C$5),0)+
IF($D$6="Yes",SUMIFS('Raw demand'!N:N,'Raw demand'!$B:$B,$B16,'Raw demand'!$C:$C,$D$5),0)+
IF($E$6="Yes",SUMIFS('Raw demand'!N:N,'Raw demand'!$B:$B,$B16,'Raw demand'!$C:$C,$E$5),0),
0)</f>
        <v>479.48601037202059</v>
      </c>
      <c r="O16" s="71">
        <f>IFERROR(
IF($C$6="Yes",SUMIFS('Raw demand'!O:O,'Raw demand'!$B:$B,$B16,'Raw demand'!$C:$C,$C$5),0)+
IF($D$6="Yes",SUMIFS('Raw demand'!O:O,'Raw demand'!$B:$B,$B16,'Raw demand'!$C:$C,$D$5),0)+
IF($E$6="Yes",SUMIFS('Raw demand'!O:O,'Raw demand'!$B:$B,$B16,'Raw demand'!$C:$C,$E$5),0),
0)</f>
        <v>482.3079748397206</v>
      </c>
      <c r="P16" s="71">
        <f>IFERROR(
IF($C$6="Yes",SUMIFS('Raw demand'!P:P,'Raw demand'!$B:$B,$B16,'Raw demand'!$C:$C,$C$5),0)+
IF($D$6="Yes",SUMIFS('Raw demand'!P:P,'Raw demand'!$B:$B,$B16,'Raw demand'!$C:$C,$D$5),0)+
IF($E$6="Yes",SUMIFS('Raw demand'!P:P,'Raw demand'!$B:$B,$B16,'Raw demand'!$C:$C,$E$5),0),
0)</f>
        <v>485.4232235904206</v>
      </c>
      <c r="Q16" s="34"/>
      <c r="R16" s="71">
        <f t="shared" si="3"/>
        <v>475.69988009951066</v>
      </c>
      <c r="S16" s="72">
        <f t="shared" si="1"/>
        <v>8.3989226313069321E-2</v>
      </c>
    </row>
    <row r="17" spans="2:19" s="1" customFormat="1">
      <c r="B17" s="2" t="str">
        <v>Carlingford</v>
      </c>
      <c r="C17" s="44">
        <f t="shared" si="0"/>
        <v>4.3798192062463936E-2</v>
      </c>
      <c r="D17" s="35" t="str">
        <f>IF($B17=Lists!$D$31,$B17,IF($C17&gt;0,"Growth","Decline"))</f>
        <v>Growth</v>
      </c>
      <c r="E17" s="35" t="str">
        <f t="shared" si="2"/>
        <v>MW</v>
      </c>
      <c r="F17" s="71">
        <f>IFERROR(
IF($C$6="Yes",SUMIFS('Raw demand'!F:F,'Raw demand'!$B:$B,$B17,'Raw demand'!$C:$C,$C$5),0)+
IF($D$6="Yes",SUMIFS('Raw demand'!F:F,'Raw demand'!$B:$B,$B17,'Raw demand'!$C:$C,$D$5),0)+
IF($E$6="Yes",SUMIFS('Raw demand'!F:F,'Raw demand'!$B:$B,$B17,'Raw demand'!$C:$C,$E$5),0),
0)</f>
        <v>371.96727897199997</v>
      </c>
      <c r="G17" s="71">
        <f>IFERROR(
IF($C$6="Yes",SUMIFS('Raw demand'!G:G,'Raw demand'!$B:$B,$B17,'Raw demand'!$C:$C,$C$5),0)+
IF($D$6="Yes",SUMIFS('Raw demand'!G:G,'Raw demand'!$B:$B,$B17,'Raw demand'!$C:$C,$D$5),0)+
IF($E$6="Yes",SUMIFS('Raw demand'!G:G,'Raw demand'!$B:$B,$B17,'Raw demand'!$C:$C,$E$5),0),
0)</f>
        <v>386.99981111300002</v>
      </c>
      <c r="H17" s="71">
        <f>IFERROR(
IF($C$6="Yes",SUMIFS('Raw demand'!H:H,'Raw demand'!$B:$B,$B17,'Raw demand'!$C:$C,$C$5),0)+
IF($D$6="Yes",SUMIFS('Raw demand'!H:H,'Raw demand'!$B:$B,$B17,'Raw demand'!$C:$C,$D$5),0)+
IF($E$6="Yes",SUMIFS('Raw demand'!H:H,'Raw demand'!$B:$B,$B17,'Raw demand'!$C:$C,$E$5),0),
0)</f>
        <v>425.04175920439997</v>
      </c>
      <c r="I17" s="71">
        <f>IFERROR(
IF($C$6="Yes",SUMIFS('Raw demand'!I:I,'Raw demand'!$B:$B,$B17,'Raw demand'!$C:$C,$C$5),0)+
IF($D$6="Yes",SUMIFS('Raw demand'!I:I,'Raw demand'!$B:$B,$B17,'Raw demand'!$C:$C,$D$5),0)+
IF($E$6="Yes",SUMIFS('Raw demand'!I:I,'Raw demand'!$B:$B,$B17,'Raw demand'!$C:$C,$E$5),0),
0)</f>
        <v>449.60079884800001</v>
      </c>
      <c r="J17" s="71">
        <f>IFERROR(
IF($C$6="Yes",SUMIFS('Raw demand'!J:J,'Raw demand'!$B:$B,$B17,'Raw demand'!$C:$C,$C$5),0)+
IF($D$6="Yes",SUMIFS('Raw demand'!J:J,'Raw demand'!$B:$B,$B17,'Raw demand'!$C:$C,$D$5),0)+
IF($E$6="Yes",SUMIFS('Raw demand'!J:J,'Raw demand'!$B:$B,$B17,'Raw demand'!$C:$C,$E$5),0),
0)</f>
        <v>478.28879663800001</v>
      </c>
      <c r="K17" s="71">
        <f>IFERROR(
IF($C$6="Yes",SUMIFS('Raw demand'!K:K,'Raw demand'!$B:$B,$B17,'Raw demand'!$C:$C,$C$5),0)+
IF($D$6="Yes",SUMIFS('Raw demand'!K:K,'Raw demand'!$B:$B,$B17,'Raw demand'!$C:$C,$D$5),0)+
IF($E$6="Yes",SUMIFS('Raw demand'!K:K,'Raw demand'!$B:$B,$B17,'Raw demand'!$C:$C,$E$5),0),
0)</f>
        <v>502.70623353299999</v>
      </c>
      <c r="L17" s="71">
        <f>IFERROR(
IF($C$6="Yes",SUMIFS('Raw demand'!L:L,'Raw demand'!$B:$B,$B17,'Raw demand'!$C:$C,$C$5),0)+
IF($D$6="Yes",SUMIFS('Raw demand'!L:L,'Raw demand'!$B:$B,$B17,'Raw demand'!$C:$C,$D$5),0)+
IF($E$6="Yes",SUMIFS('Raw demand'!L:L,'Raw demand'!$B:$B,$B17,'Raw demand'!$C:$C,$E$5),0),
0)</f>
        <v>526.24112357699994</v>
      </c>
      <c r="M17" s="71">
        <f>IFERROR(
IF($C$6="Yes",SUMIFS('Raw demand'!M:M,'Raw demand'!$B:$B,$B17,'Raw demand'!$C:$C,$C$5),0)+
IF($D$6="Yes",SUMIFS('Raw demand'!M:M,'Raw demand'!$B:$B,$B17,'Raw demand'!$C:$C,$D$5),0)+
IF($E$6="Yes",SUMIFS('Raw demand'!M:M,'Raw demand'!$B:$B,$B17,'Raw demand'!$C:$C,$E$5),0),
0)</f>
        <v>551.58038149000004</v>
      </c>
      <c r="N17" s="71">
        <f>IFERROR(
IF($C$6="Yes",SUMIFS('Raw demand'!N:N,'Raw demand'!$B:$B,$B17,'Raw demand'!$C:$C,$C$5),0)+
IF($D$6="Yes",SUMIFS('Raw demand'!N:N,'Raw demand'!$B:$B,$B17,'Raw demand'!$C:$C,$D$5),0)+
IF($E$6="Yes",SUMIFS('Raw demand'!N:N,'Raw demand'!$B:$B,$B17,'Raw demand'!$C:$C,$E$5),0),
0)</f>
        <v>558.065803415</v>
      </c>
      <c r="O17" s="71">
        <f>IFERROR(
IF($C$6="Yes",SUMIFS('Raw demand'!O:O,'Raw demand'!$B:$B,$B17,'Raw demand'!$C:$C,$C$5),0)+
IF($D$6="Yes",SUMIFS('Raw demand'!O:O,'Raw demand'!$B:$B,$B17,'Raw demand'!$C:$C,$D$5),0)+
IF($E$6="Yes",SUMIFS('Raw demand'!O:O,'Raw demand'!$B:$B,$B17,'Raw demand'!$C:$C,$E$5),0),
0)</f>
        <v>564.25888476499995</v>
      </c>
      <c r="P17" s="71">
        <f>IFERROR(
IF($C$6="Yes",SUMIFS('Raw demand'!P:P,'Raw demand'!$B:$B,$B17,'Raw demand'!$C:$C,$C$5),0)+
IF($D$6="Yes",SUMIFS('Raw demand'!P:P,'Raw demand'!$B:$B,$B17,'Raw demand'!$C:$C,$D$5),0)+
IF($E$6="Yes",SUMIFS('Raw demand'!P:P,'Raw demand'!$B:$B,$B17,'Raw demand'!$C:$C,$E$5),0),
0)</f>
        <v>571.04474675500001</v>
      </c>
      <c r="Q17" s="34"/>
      <c r="R17" s="71">
        <f t="shared" si="3"/>
        <v>501.38283393384006</v>
      </c>
      <c r="S17" s="72">
        <f t="shared" si="1"/>
        <v>8.8523790041629372E-2</v>
      </c>
    </row>
    <row r="18" spans="2:19" s="1" customFormat="1">
      <c r="B18" s="2" t="str">
        <v>Eastern Suburbs</v>
      </c>
      <c r="C18" s="44">
        <f t="shared" si="0"/>
        <v>5.241389681334141E-4</v>
      </c>
      <c r="D18" s="35" t="str">
        <f>IF($B18=Lists!$D$31,$B18,IF($C18&gt;0,"Growth","Decline"))</f>
        <v>Growth</v>
      </c>
      <c r="E18" s="35" t="str">
        <f t="shared" si="2"/>
        <v>MW</v>
      </c>
      <c r="F18" s="71">
        <f>IFERROR(
IF($C$6="Yes",SUMIFS('Raw demand'!F:F,'Raw demand'!$B:$B,$B18,'Raw demand'!$C:$C,$C$5),0)+
IF($D$6="Yes",SUMIFS('Raw demand'!F:F,'Raw demand'!$B:$B,$B18,'Raw demand'!$C:$C,$D$5),0)+
IF($E$6="Yes",SUMIFS('Raw demand'!F:F,'Raw demand'!$B:$B,$B18,'Raw demand'!$C:$C,$E$5),0),
0)</f>
        <v>799.32269922835155</v>
      </c>
      <c r="G18" s="71">
        <f>IFERROR(
IF($C$6="Yes",SUMIFS('Raw demand'!G:G,'Raw demand'!$B:$B,$B18,'Raw demand'!$C:$C,$C$5),0)+
IF($D$6="Yes",SUMIFS('Raw demand'!G:G,'Raw demand'!$B:$B,$B18,'Raw demand'!$C:$C,$D$5),0)+
IF($E$6="Yes",SUMIFS('Raw demand'!G:G,'Raw demand'!$B:$B,$B18,'Raw demand'!$C:$C,$E$5),0),
0)</f>
        <v>790.49558650855147</v>
      </c>
      <c r="H18" s="71">
        <f>IFERROR(
IF($C$6="Yes",SUMIFS('Raw demand'!H:H,'Raw demand'!$B:$B,$B18,'Raw demand'!$C:$C,$C$5),0)+
IF($D$6="Yes",SUMIFS('Raw demand'!H:H,'Raw demand'!$B:$B,$B18,'Raw demand'!$C:$C,$D$5),0)+
IF($E$6="Yes",SUMIFS('Raw demand'!H:H,'Raw demand'!$B:$B,$B18,'Raw demand'!$C:$C,$E$5),0),
0)</f>
        <v>789.06991389255154</v>
      </c>
      <c r="I18" s="71">
        <f>IFERROR(
IF($C$6="Yes",SUMIFS('Raw demand'!I:I,'Raw demand'!$B:$B,$B18,'Raw demand'!$C:$C,$C$5),0)+
IF($D$6="Yes",SUMIFS('Raw demand'!I:I,'Raw demand'!$B:$B,$B18,'Raw demand'!$C:$C,$D$5),0)+
IF($E$6="Yes",SUMIFS('Raw demand'!I:I,'Raw demand'!$B:$B,$B18,'Raw demand'!$C:$C,$E$5),0),
0)</f>
        <v>793.12284378295146</v>
      </c>
      <c r="J18" s="71">
        <f>IFERROR(
IF($C$6="Yes",SUMIFS('Raw demand'!J:J,'Raw demand'!$B:$B,$B18,'Raw demand'!$C:$C,$C$5),0)+
IF($D$6="Yes",SUMIFS('Raw demand'!J:J,'Raw demand'!$B:$B,$B18,'Raw demand'!$C:$C,$D$5),0)+
IF($E$6="Yes",SUMIFS('Raw demand'!J:J,'Raw demand'!$B:$B,$B18,'Raw demand'!$C:$C,$E$5),0),
0)</f>
        <v>797.83441393595149</v>
      </c>
      <c r="K18" s="71">
        <f>IFERROR(
IF($C$6="Yes",SUMIFS('Raw demand'!K:K,'Raw demand'!$B:$B,$B18,'Raw demand'!$C:$C,$C$5),0)+
IF($D$6="Yes",SUMIFS('Raw demand'!K:K,'Raw demand'!$B:$B,$B18,'Raw demand'!$C:$C,$D$5),0)+
IF($E$6="Yes",SUMIFS('Raw demand'!K:K,'Raw demand'!$B:$B,$B18,'Raw demand'!$C:$C,$E$5),0),
0)</f>
        <v>795.45124465295135</v>
      </c>
      <c r="L18" s="71">
        <f>IFERROR(
IF($C$6="Yes",SUMIFS('Raw demand'!L:L,'Raw demand'!$B:$B,$B18,'Raw demand'!$C:$C,$C$5),0)+
IF($D$6="Yes",SUMIFS('Raw demand'!L:L,'Raw demand'!$B:$B,$B18,'Raw demand'!$C:$C,$D$5),0)+
IF($E$6="Yes",SUMIFS('Raw demand'!L:L,'Raw demand'!$B:$B,$B18,'Raw demand'!$C:$C,$E$5),0),
0)</f>
        <v>793.32310498495144</v>
      </c>
      <c r="M18" s="71">
        <f>IFERROR(
IF($C$6="Yes",SUMIFS('Raw demand'!M:M,'Raw demand'!$B:$B,$B18,'Raw demand'!$C:$C,$C$5),0)+
IF($D$6="Yes",SUMIFS('Raw demand'!M:M,'Raw demand'!$B:$B,$B18,'Raw demand'!$C:$C,$D$5),0)+
IF($E$6="Yes",SUMIFS('Raw demand'!M:M,'Raw demand'!$B:$B,$B18,'Raw demand'!$C:$C,$E$5),0),
0)</f>
        <v>795.63935028295145</v>
      </c>
      <c r="N18" s="71">
        <f>IFERROR(
IF($C$6="Yes",SUMIFS('Raw demand'!N:N,'Raw demand'!$B:$B,$B18,'Raw demand'!$C:$C,$C$5),0)+
IF($D$6="Yes",SUMIFS('Raw demand'!N:N,'Raw demand'!$B:$B,$B18,'Raw demand'!$C:$C,$D$5),0)+
IF($E$6="Yes",SUMIFS('Raw demand'!N:N,'Raw demand'!$B:$B,$B18,'Raw demand'!$C:$C,$E$5),0),
0)</f>
        <v>798.01207638595156</v>
      </c>
      <c r="O18" s="71">
        <f>IFERROR(
IF($C$6="Yes",SUMIFS('Raw demand'!O:O,'Raw demand'!$B:$B,$B18,'Raw demand'!$C:$C,$C$5),0)+
IF($D$6="Yes",SUMIFS('Raw demand'!O:O,'Raw demand'!$B:$B,$B18,'Raw demand'!$C:$C,$D$5),0)+
IF($E$6="Yes",SUMIFS('Raw demand'!O:O,'Raw demand'!$B:$B,$B18,'Raw demand'!$C:$C,$E$5),0),
0)</f>
        <v>800.22563367195153</v>
      </c>
      <c r="P18" s="71">
        <f>IFERROR(
IF($C$6="Yes",SUMIFS('Raw demand'!P:P,'Raw demand'!$B:$B,$B18,'Raw demand'!$C:$C,$C$5),0)+
IF($D$6="Yes",SUMIFS('Raw demand'!P:P,'Raw demand'!$B:$B,$B18,'Raw demand'!$C:$C,$D$5),0)+
IF($E$6="Yes",SUMIFS('Raw demand'!P:P,'Raw demand'!$B:$B,$B18,'Raw demand'!$C:$C,$E$5),0),
0)</f>
        <v>803.52215640695158</v>
      </c>
      <c r="Q18" s="34"/>
      <c r="R18" s="71">
        <f t="shared" si="3"/>
        <v>795.6696324505715</v>
      </c>
      <c r="S18" s="72">
        <f t="shared" si="1"/>
        <v>0.14048285405568778</v>
      </c>
    </row>
    <row r="19" spans="2:19" s="1" customFormat="1">
      <c r="B19" s="2" t="str">
        <v>Greater Cessnock</v>
      </c>
      <c r="C19" s="44">
        <f t="shared" si="0"/>
        <v>3.5291400426320507E-3</v>
      </c>
      <c r="D19" s="35" t="str">
        <f>IF($B19=Lists!$D$31,$B19,IF($C19&gt;0,"Growth","Decline"))</f>
        <v>Growth</v>
      </c>
      <c r="E19" s="35" t="str">
        <f t="shared" si="2"/>
        <v>MW</v>
      </c>
      <c r="F19" s="71">
        <f>IFERROR(
IF($C$6="Yes",SUMIFS('Raw demand'!F:F,'Raw demand'!$B:$B,$B19,'Raw demand'!$C:$C,$C$5),0)+
IF($D$6="Yes",SUMIFS('Raw demand'!F:F,'Raw demand'!$B:$B,$B19,'Raw demand'!$C:$C,$D$5),0)+
IF($E$6="Yes",SUMIFS('Raw demand'!F:F,'Raw demand'!$B:$B,$B19,'Raw demand'!$C:$C,$E$5),0),
0)</f>
        <v>102.12922164185606</v>
      </c>
      <c r="G19" s="71">
        <f>IFERROR(
IF($C$6="Yes",SUMIFS('Raw demand'!G:G,'Raw demand'!$B:$B,$B19,'Raw demand'!$C:$C,$C$5),0)+
IF($D$6="Yes",SUMIFS('Raw demand'!G:G,'Raw demand'!$B:$B,$B19,'Raw demand'!$C:$C,$D$5),0)+
IF($E$6="Yes",SUMIFS('Raw demand'!G:G,'Raw demand'!$B:$B,$B19,'Raw demand'!$C:$C,$E$5),0),
0)</f>
        <v>102.15936601075606</v>
      </c>
      <c r="H19" s="71">
        <f>IFERROR(
IF($C$6="Yes",SUMIFS('Raw demand'!H:H,'Raw demand'!$B:$B,$B19,'Raw demand'!$C:$C,$C$5),0)+
IF($D$6="Yes",SUMIFS('Raw demand'!H:H,'Raw demand'!$B:$B,$B19,'Raw demand'!$C:$C,$D$5),0)+
IF($E$6="Yes",SUMIFS('Raw demand'!H:H,'Raw demand'!$B:$B,$B19,'Raw demand'!$C:$C,$E$5),0),
0)</f>
        <v>102.35892724675605</v>
      </c>
      <c r="I19" s="71">
        <f>IFERROR(
IF($C$6="Yes",SUMIFS('Raw demand'!I:I,'Raw demand'!$B:$B,$B19,'Raw demand'!$C:$C,$C$5),0)+
IF($D$6="Yes",SUMIFS('Raw demand'!I:I,'Raw demand'!$B:$B,$B19,'Raw demand'!$C:$C,$D$5),0)+
IF($E$6="Yes",SUMIFS('Raw demand'!I:I,'Raw demand'!$B:$B,$B19,'Raw demand'!$C:$C,$E$5),0),
0)</f>
        <v>102.79794003265606</v>
      </c>
      <c r="J19" s="71">
        <f>IFERROR(
IF($C$6="Yes",SUMIFS('Raw demand'!J:J,'Raw demand'!$B:$B,$B19,'Raw demand'!$C:$C,$C$5),0)+
IF($D$6="Yes",SUMIFS('Raw demand'!J:J,'Raw demand'!$B:$B,$B19,'Raw demand'!$C:$C,$D$5),0)+
IF($E$6="Yes",SUMIFS('Raw demand'!J:J,'Raw demand'!$B:$B,$B19,'Raw demand'!$C:$C,$E$5),0),
0)</f>
        <v>103.11360031335606</v>
      </c>
      <c r="K19" s="71">
        <f>IFERROR(
IF($C$6="Yes",SUMIFS('Raw demand'!K:K,'Raw demand'!$B:$B,$B19,'Raw demand'!$C:$C,$C$5),0)+
IF($D$6="Yes",SUMIFS('Raw demand'!K:K,'Raw demand'!$B:$B,$B19,'Raw demand'!$C:$C,$D$5),0)+
IF($E$6="Yes",SUMIFS('Raw demand'!K:K,'Raw demand'!$B:$B,$B19,'Raw demand'!$C:$C,$E$5),0),
0)</f>
        <v>103.35831680655606</v>
      </c>
      <c r="L19" s="71">
        <f>IFERROR(
IF($C$6="Yes",SUMIFS('Raw demand'!L:L,'Raw demand'!$B:$B,$B19,'Raw demand'!$C:$C,$C$5),0)+
IF($D$6="Yes",SUMIFS('Raw demand'!L:L,'Raw demand'!$B:$B,$B19,'Raw demand'!$C:$C,$D$5),0)+
IF($E$6="Yes",SUMIFS('Raw demand'!L:L,'Raw demand'!$B:$B,$B19,'Raw demand'!$C:$C,$E$5),0),
0)</f>
        <v>103.61392246525605</v>
      </c>
      <c r="M19" s="71">
        <f>IFERROR(
IF($C$6="Yes",SUMIFS('Raw demand'!M:M,'Raw demand'!$B:$B,$B19,'Raw demand'!$C:$C,$C$5),0)+
IF($D$6="Yes",SUMIFS('Raw demand'!M:M,'Raw demand'!$B:$B,$B19,'Raw demand'!$C:$C,$D$5),0)+
IF($E$6="Yes",SUMIFS('Raw demand'!M:M,'Raw demand'!$B:$B,$B19,'Raw demand'!$C:$C,$E$5),0),
0)</f>
        <v>104.20544579175606</v>
      </c>
      <c r="N19" s="71">
        <f>IFERROR(
IF($C$6="Yes",SUMIFS('Raw demand'!N:N,'Raw demand'!$B:$B,$B19,'Raw demand'!$C:$C,$C$5),0)+
IF($D$6="Yes",SUMIFS('Raw demand'!N:N,'Raw demand'!$B:$B,$B19,'Raw demand'!$C:$C,$D$5),0)+
IF($E$6="Yes",SUMIFS('Raw demand'!N:N,'Raw demand'!$B:$B,$B19,'Raw demand'!$C:$C,$E$5),0),
0)</f>
        <v>104.73885927645607</v>
      </c>
      <c r="O19" s="71">
        <f>IFERROR(
IF($C$6="Yes",SUMIFS('Raw demand'!O:O,'Raw demand'!$B:$B,$B19,'Raw demand'!$C:$C,$C$5),0)+
IF($D$6="Yes",SUMIFS('Raw demand'!O:O,'Raw demand'!$B:$B,$B19,'Raw demand'!$C:$C,$D$5),0)+
IF($E$6="Yes",SUMIFS('Raw demand'!O:O,'Raw demand'!$B:$B,$B19,'Raw demand'!$C:$C,$E$5),0),
0)</f>
        <v>105.26623461945606</v>
      </c>
      <c r="P19" s="71">
        <f>IFERROR(
IF($C$6="Yes",SUMIFS('Raw demand'!P:P,'Raw demand'!$B:$B,$B19,'Raw demand'!$C:$C,$C$5),0)+
IF($D$6="Yes",SUMIFS('Raw demand'!P:P,'Raw demand'!$B:$B,$B19,'Raw demand'!$C:$C,$D$5),0)+
IF($E$6="Yes",SUMIFS('Raw demand'!P:P,'Raw demand'!$B:$B,$B19,'Raw demand'!$C:$C,$E$5),0),
0)</f>
        <v>105.79128701955607</v>
      </c>
      <c r="Q19" s="34"/>
      <c r="R19" s="71">
        <f t="shared" si="3"/>
        <v>103.74038995825609</v>
      </c>
      <c r="S19" s="72">
        <f t="shared" si="1"/>
        <v>1.831632811887059E-2</v>
      </c>
    </row>
    <row r="20" spans="2:19" s="1" customFormat="1">
      <c r="B20" s="2" t="str">
        <v>Lower Central Coast</v>
      </c>
      <c r="C20" s="100">
        <f t="shared" si="0"/>
        <v>3.2189457402687083E-5</v>
      </c>
      <c r="D20" s="35" t="str">
        <f>IF($B20=Lists!$D$31,$B20,IF($C20&gt;0,"Growth","Decline"))</f>
        <v>Growth</v>
      </c>
      <c r="E20" s="35" t="str">
        <f t="shared" si="2"/>
        <v>MW</v>
      </c>
      <c r="F20" s="71">
        <f>IFERROR(
IF($C$6="Yes",SUMIFS('Raw demand'!F:F,'Raw demand'!$B:$B,$B20,'Raw demand'!$C:$C,$C$5),0)+
IF($D$6="Yes",SUMIFS('Raw demand'!F:F,'Raw demand'!$B:$B,$B20,'Raw demand'!$C:$C,$D$5),0)+
IF($E$6="Yes",SUMIFS('Raw demand'!F:F,'Raw demand'!$B:$B,$B20,'Raw demand'!$C:$C,$E$5),0),
0)</f>
        <v>306.9731937961526</v>
      </c>
      <c r="G20" s="71">
        <f>IFERROR(
IF($C$6="Yes",SUMIFS('Raw demand'!G:G,'Raw demand'!$B:$B,$B20,'Raw demand'!$C:$C,$C$5),0)+
IF($D$6="Yes",SUMIFS('Raw demand'!G:G,'Raw demand'!$B:$B,$B20,'Raw demand'!$C:$C,$D$5),0)+
IF($E$6="Yes",SUMIFS('Raw demand'!G:G,'Raw demand'!$B:$B,$B20,'Raw demand'!$C:$C,$E$5),0),
0)</f>
        <v>303.70781670585262</v>
      </c>
      <c r="H20" s="71">
        <f>IFERROR(
IF($C$6="Yes",SUMIFS('Raw demand'!H:H,'Raw demand'!$B:$B,$B20,'Raw demand'!$C:$C,$C$5),0)+
IF($D$6="Yes",SUMIFS('Raw demand'!H:H,'Raw demand'!$B:$B,$B20,'Raw demand'!$C:$C,$D$5),0)+
IF($E$6="Yes",SUMIFS('Raw demand'!H:H,'Raw demand'!$B:$B,$B20,'Raw demand'!$C:$C,$E$5),0),
0)</f>
        <v>302.29459011365265</v>
      </c>
      <c r="I20" s="71">
        <f>IFERROR(
IF($C$6="Yes",SUMIFS('Raw demand'!I:I,'Raw demand'!$B:$B,$B20,'Raw demand'!$C:$C,$C$5),0)+
IF($D$6="Yes",SUMIFS('Raw demand'!I:I,'Raw demand'!$B:$B,$B20,'Raw demand'!$C:$C,$D$5),0)+
IF($E$6="Yes",SUMIFS('Raw demand'!I:I,'Raw demand'!$B:$B,$B20,'Raw demand'!$C:$C,$E$5),0),
0)</f>
        <v>302.17002824225261</v>
      </c>
      <c r="J20" s="71">
        <f>IFERROR(
IF($C$6="Yes",SUMIFS('Raw demand'!J:J,'Raw demand'!$B:$B,$B20,'Raw demand'!$C:$C,$C$5),0)+
IF($D$6="Yes",SUMIFS('Raw demand'!J:J,'Raw demand'!$B:$B,$B20,'Raw demand'!$C:$C,$D$5),0)+
IF($E$6="Yes",SUMIFS('Raw demand'!J:J,'Raw demand'!$B:$B,$B20,'Raw demand'!$C:$C,$E$5),0),
0)</f>
        <v>301.57940498785263</v>
      </c>
      <c r="K20" s="71">
        <f>IFERROR(
IF($C$6="Yes",SUMIFS('Raw demand'!K:K,'Raw demand'!$B:$B,$B20,'Raw demand'!$C:$C,$C$5),0)+
IF($D$6="Yes",SUMIFS('Raw demand'!K:K,'Raw demand'!$B:$B,$B20,'Raw demand'!$C:$C,$D$5),0)+
IF($E$6="Yes",SUMIFS('Raw demand'!K:K,'Raw demand'!$B:$B,$B20,'Raw demand'!$C:$C,$E$5),0),
0)</f>
        <v>300.80888608645262</v>
      </c>
      <c r="L20" s="71">
        <f>IFERROR(
IF($C$6="Yes",SUMIFS('Raw demand'!L:L,'Raw demand'!$B:$B,$B20,'Raw demand'!$C:$C,$C$5),0)+
IF($D$6="Yes",SUMIFS('Raw demand'!L:L,'Raw demand'!$B:$B,$B20,'Raw demand'!$C:$C,$D$5),0)+
IF($E$6="Yes",SUMIFS('Raw demand'!L:L,'Raw demand'!$B:$B,$B20,'Raw demand'!$C:$C,$E$5),0),
0)</f>
        <v>300.8591639328526</v>
      </c>
      <c r="M20" s="71">
        <f>IFERROR(
IF($C$6="Yes",SUMIFS('Raw demand'!M:M,'Raw demand'!$B:$B,$B20,'Raw demand'!$C:$C,$C$5),0)+
IF($D$6="Yes",SUMIFS('Raw demand'!M:M,'Raw demand'!$B:$B,$B20,'Raw demand'!$C:$C,$D$5),0)+
IF($E$6="Yes",SUMIFS('Raw demand'!M:M,'Raw demand'!$B:$B,$B20,'Raw demand'!$C:$C,$E$5),0),
0)</f>
        <v>302.52582075365262</v>
      </c>
      <c r="N20" s="71">
        <f>IFERROR(
IF($C$6="Yes",SUMIFS('Raw demand'!N:N,'Raw demand'!$B:$B,$B20,'Raw demand'!$C:$C,$C$5),0)+
IF($D$6="Yes",SUMIFS('Raw demand'!N:N,'Raw demand'!$B:$B,$B20,'Raw demand'!$C:$C,$D$5),0)+
IF($E$6="Yes",SUMIFS('Raw demand'!N:N,'Raw demand'!$B:$B,$B20,'Raw demand'!$C:$C,$E$5),0),
0)</f>
        <v>304.31713939515259</v>
      </c>
      <c r="O20" s="71">
        <f>IFERROR(
IF($C$6="Yes",SUMIFS('Raw demand'!O:O,'Raw demand'!$B:$B,$B20,'Raw demand'!$C:$C,$C$5),0)+
IF($D$6="Yes",SUMIFS('Raw demand'!O:O,'Raw demand'!$B:$B,$B20,'Raw demand'!$C:$C,$D$5),0)+
IF($E$6="Yes",SUMIFS('Raw demand'!O:O,'Raw demand'!$B:$B,$B20,'Raw demand'!$C:$C,$E$5),0),
0)</f>
        <v>305.54410442925263</v>
      </c>
      <c r="P20" s="71">
        <f>IFERROR(
IF($C$6="Yes",SUMIFS('Raw demand'!P:P,'Raw demand'!$B:$B,$B20,'Raw demand'!$C:$C,$C$5),0)+
IF($D$6="Yes",SUMIFS('Raw demand'!P:P,'Raw demand'!$B:$B,$B20,'Raw demand'!$C:$C,$D$5),0)+
IF($E$6="Yes",SUMIFS('Raw demand'!P:P,'Raw demand'!$B:$B,$B20,'Raw demand'!$C:$C,$E$5),0),
0)</f>
        <v>307.0720211161526</v>
      </c>
      <c r="Q20" s="34"/>
      <c r="R20" s="71">
        <f t="shared" si="3"/>
        <v>303.08789757631263</v>
      </c>
      <c r="S20" s="72">
        <f t="shared" si="1"/>
        <v>5.3512979689976349E-2</v>
      </c>
    </row>
    <row r="21" spans="2:19">
      <c r="B21" s="2" t="str">
        <v>Lower North Shore</v>
      </c>
      <c r="C21" s="44">
        <f t="shared" si="0"/>
        <v>1.0436048337013171E-2</v>
      </c>
      <c r="D21" s="35" t="str">
        <f>IF($B21=Lists!$D$31,$B21,IF($C21&gt;0,"Growth","Decline"))</f>
        <v>Growth</v>
      </c>
      <c r="E21" s="35" t="str">
        <f t="shared" si="2"/>
        <v>MW</v>
      </c>
      <c r="F21" s="71">
        <f>IFERROR(
IF($C$6="Yes",SUMIFS('Raw demand'!F:F,'Raw demand'!$B:$B,$B21,'Raw demand'!$C:$C,$C$5),0)+
IF($D$6="Yes",SUMIFS('Raw demand'!F:F,'Raw demand'!$B:$B,$B21,'Raw demand'!$C:$C,$D$5),0)+
IF($E$6="Yes",SUMIFS('Raw demand'!F:F,'Raw demand'!$B:$B,$B21,'Raw demand'!$C:$C,$E$5),0),
0)</f>
        <v>354.5105621137601</v>
      </c>
      <c r="G21" s="71">
        <f>IFERROR(
IF($C$6="Yes",SUMIFS('Raw demand'!G:G,'Raw demand'!$B:$B,$B21,'Raw demand'!$C:$C,$C$5),0)+
IF($D$6="Yes",SUMIFS('Raw demand'!G:G,'Raw demand'!$B:$B,$B21,'Raw demand'!$C:$C,$D$5),0)+
IF($E$6="Yes",SUMIFS('Raw demand'!G:G,'Raw demand'!$B:$B,$B21,'Raw demand'!$C:$C,$E$5),0),
0)</f>
        <v>366.68627552968547</v>
      </c>
      <c r="H21" s="71">
        <f>IFERROR(
IF($C$6="Yes",SUMIFS('Raw demand'!H:H,'Raw demand'!$B:$B,$B21,'Raw demand'!$C:$C,$C$5),0)+
IF($D$6="Yes",SUMIFS('Raw demand'!H:H,'Raw demand'!$B:$B,$B21,'Raw demand'!$C:$C,$D$5),0)+
IF($E$6="Yes",SUMIFS('Raw demand'!H:H,'Raw demand'!$B:$B,$B21,'Raw demand'!$C:$C,$E$5),0),
0)</f>
        <v>361.56763218370224</v>
      </c>
      <c r="I21" s="71">
        <f>IFERROR(
IF($C$6="Yes",SUMIFS('Raw demand'!I:I,'Raw demand'!$B:$B,$B21,'Raw demand'!$C:$C,$C$5),0)+
IF($D$6="Yes",SUMIFS('Raw demand'!I:I,'Raw demand'!$B:$B,$B21,'Raw demand'!$C:$C,$D$5),0)+
IF($E$6="Yes",SUMIFS('Raw demand'!I:I,'Raw demand'!$B:$B,$B21,'Raw demand'!$C:$C,$E$5),0),
0)</f>
        <v>370.61204839070183</v>
      </c>
      <c r="J21" s="71">
        <f>IFERROR(
IF($C$6="Yes",SUMIFS('Raw demand'!J:J,'Raw demand'!$B:$B,$B21,'Raw demand'!$C:$C,$C$5),0)+
IF($D$6="Yes",SUMIFS('Raw demand'!J:J,'Raw demand'!$B:$B,$B21,'Raw demand'!$C:$C,$D$5),0)+
IF($E$6="Yes",SUMIFS('Raw demand'!J:J,'Raw demand'!$B:$B,$B21,'Raw demand'!$C:$C,$E$5),0),
0)</f>
        <v>378.56546701319581</v>
      </c>
      <c r="K21" s="71">
        <f>IFERROR(
IF($C$6="Yes",SUMIFS('Raw demand'!K:K,'Raw demand'!$B:$B,$B21,'Raw demand'!$C:$C,$C$5),0)+
IF($D$6="Yes",SUMIFS('Raw demand'!K:K,'Raw demand'!$B:$B,$B21,'Raw demand'!$C:$C,$D$5),0)+
IF($E$6="Yes",SUMIFS('Raw demand'!K:K,'Raw demand'!$B:$B,$B21,'Raw demand'!$C:$C,$E$5),0),
0)</f>
        <v>382.18266089909588</v>
      </c>
      <c r="L21" s="71">
        <f>IFERROR(
IF($C$6="Yes",SUMIFS('Raw demand'!L:L,'Raw demand'!$B:$B,$B21,'Raw demand'!$C:$C,$C$5),0)+
IF($D$6="Yes",SUMIFS('Raw demand'!L:L,'Raw demand'!$B:$B,$B21,'Raw demand'!$C:$C,$D$5),0)+
IF($E$6="Yes",SUMIFS('Raw demand'!L:L,'Raw demand'!$B:$B,$B21,'Raw demand'!$C:$C,$E$5),0),
0)</f>
        <v>382.65909276709584</v>
      </c>
      <c r="M21" s="71">
        <f>IFERROR(
IF($C$6="Yes",SUMIFS('Raw demand'!M:M,'Raw demand'!$B:$B,$B21,'Raw demand'!$C:$C,$C$5),0)+
IF($D$6="Yes",SUMIFS('Raw demand'!M:M,'Raw demand'!$B:$B,$B21,'Raw demand'!$C:$C,$D$5),0)+
IF($E$6="Yes",SUMIFS('Raw demand'!M:M,'Raw demand'!$B:$B,$B21,'Raw demand'!$C:$C,$E$5),0),
0)</f>
        <v>384.88429551309588</v>
      </c>
      <c r="N21" s="71">
        <f>IFERROR(
IF($C$6="Yes",SUMIFS('Raw demand'!N:N,'Raw demand'!$B:$B,$B21,'Raw demand'!$C:$C,$C$5),0)+
IF($D$6="Yes",SUMIFS('Raw demand'!N:N,'Raw demand'!$B:$B,$B21,'Raw demand'!$C:$C,$D$5),0)+
IF($E$6="Yes",SUMIFS('Raw demand'!N:N,'Raw demand'!$B:$B,$B21,'Raw demand'!$C:$C,$E$5),0),
0)</f>
        <v>387.44716141709586</v>
      </c>
      <c r="O21" s="71">
        <f>IFERROR(
IF($C$6="Yes",SUMIFS('Raw demand'!O:O,'Raw demand'!$B:$B,$B21,'Raw demand'!$C:$C,$C$5),0)+
IF($D$6="Yes",SUMIFS('Raw demand'!O:O,'Raw demand'!$B:$B,$B21,'Raw demand'!$C:$C,$D$5),0)+
IF($E$6="Yes",SUMIFS('Raw demand'!O:O,'Raw demand'!$B:$B,$B21,'Raw demand'!$C:$C,$E$5),0),
0)</f>
        <v>389.86636903709586</v>
      </c>
      <c r="P21" s="71">
        <f>IFERROR(
IF($C$6="Yes",SUMIFS('Raw demand'!P:P,'Raw demand'!$B:$B,$B21,'Raw demand'!$C:$C,$C$5),0)+
IF($D$6="Yes",SUMIFS('Raw demand'!P:P,'Raw demand'!$B:$B,$B21,'Raw demand'!$C:$C,$D$5),0)+
IF($E$6="Yes",SUMIFS('Raw demand'!P:P,'Raw demand'!$B:$B,$B21,'Raw demand'!$C:$C,$E$5),0),
0)</f>
        <v>393.29415859309586</v>
      </c>
      <c r="Q21" s="34"/>
      <c r="R21" s="71">
        <f t="shared" si="3"/>
        <v>379.77651613438604</v>
      </c>
      <c r="S21" s="72">
        <f t="shared" si="1"/>
        <v>6.7053066642201967E-2</v>
      </c>
    </row>
    <row r="22" spans="2:19">
      <c r="B22" s="2" t="str">
        <v>Maitland</v>
      </c>
      <c r="C22" s="44">
        <f t="shared" si="0"/>
        <v>1.4470853761674451E-3</v>
      </c>
      <c r="D22" s="35" t="str">
        <f>IF($B22=Lists!$D$31,$B22,IF($C22&gt;0,"Growth","Decline"))</f>
        <v>Growth</v>
      </c>
      <c r="E22" s="35" t="str">
        <f t="shared" si="2"/>
        <v>MW</v>
      </c>
      <c r="F22" s="71">
        <f>IFERROR(
IF($C$6="Yes",SUMIFS('Raw demand'!F:F,'Raw demand'!$B:$B,$B22,'Raw demand'!$C:$C,$C$5),0)+
IF($D$6="Yes",SUMIFS('Raw demand'!F:F,'Raw demand'!$B:$B,$B22,'Raw demand'!$C:$C,$D$5),0)+
IF($E$6="Yes",SUMIFS('Raw demand'!F:F,'Raw demand'!$B:$B,$B22,'Raw demand'!$C:$C,$E$5),0),
0)</f>
        <v>158.04512739580662</v>
      </c>
      <c r="G22" s="71">
        <f>IFERROR(
IF($C$6="Yes",SUMIFS('Raw demand'!G:G,'Raw demand'!$B:$B,$B22,'Raw demand'!$C:$C,$C$5),0)+
IF($D$6="Yes",SUMIFS('Raw demand'!G:G,'Raw demand'!$B:$B,$B22,'Raw demand'!$C:$C,$D$5),0)+
IF($E$6="Yes",SUMIFS('Raw demand'!G:G,'Raw demand'!$B:$B,$B22,'Raw demand'!$C:$C,$E$5),0),
0)</f>
        <v>156.94920831220659</v>
      </c>
      <c r="H22" s="71">
        <f>IFERROR(
IF($C$6="Yes",SUMIFS('Raw demand'!H:H,'Raw demand'!$B:$B,$B22,'Raw demand'!$C:$C,$C$5),0)+
IF($D$6="Yes",SUMIFS('Raw demand'!H:H,'Raw demand'!$B:$B,$B22,'Raw demand'!$C:$C,$D$5),0)+
IF($E$6="Yes",SUMIFS('Raw demand'!H:H,'Raw demand'!$B:$B,$B22,'Raw demand'!$C:$C,$E$5),0),
0)</f>
        <v>156.8091369347066</v>
      </c>
      <c r="I22" s="71">
        <f>IFERROR(
IF($C$6="Yes",SUMIFS('Raw demand'!I:I,'Raw demand'!$B:$B,$B22,'Raw demand'!$C:$C,$C$5),0)+
IF($D$6="Yes",SUMIFS('Raw demand'!I:I,'Raw demand'!$B:$B,$B22,'Raw demand'!$C:$C,$D$5),0)+
IF($E$6="Yes",SUMIFS('Raw demand'!I:I,'Raw demand'!$B:$B,$B22,'Raw demand'!$C:$C,$E$5),0),
0)</f>
        <v>157.17589185080661</v>
      </c>
      <c r="J22" s="71">
        <f>IFERROR(
IF($C$6="Yes",SUMIFS('Raw demand'!J:J,'Raw demand'!$B:$B,$B22,'Raw demand'!$C:$C,$C$5),0)+
IF($D$6="Yes",SUMIFS('Raw demand'!J:J,'Raw demand'!$B:$B,$B22,'Raw demand'!$C:$C,$D$5),0)+
IF($E$6="Yes",SUMIFS('Raw demand'!J:J,'Raw demand'!$B:$B,$B22,'Raw demand'!$C:$C,$E$5),0),
0)</f>
        <v>157.31627256460661</v>
      </c>
      <c r="K22" s="71">
        <f>IFERROR(
IF($C$6="Yes",SUMIFS('Raw demand'!K:K,'Raw demand'!$B:$B,$B22,'Raw demand'!$C:$C,$C$5),0)+
IF($D$6="Yes",SUMIFS('Raw demand'!K:K,'Raw demand'!$B:$B,$B22,'Raw demand'!$C:$C,$D$5),0)+
IF($E$6="Yes",SUMIFS('Raw demand'!K:K,'Raw demand'!$B:$B,$B22,'Raw demand'!$C:$C,$E$5),0),
0)</f>
        <v>157.3993627682066</v>
      </c>
      <c r="L22" s="71">
        <f>IFERROR(
IF($C$6="Yes",SUMIFS('Raw demand'!L:L,'Raw demand'!$B:$B,$B22,'Raw demand'!$C:$C,$C$5),0)+
IF($D$6="Yes",SUMIFS('Raw demand'!L:L,'Raw demand'!$B:$B,$B22,'Raw demand'!$C:$C,$D$5),0)+
IF($E$6="Yes",SUMIFS('Raw demand'!L:L,'Raw demand'!$B:$B,$B22,'Raw demand'!$C:$C,$E$5),0),
0)</f>
        <v>157.48605863060661</v>
      </c>
      <c r="M22" s="71">
        <f>IFERROR(
IF($C$6="Yes",SUMIFS('Raw demand'!M:M,'Raw demand'!$B:$B,$B22,'Raw demand'!$C:$C,$C$5),0)+
IF($D$6="Yes",SUMIFS('Raw demand'!M:M,'Raw demand'!$B:$B,$B22,'Raw demand'!$C:$C,$D$5),0)+
IF($E$6="Yes",SUMIFS('Raw demand'!M:M,'Raw demand'!$B:$B,$B22,'Raw demand'!$C:$C,$E$5),0),
0)</f>
        <v>158.23322301940661</v>
      </c>
      <c r="N22" s="71">
        <f>IFERROR(
IF($C$6="Yes",SUMIFS('Raw demand'!N:N,'Raw demand'!$B:$B,$B22,'Raw demand'!$C:$C,$C$5),0)+
IF($D$6="Yes",SUMIFS('Raw demand'!N:N,'Raw demand'!$B:$B,$B22,'Raw demand'!$C:$C,$D$5),0)+
IF($E$6="Yes",SUMIFS('Raw demand'!N:N,'Raw demand'!$B:$B,$B22,'Raw demand'!$C:$C,$E$5),0),
0)</f>
        <v>158.94126265650658</v>
      </c>
      <c r="O22" s="71">
        <f>IFERROR(
IF($C$6="Yes",SUMIFS('Raw demand'!O:O,'Raw demand'!$B:$B,$B22,'Raw demand'!$C:$C,$C$5),0)+
IF($D$6="Yes",SUMIFS('Raw demand'!O:O,'Raw demand'!$B:$B,$B22,'Raw demand'!$C:$C,$D$5),0)+
IF($E$6="Yes",SUMIFS('Raw demand'!O:O,'Raw demand'!$B:$B,$B22,'Raw demand'!$C:$C,$E$5),0),
0)</f>
        <v>159.61461005040658</v>
      </c>
      <c r="P22" s="71">
        <f>IFERROR(
IF($C$6="Yes",SUMIFS('Raw demand'!P:P,'Raw demand'!$B:$B,$B22,'Raw demand'!$C:$C,$C$5),0)+
IF($D$6="Yes",SUMIFS('Raw demand'!P:P,'Raw demand'!$B:$B,$B22,'Raw demand'!$C:$C,$D$5),0)+
IF($E$6="Yes",SUMIFS('Raw demand'!P:P,'Raw demand'!$B:$B,$B22,'Raw demand'!$C:$C,$E$5),0),
0)</f>
        <v>160.34712592960659</v>
      </c>
      <c r="Q22" s="34"/>
      <c r="R22" s="71">
        <f t="shared" si="3"/>
        <v>158.02721527170658</v>
      </c>
      <c r="S22" s="72">
        <f t="shared" si="1"/>
        <v>2.7901170679931694E-2</v>
      </c>
    </row>
    <row r="23" spans="2:19">
      <c r="B23" s="2" t="str">
        <v>Manly Warringah</v>
      </c>
      <c r="C23" s="44">
        <f t="shared" si="0"/>
        <v>3.0303647825524749E-3</v>
      </c>
      <c r="D23" s="35" t="str">
        <f>IF($B23=Lists!$D$31,$B23,IF($C23&gt;0,"Growth","Decline"))</f>
        <v>Growth</v>
      </c>
      <c r="E23" s="35" t="str">
        <f t="shared" si="2"/>
        <v>MW</v>
      </c>
      <c r="F23" s="71">
        <f>IFERROR(
IF($C$6="Yes",SUMIFS('Raw demand'!F:F,'Raw demand'!$B:$B,$B23,'Raw demand'!$C:$C,$C$5),0)+
IF($D$6="Yes",SUMIFS('Raw demand'!F:F,'Raw demand'!$B:$B,$B23,'Raw demand'!$C:$C,$D$5),0)+
IF($E$6="Yes",SUMIFS('Raw demand'!F:F,'Raw demand'!$B:$B,$B23,'Raw demand'!$C:$C,$E$5),0),
0)</f>
        <v>167.37379925760001</v>
      </c>
      <c r="G23" s="71">
        <f>IFERROR(
IF($C$6="Yes",SUMIFS('Raw demand'!G:G,'Raw demand'!$B:$B,$B23,'Raw demand'!$C:$C,$C$5),0)+
IF($D$6="Yes",SUMIFS('Raw demand'!G:G,'Raw demand'!$B:$B,$B23,'Raw demand'!$C:$C,$D$5),0)+
IF($E$6="Yes",SUMIFS('Raw demand'!G:G,'Raw demand'!$B:$B,$B23,'Raw demand'!$C:$C,$E$5),0),
0)</f>
        <v>165.29122764849998</v>
      </c>
      <c r="H23" s="71">
        <f>IFERROR(
IF($C$6="Yes",SUMIFS('Raw demand'!H:H,'Raw demand'!$B:$B,$B23,'Raw demand'!$C:$C,$C$5),0)+
IF($D$6="Yes",SUMIFS('Raw demand'!H:H,'Raw demand'!$B:$B,$B23,'Raw demand'!$C:$C,$D$5),0)+
IF($E$6="Yes",SUMIFS('Raw demand'!H:H,'Raw demand'!$B:$B,$B23,'Raw demand'!$C:$C,$E$5),0),
0)</f>
        <v>163.848762099</v>
      </c>
      <c r="I23" s="71">
        <f>IFERROR(
IF($C$6="Yes",SUMIFS('Raw demand'!I:I,'Raw demand'!$B:$B,$B23,'Raw demand'!$C:$C,$C$5),0)+
IF($D$6="Yes",SUMIFS('Raw demand'!I:I,'Raw demand'!$B:$B,$B23,'Raw demand'!$C:$C,$D$5),0)+
IF($E$6="Yes",SUMIFS('Raw demand'!I:I,'Raw demand'!$B:$B,$B23,'Raw demand'!$C:$C,$E$5),0),
0)</f>
        <v>172.48307522279998</v>
      </c>
      <c r="J23" s="71">
        <f>IFERROR(
IF($C$6="Yes",SUMIFS('Raw demand'!J:J,'Raw demand'!$B:$B,$B23,'Raw demand'!$C:$C,$C$5),0)+
IF($D$6="Yes",SUMIFS('Raw demand'!J:J,'Raw demand'!$B:$B,$B23,'Raw demand'!$C:$C,$D$5),0)+
IF($E$6="Yes",SUMIFS('Raw demand'!J:J,'Raw demand'!$B:$B,$B23,'Raw demand'!$C:$C,$E$5),0),
0)</f>
        <v>171.6003508981</v>
      </c>
      <c r="K23" s="71">
        <f>IFERROR(
IF($C$6="Yes",SUMIFS('Raw demand'!K:K,'Raw demand'!$B:$B,$B23,'Raw demand'!$C:$C,$C$5),0)+
IF($D$6="Yes",SUMIFS('Raw demand'!K:K,'Raw demand'!$B:$B,$B23,'Raw demand'!$C:$C,$D$5),0)+
IF($E$6="Yes",SUMIFS('Raw demand'!K:K,'Raw demand'!$B:$B,$B23,'Raw demand'!$C:$C,$E$5),0),
0)</f>
        <v>170.69272102400001</v>
      </c>
      <c r="L23" s="71">
        <f>IFERROR(
IF($C$6="Yes",SUMIFS('Raw demand'!L:L,'Raw demand'!$B:$B,$B23,'Raw demand'!$C:$C,$C$5),0)+
IF($D$6="Yes",SUMIFS('Raw demand'!L:L,'Raw demand'!$B:$B,$B23,'Raw demand'!$C:$C,$D$5),0)+
IF($E$6="Yes",SUMIFS('Raw demand'!L:L,'Raw demand'!$B:$B,$B23,'Raw demand'!$C:$C,$E$5),0),
0)</f>
        <v>170.0620367578</v>
      </c>
      <c r="M23" s="71">
        <f>IFERROR(
IF($C$6="Yes",SUMIFS('Raw demand'!M:M,'Raw demand'!$B:$B,$B23,'Raw demand'!$C:$C,$C$5),0)+
IF($D$6="Yes",SUMIFS('Raw demand'!M:M,'Raw demand'!$B:$B,$B23,'Raw demand'!$C:$C,$D$5),0)+
IF($E$6="Yes",SUMIFS('Raw demand'!M:M,'Raw demand'!$B:$B,$B23,'Raw demand'!$C:$C,$E$5),0),
0)</f>
        <v>170.73927388280001</v>
      </c>
      <c r="N23" s="71">
        <f>IFERROR(
IF($C$6="Yes",SUMIFS('Raw demand'!N:N,'Raw demand'!$B:$B,$B23,'Raw demand'!$C:$C,$C$5),0)+
IF($D$6="Yes",SUMIFS('Raw demand'!N:N,'Raw demand'!$B:$B,$B23,'Raw demand'!$C:$C,$D$5),0)+
IF($E$6="Yes",SUMIFS('Raw demand'!N:N,'Raw demand'!$B:$B,$B23,'Raw demand'!$C:$C,$E$5),0),
0)</f>
        <v>171.38142197010001</v>
      </c>
      <c r="O23" s="71">
        <f>IFERROR(
IF($C$6="Yes",SUMIFS('Raw demand'!O:O,'Raw demand'!$B:$B,$B23,'Raw demand'!$C:$C,$C$5),0)+
IF($D$6="Yes",SUMIFS('Raw demand'!O:O,'Raw demand'!$B:$B,$B23,'Raw demand'!$C:$C,$D$5),0)+
IF($E$6="Yes",SUMIFS('Raw demand'!O:O,'Raw demand'!$B:$B,$B23,'Raw demand'!$C:$C,$E$5),0),
0)</f>
        <v>171.82821307609998</v>
      </c>
      <c r="P23" s="71">
        <f>IFERROR(
IF($C$6="Yes",SUMIFS('Raw demand'!P:P,'Raw demand'!$B:$B,$B23,'Raw demand'!$C:$C,$C$5),0)+
IF($D$6="Yes",SUMIFS('Raw demand'!P:P,'Raw demand'!$B:$B,$B23,'Raw demand'!$C:$C,$D$5),0)+
IF($E$6="Yes",SUMIFS('Raw demand'!P:P,'Raw demand'!$B:$B,$B23,'Raw demand'!$C:$C,$E$5),0),
0)</f>
        <v>172.5155633711</v>
      </c>
      <c r="Q23" s="34"/>
      <c r="R23" s="71">
        <f t="shared" si="3"/>
        <v>170.04426459502997</v>
      </c>
      <c r="S23" s="72">
        <f t="shared" si="1"/>
        <v>3.0022892205320329E-2</v>
      </c>
    </row>
    <row r="24" spans="2:19">
      <c r="B24" s="2" t="str">
        <v>Newcastle Inner City</v>
      </c>
      <c r="C24" s="44">
        <f t="shared" si="0"/>
        <v>-1.5992401701407921E-3</v>
      </c>
      <c r="D24" s="35" t="str">
        <f>IF($B24=Lists!$D$31,$B24,IF($C24&gt;0,"Growth","Decline"))</f>
        <v>Decline</v>
      </c>
      <c r="E24" s="35" t="str">
        <f t="shared" si="2"/>
        <v>MW</v>
      </c>
      <c r="F24" s="71">
        <f>IFERROR(
IF($C$6="Yes",SUMIFS('Raw demand'!F:F,'Raw demand'!$B:$B,$B24,'Raw demand'!$C:$C,$C$5),0)+
IF($D$6="Yes",SUMIFS('Raw demand'!F:F,'Raw demand'!$B:$B,$B24,'Raw demand'!$C:$C,$D$5),0)+
IF($E$6="Yes",SUMIFS('Raw demand'!F:F,'Raw demand'!$B:$B,$B24,'Raw demand'!$C:$C,$E$5),0),
0)</f>
        <v>149.73064783199999</v>
      </c>
      <c r="G24" s="71">
        <f>IFERROR(
IF($C$6="Yes",SUMIFS('Raw demand'!G:G,'Raw demand'!$B:$B,$B24,'Raw demand'!$C:$C,$C$5),0)+
IF($D$6="Yes",SUMIFS('Raw demand'!G:G,'Raw demand'!$B:$B,$B24,'Raw demand'!$C:$C,$D$5),0)+
IF($E$6="Yes",SUMIFS('Raw demand'!G:G,'Raw demand'!$B:$B,$B24,'Raw demand'!$C:$C,$E$5),0),
0)</f>
        <v>148.218633622</v>
      </c>
      <c r="H24" s="71">
        <f>IFERROR(
IF($C$6="Yes",SUMIFS('Raw demand'!H:H,'Raw demand'!$B:$B,$B24,'Raw demand'!$C:$C,$C$5),0)+
IF($D$6="Yes",SUMIFS('Raw demand'!H:H,'Raw demand'!$B:$B,$B24,'Raw demand'!$C:$C,$D$5),0)+
IF($E$6="Yes",SUMIFS('Raw demand'!H:H,'Raw demand'!$B:$B,$B24,'Raw demand'!$C:$C,$E$5),0),
0)</f>
        <v>147.357888299</v>
      </c>
      <c r="I24" s="71">
        <f>IFERROR(
IF($C$6="Yes",SUMIFS('Raw demand'!I:I,'Raw demand'!$B:$B,$B24,'Raw demand'!$C:$C,$C$5),0)+
IF($D$6="Yes",SUMIFS('Raw demand'!I:I,'Raw demand'!$B:$B,$B24,'Raw demand'!$C:$C,$D$5),0)+
IF($E$6="Yes",SUMIFS('Raw demand'!I:I,'Raw demand'!$B:$B,$B24,'Raw demand'!$C:$C,$E$5),0),
0)</f>
        <v>147.15777118400001</v>
      </c>
      <c r="J24" s="71">
        <f>IFERROR(
IF($C$6="Yes",SUMIFS('Raw demand'!J:J,'Raw demand'!$B:$B,$B24,'Raw demand'!$C:$C,$C$5),0)+
IF($D$6="Yes",SUMIFS('Raw demand'!J:J,'Raw demand'!$B:$B,$B24,'Raw demand'!$C:$C,$D$5),0)+
IF($E$6="Yes",SUMIFS('Raw demand'!J:J,'Raw demand'!$B:$B,$B24,'Raw demand'!$C:$C,$E$5),0),
0)</f>
        <v>146.75867744899998</v>
      </c>
      <c r="K24" s="71">
        <f>IFERROR(
IF($C$6="Yes",SUMIFS('Raw demand'!K:K,'Raw demand'!$B:$B,$B24,'Raw demand'!$C:$C,$C$5),0)+
IF($D$6="Yes",SUMIFS('Raw demand'!K:K,'Raw demand'!$B:$B,$B24,'Raw demand'!$C:$C,$D$5),0)+
IF($E$6="Yes",SUMIFS('Raw demand'!K:K,'Raw demand'!$B:$B,$B24,'Raw demand'!$C:$C,$E$5),0),
0)</f>
        <v>146.29491656800002</v>
      </c>
      <c r="L24" s="71">
        <f>IFERROR(
IF($C$6="Yes",SUMIFS('Raw demand'!L:L,'Raw demand'!$B:$B,$B24,'Raw demand'!$C:$C,$C$5),0)+
IF($D$6="Yes",SUMIFS('Raw demand'!L:L,'Raw demand'!$B:$B,$B24,'Raw demand'!$C:$C,$D$5),0)+
IF($E$6="Yes",SUMIFS('Raw demand'!L:L,'Raw demand'!$B:$B,$B24,'Raw demand'!$C:$C,$E$5),0),
0)</f>
        <v>145.94519646500001</v>
      </c>
      <c r="M24" s="71">
        <f>IFERROR(
IF($C$6="Yes",SUMIFS('Raw demand'!M:M,'Raw demand'!$B:$B,$B24,'Raw demand'!$C:$C,$C$5),0)+
IF($D$6="Yes",SUMIFS('Raw demand'!M:M,'Raw demand'!$B:$B,$B24,'Raw demand'!$C:$C,$D$5),0)+
IF($E$6="Yes",SUMIFS('Raw demand'!M:M,'Raw demand'!$B:$B,$B24,'Raw demand'!$C:$C,$E$5),0),
0)</f>
        <v>146.24790540499998</v>
      </c>
      <c r="N24" s="71">
        <f>IFERROR(
IF($C$6="Yes",SUMIFS('Raw demand'!N:N,'Raw demand'!$B:$B,$B24,'Raw demand'!$C:$C,$C$5),0)+
IF($D$6="Yes",SUMIFS('Raw demand'!N:N,'Raw demand'!$B:$B,$B24,'Raw demand'!$C:$C,$D$5),0)+
IF($E$6="Yes",SUMIFS('Raw demand'!N:N,'Raw demand'!$B:$B,$B24,'Raw demand'!$C:$C,$E$5),0),
0)</f>
        <v>146.615716228</v>
      </c>
      <c r="O24" s="71">
        <f>IFERROR(
IF($C$6="Yes",SUMIFS('Raw demand'!O:O,'Raw demand'!$B:$B,$B24,'Raw demand'!$C:$C,$C$5),0)+
IF($D$6="Yes",SUMIFS('Raw demand'!O:O,'Raw demand'!$B:$B,$B24,'Raw demand'!$C:$C,$D$5),0)+
IF($E$6="Yes",SUMIFS('Raw demand'!O:O,'Raw demand'!$B:$B,$B24,'Raw demand'!$C:$C,$E$5),0),
0)</f>
        <v>146.87896065400002</v>
      </c>
      <c r="P24" s="71">
        <f>IFERROR(
IF($C$6="Yes",SUMIFS('Raw demand'!P:P,'Raw demand'!$B:$B,$B24,'Raw demand'!$C:$C,$C$5),0)+
IF($D$6="Yes",SUMIFS('Raw demand'!P:P,'Raw demand'!$B:$B,$B24,'Raw demand'!$C:$C,$D$5),0)+
IF($E$6="Yes",SUMIFS('Raw demand'!P:P,'Raw demand'!$B:$B,$B24,'Raw demand'!$C:$C,$E$5),0),
0)</f>
        <v>147.35325447100001</v>
      </c>
      <c r="Q24" s="34"/>
      <c r="R24" s="71">
        <f t="shared" si="3"/>
        <v>146.8828920345</v>
      </c>
      <c r="S24" s="72">
        <f t="shared" si="1"/>
        <v>2.5933537040251271E-2</v>
      </c>
    </row>
    <row r="25" spans="2:19">
      <c r="B25" s="2" t="str">
        <v>Newcastle Port</v>
      </c>
      <c r="C25" s="44">
        <f t="shared" si="0"/>
        <v>6.5097536435754222E-4</v>
      </c>
      <c r="D25" s="35" t="str">
        <f>IF($B25=Lists!$D$31,$B25,IF($C25&gt;0,"Growth","Decline"))</f>
        <v>Growth</v>
      </c>
      <c r="E25" s="35" t="str">
        <f t="shared" si="2"/>
        <v>MW</v>
      </c>
      <c r="F25" s="71">
        <f>IFERROR(
IF($C$6="Yes",SUMIFS('Raw demand'!F:F,'Raw demand'!$B:$B,$B25,'Raw demand'!$C:$C,$C$5),0)+
IF($D$6="Yes",SUMIFS('Raw demand'!F:F,'Raw demand'!$B:$B,$B25,'Raw demand'!$C:$C,$D$5),0)+
IF($E$6="Yes",SUMIFS('Raw demand'!F:F,'Raw demand'!$B:$B,$B25,'Raw demand'!$C:$C,$E$5),0),
0)</f>
        <v>142.63120802027652</v>
      </c>
      <c r="G25" s="71">
        <f>IFERROR(
IF($C$6="Yes",SUMIFS('Raw demand'!G:G,'Raw demand'!$B:$B,$B25,'Raw demand'!$C:$C,$C$5),0)+
IF($D$6="Yes",SUMIFS('Raw demand'!G:G,'Raw demand'!$B:$B,$B25,'Raw demand'!$C:$C,$D$5),0)+
IF($E$6="Yes",SUMIFS('Raw demand'!G:G,'Raw demand'!$B:$B,$B25,'Raw demand'!$C:$C,$E$5),0),
0)</f>
        <v>142.87987918017652</v>
      </c>
      <c r="H25" s="71">
        <f>IFERROR(
IF($C$6="Yes",SUMIFS('Raw demand'!H:H,'Raw demand'!$B:$B,$B25,'Raw demand'!$C:$C,$C$5),0)+
IF($D$6="Yes",SUMIFS('Raw demand'!H:H,'Raw demand'!$B:$B,$B25,'Raw demand'!$C:$C,$D$5),0)+
IF($E$6="Yes",SUMIFS('Raw demand'!H:H,'Raw demand'!$B:$B,$B25,'Raw demand'!$C:$C,$E$5),0),
0)</f>
        <v>142.67872612807651</v>
      </c>
      <c r="I25" s="71">
        <f>IFERROR(
IF($C$6="Yes",SUMIFS('Raw demand'!I:I,'Raw demand'!$B:$B,$B25,'Raw demand'!$C:$C,$C$5),0)+
IF($D$6="Yes",SUMIFS('Raw demand'!I:I,'Raw demand'!$B:$B,$B25,'Raw demand'!$C:$C,$D$5),0)+
IF($E$6="Yes",SUMIFS('Raw demand'!I:I,'Raw demand'!$B:$B,$B25,'Raw demand'!$C:$C,$E$5),0),
0)</f>
        <v>142.73389597487653</v>
      </c>
      <c r="J25" s="71">
        <f>IFERROR(
IF($C$6="Yes",SUMIFS('Raw demand'!J:J,'Raw demand'!$B:$B,$B25,'Raw demand'!$C:$C,$C$5),0)+
IF($D$6="Yes",SUMIFS('Raw demand'!J:J,'Raw demand'!$B:$B,$B25,'Raw demand'!$C:$C,$D$5),0)+
IF($E$6="Yes",SUMIFS('Raw demand'!J:J,'Raw demand'!$B:$B,$B25,'Raw demand'!$C:$C,$E$5),0),
0)</f>
        <v>142.65803230027652</v>
      </c>
      <c r="K25" s="71">
        <f>IFERROR(
IF($C$6="Yes",SUMIFS('Raw demand'!K:K,'Raw demand'!$B:$B,$B25,'Raw demand'!$C:$C,$C$5),0)+
IF($D$6="Yes",SUMIFS('Raw demand'!K:K,'Raw demand'!$B:$B,$B25,'Raw demand'!$C:$C,$D$5),0)+
IF($E$6="Yes",SUMIFS('Raw demand'!K:K,'Raw demand'!$B:$B,$B25,'Raw demand'!$C:$C,$E$5),0),
0)</f>
        <v>142.57571293197651</v>
      </c>
      <c r="L25" s="71">
        <f>IFERROR(
IF($C$6="Yes",SUMIFS('Raw demand'!L:L,'Raw demand'!$B:$B,$B25,'Raw demand'!$C:$C,$C$5),0)+
IF($D$6="Yes",SUMIFS('Raw demand'!L:L,'Raw demand'!$B:$B,$B25,'Raw demand'!$C:$C,$D$5),0)+
IF($E$6="Yes",SUMIFS('Raw demand'!L:L,'Raw demand'!$B:$B,$B25,'Raw demand'!$C:$C,$E$5),0),
0)</f>
        <v>142.52487437897651</v>
      </c>
      <c r="M25" s="71">
        <f>IFERROR(
IF($C$6="Yes",SUMIFS('Raw demand'!M:M,'Raw demand'!$B:$B,$B25,'Raw demand'!$C:$C,$C$5),0)+
IF($D$6="Yes",SUMIFS('Raw demand'!M:M,'Raw demand'!$B:$B,$B25,'Raw demand'!$C:$C,$D$5),0)+
IF($E$6="Yes",SUMIFS('Raw demand'!M:M,'Raw demand'!$B:$B,$B25,'Raw demand'!$C:$C,$E$5),0),
0)</f>
        <v>142.77083625267653</v>
      </c>
      <c r="N25" s="71">
        <f>IFERROR(
IF($C$6="Yes",SUMIFS('Raw demand'!N:N,'Raw demand'!$B:$B,$B25,'Raw demand'!$C:$C,$C$5),0)+
IF($D$6="Yes",SUMIFS('Raw demand'!N:N,'Raw demand'!$B:$B,$B25,'Raw demand'!$C:$C,$D$5),0)+
IF($E$6="Yes",SUMIFS('Raw demand'!N:N,'Raw demand'!$B:$B,$B25,'Raw demand'!$C:$C,$E$5),0),
0)</f>
        <v>143.03668685067652</v>
      </c>
      <c r="O25" s="71">
        <f>IFERROR(
IF($C$6="Yes",SUMIFS('Raw demand'!O:O,'Raw demand'!$B:$B,$B25,'Raw demand'!$C:$C,$C$5),0)+
IF($D$6="Yes",SUMIFS('Raw demand'!O:O,'Raw demand'!$B:$B,$B25,'Raw demand'!$C:$C,$D$5),0)+
IF($E$6="Yes",SUMIFS('Raw demand'!O:O,'Raw demand'!$B:$B,$B25,'Raw demand'!$C:$C,$E$5),0),
0)</f>
        <v>143.2813496673765</v>
      </c>
      <c r="P25" s="71">
        <f>IFERROR(
IF($C$6="Yes",SUMIFS('Raw demand'!P:P,'Raw demand'!$B:$B,$B25,'Raw demand'!$C:$C,$C$5),0)+
IF($D$6="Yes",SUMIFS('Raw demand'!P:P,'Raw demand'!$B:$B,$B25,'Raw demand'!$C:$C,$D$5),0)+
IF($E$6="Yes",SUMIFS('Raw demand'!P:P,'Raw demand'!$B:$B,$B25,'Raw demand'!$C:$C,$E$5),0),
0)</f>
        <v>143.56242669367651</v>
      </c>
      <c r="Q25" s="34"/>
      <c r="R25" s="71">
        <f t="shared" si="3"/>
        <v>142.87024203587652</v>
      </c>
      <c r="S25" s="72">
        <f t="shared" si="1"/>
        <v>2.5225066462585738E-2</v>
      </c>
    </row>
    <row r="26" spans="2:19">
      <c r="B26" s="2" t="str">
        <v>Newcastle Western Corridor</v>
      </c>
      <c r="C26" s="44">
        <f t="shared" si="0"/>
        <v>-2.0539664397783985E-3</v>
      </c>
      <c r="D26" s="35" t="str">
        <f>IF($B26=Lists!$D$31,$B26,IF($C26&gt;0,"Growth","Decline"))</f>
        <v>Decline</v>
      </c>
      <c r="E26" s="35" t="str">
        <f t="shared" si="2"/>
        <v>MW</v>
      </c>
      <c r="F26" s="71">
        <f>IFERROR(
IF($C$6="Yes",SUMIFS('Raw demand'!F:F,'Raw demand'!$B:$B,$B26,'Raw demand'!$C:$C,$C$5),0)+
IF($D$6="Yes",SUMIFS('Raw demand'!F:F,'Raw demand'!$B:$B,$B26,'Raw demand'!$C:$C,$D$5),0)+
IF($E$6="Yes",SUMIFS('Raw demand'!F:F,'Raw demand'!$B:$B,$B26,'Raw demand'!$C:$C,$E$5),0),
0)</f>
        <v>99.633781150924179</v>
      </c>
      <c r="G26" s="71">
        <f>IFERROR(
IF($C$6="Yes",SUMIFS('Raw demand'!G:G,'Raw demand'!$B:$B,$B26,'Raw demand'!$C:$C,$C$5),0)+
IF($D$6="Yes",SUMIFS('Raw demand'!G:G,'Raw demand'!$B:$B,$B26,'Raw demand'!$C:$C,$D$5),0)+
IF($E$6="Yes",SUMIFS('Raw demand'!G:G,'Raw demand'!$B:$B,$B26,'Raw demand'!$C:$C,$E$5),0),
0)</f>
        <v>99.063900179424181</v>
      </c>
      <c r="H26" s="71">
        <f>IFERROR(
IF($C$6="Yes",SUMIFS('Raw demand'!H:H,'Raw demand'!$B:$B,$B26,'Raw demand'!$C:$C,$C$5),0)+
IF($D$6="Yes",SUMIFS('Raw demand'!H:H,'Raw demand'!$B:$B,$B26,'Raw demand'!$C:$C,$D$5),0)+
IF($E$6="Yes",SUMIFS('Raw demand'!H:H,'Raw demand'!$B:$B,$B26,'Raw demand'!$C:$C,$E$5),0),
0)</f>
        <v>98.656779340724171</v>
      </c>
      <c r="I26" s="71">
        <f>IFERROR(
IF($C$6="Yes",SUMIFS('Raw demand'!I:I,'Raw demand'!$B:$B,$B26,'Raw demand'!$C:$C,$C$5),0)+
IF($D$6="Yes",SUMIFS('Raw demand'!I:I,'Raw demand'!$B:$B,$B26,'Raw demand'!$C:$C,$D$5),0)+
IF($E$6="Yes",SUMIFS('Raw demand'!I:I,'Raw demand'!$B:$B,$B26,'Raw demand'!$C:$C,$E$5),0),
0)</f>
        <v>98.52435331072418</v>
      </c>
      <c r="J26" s="71">
        <f>IFERROR(
IF($C$6="Yes",SUMIFS('Raw demand'!J:J,'Raw demand'!$B:$B,$B26,'Raw demand'!$C:$C,$C$5),0)+
IF($D$6="Yes",SUMIFS('Raw demand'!J:J,'Raw demand'!$B:$B,$B26,'Raw demand'!$C:$C,$D$5),0)+
IF($E$6="Yes",SUMIFS('Raw demand'!J:J,'Raw demand'!$B:$B,$B26,'Raw demand'!$C:$C,$E$5),0),
0)</f>
        <v>98.251061955724182</v>
      </c>
      <c r="K26" s="71">
        <f>IFERROR(
IF($C$6="Yes",SUMIFS('Raw demand'!K:K,'Raw demand'!$B:$B,$B26,'Raw demand'!$C:$C,$C$5),0)+
IF($D$6="Yes",SUMIFS('Raw demand'!K:K,'Raw demand'!$B:$B,$B26,'Raw demand'!$C:$C,$D$5),0)+
IF($E$6="Yes",SUMIFS('Raw demand'!K:K,'Raw demand'!$B:$B,$B26,'Raw demand'!$C:$C,$E$5),0),
0)</f>
        <v>97.888891151224186</v>
      </c>
      <c r="L26" s="71">
        <f>IFERROR(
IF($C$6="Yes",SUMIFS('Raw demand'!L:L,'Raw demand'!$B:$B,$B26,'Raw demand'!$C:$C,$C$5),0)+
IF($D$6="Yes",SUMIFS('Raw demand'!L:L,'Raw demand'!$B:$B,$B26,'Raw demand'!$C:$C,$D$5),0)+
IF($E$6="Yes",SUMIFS('Raw demand'!L:L,'Raw demand'!$B:$B,$B26,'Raw demand'!$C:$C,$E$5),0),
0)</f>
        <v>97.517340395224181</v>
      </c>
      <c r="M26" s="71">
        <f>IFERROR(
IF($C$6="Yes",SUMIFS('Raw demand'!M:M,'Raw demand'!$B:$B,$B26,'Raw demand'!$C:$C,$C$5),0)+
IF($D$6="Yes",SUMIFS('Raw demand'!M:M,'Raw demand'!$B:$B,$B26,'Raw demand'!$C:$C,$D$5),0)+
IF($E$6="Yes",SUMIFS('Raw demand'!M:M,'Raw demand'!$B:$B,$B26,'Raw demand'!$C:$C,$E$5),0),
0)</f>
        <v>97.588896272824172</v>
      </c>
      <c r="N26" s="71">
        <f>IFERROR(
IF($C$6="Yes",SUMIFS('Raw demand'!N:N,'Raw demand'!$B:$B,$B26,'Raw demand'!$C:$C,$C$5),0)+
IF($D$6="Yes",SUMIFS('Raw demand'!N:N,'Raw demand'!$B:$B,$B26,'Raw demand'!$C:$C,$D$5),0)+
IF($E$6="Yes",SUMIFS('Raw demand'!N:N,'Raw demand'!$B:$B,$B26,'Raw demand'!$C:$C,$E$5),0),
0)</f>
        <v>97.600673505324181</v>
      </c>
      <c r="O26" s="71">
        <f>IFERROR(
IF($C$6="Yes",SUMIFS('Raw demand'!O:O,'Raw demand'!$B:$B,$B26,'Raw demand'!$C:$C,$C$5),0)+
IF($D$6="Yes",SUMIFS('Raw demand'!O:O,'Raw demand'!$B:$B,$B26,'Raw demand'!$C:$C,$D$5),0)+
IF($E$6="Yes",SUMIFS('Raw demand'!O:O,'Raw demand'!$B:$B,$B26,'Raw demand'!$C:$C,$E$5),0),
0)</f>
        <v>97.601491580124176</v>
      </c>
      <c r="P26" s="71">
        <f>IFERROR(
IF($C$6="Yes",SUMIFS('Raw demand'!P:P,'Raw demand'!$B:$B,$B26,'Raw demand'!$C:$C,$C$5),0)+
IF($D$6="Yes",SUMIFS('Raw demand'!P:P,'Raw demand'!$B:$B,$B26,'Raw demand'!$C:$C,$D$5),0)+
IF($E$6="Yes",SUMIFS('Raw demand'!P:P,'Raw demand'!$B:$B,$B26,'Raw demand'!$C:$C,$E$5),0),
0)</f>
        <v>97.606148469724175</v>
      </c>
      <c r="Q26" s="34"/>
      <c r="R26" s="71">
        <f t="shared" si="3"/>
        <v>98.029953616104166</v>
      </c>
      <c r="S26" s="72">
        <f t="shared" si="1"/>
        <v>1.7308097613983678E-2</v>
      </c>
    </row>
    <row r="27" spans="2:19">
      <c r="B27" s="2" t="str">
        <v>North East Lake Macquarie</v>
      </c>
      <c r="C27" s="44">
        <f t="shared" si="0"/>
        <v>-3.0187182740873952E-3</v>
      </c>
      <c r="D27" s="35" t="str">
        <f>IF($B27=Lists!$D$31,$B27,IF($C27&gt;0,"Growth","Decline"))</f>
        <v>Decline</v>
      </c>
      <c r="E27" s="35" t="str">
        <f t="shared" si="2"/>
        <v>MW</v>
      </c>
      <c r="F27" s="71">
        <f>IFERROR(
IF($C$6="Yes",SUMIFS('Raw demand'!F:F,'Raw demand'!$B:$B,$B27,'Raw demand'!$C:$C,$C$5),0)+
IF($D$6="Yes",SUMIFS('Raw demand'!F:F,'Raw demand'!$B:$B,$B27,'Raw demand'!$C:$C,$D$5),0)+
IF($E$6="Yes",SUMIFS('Raw demand'!F:F,'Raw demand'!$B:$B,$B27,'Raw demand'!$C:$C,$E$5),0),
0)</f>
        <v>118.8263141967</v>
      </c>
      <c r="G27" s="71">
        <f>IFERROR(
IF($C$6="Yes",SUMIFS('Raw demand'!G:G,'Raw demand'!$B:$B,$B27,'Raw demand'!$C:$C,$C$5),0)+
IF($D$6="Yes",SUMIFS('Raw demand'!G:G,'Raw demand'!$B:$B,$B27,'Raw demand'!$C:$C,$D$5),0)+
IF($E$6="Yes",SUMIFS('Raw demand'!G:G,'Raw demand'!$B:$B,$B27,'Raw demand'!$C:$C,$E$5),0),
0)</f>
        <v>117.33750259099999</v>
      </c>
      <c r="H27" s="71">
        <f>IFERROR(
IF($C$6="Yes",SUMIFS('Raw demand'!H:H,'Raw demand'!$B:$B,$B27,'Raw demand'!$C:$C,$C$5),0)+
IF($D$6="Yes",SUMIFS('Raw demand'!H:H,'Raw demand'!$B:$B,$B27,'Raw demand'!$C:$C,$D$5),0)+
IF($E$6="Yes",SUMIFS('Raw demand'!H:H,'Raw demand'!$B:$B,$B27,'Raw demand'!$C:$C,$E$5),0),
0)</f>
        <v>116.8185975399</v>
      </c>
      <c r="I27" s="71">
        <f>IFERROR(
IF($C$6="Yes",SUMIFS('Raw demand'!I:I,'Raw demand'!$B:$B,$B27,'Raw demand'!$C:$C,$C$5),0)+
IF($D$6="Yes",SUMIFS('Raw demand'!I:I,'Raw demand'!$B:$B,$B27,'Raw demand'!$C:$C,$D$5),0)+
IF($E$6="Yes",SUMIFS('Raw demand'!I:I,'Raw demand'!$B:$B,$B27,'Raw demand'!$C:$C,$E$5),0),
0)</f>
        <v>116.6061174247</v>
      </c>
      <c r="J27" s="71">
        <f>IFERROR(
IF($C$6="Yes",SUMIFS('Raw demand'!J:J,'Raw demand'!$B:$B,$B27,'Raw demand'!$C:$C,$C$5),0)+
IF($D$6="Yes",SUMIFS('Raw demand'!J:J,'Raw demand'!$B:$B,$B27,'Raw demand'!$C:$C,$D$5),0)+
IF($E$6="Yes",SUMIFS('Raw demand'!J:J,'Raw demand'!$B:$B,$B27,'Raw demand'!$C:$C,$E$5),0),
0)</f>
        <v>116.232995938</v>
      </c>
      <c r="K27" s="71">
        <f>IFERROR(
IF($C$6="Yes",SUMIFS('Raw demand'!K:K,'Raw demand'!$B:$B,$B27,'Raw demand'!$C:$C,$C$5),0)+
IF($D$6="Yes",SUMIFS('Raw demand'!K:K,'Raw demand'!$B:$B,$B27,'Raw demand'!$C:$C,$D$5),0)+
IF($E$6="Yes",SUMIFS('Raw demand'!K:K,'Raw demand'!$B:$B,$B27,'Raw demand'!$C:$C,$E$5),0),
0)</f>
        <v>115.7296109377</v>
      </c>
      <c r="L27" s="71">
        <f>IFERROR(
IF($C$6="Yes",SUMIFS('Raw demand'!L:L,'Raw demand'!$B:$B,$B27,'Raw demand'!$C:$C,$C$5),0)+
IF($D$6="Yes",SUMIFS('Raw demand'!L:L,'Raw demand'!$B:$B,$B27,'Raw demand'!$C:$C,$D$5),0)+
IF($E$6="Yes",SUMIFS('Raw demand'!L:L,'Raw demand'!$B:$B,$B27,'Raw demand'!$C:$C,$E$5),0),
0)</f>
        <v>115.24214090389999</v>
      </c>
      <c r="M27" s="71">
        <f>IFERROR(
IF($C$6="Yes",SUMIFS('Raw demand'!M:M,'Raw demand'!$B:$B,$B27,'Raw demand'!$C:$C,$C$5),0)+
IF($D$6="Yes",SUMIFS('Raw demand'!M:M,'Raw demand'!$B:$B,$B27,'Raw demand'!$C:$C,$D$5),0)+
IF($E$6="Yes",SUMIFS('Raw demand'!M:M,'Raw demand'!$B:$B,$B27,'Raw demand'!$C:$C,$E$5),0),
0)</f>
        <v>115.32992326589999</v>
      </c>
      <c r="N27" s="71">
        <f>IFERROR(
IF($C$6="Yes",SUMIFS('Raw demand'!N:N,'Raw demand'!$B:$B,$B27,'Raw demand'!$C:$C,$C$5),0)+
IF($D$6="Yes",SUMIFS('Raw demand'!N:N,'Raw demand'!$B:$B,$B27,'Raw demand'!$C:$C,$D$5),0)+
IF($E$6="Yes",SUMIFS('Raw demand'!N:N,'Raw demand'!$B:$B,$B27,'Raw demand'!$C:$C,$E$5),0),
0)</f>
        <v>115.36202657230001</v>
      </c>
      <c r="O27" s="71">
        <f>IFERROR(
IF($C$6="Yes",SUMIFS('Raw demand'!O:O,'Raw demand'!$B:$B,$B27,'Raw demand'!$C:$C,$C$5),0)+
IF($D$6="Yes",SUMIFS('Raw demand'!O:O,'Raw demand'!$B:$B,$B27,'Raw demand'!$C:$C,$D$5),0)+
IF($E$6="Yes",SUMIFS('Raw demand'!O:O,'Raw demand'!$B:$B,$B27,'Raw demand'!$C:$C,$E$5),0),
0)</f>
        <v>115.2851151198</v>
      </c>
      <c r="P27" s="71">
        <f>IFERROR(
IF($C$6="Yes",SUMIFS('Raw demand'!P:P,'Raw demand'!$B:$B,$B27,'Raw demand'!$C:$C,$C$5),0)+
IF($D$6="Yes",SUMIFS('Raw demand'!P:P,'Raw demand'!$B:$B,$B27,'Raw demand'!$C:$C,$D$5),0)+
IF($E$6="Yes",SUMIFS('Raw demand'!P:P,'Raw demand'!$B:$B,$B27,'Raw demand'!$C:$C,$E$5),0),
0)</f>
        <v>115.2876194226</v>
      </c>
      <c r="Q27" s="34"/>
      <c r="R27" s="71">
        <f t="shared" si="3"/>
        <v>115.92316497158001</v>
      </c>
      <c r="S27" s="72">
        <f t="shared" si="1"/>
        <v>2.0467310052061791E-2</v>
      </c>
    </row>
    <row r="28" spans="2:19">
      <c r="B28" s="2" t="str">
        <v>North West</v>
      </c>
      <c r="C28" s="44">
        <f t="shared" si="0"/>
        <v>1.0636900548102179E-3</v>
      </c>
      <c r="D28" s="35" t="str">
        <f>IF($B28=Lists!$D$31,$B28,IF($C28&gt;0,"Growth","Decline"))</f>
        <v>Growth</v>
      </c>
      <c r="E28" s="35" t="str">
        <f t="shared" si="2"/>
        <v>MW</v>
      </c>
      <c r="F28" s="71">
        <f>IFERROR(
IF($C$6="Yes",SUMIFS('Raw demand'!F:F,'Raw demand'!$B:$B,$B28,'Raw demand'!$C:$C,$C$5),0)+
IF($D$6="Yes",SUMIFS('Raw demand'!F:F,'Raw demand'!$B:$B,$B28,'Raw demand'!$C:$C,$D$5),0)+
IF($E$6="Yes",SUMIFS('Raw demand'!F:F,'Raw demand'!$B:$B,$B28,'Raw demand'!$C:$C,$E$5),0),
0)</f>
        <v>177.24936082242615</v>
      </c>
      <c r="G28" s="71">
        <f>IFERROR(
IF($C$6="Yes",SUMIFS('Raw demand'!G:G,'Raw demand'!$B:$B,$B28,'Raw demand'!$C:$C,$C$5),0)+
IF($D$6="Yes",SUMIFS('Raw demand'!G:G,'Raw demand'!$B:$B,$B28,'Raw demand'!$C:$C,$D$5),0)+
IF($E$6="Yes",SUMIFS('Raw demand'!G:G,'Raw demand'!$B:$B,$B28,'Raw demand'!$C:$C,$E$5),0),
0)</f>
        <v>175.82339837482613</v>
      </c>
      <c r="H28" s="71">
        <f>IFERROR(
IF($C$6="Yes",SUMIFS('Raw demand'!H:H,'Raw demand'!$B:$B,$B28,'Raw demand'!$C:$C,$C$5),0)+
IF($D$6="Yes",SUMIFS('Raw demand'!H:H,'Raw demand'!$B:$B,$B28,'Raw demand'!$C:$C,$D$5),0)+
IF($E$6="Yes",SUMIFS('Raw demand'!H:H,'Raw demand'!$B:$B,$B28,'Raw demand'!$C:$C,$E$5),0),
0)</f>
        <v>175.00100294382614</v>
      </c>
      <c r="I28" s="71">
        <f>IFERROR(
IF($C$6="Yes",SUMIFS('Raw demand'!I:I,'Raw demand'!$B:$B,$B28,'Raw demand'!$C:$C,$C$5),0)+
IF($D$6="Yes",SUMIFS('Raw demand'!I:I,'Raw demand'!$B:$B,$B28,'Raw demand'!$C:$C,$D$5),0)+
IF($E$6="Yes",SUMIFS('Raw demand'!I:I,'Raw demand'!$B:$B,$B28,'Raw demand'!$C:$C,$E$5),0),
0)</f>
        <v>174.83679852012614</v>
      </c>
      <c r="J28" s="71">
        <f>IFERROR(
IF($C$6="Yes",SUMIFS('Raw demand'!J:J,'Raw demand'!$B:$B,$B28,'Raw demand'!$C:$C,$C$5),0)+
IF($D$6="Yes",SUMIFS('Raw demand'!J:J,'Raw demand'!$B:$B,$B28,'Raw demand'!$C:$C,$D$5),0)+
IF($E$6="Yes",SUMIFS('Raw demand'!J:J,'Raw demand'!$B:$B,$B28,'Raw demand'!$C:$C,$E$5),0),
0)</f>
        <v>174.52700507102614</v>
      </c>
      <c r="K28" s="71">
        <f>IFERROR(
IF($C$6="Yes",SUMIFS('Raw demand'!K:K,'Raw demand'!$B:$B,$B28,'Raw demand'!$C:$C,$C$5),0)+
IF($D$6="Yes",SUMIFS('Raw demand'!K:K,'Raw demand'!$B:$B,$B28,'Raw demand'!$C:$C,$D$5),0)+
IF($E$6="Yes",SUMIFS('Raw demand'!K:K,'Raw demand'!$B:$B,$B28,'Raw demand'!$C:$C,$E$5),0),
0)</f>
        <v>174.34771074352614</v>
      </c>
      <c r="L28" s="71">
        <f>IFERROR(
IF($C$6="Yes",SUMIFS('Raw demand'!L:L,'Raw demand'!$B:$B,$B28,'Raw demand'!$C:$C,$C$5),0)+
IF($D$6="Yes",SUMIFS('Raw demand'!L:L,'Raw demand'!$B:$B,$B28,'Raw demand'!$C:$C,$D$5),0)+
IF($E$6="Yes",SUMIFS('Raw demand'!L:L,'Raw demand'!$B:$B,$B28,'Raw demand'!$C:$C,$E$5),0),
0)</f>
        <v>174.54111935002615</v>
      </c>
      <c r="M28" s="71">
        <f>IFERROR(
IF($C$6="Yes",SUMIFS('Raw demand'!M:M,'Raw demand'!$B:$B,$B28,'Raw demand'!$C:$C,$C$5),0)+
IF($D$6="Yes",SUMIFS('Raw demand'!M:M,'Raw demand'!$B:$B,$B28,'Raw demand'!$C:$C,$D$5),0)+
IF($E$6="Yes",SUMIFS('Raw demand'!M:M,'Raw demand'!$B:$B,$B28,'Raw demand'!$C:$C,$E$5),0),
0)</f>
        <v>175.85090786052615</v>
      </c>
      <c r="N28" s="71">
        <f>IFERROR(
IF($C$6="Yes",SUMIFS('Raw demand'!N:N,'Raw demand'!$B:$B,$B28,'Raw demand'!$C:$C,$C$5),0)+
IF($D$6="Yes",SUMIFS('Raw demand'!N:N,'Raw demand'!$B:$B,$B28,'Raw demand'!$C:$C,$D$5),0)+
IF($E$6="Yes",SUMIFS('Raw demand'!N:N,'Raw demand'!$B:$B,$B28,'Raw demand'!$C:$C,$E$5),0),
0)</f>
        <v>177.03082937272615</v>
      </c>
      <c r="O28" s="71">
        <f>IFERROR(
IF($C$6="Yes",SUMIFS('Raw demand'!O:O,'Raw demand'!$B:$B,$B28,'Raw demand'!$C:$C,$C$5),0)+
IF($D$6="Yes",SUMIFS('Raw demand'!O:O,'Raw demand'!$B:$B,$B28,'Raw demand'!$C:$C,$D$5),0)+
IF($E$6="Yes",SUMIFS('Raw demand'!O:O,'Raw demand'!$B:$B,$B28,'Raw demand'!$C:$C,$E$5),0),
0)</f>
        <v>177.99095062402614</v>
      </c>
      <c r="P28" s="71">
        <f>IFERROR(
IF($C$6="Yes",SUMIFS('Raw demand'!P:P,'Raw demand'!$B:$B,$B28,'Raw demand'!$C:$C,$C$5),0)+
IF($D$6="Yes",SUMIFS('Raw demand'!P:P,'Raw demand'!$B:$B,$B28,'Raw demand'!$C:$C,$D$5),0)+
IF($E$6="Yes",SUMIFS('Raw demand'!P:P,'Raw demand'!$B:$B,$B28,'Raw demand'!$C:$C,$E$5),0),
0)</f>
        <v>179.14379487982615</v>
      </c>
      <c r="Q28" s="34"/>
      <c r="R28" s="71">
        <f t="shared" si="3"/>
        <v>175.90935177404612</v>
      </c>
      <c r="S28" s="72">
        <f t="shared" si="1"/>
        <v>3.1058427749960833E-2</v>
      </c>
    </row>
    <row r="29" spans="2:19" s="1" customFormat="1">
      <c r="B29" s="2" t="str">
        <v>Pittwater &amp; Terrey Hills</v>
      </c>
      <c r="C29" s="44">
        <f t="shared" si="0"/>
        <v>-2.9543825278255387E-3</v>
      </c>
      <c r="D29" s="35" t="str">
        <f>IF($B29=Lists!$D$31,$B29,IF($C29&gt;0,"Growth","Decline"))</f>
        <v>Decline</v>
      </c>
      <c r="E29" s="35" t="str">
        <f t="shared" si="2"/>
        <v>MW</v>
      </c>
      <c r="F29" s="71">
        <f>IFERROR(
IF($C$6="Yes",SUMIFS('Raw demand'!F:F,'Raw demand'!$B:$B,$B29,'Raw demand'!$C:$C,$C$5),0)+
IF($D$6="Yes",SUMIFS('Raw demand'!F:F,'Raw demand'!$B:$B,$B29,'Raw demand'!$C:$C,$D$5),0)+
IF($E$6="Yes",SUMIFS('Raw demand'!F:F,'Raw demand'!$B:$B,$B29,'Raw demand'!$C:$C,$E$5),0),
0)</f>
        <v>68.251768513100004</v>
      </c>
      <c r="G29" s="71">
        <f>IFERROR(
IF($C$6="Yes",SUMIFS('Raw demand'!G:G,'Raw demand'!$B:$B,$B29,'Raw demand'!$C:$C,$C$5),0)+
IF($D$6="Yes",SUMIFS('Raw demand'!G:G,'Raw demand'!$B:$B,$B29,'Raw demand'!$C:$C,$D$5),0)+
IF($E$6="Yes",SUMIFS('Raw demand'!G:G,'Raw demand'!$B:$B,$B29,'Raw demand'!$C:$C,$E$5),0),
0)</f>
        <v>67.429170153900003</v>
      </c>
      <c r="H29" s="71">
        <f>IFERROR(
IF($C$6="Yes",SUMIFS('Raw demand'!H:H,'Raw demand'!$B:$B,$B29,'Raw demand'!$C:$C,$C$5),0)+
IF($D$6="Yes",SUMIFS('Raw demand'!H:H,'Raw demand'!$B:$B,$B29,'Raw demand'!$C:$C,$D$5),0)+
IF($E$6="Yes",SUMIFS('Raw demand'!H:H,'Raw demand'!$B:$B,$B29,'Raw demand'!$C:$C,$E$5),0),
0)</f>
        <v>66.780654868300005</v>
      </c>
      <c r="I29" s="71">
        <f>IFERROR(
IF($C$6="Yes",SUMIFS('Raw demand'!I:I,'Raw demand'!$B:$B,$B29,'Raw demand'!$C:$C,$C$5),0)+
IF($D$6="Yes",SUMIFS('Raw demand'!I:I,'Raw demand'!$B:$B,$B29,'Raw demand'!$C:$C,$D$5),0)+
IF($E$6="Yes",SUMIFS('Raw demand'!I:I,'Raw demand'!$B:$B,$B29,'Raw demand'!$C:$C,$E$5),0),
0)</f>
        <v>66.45154005229999</v>
      </c>
      <c r="J29" s="71">
        <f>IFERROR(
IF($C$6="Yes",SUMIFS('Raw demand'!J:J,'Raw demand'!$B:$B,$B29,'Raw demand'!$C:$C,$C$5),0)+
IF($D$6="Yes",SUMIFS('Raw demand'!J:J,'Raw demand'!$B:$B,$B29,'Raw demand'!$C:$C,$D$5),0)+
IF($E$6="Yes",SUMIFS('Raw demand'!J:J,'Raw demand'!$B:$B,$B29,'Raw demand'!$C:$C,$E$5),0),
0)</f>
        <v>66.039021631899999</v>
      </c>
      <c r="K29" s="71">
        <f>IFERROR(
IF($C$6="Yes",SUMIFS('Raw demand'!K:K,'Raw demand'!$B:$B,$B29,'Raw demand'!$C:$C,$C$5),0)+
IF($D$6="Yes",SUMIFS('Raw demand'!K:K,'Raw demand'!$B:$B,$B29,'Raw demand'!$C:$C,$D$5),0)+
IF($E$6="Yes",SUMIFS('Raw demand'!K:K,'Raw demand'!$B:$B,$B29,'Raw demand'!$C:$C,$E$5),0),
0)</f>
        <v>65.6637322176</v>
      </c>
      <c r="L29" s="71">
        <f>IFERROR(
IF($C$6="Yes",SUMIFS('Raw demand'!L:L,'Raw demand'!$B:$B,$B29,'Raw demand'!$C:$C,$C$5),0)+
IF($D$6="Yes",SUMIFS('Raw demand'!L:L,'Raw demand'!$B:$B,$B29,'Raw demand'!$C:$C,$D$5),0)+
IF($E$6="Yes",SUMIFS('Raw demand'!L:L,'Raw demand'!$B:$B,$B29,'Raw demand'!$C:$C,$E$5),0),
0)</f>
        <v>65.345504197499992</v>
      </c>
      <c r="M29" s="71">
        <f>IFERROR(
IF($C$6="Yes",SUMIFS('Raw demand'!M:M,'Raw demand'!$B:$B,$B29,'Raw demand'!$C:$C,$C$5),0)+
IF($D$6="Yes",SUMIFS('Raw demand'!M:M,'Raw demand'!$B:$B,$B29,'Raw demand'!$C:$C,$D$5),0)+
IF($E$6="Yes",SUMIFS('Raw demand'!M:M,'Raw demand'!$B:$B,$B29,'Raw demand'!$C:$C,$E$5),0),
0)</f>
        <v>65.534555396300007</v>
      </c>
      <c r="N29" s="71">
        <f>IFERROR(
IF($C$6="Yes",SUMIFS('Raw demand'!N:N,'Raw demand'!$B:$B,$B29,'Raw demand'!$C:$C,$C$5),0)+
IF($D$6="Yes",SUMIFS('Raw demand'!N:N,'Raw demand'!$B:$B,$B29,'Raw demand'!$C:$C,$D$5),0)+
IF($E$6="Yes",SUMIFS('Raw demand'!N:N,'Raw demand'!$B:$B,$B29,'Raw demand'!$C:$C,$E$5),0),
0)</f>
        <v>65.740249544500003</v>
      </c>
      <c r="O29" s="71">
        <f>IFERROR(
IF($C$6="Yes",SUMIFS('Raw demand'!O:O,'Raw demand'!$B:$B,$B29,'Raw demand'!$C:$C,$C$5),0)+
IF($D$6="Yes",SUMIFS('Raw demand'!O:O,'Raw demand'!$B:$B,$B29,'Raw demand'!$C:$C,$D$5),0)+
IF($E$6="Yes",SUMIFS('Raw demand'!O:O,'Raw demand'!$B:$B,$B29,'Raw demand'!$C:$C,$E$5),0),
0)</f>
        <v>65.941596302799994</v>
      </c>
      <c r="P29" s="71">
        <f>IFERROR(
IF($C$6="Yes",SUMIFS('Raw demand'!P:P,'Raw demand'!$B:$B,$B29,'Raw demand'!$C:$C,$C$5),0)+
IF($D$6="Yes",SUMIFS('Raw demand'!P:P,'Raw demand'!$B:$B,$B29,'Raw demand'!$C:$C,$D$5),0)+
IF($E$6="Yes",SUMIFS('Raw demand'!P:P,'Raw demand'!$B:$B,$B29,'Raw demand'!$C:$C,$E$5),0),
0)</f>
        <v>66.261947796399994</v>
      </c>
      <c r="Q29" s="34"/>
      <c r="R29" s="71">
        <f t="shared" si="3"/>
        <v>66.11879721615</v>
      </c>
      <c r="S29" s="72">
        <f t="shared" si="1"/>
        <v>1.1673886951103465E-2</v>
      </c>
    </row>
    <row r="30" spans="2:19" s="1" customFormat="1">
      <c r="B30" s="2" t="str">
        <v>Port Stephens</v>
      </c>
      <c r="C30" s="44">
        <f t="shared" si="0"/>
        <v>-1.6507470783905243E-3</v>
      </c>
      <c r="D30" s="35" t="str">
        <f>IF($B30=Lists!$D$31,$B30,IF($C30&gt;0,"Growth","Decline"))</f>
        <v>Decline</v>
      </c>
      <c r="E30" s="35" t="str">
        <f t="shared" si="2"/>
        <v>MW</v>
      </c>
      <c r="F30" s="71">
        <f>IFERROR(
IF($C$6="Yes",SUMIFS('Raw demand'!F:F,'Raw demand'!$B:$B,$B30,'Raw demand'!$C:$C,$C$5),0)+
IF($D$6="Yes",SUMIFS('Raw demand'!F:F,'Raw demand'!$B:$B,$B30,'Raw demand'!$C:$C,$D$5),0)+
IF($E$6="Yes",SUMIFS('Raw demand'!F:F,'Raw demand'!$B:$B,$B30,'Raw demand'!$C:$C,$E$5),0),
0)</f>
        <v>104.57896222719287</v>
      </c>
      <c r="G30" s="71">
        <f>IFERROR(
IF($C$6="Yes",SUMIFS('Raw demand'!G:G,'Raw demand'!$B:$B,$B30,'Raw demand'!$C:$C,$C$5),0)+
IF($D$6="Yes",SUMIFS('Raw demand'!G:G,'Raw demand'!$B:$B,$B30,'Raw demand'!$C:$C,$D$5),0)+
IF($E$6="Yes",SUMIFS('Raw demand'!G:G,'Raw demand'!$B:$B,$B30,'Raw demand'!$C:$C,$E$5),0),
0)</f>
        <v>103.57123334989288</v>
      </c>
      <c r="H30" s="71">
        <f>IFERROR(
IF($C$6="Yes",SUMIFS('Raw demand'!H:H,'Raw demand'!$B:$B,$B30,'Raw demand'!$C:$C,$C$5),0)+
IF($D$6="Yes",SUMIFS('Raw demand'!H:H,'Raw demand'!$B:$B,$B30,'Raw demand'!$C:$C,$D$5),0)+
IF($E$6="Yes",SUMIFS('Raw demand'!H:H,'Raw demand'!$B:$B,$B30,'Raw demand'!$C:$C,$E$5),0),
0)</f>
        <v>103.15061777139287</v>
      </c>
      <c r="I30" s="71">
        <f>IFERROR(
IF($C$6="Yes",SUMIFS('Raw demand'!I:I,'Raw demand'!$B:$B,$B30,'Raw demand'!$C:$C,$C$5),0)+
IF($D$6="Yes",SUMIFS('Raw demand'!I:I,'Raw demand'!$B:$B,$B30,'Raw demand'!$C:$C,$D$5),0)+
IF($E$6="Yes",SUMIFS('Raw demand'!I:I,'Raw demand'!$B:$B,$B30,'Raw demand'!$C:$C,$E$5),0),
0)</f>
        <v>103.06353213349287</v>
      </c>
      <c r="J30" s="71">
        <f>IFERROR(
IF($C$6="Yes",SUMIFS('Raw demand'!J:J,'Raw demand'!$B:$B,$B30,'Raw demand'!$C:$C,$C$5),0)+
IF($D$6="Yes",SUMIFS('Raw demand'!J:J,'Raw demand'!$B:$B,$B30,'Raw demand'!$C:$C,$D$5),0)+
IF($E$6="Yes",SUMIFS('Raw demand'!J:J,'Raw demand'!$B:$B,$B30,'Raw demand'!$C:$C,$E$5),0),
0)</f>
        <v>102.82389241209287</v>
      </c>
      <c r="K30" s="71">
        <f>IFERROR(
IF($C$6="Yes",SUMIFS('Raw demand'!K:K,'Raw demand'!$B:$B,$B30,'Raw demand'!$C:$C,$C$5),0)+
IF($D$6="Yes",SUMIFS('Raw demand'!K:K,'Raw demand'!$B:$B,$B30,'Raw demand'!$C:$C,$D$5),0)+
IF($E$6="Yes",SUMIFS('Raw demand'!K:K,'Raw demand'!$B:$B,$B30,'Raw demand'!$C:$C,$E$5),0),
0)</f>
        <v>102.49928499609288</v>
      </c>
      <c r="L30" s="71">
        <f>IFERROR(
IF($C$6="Yes",SUMIFS('Raw demand'!L:L,'Raw demand'!$B:$B,$B30,'Raw demand'!$C:$C,$C$5),0)+
IF($D$6="Yes",SUMIFS('Raw demand'!L:L,'Raw demand'!$B:$B,$B30,'Raw demand'!$C:$C,$D$5),0)+
IF($E$6="Yes",SUMIFS('Raw demand'!L:L,'Raw demand'!$B:$B,$B30,'Raw demand'!$C:$C,$E$5),0),
0)</f>
        <v>102.19842334319287</v>
      </c>
      <c r="M30" s="71">
        <f>IFERROR(
IF($C$6="Yes",SUMIFS('Raw demand'!M:M,'Raw demand'!$B:$B,$B30,'Raw demand'!$C:$C,$C$5),0)+
IF($D$6="Yes",SUMIFS('Raw demand'!M:M,'Raw demand'!$B:$B,$B30,'Raw demand'!$C:$C,$D$5),0)+
IF($E$6="Yes",SUMIFS('Raw demand'!M:M,'Raw demand'!$B:$B,$B30,'Raw demand'!$C:$C,$E$5),0),
0)</f>
        <v>102.38567137299289</v>
      </c>
      <c r="N30" s="71">
        <f>IFERROR(
IF($C$6="Yes",SUMIFS('Raw demand'!N:N,'Raw demand'!$B:$B,$B30,'Raw demand'!$C:$C,$C$5),0)+
IF($D$6="Yes",SUMIFS('Raw demand'!N:N,'Raw demand'!$B:$B,$B30,'Raw demand'!$C:$C,$D$5),0)+
IF($E$6="Yes",SUMIFS('Raw demand'!N:N,'Raw demand'!$B:$B,$B30,'Raw demand'!$C:$C,$E$5),0),
0)</f>
        <v>102.59640354169288</v>
      </c>
      <c r="O30" s="71">
        <f>IFERROR(
IF($C$6="Yes",SUMIFS('Raw demand'!O:O,'Raw demand'!$B:$B,$B30,'Raw demand'!$C:$C,$C$5),0)+
IF($D$6="Yes",SUMIFS('Raw demand'!O:O,'Raw demand'!$B:$B,$B30,'Raw demand'!$C:$C,$D$5),0)+
IF($E$6="Yes",SUMIFS('Raw demand'!O:O,'Raw demand'!$B:$B,$B30,'Raw demand'!$C:$C,$E$5),0),
0)</f>
        <v>102.70146711349287</v>
      </c>
      <c r="P30" s="71">
        <f>IFERROR(
IF($C$6="Yes",SUMIFS('Raw demand'!P:P,'Raw demand'!$B:$B,$B30,'Raw demand'!$C:$C,$C$5),0)+
IF($D$6="Yes",SUMIFS('Raw demand'!P:P,'Raw demand'!$B:$B,$B30,'Raw demand'!$C:$C,$D$5),0)+
IF($E$6="Yes",SUMIFS('Raw demand'!P:P,'Raw demand'!$B:$B,$B30,'Raw demand'!$C:$C,$E$5),0),
0)</f>
        <v>102.86539561079289</v>
      </c>
      <c r="Q30" s="34"/>
      <c r="R30" s="71">
        <f t="shared" si="3"/>
        <v>102.78559216451288</v>
      </c>
      <c r="S30" s="72">
        <f t="shared" si="1"/>
        <v>1.8147749711902854E-2</v>
      </c>
    </row>
    <row r="31" spans="2:19">
      <c r="B31" s="2" t="str">
        <v>Singleton</v>
      </c>
      <c r="C31" s="44">
        <f t="shared" si="0"/>
        <v>-6.2653058517569971E-4</v>
      </c>
      <c r="D31" s="35" t="str">
        <f>IF($B31=Lists!$D$31,$B31,IF($C31&gt;0,"Growth","Decline"))</f>
        <v>Decline</v>
      </c>
      <c r="E31" s="35" t="str">
        <f t="shared" si="2"/>
        <v>MW</v>
      </c>
      <c r="F31" s="71">
        <f>IFERROR(
IF($C$6="Yes",SUMIFS('Raw demand'!F:F,'Raw demand'!$B:$B,$B31,'Raw demand'!$C:$C,$C$5),0)+
IF($D$6="Yes",SUMIFS('Raw demand'!F:F,'Raw demand'!$B:$B,$B31,'Raw demand'!$C:$C,$D$5),0)+
IF($E$6="Yes",SUMIFS('Raw demand'!F:F,'Raw demand'!$B:$B,$B31,'Raw demand'!$C:$C,$E$5),0),
0)</f>
        <v>131.5612340632</v>
      </c>
      <c r="G31" s="71">
        <f>IFERROR(
IF($C$6="Yes",SUMIFS('Raw demand'!G:G,'Raw demand'!$B:$B,$B31,'Raw demand'!$C:$C,$C$5),0)+
IF($D$6="Yes",SUMIFS('Raw demand'!G:G,'Raw demand'!$B:$B,$B31,'Raw demand'!$C:$C,$D$5),0)+
IF($E$6="Yes",SUMIFS('Raw demand'!G:G,'Raw demand'!$B:$B,$B31,'Raw demand'!$C:$C,$E$5),0),
0)</f>
        <v>131.1402571818</v>
      </c>
      <c r="H31" s="71">
        <f>IFERROR(
IF($C$6="Yes",SUMIFS('Raw demand'!H:H,'Raw demand'!$B:$B,$B31,'Raw demand'!$C:$C,$C$5),0)+
IF($D$6="Yes",SUMIFS('Raw demand'!H:H,'Raw demand'!$B:$B,$B31,'Raw demand'!$C:$C,$D$5),0)+
IF($E$6="Yes",SUMIFS('Raw demand'!H:H,'Raw demand'!$B:$B,$B31,'Raw demand'!$C:$C,$E$5),0),
0)</f>
        <v>130.94916778020001</v>
      </c>
      <c r="I31" s="71">
        <f>IFERROR(
IF($C$6="Yes",SUMIFS('Raw demand'!I:I,'Raw demand'!$B:$B,$B31,'Raw demand'!$C:$C,$C$5),0)+
IF($D$6="Yes",SUMIFS('Raw demand'!I:I,'Raw demand'!$B:$B,$B31,'Raw demand'!$C:$C,$D$5),0)+
IF($E$6="Yes",SUMIFS('Raw demand'!I:I,'Raw demand'!$B:$B,$B31,'Raw demand'!$C:$C,$E$5),0),
0)</f>
        <v>130.9101670169</v>
      </c>
      <c r="J31" s="71">
        <f>IFERROR(
IF($C$6="Yes",SUMIFS('Raw demand'!J:J,'Raw demand'!$B:$B,$B31,'Raw demand'!$C:$C,$C$5),0)+
IF($D$6="Yes",SUMIFS('Raw demand'!J:J,'Raw demand'!$B:$B,$B31,'Raw demand'!$C:$C,$D$5),0)+
IF($E$6="Yes",SUMIFS('Raw demand'!J:J,'Raw demand'!$B:$B,$B31,'Raw demand'!$C:$C,$E$5),0),
0)</f>
        <v>130.79766790090002</v>
      </c>
      <c r="K31" s="71">
        <f>IFERROR(
IF($C$6="Yes",SUMIFS('Raw demand'!K:K,'Raw demand'!$B:$B,$B31,'Raw demand'!$C:$C,$C$5),0)+
IF($D$6="Yes",SUMIFS('Raw demand'!K:K,'Raw demand'!$B:$B,$B31,'Raw demand'!$C:$C,$D$5),0)+
IF($E$6="Yes",SUMIFS('Raw demand'!K:K,'Raw demand'!$B:$B,$B31,'Raw demand'!$C:$C,$E$5),0),
0)</f>
        <v>130.64031662479999</v>
      </c>
      <c r="L31" s="71">
        <f>IFERROR(
IF($C$6="Yes",SUMIFS('Raw demand'!L:L,'Raw demand'!$B:$B,$B31,'Raw demand'!$C:$C,$C$5),0)+
IF($D$6="Yes",SUMIFS('Raw demand'!L:L,'Raw demand'!$B:$B,$B31,'Raw demand'!$C:$C,$D$5),0)+
IF($E$6="Yes",SUMIFS('Raw demand'!L:L,'Raw demand'!$B:$B,$B31,'Raw demand'!$C:$C,$E$5),0),
0)</f>
        <v>130.53356207780001</v>
      </c>
      <c r="M31" s="71">
        <f>IFERROR(
IF($C$6="Yes",SUMIFS('Raw demand'!M:M,'Raw demand'!$B:$B,$B31,'Raw demand'!$C:$C,$C$5),0)+
IF($D$6="Yes",SUMIFS('Raw demand'!M:M,'Raw demand'!$B:$B,$B31,'Raw demand'!$C:$C,$D$5),0)+
IF($E$6="Yes",SUMIFS('Raw demand'!M:M,'Raw demand'!$B:$B,$B31,'Raw demand'!$C:$C,$E$5),0),
0)</f>
        <v>130.59072251520001</v>
      </c>
      <c r="N31" s="71">
        <f>IFERROR(
IF($C$6="Yes",SUMIFS('Raw demand'!N:N,'Raw demand'!$B:$B,$B31,'Raw demand'!$C:$C,$C$5),0)+
IF($D$6="Yes",SUMIFS('Raw demand'!N:N,'Raw demand'!$B:$B,$B31,'Raw demand'!$C:$C,$D$5),0)+
IF($E$6="Yes",SUMIFS('Raw demand'!N:N,'Raw demand'!$B:$B,$B31,'Raw demand'!$C:$C,$E$5),0),
0)</f>
        <v>130.6378883463</v>
      </c>
      <c r="O31" s="71">
        <f>IFERROR(
IF($C$6="Yes",SUMIFS('Raw demand'!O:O,'Raw demand'!$B:$B,$B31,'Raw demand'!$C:$C,$C$5),0)+
IF($D$6="Yes",SUMIFS('Raw demand'!O:O,'Raw demand'!$B:$B,$B31,'Raw demand'!$C:$C,$D$5),0)+
IF($E$6="Yes",SUMIFS('Raw demand'!O:O,'Raw demand'!$B:$B,$B31,'Raw demand'!$C:$C,$E$5),0),
0)</f>
        <v>130.6411215745</v>
      </c>
      <c r="P31" s="71">
        <f>IFERROR(
IF($C$6="Yes",SUMIFS('Raw demand'!P:P,'Raw demand'!$B:$B,$B31,'Raw demand'!$C:$C,$C$5),0)+
IF($D$6="Yes",SUMIFS('Raw demand'!P:P,'Raw demand'!$B:$B,$B31,'Raw demand'!$C:$C,$D$5),0)+
IF($E$6="Yes",SUMIFS('Raw demand'!P:P,'Raw demand'!$B:$B,$B31,'Raw demand'!$C:$C,$E$5),0),
0)</f>
        <v>130.73928275560002</v>
      </c>
      <c r="Q31" s="34"/>
      <c r="R31" s="71">
        <f t="shared" si="3"/>
        <v>130.7580153774</v>
      </c>
      <c r="S31" s="72">
        <f t="shared" si="1"/>
        <v>2.3086540495832981E-2</v>
      </c>
    </row>
    <row r="32" spans="2:19">
      <c r="B32" s="2" t="str">
        <v>St George</v>
      </c>
      <c r="C32" s="44">
        <f t="shared" si="0"/>
        <v>-3.1820220272277266E-3</v>
      </c>
      <c r="D32" s="35" t="str">
        <f>IF($B32=Lists!$D$31,$B32,IF($C32&gt;0,"Growth","Decline"))</f>
        <v>Decline</v>
      </c>
      <c r="E32" s="35" t="str">
        <f t="shared" si="2"/>
        <v>MW</v>
      </c>
      <c r="F32" s="71">
        <f>IFERROR(
IF($C$6="Yes",SUMIFS('Raw demand'!F:F,'Raw demand'!$B:$B,$B32,'Raw demand'!$C:$C,$C$5),0)+
IF($D$6="Yes",SUMIFS('Raw demand'!F:F,'Raw demand'!$B:$B,$B32,'Raw demand'!$C:$C,$D$5),0)+
IF($E$6="Yes",SUMIFS('Raw demand'!F:F,'Raw demand'!$B:$B,$B32,'Raw demand'!$C:$C,$E$5),0),
0)</f>
        <v>228.4178832874</v>
      </c>
      <c r="G32" s="71">
        <f>IFERROR(
IF($C$6="Yes",SUMIFS('Raw demand'!G:G,'Raw demand'!$B:$B,$B32,'Raw demand'!$C:$C,$C$5),0)+
IF($D$6="Yes",SUMIFS('Raw demand'!G:G,'Raw demand'!$B:$B,$B32,'Raw demand'!$C:$C,$D$5),0)+
IF($E$6="Yes",SUMIFS('Raw demand'!G:G,'Raw demand'!$B:$B,$B32,'Raw demand'!$C:$C,$E$5),0),
0)</f>
        <v>226.59181061910002</v>
      </c>
      <c r="H32" s="71">
        <f>IFERROR(
IF($C$6="Yes",SUMIFS('Raw demand'!H:H,'Raw demand'!$B:$B,$B32,'Raw demand'!$C:$C,$C$5),0)+
IF($D$6="Yes",SUMIFS('Raw demand'!H:H,'Raw demand'!$B:$B,$B32,'Raw demand'!$C:$C,$D$5),0)+
IF($E$6="Yes",SUMIFS('Raw demand'!H:H,'Raw demand'!$B:$B,$B32,'Raw demand'!$C:$C,$E$5),0),
0)</f>
        <v>225.0241248271</v>
      </c>
      <c r="I32" s="71">
        <f>IFERROR(
IF($C$6="Yes",SUMIFS('Raw demand'!I:I,'Raw demand'!$B:$B,$B32,'Raw demand'!$C:$C,$C$5),0)+
IF($D$6="Yes",SUMIFS('Raw demand'!I:I,'Raw demand'!$B:$B,$B32,'Raw demand'!$C:$C,$D$5),0)+
IF($E$6="Yes",SUMIFS('Raw demand'!I:I,'Raw demand'!$B:$B,$B32,'Raw demand'!$C:$C,$E$5),0),
0)</f>
        <v>224.5336890959</v>
      </c>
      <c r="J32" s="71">
        <f>IFERROR(
IF($C$6="Yes",SUMIFS('Raw demand'!J:J,'Raw demand'!$B:$B,$B32,'Raw demand'!$C:$C,$C$5),0)+
IF($D$6="Yes",SUMIFS('Raw demand'!J:J,'Raw demand'!$B:$B,$B32,'Raw demand'!$C:$C,$D$5),0)+
IF($E$6="Yes",SUMIFS('Raw demand'!J:J,'Raw demand'!$B:$B,$B32,'Raw demand'!$C:$C,$E$5),0),
0)</f>
        <v>223.72820261940001</v>
      </c>
      <c r="K32" s="71">
        <f>IFERROR(
IF($C$6="Yes",SUMIFS('Raw demand'!K:K,'Raw demand'!$B:$B,$B32,'Raw demand'!$C:$C,$C$5),0)+
IF($D$6="Yes",SUMIFS('Raw demand'!K:K,'Raw demand'!$B:$B,$B32,'Raw demand'!$C:$C,$D$5),0)+
IF($E$6="Yes",SUMIFS('Raw demand'!K:K,'Raw demand'!$B:$B,$B32,'Raw demand'!$C:$C,$E$5),0),
0)</f>
        <v>222.820890257</v>
      </c>
      <c r="L32" s="71">
        <f>IFERROR(
IF($C$6="Yes",SUMIFS('Raw demand'!L:L,'Raw demand'!$B:$B,$B32,'Raw demand'!$C:$C,$C$5),0)+
IF($D$6="Yes",SUMIFS('Raw demand'!L:L,'Raw demand'!$B:$B,$B32,'Raw demand'!$C:$C,$D$5),0)+
IF($E$6="Yes",SUMIFS('Raw demand'!L:L,'Raw demand'!$B:$B,$B32,'Raw demand'!$C:$C,$E$5),0),
0)</f>
        <v>221.18860409760001</v>
      </c>
      <c r="M32" s="71">
        <f>IFERROR(
IF($C$6="Yes",SUMIFS('Raw demand'!M:M,'Raw demand'!$B:$B,$B32,'Raw demand'!$C:$C,$C$5),0)+
IF($D$6="Yes",SUMIFS('Raw demand'!M:M,'Raw demand'!$B:$B,$B32,'Raw demand'!$C:$C,$D$5),0)+
IF($E$6="Yes",SUMIFS('Raw demand'!M:M,'Raw demand'!$B:$B,$B32,'Raw demand'!$C:$C,$E$5),0),
0)</f>
        <v>221.16014565309999</v>
      </c>
      <c r="N32" s="71">
        <f>IFERROR(
IF($C$6="Yes",SUMIFS('Raw demand'!N:N,'Raw demand'!$B:$B,$B32,'Raw demand'!$C:$C,$C$5),0)+
IF($D$6="Yes",SUMIFS('Raw demand'!N:N,'Raw demand'!$B:$B,$B32,'Raw demand'!$C:$C,$D$5),0)+
IF($E$6="Yes",SUMIFS('Raw demand'!N:N,'Raw demand'!$B:$B,$B32,'Raw demand'!$C:$C,$E$5),0),
0)</f>
        <v>221.04826511759998</v>
      </c>
      <c r="O32" s="71">
        <f>IFERROR(
IF($C$6="Yes",SUMIFS('Raw demand'!O:O,'Raw demand'!$B:$B,$B32,'Raw demand'!$C:$C,$C$5),0)+
IF($D$6="Yes",SUMIFS('Raw demand'!O:O,'Raw demand'!$B:$B,$B32,'Raw demand'!$C:$C,$D$5),0)+
IF($E$6="Yes",SUMIFS('Raw demand'!O:O,'Raw demand'!$B:$B,$B32,'Raw demand'!$C:$C,$E$5),0),
0)</f>
        <v>221.05693288109998</v>
      </c>
      <c r="P32" s="71">
        <f>IFERROR(
IF($C$6="Yes",SUMIFS('Raw demand'!P:P,'Raw demand'!$B:$B,$B32,'Raw demand'!$C:$C,$C$5),0)+
IF($D$6="Yes",SUMIFS('Raw demand'!P:P,'Raw demand'!$B:$B,$B32,'Raw demand'!$C:$C,$D$5),0)+
IF($E$6="Yes",SUMIFS('Raw demand'!P:P,'Raw demand'!$B:$B,$B32,'Raw demand'!$C:$C,$E$5),0),
0)</f>
        <v>221.2527733172</v>
      </c>
      <c r="Q32" s="34"/>
      <c r="R32" s="71">
        <f t="shared" si="3"/>
        <v>222.84054384851001</v>
      </c>
      <c r="S32" s="72">
        <f t="shared" si="1"/>
        <v>3.9344565033534909E-2</v>
      </c>
    </row>
    <row r="33" spans="2:21">
      <c r="B33" s="2" t="str">
        <v>Sutherland</v>
      </c>
      <c r="C33" s="44">
        <f t="shared" si="0"/>
        <v>-3.5276496302595328E-3</v>
      </c>
      <c r="D33" s="35" t="str">
        <f>IF($B33=Lists!$D$31,$B33,IF($C33&gt;0,"Growth","Decline"))</f>
        <v>Decline</v>
      </c>
      <c r="E33" s="35" t="str">
        <f t="shared" si="2"/>
        <v>MW</v>
      </c>
      <c r="F33" s="71">
        <f>IFERROR(
IF($C$6="Yes",SUMIFS('Raw demand'!F:F,'Raw demand'!$B:$B,$B33,'Raw demand'!$C:$C,$C$5),0)+
IF($D$6="Yes",SUMIFS('Raw demand'!F:F,'Raw demand'!$B:$B,$B33,'Raw demand'!$C:$C,$D$5),0)+
IF($E$6="Yes",SUMIFS('Raw demand'!F:F,'Raw demand'!$B:$B,$B33,'Raw demand'!$C:$C,$E$5),0),
0)</f>
        <v>265.19191453726535</v>
      </c>
      <c r="G33" s="71">
        <f>IFERROR(
IF($C$6="Yes",SUMIFS('Raw demand'!G:G,'Raw demand'!$B:$B,$B33,'Raw demand'!$C:$C,$C$5),0)+
IF($D$6="Yes",SUMIFS('Raw demand'!G:G,'Raw demand'!$B:$B,$B33,'Raw demand'!$C:$C,$D$5),0)+
IF($E$6="Yes",SUMIFS('Raw demand'!G:G,'Raw demand'!$B:$B,$B33,'Raw demand'!$C:$C,$E$5),0),
0)</f>
        <v>263.39578847536535</v>
      </c>
      <c r="H33" s="71">
        <f>IFERROR(
IF($C$6="Yes",SUMIFS('Raw demand'!H:H,'Raw demand'!$B:$B,$B33,'Raw demand'!$C:$C,$C$5),0)+
IF($D$6="Yes",SUMIFS('Raw demand'!H:H,'Raw demand'!$B:$B,$B33,'Raw demand'!$C:$C,$D$5),0)+
IF($E$6="Yes",SUMIFS('Raw demand'!H:H,'Raw demand'!$B:$B,$B33,'Raw demand'!$C:$C,$E$5),0),
0)</f>
        <v>261.85033017436535</v>
      </c>
      <c r="I33" s="71">
        <f>IFERROR(
IF($C$6="Yes",SUMIFS('Raw demand'!I:I,'Raw demand'!$B:$B,$B33,'Raw demand'!$C:$C,$C$5),0)+
IF($D$6="Yes",SUMIFS('Raw demand'!I:I,'Raw demand'!$B:$B,$B33,'Raw demand'!$C:$C,$D$5),0)+
IF($E$6="Yes",SUMIFS('Raw demand'!I:I,'Raw demand'!$B:$B,$B33,'Raw demand'!$C:$C,$E$5),0),
0)</f>
        <v>261.23209694876533</v>
      </c>
      <c r="J33" s="71">
        <f>IFERROR(
IF($C$6="Yes",SUMIFS('Raw demand'!J:J,'Raw demand'!$B:$B,$B33,'Raw demand'!$C:$C,$C$5),0)+
IF($D$6="Yes",SUMIFS('Raw demand'!J:J,'Raw demand'!$B:$B,$B33,'Raw demand'!$C:$C,$D$5),0)+
IF($E$6="Yes",SUMIFS('Raw demand'!J:J,'Raw demand'!$B:$B,$B33,'Raw demand'!$C:$C,$E$5),0),
0)</f>
        <v>260.14851563396536</v>
      </c>
      <c r="K33" s="71">
        <f>IFERROR(
IF($C$6="Yes",SUMIFS('Raw demand'!K:K,'Raw demand'!$B:$B,$B33,'Raw demand'!$C:$C,$C$5),0)+
IF($D$6="Yes",SUMIFS('Raw demand'!K:K,'Raw demand'!$B:$B,$B33,'Raw demand'!$C:$C,$D$5),0)+
IF($E$6="Yes",SUMIFS('Raw demand'!K:K,'Raw demand'!$B:$B,$B33,'Raw demand'!$C:$C,$E$5),0),
0)</f>
        <v>258.88088282896535</v>
      </c>
      <c r="L33" s="71">
        <f>IFERROR(
IF($C$6="Yes",SUMIFS('Raw demand'!L:L,'Raw demand'!$B:$B,$B33,'Raw demand'!$C:$C,$C$5),0)+
IF($D$6="Yes",SUMIFS('Raw demand'!L:L,'Raw demand'!$B:$B,$B33,'Raw demand'!$C:$C,$D$5),0)+
IF($E$6="Yes",SUMIFS('Raw demand'!L:L,'Raw demand'!$B:$B,$B33,'Raw demand'!$C:$C,$E$5),0),
0)</f>
        <v>257.2603704678653</v>
      </c>
      <c r="M33" s="71">
        <f>IFERROR(
IF($C$6="Yes",SUMIFS('Raw demand'!M:M,'Raw demand'!$B:$B,$B33,'Raw demand'!$C:$C,$C$5),0)+
IF($D$6="Yes",SUMIFS('Raw demand'!M:M,'Raw demand'!$B:$B,$B33,'Raw demand'!$C:$C,$D$5),0)+
IF($E$6="Yes",SUMIFS('Raw demand'!M:M,'Raw demand'!$B:$B,$B33,'Raw demand'!$C:$C,$E$5),0),
0)</f>
        <v>257.04751451156534</v>
      </c>
      <c r="N33" s="71">
        <f>IFERROR(
IF($C$6="Yes",SUMIFS('Raw demand'!N:N,'Raw demand'!$B:$B,$B33,'Raw demand'!$C:$C,$C$5),0)+
IF($D$6="Yes",SUMIFS('Raw demand'!N:N,'Raw demand'!$B:$B,$B33,'Raw demand'!$C:$C,$D$5),0)+
IF($E$6="Yes",SUMIFS('Raw demand'!N:N,'Raw demand'!$B:$B,$B33,'Raw demand'!$C:$C,$E$5),0),
0)</f>
        <v>256.77927195766534</v>
      </c>
      <c r="O33" s="71">
        <f>IFERROR(
IF($C$6="Yes",SUMIFS('Raw demand'!O:O,'Raw demand'!$B:$B,$B33,'Raw demand'!$C:$C,$C$5),0)+
IF($D$6="Yes",SUMIFS('Raw demand'!O:O,'Raw demand'!$B:$B,$B33,'Raw demand'!$C:$C,$D$5),0)+
IF($E$6="Yes",SUMIFS('Raw demand'!O:O,'Raw demand'!$B:$B,$B33,'Raw demand'!$C:$C,$E$5),0),
0)</f>
        <v>256.27390122286533</v>
      </c>
      <c r="P33" s="71">
        <f>IFERROR(
IF($C$6="Yes",SUMIFS('Raw demand'!P:P,'Raw demand'!$B:$B,$B33,'Raw demand'!$C:$C,$C$5),0)+
IF($D$6="Yes",SUMIFS('Raw demand'!P:P,'Raw demand'!$B:$B,$B33,'Raw demand'!$C:$C,$D$5),0)+
IF($E$6="Yes",SUMIFS('Raw demand'!P:P,'Raw demand'!$B:$B,$B33,'Raw demand'!$C:$C,$E$5),0),
0)</f>
        <v>255.98399041836535</v>
      </c>
      <c r="Q33" s="34"/>
      <c r="R33" s="71">
        <f t="shared" si="3"/>
        <v>258.88526626397538</v>
      </c>
      <c r="S33" s="72">
        <f t="shared" si="1"/>
        <v>4.5708595118451045E-2</v>
      </c>
    </row>
    <row r="34" spans="2:21">
      <c r="B34" s="2" t="str">
        <v>Sydney CBD</v>
      </c>
      <c r="C34" s="44">
        <f t="shared" si="0"/>
        <v>3.9170119920013402E-3</v>
      </c>
      <c r="D34" s="35" t="str">
        <f>IF($B34=Lists!$D$31,$B34,IF($C34&gt;0,"Growth","Decline"))</f>
        <v>Growth</v>
      </c>
      <c r="E34" s="35" t="str">
        <f t="shared" si="2"/>
        <v>MW</v>
      </c>
      <c r="F34" s="71">
        <f>IFERROR(
IF($C$6="Yes",SUMIFS('Raw demand'!F:F,'Raw demand'!$B:$B,$B34,'Raw demand'!$C:$C,$C$5),0)+
IF($D$6="Yes",SUMIFS('Raw demand'!F:F,'Raw demand'!$B:$B,$B34,'Raw demand'!$C:$C,$D$5),0)+
IF($E$6="Yes",SUMIFS('Raw demand'!F:F,'Raw demand'!$B:$B,$B34,'Raw demand'!$C:$C,$E$5),0),
0)</f>
        <v>284.13969429880001</v>
      </c>
      <c r="G34" s="71">
        <f>IFERROR(
IF($C$6="Yes",SUMIFS('Raw demand'!G:G,'Raw demand'!$B:$B,$B34,'Raw demand'!$C:$C,$C$5),0)+
IF($D$6="Yes",SUMIFS('Raw demand'!G:G,'Raw demand'!$B:$B,$B34,'Raw demand'!$C:$C,$D$5),0)+
IF($E$6="Yes",SUMIFS('Raw demand'!G:G,'Raw demand'!$B:$B,$B34,'Raw demand'!$C:$C,$E$5),0),
0)</f>
        <v>279.47036899170001</v>
      </c>
      <c r="H34" s="71">
        <f>IFERROR(
IF($C$6="Yes",SUMIFS('Raw demand'!H:H,'Raw demand'!$B:$B,$B34,'Raw demand'!$C:$C,$C$5),0)+
IF($D$6="Yes",SUMIFS('Raw demand'!H:H,'Raw demand'!$B:$B,$B34,'Raw demand'!$C:$C,$D$5),0)+
IF($E$6="Yes",SUMIFS('Raw demand'!H:H,'Raw demand'!$B:$B,$B34,'Raw demand'!$C:$C,$E$5),0),
0)</f>
        <v>278.51997793800001</v>
      </c>
      <c r="I34" s="71">
        <f>IFERROR(
IF($C$6="Yes",SUMIFS('Raw demand'!I:I,'Raw demand'!$B:$B,$B34,'Raw demand'!$C:$C,$C$5),0)+
IF($D$6="Yes",SUMIFS('Raw demand'!I:I,'Raw demand'!$B:$B,$B34,'Raw demand'!$C:$C,$D$5),0)+
IF($E$6="Yes",SUMIFS('Raw demand'!I:I,'Raw demand'!$B:$B,$B34,'Raw demand'!$C:$C,$E$5),0),
0)</f>
        <v>280.34112227269998</v>
      </c>
      <c r="J34" s="71">
        <f>IFERROR(
IF($C$6="Yes",SUMIFS('Raw demand'!J:J,'Raw demand'!$B:$B,$B34,'Raw demand'!$C:$C,$C$5),0)+
IF($D$6="Yes",SUMIFS('Raw demand'!J:J,'Raw demand'!$B:$B,$B34,'Raw demand'!$C:$C,$D$5),0)+
IF($E$6="Yes",SUMIFS('Raw demand'!J:J,'Raw demand'!$B:$B,$B34,'Raw demand'!$C:$C,$E$5),0),
0)</f>
        <v>281.44424758690002</v>
      </c>
      <c r="K34" s="71">
        <f>IFERROR(
IF($C$6="Yes",SUMIFS('Raw demand'!K:K,'Raw demand'!$B:$B,$B34,'Raw demand'!$C:$C,$C$5),0)+
IF($D$6="Yes",SUMIFS('Raw demand'!K:K,'Raw demand'!$B:$B,$B34,'Raw demand'!$C:$C,$D$5),0)+
IF($E$6="Yes",SUMIFS('Raw demand'!K:K,'Raw demand'!$B:$B,$B34,'Raw demand'!$C:$C,$E$5),0),
0)</f>
        <v>282.79854523790004</v>
      </c>
      <c r="L34" s="71">
        <f>IFERROR(
IF($C$6="Yes",SUMIFS('Raw demand'!L:L,'Raw demand'!$B:$B,$B34,'Raw demand'!$C:$C,$C$5),0)+
IF($D$6="Yes",SUMIFS('Raw demand'!L:L,'Raw demand'!$B:$B,$B34,'Raw demand'!$C:$C,$D$5),0)+
IF($E$6="Yes",SUMIFS('Raw demand'!L:L,'Raw demand'!$B:$B,$B34,'Raw demand'!$C:$C,$E$5),0),
0)</f>
        <v>284.21721225840002</v>
      </c>
      <c r="M34" s="71">
        <f>IFERROR(
IF($C$6="Yes",SUMIFS('Raw demand'!M:M,'Raw demand'!$B:$B,$B34,'Raw demand'!$C:$C,$C$5),0)+
IF($D$6="Yes",SUMIFS('Raw demand'!M:M,'Raw demand'!$B:$B,$B34,'Raw demand'!$C:$C,$D$5),0)+
IF($E$6="Yes",SUMIFS('Raw demand'!M:M,'Raw demand'!$B:$B,$B34,'Raw demand'!$C:$C,$E$5),0),
0)</f>
        <v>286.97238030920005</v>
      </c>
      <c r="N34" s="71">
        <f>IFERROR(
IF($C$6="Yes",SUMIFS('Raw demand'!N:N,'Raw demand'!$B:$B,$B34,'Raw demand'!$C:$C,$C$5),0)+
IF($D$6="Yes",SUMIFS('Raw demand'!N:N,'Raw demand'!$B:$B,$B34,'Raw demand'!$C:$C,$D$5),0)+
IF($E$6="Yes",SUMIFS('Raw demand'!N:N,'Raw demand'!$B:$B,$B34,'Raw demand'!$C:$C,$E$5),0),
0)</f>
        <v>289.63164513560002</v>
      </c>
      <c r="O34" s="71">
        <f>IFERROR(
IF($C$6="Yes",SUMIFS('Raw demand'!O:O,'Raw demand'!$B:$B,$B34,'Raw demand'!$C:$C,$C$5),0)+
IF($D$6="Yes",SUMIFS('Raw demand'!O:O,'Raw demand'!$B:$B,$B34,'Raw demand'!$C:$C,$D$5),0)+
IF($E$6="Yes",SUMIFS('Raw demand'!O:O,'Raw demand'!$B:$B,$B34,'Raw demand'!$C:$C,$E$5),0),
0)</f>
        <v>292.17174954159998</v>
      </c>
      <c r="P34" s="71">
        <f>IFERROR(
IF($C$6="Yes",SUMIFS('Raw demand'!P:P,'Raw demand'!$B:$B,$B34,'Raw demand'!$C:$C,$C$5),0)+
IF($D$6="Yes",SUMIFS('Raw demand'!P:P,'Raw demand'!$B:$B,$B34,'Raw demand'!$C:$C,$D$5),0)+
IF($E$6="Yes",SUMIFS('Raw demand'!P:P,'Raw demand'!$B:$B,$B34,'Raw demand'!$C:$C,$E$5),0),
0)</f>
        <v>295.46772325250004</v>
      </c>
      <c r="Q34" s="34"/>
      <c r="R34" s="71">
        <f t="shared" si="3"/>
        <v>285.10349725245004</v>
      </c>
      <c r="S34" s="72">
        <f t="shared" si="1"/>
        <v>5.0337666993681876E-2</v>
      </c>
    </row>
    <row r="35" spans="2:21">
      <c r="B35" s="2" t="str">
        <v>Upper Central Coast</v>
      </c>
      <c r="C35" s="44">
        <f t="shared" si="0"/>
        <v>3.9493611341141488E-3</v>
      </c>
      <c r="D35" s="35" t="str">
        <f>IF($B35=Lists!$D$31,$B35,IF($C35&gt;0,"Growth","Decline"))</f>
        <v>Growth</v>
      </c>
      <c r="E35" s="35" t="str">
        <f t="shared" si="2"/>
        <v>MW</v>
      </c>
      <c r="F35" s="71">
        <f>IFERROR(
IF($C$6="Yes",SUMIFS('Raw demand'!F:F,'Raw demand'!$B:$B,$B35,'Raw demand'!$C:$C,$C$5),0)+
IF($D$6="Yes",SUMIFS('Raw demand'!F:F,'Raw demand'!$B:$B,$B35,'Raw demand'!$C:$C,$D$5),0)+
IF($E$6="Yes",SUMIFS('Raw demand'!F:F,'Raw demand'!$B:$B,$B35,'Raw demand'!$C:$C,$E$5),0),
0)</f>
        <v>114.7001787377</v>
      </c>
      <c r="G35" s="71">
        <f>IFERROR(
IF($C$6="Yes",SUMIFS('Raw demand'!G:G,'Raw demand'!$B:$B,$B35,'Raw demand'!$C:$C,$C$5),0)+
IF($D$6="Yes",SUMIFS('Raw demand'!G:G,'Raw demand'!$B:$B,$B35,'Raw demand'!$C:$C,$D$5),0)+
IF($E$6="Yes",SUMIFS('Raw demand'!G:G,'Raw demand'!$B:$B,$B35,'Raw demand'!$C:$C,$E$5),0),
0)</f>
        <v>113.8246574365</v>
      </c>
      <c r="H35" s="71">
        <f>IFERROR(
IF($C$6="Yes",SUMIFS('Raw demand'!H:H,'Raw demand'!$B:$B,$B35,'Raw demand'!$C:$C,$C$5),0)+
IF($D$6="Yes",SUMIFS('Raw demand'!H:H,'Raw demand'!$B:$B,$B35,'Raw demand'!$C:$C,$D$5),0)+
IF($E$6="Yes",SUMIFS('Raw demand'!H:H,'Raw demand'!$B:$B,$B35,'Raw demand'!$C:$C,$E$5),0),
0)</f>
        <v>113.5779435064</v>
      </c>
      <c r="I35" s="71">
        <f>IFERROR(
IF($C$6="Yes",SUMIFS('Raw demand'!I:I,'Raw demand'!$B:$B,$B35,'Raw demand'!$C:$C,$C$5),0)+
IF($D$6="Yes",SUMIFS('Raw demand'!I:I,'Raw demand'!$B:$B,$B35,'Raw demand'!$C:$C,$D$5),0)+
IF($E$6="Yes",SUMIFS('Raw demand'!I:I,'Raw demand'!$B:$B,$B35,'Raw demand'!$C:$C,$E$5),0),
0)</f>
        <v>113.78209040690001</v>
      </c>
      <c r="J35" s="71">
        <f>IFERROR(
IF($C$6="Yes",SUMIFS('Raw demand'!J:J,'Raw demand'!$B:$B,$B35,'Raw demand'!$C:$C,$C$5),0)+
IF($D$6="Yes",SUMIFS('Raw demand'!J:J,'Raw demand'!$B:$B,$B35,'Raw demand'!$C:$C,$D$5),0)+
IF($E$6="Yes",SUMIFS('Raw demand'!J:J,'Raw demand'!$B:$B,$B35,'Raw demand'!$C:$C,$E$5),0),
0)</f>
        <v>113.83854755360001</v>
      </c>
      <c r="K35" s="71">
        <f>IFERROR(
IF($C$6="Yes",SUMIFS('Raw demand'!K:K,'Raw demand'!$B:$B,$B35,'Raw demand'!$C:$C,$C$5),0)+
IF($D$6="Yes",SUMIFS('Raw demand'!K:K,'Raw demand'!$B:$B,$B35,'Raw demand'!$C:$C,$D$5),0)+
IF($E$6="Yes",SUMIFS('Raw demand'!K:K,'Raw demand'!$B:$B,$B35,'Raw demand'!$C:$C,$E$5),0),
0)</f>
        <v>114.08715305140001</v>
      </c>
      <c r="L35" s="71">
        <f>IFERROR(
IF($C$6="Yes",SUMIFS('Raw demand'!L:L,'Raw demand'!$B:$B,$B35,'Raw demand'!$C:$C,$C$5),0)+
IF($D$6="Yes",SUMIFS('Raw demand'!L:L,'Raw demand'!$B:$B,$B35,'Raw demand'!$C:$C,$D$5),0)+
IF($E$6="Yes",SUMIFS('Raw demand'!L:L,'Raw demand'!$B:$B,$B35,'Raw demand'!$C:$C,$E$5),0),
0)</f>
        <v>114.78752335940001</v>
      </c>
      <c r="M35" s="71">
        <f>IFERROR(
IF($C$6="Yes",SUMIFS('Raw demand'!M:M,'Raw demand'!$B:$B,$B35,'Raw demand'!$C:$C,$C$5),0)+
IF($D$6="Yes",SUMIFS('Raw demand'!M:M,'Raw demand'!$B:$B,$B35,'Raw demand'!$C:$C,$D$5),0)+
IF($E$6="Yes",SUMIFS('Raw demand'!M:M,'Raw demand'!$B:$B,$B35,'Raw demand'!$C:$C,$E$5),0),
0)</f>
        <v>116.19943063480001</v>
      </c>
      <c r="N35" s="71">
        <f>IFERROR(
IF($C$6="Yes",SUMIFS('Raw demand'!N:N,'Raw demand'!$B:$B,$B35,'Raw demand'!$C:$C,$C$5),0)+
IF($D$6="Yes",SUMIFS('Raw demand'!N:N,'Raw demand'!$B:$B,$B35,'Raw demand'!$C:$C,$D$5),0)+
IF($E$6="Yes",SUMIFS('Raw demand'!N:N,'Raw demand'!$B:$B,$B35,'Raw demand'!$C:$C,$E$5),0),
0)</f>
        <v>117.43457140900001</v>
      </c>
      <c r="O35" s="71">
        <f>IFERROR(
IF($C$6="Yes",SUMIFS('Raw demand'!O:O,'Raw demand'!$B:$B,$B35,'Raw demand'!$C:$C,$C$5),0)+
IF($D$6="Yes",SUMIFS('Raw demand'!O:O,'Raw demand'!$B:$B,$B35,'Raw demand'!$C:$C,$D$5),0)+
IF($E$6="Yes",SUMIFS('Raw demand'!O:O,'Raw demand'!$B:$B,$B35,'Raw demand'!$C:$C,$E$5),0),
0)</f>
        <v>118.3741069065</v>
      </c>
      <c r="P35" s="71">
        <f>IFERROR(
IF($C$6="Yes",SUMIFS('Raw demand'!P:P,'Raw demand'!$B:$B,$B35,'Raw demand'!$C:$C,$C$5),0)+
IF($D$6="Yes",SUMIFS('Raw demand'!P:P,'Raw demand'!$B:$B,$B35,'Raw demand'!$C:$C,$D$5),0)+
IF($E$6="Yes",SUMIFS('Raw demand'!P:P,'Raw demand'!$B:$B,$B35,'Raw demand'!$C:$C,$E$5),0),
0)</f>
        <v>119.3114631497</v>
      </c>
      <c r="Q35" s="34"/>
      <c r="R35" s="71">
        <f t="shared" si="3"/>
        <v>115.52174874142001</v>
      </c>
      <c r="S35" s="72">
        <f t="shared" si="1"/>
        <v>2.0396436293183412E-2</v>
      </c>
    </row>
    <row r="36" spans="2:21">
      <c r="B36" s="2" t="str">
        <v>Upper Hunter</v>
      </c>
      <c r="C36" s="44">
        <f t="shared" si="0"/>
        <v>-1.6065523484984912E-3</v>
      </c>
      <c r="D36" s="35" t="str">
        <f>IF($B36=Lists!$D$31,$B36,IF($C36&gt;0,"Growth","Decline"))</f>
        <v>Decline</v>
      </c>
      <c r="E36" s="35" t="str">
        <f t="shared" si="2"/>
        <v>MW</v>
      </c>
      <c r="F36" s="71">
        <f>IFERROR(
IF($C$6="Yes",SUMIFS('Raw demand'!F:F,'Raw demand'!$B:$B,$B36,'Raw demand'!$C:$C,$C$5),0)+
IF($D$6="Yes",SUMIFS('Raw demand'!F:F,'Raw demand'!$B:$B,$B36,'Raw demand'!$C:$C,$D$5),0)+
IF($E$6="Yes",SUMIFS('Raw demand'!F:F,'Raw demand'!$B:$B,$B36,'Raw demand'!$C:$C,$E$5),0),
0)</f>
        <v>68.478330021270125</v>
      </c>
      <c r="G36" s="71">
        <f>IFERROR(
IF($C$6="Yes",SUMIFS('Raw demand'!G:G,'Raw demand'!$B:$B,$B36,'Raw demand'!$C:$C,$C$5),0)+
IF($D$6="Yes",SUMIFS('Raw demand'!G:G,'Raw demand'!$B:$B,$B36,'Raw demand'!$C:$C,$D$5),0)+
IF($E$6="Yes",SUMIFS('Raw demand'!G:G,'Raw demand'!$B:$B,$B36,'Raw demand'!$C:$C,$E$5),0),
0)</f>
        <v>68.059076629970136</v>
      </c>
      <c r="H36" s="71">
        <f>IFERROR(
IF($C$6="Yes",SUMIFS('Raw demand'!H:H,'Raw demand'!$B:$B,$B36,'Raw demand'!$C:$C,$C$5),0)+
IF($D$6="Yes",SUMIFS('Raw demand'!H:H,'Raw demand'!$B:$B,$B36,'Raw demand'!$C:$C,$D$5),0)+
IF($E$6="Yes",SUMIFS('Raw demand'!H:H,'Raw demand'!$B:$B,$B36,'Raw demand'!$C:$C,$E$5),0),
0)</f>
        <v>67.819608402870131</v>
      </c>
      <c r="I36" s="71">
        <f>IFERROR(
IF($C$6="Yes",SUMIFS('Raw demand'!I:I,'Raw demand'!$B:$B,$B36,'Raw demand'!$C:$C,$C$5),0)+
IF($D$6="Yes",SUMIFS('Raw demand'!I:I,'Raw demand'!$B:$B,$B36,'Raw demand'!$C:$C,$D$5),0)+
IF($E$6="Yes",SUMIFS('Raw demand'!I:I,'Raw demand'!$B:$B,$B36,'Raw demand'!$C:$C,$E$5),0),
0)</f>
        <v>67.764774039070133</v>
      </c>
      <c r="J36" s="71">
        <f>IFERROR(
IF($C$6="Yes",SUMIFS('Raw demand'!J:J,'Raw demand'!$B:$B,$B36,'Raw demand'!$C:$C,$C$5),0)+
IF($D$6="Yes",SUMIFS('Raw demand'!J:J,'Raw demand'!$B:$B,$B36,'Raw demand'!$C:$C,$D$5),0)+
IF($E$6="Yes",SUMIFS('Raw demand'!J:J,'Raw demand'!$B:$B,$B36,'Raw demand'!$C:$C,$E$5),0),
0)</f>
        <v>67.62302094197014</v>
      </c>
      <c r="K36" s="71">
        <f>IFERROR(
IF($C$6="Yes",SUMIFS('Raw demand'!K:K,'Raw demand'!$B:$B,$B36,'Raw demand'!$C:$C,$C$5),0)+
IF($D$6="Yes",SUMIFS('Raw demand'!K:K,'Raw demand'!$B:$B,$B36,'Raw demand'!$C:$C,$D$5),0)+
IF($E$6="Yes",SUMIFS('Raw demand'!K:K,'Raw demand'!$B:$B,$B36,'Raw demand'!$C:$C,$E$5),0),
0)</f>
        <v>67.441427340570129</v>
      </c>
      <c r="L36" s="71">
        <f>IFERROR(
IF($C$6="Yes",SUMIFS('Raw demand'!L:L,'Raw demand'!$B:$B,$B36,'Raw demand'!$C:$C,$C$5),0)+
IF($D$6="Yes",SUMIFS('Raw demand'!L:L,'Raw demand'!$B:$B,$B36,'Raw demand'!$C:$C,$D$5),0)+
IF($E$6="Yes",SUMIFS('Raw demand'!L:L,'Raw demand'!$B:$B,$B36,'Raw demand'!$C:$C,$E$5),0),
0)</f>
        <v>67.231450963470138</v>
      </c>
      <c r="M36" s="71">
        <f>IFERROR(
IF($C$6="Yes",SUMIFS('Raw demand'!M:M,'Raw demand'!$B:$B,$B36,'Raw demand'!$C:$C,$C$5),0)+
IF($D$6="Yes",SUMIFS('Raw demand'!M:M,'Raw demand'!$B:$B,$B36,'Raw demand'!$C:$C,$D$5),0)+
IF($E$6="Yes",SUMIFS('Raw demand'!M:M,'Raw demand'!$B:$B,$B36,'Raw demand'!$C:$C,$E$5),0),
0)</f>
        <v>67.257054566270128</v>
      </c>
      <c r="N36" s="71">
        <f>IFERROR(
IF($C$6="Yes",SUMIFS('Raw demand'!N:N,'Raw demand'!$B:$B,$B36,'Raw demand'!$C:$C,$C$5),0)+
IF($D$6="Yes",SUMIFS('Raw demand'!N:N,'Raw demand'!$B:$B,$B36,'Raw demand'!$C:$C,$D$5),0)+
IF($E$6="Yes",SUMIFS('Raw demand'!N:N,'Raw demand'!$B:$B,$B36,'Raw demand'!$C:$C,$E$5),0),
0)</f>
        <v>67.275231646570134</v>
      </c>
      <c r="O36" s="71">
        <f>IFERROR(
IF($C$6="Yes",SUMIFS('Raw demand'!O:O,'Raw demand'!$B:$B,$B36,'Raw demand'!$C:$C,$C$5),0)+
IF($D$6="Yes",SUMIFS('Raw demand'!O:O,'Raw demand'!$B:$B,$B36,'Raw demand'!$C:$C,$D$5),0)+
IF($E$6="Yes",SUMIFS('Raw demand'!O:O,'Raw demand'!$B:$B,$B36,'Raw demand'!$C:$C,$E$5),0),
0)</f>
        <v>67.328590117270139</v>
      </c>
      <c r="P36" s="71">
        <f>IFERROR(
IF($C$6="Yes",SUMIFS('Raw demand'!P:P,'Raw demand'!$B:$B,$B36,'Raw demand'!$C:$C,$C$5),0)+
IF($D$6="Yes",SUMIFS('Raw demand'!P:P,'Raw demand'!$B:$B,$B36,'Raw demand'!$C:$C,$D$5),0)+
IF($E$6="Yes",SUMIFS('Raw demand'!P:P,'Raw demand'!$B:$B,$B36,'Raw demand'!$C:$C,$E$5),0),
0)</f>
        <v>67.38610927187014</v>
      </c>
      <c r="Q36" s="34"/>
      <c r="R36" s="71">
        <f t="shared" si="3"/>
        <v>67.518634391990133</v>
      </c>
      <c r="S36" s="72">
        <f t="shared" si="1"/>
        <v>1.1921041189062261E-2</v>
      </c>
    </row>
    <row r="37" spans="2:21">
      <c r="B37" s="2" t="str">
        <v>Upper North Shore</v>
      </c>
      <c r="C37" s="44">
        <f t="shared" si="0"/>
        <v>-1.5532898420259622E-3</v>
      </c>
      <c r="D37" s="35" t="str">
        <f>IF($B37=Lists!$D$31,$B37,IF($C37&gt;0,"Growth","Decline"))</f>
        <v>Decline</v>
      </c>
      <c r="E37" s="35" t="str">
        <f t="shared" si="2"/>
        <v>MW</v>
      </c>
      <c r="F37" s="71">
        <f>IFERROR(
IF($C$6="Yes",SUMIFS('Raw demand'!F:F,'Raw demand'!$B:$B,$B37,'Raw demand'!$C:$C,$C$5),0)+
IF($D$6="Yes",SUMIFS('Raw demand'!F:F,'Raw demand'!$B:$B,$B37,'Raw demand'!$C:$C,$D$5),0)+
IF($E$6="Yes",SUMIFS('Raw demand'!F:F,'Raw demand'!$B:$B,$B37,'Raw demand'!$C:$C,$E$5),0),
0)</f>
        <v>138.75928949259998</v>
      </c>
      <c r="G37" s="71">
        <f>IFERROR(
IF($C$6="Yes",SUMIFS('Raw demand'!G:G,'Raw demand'!$B:$B,$B37,'Raw demand'!$C:$C,$C$5),0)+
IF($D$6="Yes",SUMIFS('Raw demand'!G:G,'Raw demand'!$B:$B,$B37,'Raw demand'!$C:$C,$D$5),0)+
IF($E$6="Yes",SUMIFS('Raw demand'!G:G,'Raw demand'!$B:$B,$B37,'Raw demand'!$C:$C,$E$5),0),
0)</f>
        <v>137.7521625848</v>
      </c>
      <c r="H37" s="71">
        <f>IFERROR(
IF($C$6="Yes",SUMIFS('Raw demand'!H:H,'Raw demand'!$B:$B,$B37,'Raw demand'!$C:$C,$C$5),0)+
IF($D$6="Yes",SUMIFS('Raw demand'!H:H,'Raw demand'!$B:$B,$B37,'Raw demand'!$C:$C,$D$5),0)+
IF($E$6="Yes",SUMIFS('Raw demand'!H:H,'Raw demand'!$B:$B,$B37,'Raw demand'!$C:$C,$E$5),0),
0)</f>
        <v>136.95861623990001</v>
      </c>
      <c r="I37" s="71">
        <f>IFERROR(
IF($C$6="Yes",SUMIFS('Raw demand'!I:I,'Raw demand'!$B:$B,$B37,'Raw demand'!$C:$C,$C$5),0)+
IF($D$6="Yes",SUMIFS('Raw demand'!I:I,'Raw demand'!$B:$B,$B37,'Raw demand'!$C:$C,$D$5),0)+
IF($E$6="Yes",SUMIFS('Raw demand'!I:I,'Raw demand'!$B:$B,$B37,'Raw demand'!$C:$C,$E$5),0),
0)</f>
        <v>136.6025690203</v>
      </c>
      <c r="J37" s="71">
        <f>IFERROR(
IF($C$6="Yes",SUMIFS('Raw demand'!J:J,'Raw demand'!$B:$B,$B37,'Raw demand'!$C:$C,$C$5),0)+
IF($D$6="Yes",SUMIFS('Raw demand'!J:J,'Raw demand'!$B:$B,$B37,'Raw demand'!$C:$C,$D$5),0)+
IF($E$6="Yes",SUMIFS('Raw demand'!J:J,'Raw demand'!$B:$B,$B37,'Raw demand'!$C:$C,$E$5),0),
0)</f>
        <v>136.10139874800001</v>
      </c>
      <c r="K37" s="71">
        <f>IFERROR(
IF($C$6="Yes",SUMIFS('Raw demand'!K:K,'Raw demand'!$B:$B,$B37,'Raw demand'!$C:$C,$C$5),0)+
IF($D$6="Yes",SUMIFS('Raw demand'!K:K,'Raw demand'!$B:$B,$B37,'Raw demand'!$C:$C,$D$5),0)+
IF($E$6="Yes",SUMIFS('Raw demand'!K:K,'Raw demand'!$B:$B,$B37,'Raw demand'!$C:$C,$E$5),0),
0)</f>
        <v>135.65909533040002</v>
      </c>
      <c r="L37" s="71">
        <f>IFERROR(
IF($C$6="Yes",SUMIFS('Raw demand'!L:L,'Raw demand'!$B:$B,$B37,'Raw demand'!$C:$C,$C$5),0)+
IF($D$6="Yes",SUMIFS('Raw demand'!L:L,'Raw demand'!$B:$B,$B37,'Raw demand'!$C:$C,$D$5),0)+
IF($E$6="Yes",SUMIFS('Raw demand'!L:L,'Raw demand'!$B:$B,$B37,'Raw demand'!$C:$C,$E$5),0),
0)</f>
        <v>135.04269101990002</v>
      </c>
      <c r="M37" s="71">
        <f>IFERROR(
IF($C$6="Yes",SUMIFS('Raw demand'!M:M,'Raw demand'!$B:$B,$B37,'Raw demand'!$C:$C,$C$5),0)+
IF($D$6="Yes",SUMIFS('Raw demand'!M:M,'Raw demand'!$B:$B,$B37,'Raw demand'!$C:$C,$D$5),0)+
IF($E$6="Yes",SUMIFS('Raw demand'!M:M,'Raw demand'!$B:$B,$B37,'Raw demand'!$C:$C,$E$5),0),
0)</f>
        <v>135.36873161809999</v>
      </c>
      <c r="N37" s="71">
        <f>IFERROR(
IF($C$6="Yes",SUMIFS('Raw demand'!N:N,'Raw demand'!$B:$B,$B37,'Raw demand'!$C:$C,$C$5),0)+
IF($D$6="Yes",SUMIFS('Raw demand'!N:N,'Raw demand'!$B:$B,$B37,'Raw demand'!$C:$C,$D$5),0)+
IF($E$6="Yes",SUMIFS('Raw demand'!N:N,'Raw demand'!$B:$B,$B37,'Raw demand'!$C:$C,$E$5),0),
0)</f>
        <v>135.85208647939999</v>
      </c>
      <c r="O37" s="71">
        <f>IFERROR(
IF($C$6="Yes",SUMIFS('Raw demand'!O:O,'Raw demand'!$B:$B,$B37,'Raw demand'!$C:$C,$C$5),0)+
IF($D$6="Yes",SUMIFS('Raw demand'!O:O,'Raw demand'!$B:$B,$B37,'Raw demand'!$C:$C,$D$5),0)+
IF($E$6="Yes",SUMIFS('Raw demand'!O:O,'Raw demand'!$B:$B,$B37,'Raw demand'!$C:$C,$E$5),0),
0)</f>
        <v>136.12282427209999</v>
      </c>
      <c r="P37" s="71">
        <f>IFERROR(
IF($C$6="Yes",SUMIFS('Raw demand'!P:P,'Raw demand'!$B:$B,$B37,'Raw demand'!$C:$C,$C$5),0)+
IF($D$6="Yes",SUMIFS('Raw demand'!P:P,'Raw demand'!$B:$B,$B37,'Raw demand'!$C:$C,$D$5),0)+
IF($E$6="Yes",SUMIFS('Raw demand'!P:P,'Raw demand'!$B:$B,$B37,'Raw demand'!$C:$C,$E$5),0),
0)</f>
        <v>136.6189586735</v>
      </c>
      <c r="Q37" s="34"/>
      <c r="R37" s="71">
        <f t="shared" si="3"/>
        <v>136.20791339863999</v>
      </c>
      <c r="S37" s="72">
        <f t="shared" si="1"/>
        <v>2.4048770543469999E-2</v>
      </c>
    </row>
    <row r="38" spans="2:21">
      <c r="B38" s="2" t="str">
        <v>West Lake Macquarie</v>
      </c>
      <c r="C38" s="44">
        <f t="shared" si="0"/>
        <v>-1.1427113179696136E-3</v>
      </c>
      <c r="D38" s="35" t="str">
        <f>IF($B38=Lists!$D$31,$B38,IF($C38&gt;0,"Growth","Decline"))</f>
        <v>Decline</v>
      </c>
      <c r="E38" s="35" t="str">
        <f t="shared" si="2"/>
        <v>MW</v>
      </c>
      <c r="F38" s="71">
        <f>IFERROR(
IF($C$6="Yes",SUMIFS('Raw demand'!F:F,'Raw demand'!$B:$B,$B38,'Raw demand'!$C:$C,$C$5),0)+
IF($D$6="Yes",SUMIFS('Raw demand'!F:F,'Raw demand'!$B:$B,$B38,'Raw demand'!$C:$C,$D$5),0)+
IF($E$6="Yes",SUMIFS('Raw demand'!F:F,'Raw demand'!$B:$B,$B38,'Raw demand'!$C:$C,$E$5),0),
0)</f>
        <v>99.514349944485474</v>
      </c>
      <c r="G38" s="71">
        <f>IFERROR(
IF($C$6="Yes",SUMIFS('Raw demand'!G:G,'Raw demand'!$B:$B,$B38,'Raw demand'!$C:$C,$C$5),0)+
IF($D$6="Yes",SUMIFS('Raw demand'!G:G,'Raw demand'!$B:$B,$B38,'Raw demand'!$C:$C,$D$5),0)+
IF($E$6="Yes",SUMIFS('Raw demand'!G:G,'Raw demand'!$B:$B,$B38,'Raw demand'!$C:$C,$E$5),0),
0)</f>
        <v>99.424678449485498</v>
      </c>
      <c r="H38" s="71">
        <f>IFERROR(
IF($C$6="Yes",SUMIFS('Raw demand'!H:H,'Raw demand'!$B:$B,$B38,'Raw demand'!$C:$C,$C$5),0)+
IF($D$6="Yes",SUMIFS('Raw demand'!H:H,'Raw demand'!$B:$B,$B38,'Raw demand'!$C:$C,$D$5),0)+
IF($E$6="Yes",SUMIFS('Raw demand'!H:H,'Raw demand'!$B:$B,$B38,'Raw demand'!$C:$C,$E$5),0),
0)</f>
        <v>99.172489332785489</v>
      </c>
      <c r="I38" s="71">
        <f>IFERROR(
IF($C$6="Yes",SUMIFS('Raw demand'!I:I,'Raw demand'!$B:$B,$B38,'Raw demand'!$C:$C,$C$5),0)+
IF($D$6="Yes",SUMIFS('Raw demand'!I:I,'Raw demand'!$B:$B,$B38,'Raw demand'!$C:$C,$D$5),0)+
IF($E$6="Yes",SUMIFS('Raw demand'!I:I,'Raw demand'!$B:$B,$B38,'Raw demand'!$C:$C,$E$5),0),
0)</f>
        <v>99.096615517385487</v>
      </c>
      <c r="J38" s="71">
        <f>IFERROR(
IF($C$6="Yes",SUMIFS('Raw demand'!J:J,'Raw demand'!$B:$B,$B38,'Raw demand'!$C:$C,$C$5),0)+
IF($D$6="Yes",SUMIFS('Raw demand'!J:J,'Raw demand'!$B:$B,$B38,'Raw demand'!$C:$C,$D$5),0)+
IF($E$6="Yes",SUMIFS('Raw demand'!J:J,'Raw demand'!$B:$B,$B38,'Raw demand'!$C:$C,$E$5),0),
0)</f>
        <v>98.915076094785491</v>
      </c>
      <c r="K38" s="71">
        <f>IFERROR(
IF($C$6="Yes",SUMIFS('Raw demand'!K:K,'Raw demand'!$B:$B,$B38,'Raw demand'!$C:$C,$C$5),0)+
IF($D$6="Yes",SUMIFS('Raw demand'!K:K,'Raw demand'!$B:$B,$B38,'Raw demand'!$C:$C,$D$5),0)+
IF($E$6="Yes",SUMIFS('Raw demand'!K:K,'Raw demand'!$B:$B,$B38,'Raw demand'!$C:$C,$E$5),0),
0)</f>
        <v>98.679022295385494</v>
      </c>
      <c r="L38" s="71">
        <f>IFERROR(
IF($C$6="Yes",SUMIFS('Raw demand'!L:L,'Raw demand'!$B:$B,$B38,'Raw demand'!$C:$C,$C$5),0)+
IF($D$6="Yes",SUMIFS('Raw demand'!L:L,'Raw demand'!$B:$B,$B38,'Raw demand'!$C:$C,$D$5),0)+
IF($E$6="Yes",SUMIFS('Raw demand'!L:L,'Raw demand'!$B:$B,$B38,'Raw demand'!$C:$C,$E$5),0),
0)</f>
        <v>98.422873479385487</v>
      </c>
      <c r="M38" s="71">
        <f>IFERROR(
IF($C$6="Yes",SUMIFS('Raw demand'!M:M,'Raw demand'!$B:$B,$B38,'Raw demand'!$C:$C,$C$5),0)+
IF($D$6="Yes",SUMIFS('Raw demand'!M:M,'Raw demand'!$B:$B,$B38,'Raw demand'!$C:$C,$D$5),0)+
IF($E$6="Yes",SUMIFS('Raw demand'!M:M,'Raw demand'!$B:$B,$B38,'Raw demand'!$C:$C,$E$5),0),
0)</f>
        <v>98.473326760485463</v>
      </c>
      <c r="N38" s="71">
        <f>IFERROR(
IF($C$6="Yes",SUMIFS('Raw demand'!N:N,'Raw demand'!$B:$B,$B38,'Raw demand'!$C:$C,$C$5),0)+
IF($D$6="Yes",SUMIFS('Raw demand'!N:N,'Raw demand'!$B:$B,$B38,'Raw demand'!$C:$C,$D$5),0)+
IF($E$6="Yes",SUMIFS('Raw demand'!N:N,'Raw demand'!$B:$B,$B38,'Raw demand'!$C:$C,$E$5),0),
0)</f>
        <v>98.492107233285481</v>
      </c>
      <c r="O38" s="71">
        <f>IFERROR(
IF($C$6="Yes",SUMIFS('Raw demand'!O:O,'Raw demand'!$B:$B,$B38,'Raw demand'!$C:$C,$C$5),0)+
IF($D$6="Yes",SUMIFS('Raw demand'!O:O,'Raw demand'!$B:$B,$B38,'Raw demand'!$C:$C,$D$5),0)+
IF($E$6="Yes",SUMIFS('Raw demand'!O:O,'Raw demand'!$B:$B,$B38,'Raw demand'!$C:$C,$E$5),0),
0)</f>
        <v>98.424272057485467</v>
      </c>
      <c r="P38" s="71">
        <f>IFERROR(
IF($C$6="Yes",SUMIFS('Raw demand'!P:P,'Raw demand'!$B:$B,$B38,'Raw demand'!$C:$C,$C$5),0)+
IF($D$6="Yes",SUMIFS('Raw demand'!P:P,'Raw demand'!$B:$B,$B38,'Raw demand'!$C:$C,$D$5),0)+
IF($E$6="Yes",SUMIFS('Raw demand'!P:P,'Raw demand'!$B:$B,$B38,'Raw demand'!$C:$C,$E$5),0),
0)</f>
        <v>98.383017935685473</v>
      </c>
      <c r="Q38" s="34"/>
      <c r="R38" s="71">
        <f t="shared" si="3"/>
        <v>98.748347915615483</v>
      </c>
      <c r="S38" s="72">
        <f t="shared" si="1"/>
        <v>1.7434936791220913E-2</v>
      </c>
    </row>
    <row r="39" spans="2:21">
      <c r="B39" s="2" t="str">
        <v>System wide</v>
      </c>
      <c r="C39" s="44">
        <f t="shared" si="0"/>
        <v>0</v>
      </c>
      <c r="D39" s="35" t="str">
        <f>IF($B39=Lists!$D$31,$B39,IF($C39&gt;0,"Growth","Decline"))</f>
        <v>System wide</v>
      </c>
      <c r="E39" s="35" t="str">
        <f t="shared" si="2"/>
        <v>MW</v>
      </c>
      <c r="F39" s="71">
        <f>IFERROR(
IF($C$6="Yes",SUMIFS('Raw demand'!F:F,'Raw demand'!$B:$B,$B39,'Raw demand'!$C:$C,$C$5),0)+
IF($D$6="Yes",SUMIFS('Raw demand'!F:F,'Raw demand'!$B:$B,$B39,'Raw demand'!$C:$C,$D$5),0)+
IF($E$6="Yes",SUMIFS('Raw demand'!F:F,'Raw demand'!$B:$B,$B39,'Raw demand'!$C:$C,$E$5),0),
0)</f>
        <v>0</v>
      </c>
      <c r="G39" s="71">
        <f>IFERROR(
IF($C$6="Yes",SUMIFS('Raw demand'!G:G,'Raw demand'!$B:$B,$B39,'Raw demand'!$C:$C,$C$5),0)+
IF($D$6="Yes",SUMIFS('Raw demand'!G:G,'Raw demand'!$B:$B,$B39,'Raw demand'!$C:$C,$D$5),0)+
IF($E$6="Yes",SUMIFS('Raw demand'!G:G,'Raw demand'!$B:$B,$B39,'Raw demand'!$C:$C,$E$5),0),
0)</f>
        <v>0</v>
      </c>
      <c r="H39" s="71">
        <f>IFERROR(
IF($C$6="Yes",SUMIFS('Raw demand'!H:H,'Raw demand'!$B:$B,$B39,'Raw demand'!$C:$C,$C$5),0)+
IF($D$6="Yes",SUMIFS('Raw demand'!H:H,'Raw demand'!$B:$B,$B39,'Raw demand'!$C:$C,$D$5),0)+
IF($E$6="Yes",SUMIFS('Raw demand'!H:H,'Raw demand'!$B:$B,$B39,'Raw demand'!$C:$C,$E$5),0),
0)</f>
        <v>0</v>
      </c>
      <c r="I39" s="71">
        <f>IFERROR(
IF($C$6="Yes",SUMIFS('Raw demand'!I:I,'Raw demand'!$B:$B,$B39,'Raw demand'!$C:$C,$C$5),0)+
IF($D$6="Yes",SUMIFS('Raw demand'!I:I,'Raw demand'!$B:$B,$B39,'Raw demand'!$C:$C,$D$5),0)+
IF($E$6="Yes",SUMIFS('Raw demand'!I:I,'Raw demand'!$B:$B,$B39,'Raw demand'!$C:$C,$E$5),0),
0)</f>
        <v>0</v>
      </c>
      <c r="J39" s="71">
        <f>IFERROR(
IF($C$6="Yes",SUMIFS('Raw demand'!J:J,'Raw demand'!$B:$B,$B39,'Raw demand'!$C:$C,$C$5),0)+
IF($D$6="Yes",SUMIFS('Raw demand'!J:J,'Raw demand'!$B:$B,$B39,'Raw demand'!$C:$C,$D$5),0)+
IF($E$6="Yes",SUMIFS('Raw demand'!J:J,'Raw demand'!$B:$B,$B39,'Raw demand'!$C:$C,$E$5),0),
0)</f>
        <v>0</v>
      </c>
      <c r="K39" s="71">
        <f>IFERROR(
IF($C$6="Yes",SUMIFS('Raw demand'!K:K,'Raw demand'!$B:$B,$B39,'Raw demand'!$C:$C,$C$5),0)+
IF($D$6="Yes",SUMIFS('Raw demand'!K:K,'Raw demand'!$B:$B,$B39,'Raw demand'!$C:$C,$D$5),0)+
IF($E$6="Yes",SUMIFS('Raw demand'!K:K,'Raw demand'!$B:$B,$B39,'Raw demand'!$C:$C,$E$5),0),
0)</f>
        <v>0</v>
      </c>
      <c r="L39" s="71">
        <f>IFERROR(
IF($C$6="Yes",SUMIFS('Raw demand'!L:L,'Raw demand'!$B:$B,$B39,'Raw demand'!$C:$C,$C$5),0)+
IF($D$6="Yes",SUMIFS('Raw demand'!L:L,'Raw demand'!$B:$B,$B39,'Raw demand'!$C:$C,$D$5),0)+
IF($E$6="Yes",SUMIFS('Raw demand'!L:L,'Raw demand'!$B:$B,$B39,'Raw demand'!$C:$C,$E$5),0),
0)</f>
        <v>0</v>
      </c>
      <c r="M39" s="71">
        <f>IFERROR(
IF($C$6="Yes",SUMIFS('Raw demand'!M:M,'Raw demand'!$B:$B,$B39,'Raw demand'!$C:$C,$C$5),0)+
IF($D$6="Yes",SUMIFS('Raw demand'!M:M,'Raw demand'!$B:$B,$B39,'Raw demand'!$C:$C,$D$5),0)+
IF($E$6="Yes",SUMIFS('Raw demand'!M:M,'Raw demand'!$B:$B,$B39,'Raw demand'!$C:$C,$E$5),0),
0)</f>
        <v>0</v>
      </c>
      <c r="N39" s="71">
        <f>IFERROR(
IF($C$6="Yes",SUMIFS('Raw demand'!N:N,'Raw demand'!$B:$B,$B39,'Raw demand'!$C:$C,$C$5),0)+
IF($D$6="Yes",SUMIFS('Raw demand'!N:N,'Raw demand'!$B:$B,$B39,'Raw demand'!$C:$C,$D$5),0)+
IF($E$6="Yes",SUMIFS('Raw demand'!N:N,'Raw demand'!$B:$B,$B39,'Raw demand'!$C:$C,$E$5),0),
0)</f>
        <v>0</v>
      </c>
      <c r="O39" s="71">
        <f>IFERROR(
IF($C$6="Yes",SUMIFS('Raw demand'!O:O,'Raw demand'!$B:$B,$B39,'Raw demand'!$C:$C,$C$5),0)+
IF($D$6="Yes",SUMIFS('Raw demand'!O:O,'Raw demand'!$B:$B,$B39,'Raw demand'!$C:$C,$D$5),0)+
IF($E$6="Yes",SUMIFS('Raw demand'!O:O,'Raw demand'!$B:$B,$B39,'Raw demand'!$C:$C,$E$5),0),
0)</f>
        <v>0</v>
      </c>
      <c r="P39" s="71">
        <f>IFERROR(
IF($C$6="Yes",SUMIFS('Raw demand'!P:P,'Raw demand'!$B:$B,$B39,'Raw demand'!$C:$C,$C$5),0)+
IF($D$6="Yes",SUMIFS('Raw demand'!P:P,'Raw demand'!$B:$B,$B39,'Raw demand'!$C:$C,$D$5),0)+
IF($E$6="Yes",SUMIFS('Raw demand'!P:P,'Raw demand'!$B:$B,$B39,'Raw demand'!$C:$C,$E$5),0),
0)</f>
        <v>0</v>
      </c>
      <c r="Q39" s="34"/>
      <c r="R39" s="71">
        <f t="shared" si="3"/>
        <v>0</v>
      </c>
      <c r="S39" s="72">
        <f t="shared" si="1"/>
        <v>0</v>
      </c>
    </row>
    <row r="41" spans="2:21">
      <c r="B41" s="5" t="s">
        <v>113</v>
      </c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</row>
    <row r="42" spans="2:2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2:21" ht="31">
      <c r="B43" s="14" t="str">
        <f t="shared" ref="B43:B69" si="4">B13</f>
        <v>Area plan</v>
      </c>
      <c r="C43" s="17" t="str">
        <f t="shared" ref="C43:P43" si="5">C13</f>
        <v>Annualised growth rate</v>
      </c>
      <c r="D43" s="18" t="str">
        <f t="shared" si="5"/>
        <v>Classification</v>
      </c>
      <c r="E43" s="18" t="str">
        <f t="shared" si="5"/>
        <v>Unit</v>
      </c>
      <c r="F43" s="18">
        <f t="shared" si="5"/>
        <v>2024</v>
      </c>
      <c r="G43" s="18">
        <f t="shared" si="5"/>
        <v>2025</v>
      </c>
      <c r="H43" s="18">
        <f t="shared" si="5"/>
        <v>2026</v>
      </c>
      <c r="I43" s="18">
        <f t="shared" si="5"/>
        <v>2027</v>
      </c>
      <c r="J43" s="18">
        <f t="shared" si="5"/>
        <v>2028</v>
      </c>
      <c r="K43" s="18">
        <f t="shared" si="5"/>
        <v>2029</v>
      </c>
      <c r="L43" s="18">
        <f t="shared" si="5"/>
        <v>2030</v>
      </c>
      <c r="M43" s="18">
        <f t="shared" si="5"/>
        <v>2031</v>
      </c>
      <c r="N43" s="18">
        <f t="shared" si="5"/>
        <v>2032</v>
      </c>
      <c r="O43" s="18">
        <f t="shared" si="5"/>
        <v>2033</v>
      </c>
      <c r="P43" s="18">
        <f t="shared" si="5"/>
        <v>2034</v>
      </c>
      <c r="R43" s="17" t="str">
        <f>R13</f>
        <v>10 year average</v>
      </c>
      <c r="S43" s="17" t="str">
        <f>S13</f>
        <v>Share of
total demand</v>
      </c>
    </row>
    <row r="44" spans="2:21">
      <c r="B44" s="2" t="str">
        <f t="shared" si="4"/>
        <v>Auburn / Homebush</v>
      </c>
      <c r="C44" s="44">
        <f t="shared" ref="C44:E69" si="6">C14</f>
        <v>9.5673453686886401E-3</v>
      </c>
      <c r="D44" s="35" t="str">
        <f t="shared" si="6"/>
        <v>Growth</v>
      </c>
      <c r="E44" s="35" t="str">
        <f t="shared" si="6"/>
        <v>MW</v>
      </c>
      <c r="F44" s="71">
        <f>$F14*(1+$C44)^(F$43-$F$43)</f>
        <v>441.61771494047287</v>
      </c>
      <c r="G44" s="71">
        <f t="shared" ref="G44:P44" si="7">$F14*(1+$C44)^(G$43-$F$43)</f>
        <v>445.84282414023949</v>
      </c>
      <c r="H44" s="71">
        <f t="shared" si="7"/>
        <v>450.10835641894062</v>
      </c>
      <c r="I44" s="71">
        <f t="shared" si="7"/>
        <v>454.41469851813338</v>
      </c>
      <c r="J44" s="71">
        <f t="shared" si="7"/>
        <v>458.76224087946485</v>
      </c>
      <c r="K44" s="71">
        <f t="shared" si="7"/>
        <v>463.15137768007219</v>
      </c>
      <c r="L44" s="71">
        <f t="shared" si="7"/>
        <v>467.58250686832145</v>
      </c>
      <c r="M44" s="71">
        <f t="shared" si="7"/>
        <v>472.05603019988786</v>
      </c>
      <c r="N44" s="71">
        <f t="shared" si="7"/>
        <v>476.57235327418226</v>
      </c>
      <c r="O44" s="71">
        <f t="shared" si="7"/>
        <v>481.13188557112511</v>
      </c>
      <c r="P44" s="71">
        <f t="shared" si="7"/>
        <v>485.73504048827238</v>
      </c>
      <c r="R44" s="71">
        <f>AVERAGE(G44:P44)</f>
        <v>465.53573140386396</v>
      </c>
      <c r="S44" s="72">
        <f t="shared" ref="S44:S69" si="8">R44/SUM($R$44:$R$68)</f>
        <v>8.2103329279304499E-2</v>
      </c>
      <c r="U44" s="45"/>
    </row>
    <row r="45" spans="2:21">
      <c r="B45" s="2" t="str">
        <f t="shared" si="4"/>
        <v>Camperdown &amp; Blackwattle Bay</v>
      </c>
      <c r="C45" s="44">
        <f t="shared" si="6"/>
        <v>2.7941369480977141E-3</v>
      </c>
      <c r="D45" s="35" t="str">
        <f t="shared" si="6"/>
        <v>Growth</v>
      </c>
      <c r="E45" s="35" t="str">
        <f t="shared" si="6"/>
        <v>MW</v>
      </c>
      <c r="F45" s="71">
        <f t="shared" ref="F45:P45" si="9">$F15*(1+$C45)^(F$43-$F$43)</f>
        <v>145.54873615243676</v>
      </c>
      <c r="G45" s="71">
        <f t="shared" si="9"/>
        <v>145.9554192538692</v>
      </c>
      <c r="H45" s="71">
        <f t="shared" si="9"/>
        <v>146.36323868358156</v>
      </c>
      <c r="I45" s="71">
        <f t="shared" si="9"/>
        <v>146.77219761663059</v>
      </c>
      <c r="J45" s="71">
        <f t="shared" si="9"/>
        <v>147.18229923694471</v>
      </c>
      <c r="K45" s="71">
        <f t="shared" si="9"/>
        <v>147.59354673734865</v>
      </c>
      <c r="L45" s="71">
        <f t="shared" si="9"/>
        <v>148.00594331958828</v>
      </c>
      <c r="M45" s="71">
        <f t="shared" si="9"/>
        <v>148.41949219435557</v>
      </c>
      <c r="N45" s="71">
        <f t="shared" si="9"/>
        <v>148.83419658131376</v>
      </c>
      <c r="O45" s="71">
        <f t="shared" si="9"/>
        <v>149.25005970912204</v>
      </c>
      <c r="P45" s="71">
        <f t="shared" si="9"/>
        <v>149.6670848154611</v>
      </c>
      <c r="R45" s="71">
        <f t="shared" ref="R45:R69" si="10">AVERAGE(G45:P45)</f>
        <v>147.80434781482154</v>
      </c>
      <c r="S45" s="72">
        <f t="shared" si="8"/>
        <v>2.6067234411756735E-2</v>
      </c>
      <c r="U45" s="45"/>
    </row>
    <row r="46" spans="2:21">
      <c r="B46" s="2" t="str">
        <f t="shared" si="4"/>
        <v>Canterbury Bankstown</v>
      </c>
      <c r="C46" s="44">
        <f t="shared" si="6"/>
        <v>2.0650373724013793E-3</v>
      </c>
      <c r="D46" s="35" t="str">
        <f t="shared" si="6"/>
        <v>Growth</v>
      </c>
      <c r="E46" s="35" t="str">
        <f t="shared" si="6"/>
        <v>MW</v>
      </c>
      <c r="F46" s="71">
        <f t="shared" ref="F46:P46" si="11">$F16*(1+$C46)^(F$43-$F$43)</f>
        <v>475.51197003552062</v>
      </c>
      <c r="G46" s="71">
        <f t="shared" si="11"/>
        <v>476.49392002466817</v>
      </c>
      <c r="H46" s="71">
        <f t="shared" si="11"/>
        <v>477.47789777724114</v>
      </c>
      <c r="I46" s="71">
        <f t="shared" si="11"/>
        <v>478.46390748064681</v>
      </c>
      <c r="J46" s="71">
        <f t="shared" si="11"/>
        <v>479.45195333093949</v>
      </c>
      <c r="K46" s="71">
        <f t="shared" si="11"/>
        <v>480.44203953283869</v>
      </c>
      <c r="L46" s="71">
        <f t="shared" si="11"/>
        <v>481.43417029974671</v>
      </c>
      <c r="M46" s="71">
        <f t="shared" si="11"/>
        <v>482.42834985376686</v>
      </c>
      <c r="N46" s="71">
        <f t="shared" si="11"/>
        <v>483.42458242572076</v>
      </c>
      <c r="O46" s="71">
        <f t="shared" si="11"/>
        <v>484.42287225516736</v>
      </c>
      <c r="P46" s="71">
        <f t="shared" si="11"/>
        <v>485.42322359042038</v>
      </c>
      <c r="R46" s="71">
        <f t="shared" si="10"/>
        <v>480.94629165711569</v>
      </c>
      <c r="S46" s="72">
        <f t="shared" si="8"/>
        <v>8.4821183608199485E-2</v>
      </c>
      <c r="U46" s="45"/>
    </row>
    <row r="47" spans="2:21">
      <c r="B47" s="2" t="str">
        <f t="shared" si="4"/>
        <v>Carlingford</v>
      </c>
      <c r="C47" s="44">
        <f t="shared" si="6"/>
        <v>4.3798192062463936E-2</v>
      </c>
      <c r="D47" s="35" t="str">
        <f t="shared" si="6"/>
        <v>Growth</v>
      </c>
      <c r="E47" s="35" t="str">
        <f t="shared" si="6"/>
        <v>MW</v>
      </c>
      <c r="F47" s="71">
        <f t="shared" ref="F47:P47" si="12">$F17*(1+$C47)^(F$43-$F$43)</f>
        <v>371.96727897199997</v>
      </c>
      <c r="G47" s="71">
        <f t="shared" si="12"/>
        <v>388.25877329736772</v>
      </c>
      <c r="H47" s="71">
        <f t="shared" si="12"/>
        <v>405.26380562018244</v>
      </c>
      <c r="I47" s="71">
        <f t="shared" si="12"/>
        <v>423.01362761470023</v>
      </c>
      <c r="J47" s="71">
        <f t="shared" si="12"/>
        <v>441.54085972200841</v>
      </c>
      <c r="K47" s="71">
        <f t="shared" si="12"/>
        <v>460.87955109953839</v>
      </c>
      <c r="L47" s="71">
        <f t="shared" si="12"/>
        <v>481.06524219625817</v>
      </c>
      <c r="M47" s="71">
        <f t="shared" si="12"/>
        <v>502.13503006854552</v>
      </c>
      <c r="N47" s="71">
        <f t="shared" si="12"/>
        <v>524.12763655677873</v>
      </c>
      <c r="O47" s="71">
        <f t="shared" si="12"/>
        <v>547.08347944793775</v>
      </c>
      <c r="P47" s="71">
        <f t="shared" si="12"/>
        <v>571.04474675499955</v>
      </c>
      <c r="R47" s="71">
        <f t="shared" si="10"/>
        <v>474.44127523783163</v>
      </c>
      <c r="S47" s="72">
        <f t="shared" si="8"/>
        <v>8.3673938683670956E-2</v>
      </c>
      <c r="U47" s="45"/>
    </row>
    <row r="48" spans="2:21">
      <c r="B48" s="2" t="str">
        <f t="shared" si="4"/>
        <v>Eastern Suburbs</v>
      </c>
      <c r="C48" s="44">
        <f t="shared" si="6"/>
        <v>5.241389681334141E-4</v>
      </c>
      <c r="D48" s="35" t="str">
        <f t="shared" si="6"/>
        <v>Growth</v>
      </c>
      <c r="E48" s="35" t="str">
        <f t="shared" si="6"/>
        <v>MW</v>
      </c>
      <c r="F48" s="71">
        <f t="shared" ref="F48:P48" si="13">$F18*(1+$C48)^(F$43-$F$43)</f>
        <v>799.32269922835155</v>
      </c>
      <c r="G48" s="71">
        <f t="shared" si="13"/>
        <v>799.74165540313072</v>
      </c>
      <c r="H48" s="71">
        <f t="shared" si="13"/>
        <v>800.16083116916695</v>
      </c>
      <c r="I48" s="71">
        <f t="shared" si="13"/>
        <v>800.58022664155669</v>
      </c>
      <c r="J48" s="71">
        <f t="shared" si="13"/>
        <v>800.99984193545663</v>
      </c>
      <c r="K48" s="71">
        <f t="shared" si="13"/>
        <v>801.41967716608372</v>
      </c>
      <c r="L48" s="71">
        <f t="shared" si="13"/>
        <v>801.83973244871538</v>
      </c>
      <c r="M48" s="71">
        <f t="shared" si="13"/>
        <v>802.26000789868931</v>
      </c>
      <c r="N48" s="71">
        <f t="shared" si="13"/>
        <v>802.68050363140401</v>
      </c>
      <c r="O48" s="71">
        <f t="shared" si="13"/>
        <v>803.10121976231812</v>
      </c>
      <c r="P48" s="71">
        <f t="shared" si="13"/>
        <v>803.52215640695101</v>
      </c>
      <c r="R48" s="71">
        <f t="shared" si="10"/>
        <v>801.63058524634721</v>
      </c>
      <c r="S48" s="72">
        <f t="shared" si="8"/>
        <v>0.14137806286612384</v>
      </c>
      <c r="U48" s="45"/>
    </row>
    <row r="49" spans="2:21">
      <c r="B49" s="2" t="str">
        <f t="shared" si="4"/>
        <v>Greater Cessnock</v>
      </c>
      <c r="C49" s="44">
        <f t="shared" si="6"/>
        <v>3.5291400426320507E-3</v>
      </c>
      <c r="D49" s="35" t="str">
        <f t="shared" si="6"/>
        <v>Growth</v>
      </c>
      <c r="E49" s="35" t="str">
        <f t="shared" si="6"/>
        <v>MW</v>
      </c>
      <c r="F49" s="71">
        <f t="shared" ref="F49:P49" si="14">$F19*(1+$C49)^(F$43-$F$43)</f>
        <v>102.12922164185606</v>
      </c>
      <c r="G49" s="71">
        <f t="shared" si="14"/>
        <v>102.48964996747517</v>
      </c>
      <c r="H49" s="71">
        <f t="shared" si="14"/>
        <v>102.85135029513073</v>
      </c>
      <c r="I49" s="71">
        <f t="shared" si="14"/>
        <v>103.21432711389605</v>
      </c>
      <c r="J49" s="71">
        <f t="shared" si="14"/>
        <v>103.57858492868702</v>
      </c>
      <c r="K49" s="71">
        <f t="shared" si="14"/>
        <v>103.944128260318</v>
      </c>
      <c r="L49" s="71">
        <f t="shared" si="14"/>
        <v>104.31096164555797</v>
      </c>
      <c r="M49" s="71">
        <f t="shared" si="14"/>
        <v>104.67908963718676</v>
      </c>
      <c r="N49" s="71">
        <f t="shared" si="14"/>
        <v>105.04851680405162</v>
      </c>
      <c r="O49" s="71">
        <f t="shared" si="14"/>
        <v>105.4192477311239</v>
      </c>
      <c r="P49" s="71">
        <f t="shared" si="14"/>
        <v>105.79128701955594</v>
      </c>
      <c r="R49" s="71">
        <f t="shared" si="10"/>
        <v>104.13271434029832</v>
      </c>
      <c r="S49" s="72">
        <f t="shared" si="8"/>
        <v>1.8365169325342798E-2</v>
      </c>
      <c r="U49" s="45"/>
    </row>
    <row r="50" spans="2:21">
      <c r="B50" s="2" t="str">
        <f t="shared" si="4"/>
        <v>Lower Central Coast</v>
      </c>
      <c r="C50" s="44">
        <f t="shared" si="6"/>
        <v>3.2189457402687083E-5</v>
      </c>
      <c r="D50" s="35" t="str">
        <f t="shared" si="6"/>
        <v>Growth</v>
      </c>
      <c r="E50" s="35" t="str">
        <f t="shared" si="6"/>
        <v>MW</v>
      </c>
      <c r="F50" s="71">
        <f t="shared" ref="F50:P50" si="15">$F20*(1+$C50)^(F$43-$F$43)</f>
        <v>306.9731937961526</v>
      </c>
      <c r="G50" s="71">
        <f t="shared" si="15"/>
        <v>306.98307509669809</v>
      </c>
      <c r="H50" s="71">
        <f t="shared" si="15"/>
        <v>306.99295671531723</v>
      </c>
      <c r="I50" s="71">
        <f t="shared" si="15"/>
        <v>307.00283865202033</v>
      </c>
      <c r="J50" s="71">
        <f t="shared" si="15"/>
        <v>307.01272090681766</v>
      </c>
      <c r="K50" s="71">
        <f t="shared" si="15"/>
        <v>307.02260347971929</v>
      </c>
      <c r="L50" s="71">
        <f t="shared" si="15"/>
        <v>307.03248637073574</v>
      </c>
      <c r="M50" s="71">
        <f t="shared" si="15"/>
        <v>307.04236957987695</v>
      </c>
      <c r="N50" s="71">
        <f t="shared" si="15"/>
        <v>307.05225310715338</v>
      </c>
      <c r="O50" s="71">
        <f t="shared" si="15"/>
        <v>307.0621369525752</v>
      </c>
      <c r="P50" s="71">
        <f t="shared" si="15"/>
        <v>307.0720211161526</v>
      </c>
      <c r="R50" s="71">
        <f t="shared" si="10"/>
        <v>307.02754619770661</v>
      </c>
      <c r="S50" s="72">
        <f t="shared" si="8"/>
        <v>5.4148332819202269E-2</v>
      </c>
      <c r="U50" s="45"/>
    </row>
    <row r="51" spans="2:21">
      <c r="B51" s="2" t="str">
        <f t="shared" si="4"/>
        <v>Lower North Shore</v>
      </c>
      <c r="C51" s="44">
        <f t="shared" si="6"/>
        <v>1.0436048337013171E-2</v>
      </c>
      <c r="D51" s="35" t="str">
        <f t="shared" si="6"/>
        <v>Growth</v>
      </c>
      <c r="E51" s="35" t="str">
        <f t="shared" si="6"/>
        <v>MW</v>
      </c>
      <c r="F51" s="71">
        <f t="shared" ref="F51:P51" si="16">$F21*(1+$C51)^(F$43-$F$43)</f>
        <v>354.5105621137601</v>
      </c>
      <c r="G51" s="71">
        <f t="shared" si="16"/>
        <v>358.210251475961</v>
      </c>
      <c r="H51" s="71">
        <f t="shared" si="16"/>
        <v>361.94855097517774</v>
      </c>
      <c r="I51" s="71">
        <f t="shared" si="16"/>
        <v>365.72586354866661</v>
      </c>
      <c r="J51" s="71">
        <f t="shared" si="16"/>
        <v>369.54259633875637</v>
      </c>
      <c r="K51" s="71">
        <f t="shared" si="16"/>
        <v>373.39916073673299</v>
      </c>
      <c r="L51" s="71">
        <f t="shared" si="16"/>
        <v>377.29597242718165</v>
      </c>
      <c r="M51" s="71">
        <f t="shared" si="16"/>
        <v>381.23345143279209</v>
      </c>
      <c r="N51" s="71">
        <f t="shared" si="16"/>
        <v>385.21202215963109</v>
      </c>
      <c r="O51" s="71">
        <f t="shared" si="16"/>
        <v>389.23211344288751</v>
      </c>
      <c r="P51" s="71">
        <f t="shared" si="16"/>
        <v>393.29415859309535</v>
      </c>
      <c r="R51" s="71">
        <f t="shared" si="10"/>
        <v>375.50941411308821</v>
      </c>
      <c r="S51" s="72">
        <f t="shared" si="8"/>
        <v>6.6226008004655806E-2</v>
      </c>
      <c r="U51" s="45"/>
    </row>
    <row r="52" spans="2:21">
      <c r="B52" s="2" t="str">
        <f t="shared" si="4"/>
        <v>Maitland</v>
      </c>
      <c r="C52" s="44">
        <f t="shared" si="6"/>
        <v>1.4470853761674451E-3</v>
      </c>
      <c r="D52" s="35" t="str">
        <f t="shared" si="6"/>
        <v>Growth</v>
      </c>
      <c r="E52" s="35" t="str">
        <f t="shared" si="6"/>
        <v>MW</v>
      </c>
      <c r="F52" s="71">
        <f t="shared" ref="F52:P52" si="17">$F22*(1+$C52)^(F$43-$F$43)</f>
        <v>158.04512739580662</v>
      </c>
      <c r="G52" s="71">
        <f t="shared" si="17"/>
        <v>158.27383218843562</v>
      </c>
      <c r="H52" s="71">
        <f t="shared" si="17"/>
        <v>158.50286793642547</v>
      </c>
      <c r="I52" s="71">
        <f t="shared" si="17"/>
        <v>158.73223511869688</v>
      </c>
      <c r="J52" s="71">
        <f t="shared" si="17"/>
        <v>158.9619342148635</v>
      </c>
      <c r="K52" s="71">
        <f t="shared" si="17"/>
        <v>159.19196570523312</v>
      </c>
      <c r="L52" s="71">
        <f t="shared" si="17"/>
        <v>159.4223300708085</v>
      </c>
      <c r="M52" s="71">
        <f t="shared" si="17"/>
        <v>159.65302779328852</v>
      </c>
      <c r="N52" s="71">
        <f t="shared" si="17"/>
        <v>159.88405935506904</v>
      </c>
      <c r="O52" s="71">
        <f t="shared" si="17"/>
        <v>160.11542523924405</v>
      </c>
      <c r="P52" s="71">
        <f t="shared" si="17"/>
        <v>160.34712592960656</v>
      </c>
      <c r="R52" s="71">
        <f t="shared" si="10"/>
        <v>159.30848035516712</v>
      </c>
      <c r="S52" s="72">
        <f t="shared" si="8"/>
        <v>2.8096139001280825E-2</v>
      </c>
      <c r="U52" s="45"/>
    </row>
    <row r="53" spans="2:21">
      <c r="B53" s="2" t="str">
        <f t="shared" si="4"/>
        <v>Manly Warringah</v>
      </c>
      <c r="C53" s="44">
        <f t="shared" si="6"/>
        <v>3.0303647825524749E-3</v>
      </c>
      <c r="D53" s="35" t="str">
        <f t="shared" si="6"/>
        <v>Growth</v>
      </c>
      <c r="E53" s="35" t="str">
        <f t="shared" si="6"/>
        <v>MW</v>
      </c>
      <c r="F53" s="71">
        <f t="shared" ref="F53:P53" si="18">$F23*(1+$C53)^(F$43-$F$43)</f>
        <v>167.37379925760001</v>
      </c>
      <c r="G53" s="71">
        <f t="shared" si="18"/>
        <v>167.88100292439225</v>
      </c>
      <c r="H53" s="71">
        <f t="shared" si="18"/>
        <v>168.38974360331392</v>
      </c>
      <c r="I53" s="71">
        <f t="shared" si="18"/>
        <v>168.90002595207244</v>
      </c>
      <c r="J53" s="71">
        <f t="shared" si="18"/>
        <v>169.41185464248983</v>
      </c>
      <c r="K53" s="71">
        <f t="shared" si="18"/>
        <v>169.92523436054535</v>
      </c>
      <c r="L53" s="71">
        <f t="shared" si="18"/>
        <v>170.44016980641851</v>
      </c>
      <c r="M53" s="71">
        <f t="shared" si="18"/>
        <v>170.95666569453212</v>
      </c>
      <c r="N53" s="71">
        <f t="shared" si="18"/>
        <v>171.47472675359546</v>
      </c>
      <c r="O53" s="71">
        <f t="shared" si="18"/>
        <v>171.99435772664734</v>
      </c>
      <c r="P53" s="71">
        <f t="shared" si="18"/>
        <v>172.51556337109992</v>
      </c>
      <c r="R53" s="71">
        <f t="shared" si="10"/>
        <v>170.18893448351071</v>
      </c>
      <c r="S53" s="72">
        <f t="shared" si="8"/>
        <v>3.0015049726594804E-2</v>
      </c>
      <c r="U53" s="45"/>
    </row>
    <row r="54" spans="2:21">
      <c r="B54" s="2" t="str">
        <f t="shared" si="4"/>
        <v>Newcastle Inner City</v>
      </c>
      <c r="C54" s="44">
        <f t="shared" si="6"/>
        <v>-1.5992401701407921E-3</v>
      </c>
      <c r="D54" s="35" t="str">
        <f t="shared" si="6"/>
        <v>Decline</v>
      </c>
      <c r="E54" s="35" t="str">
        <f t="shared" si="6"/>
        <v>MW</v>
      </c>
      <c r="F54" s="71">
        <f t="shared" ref="F54:P54" si="19">$F24*(1+$C54)^(F$43-$F$43)</f>
        <v>149.73064783199999</v>
      </c>
      <c r="G54" s="71">
        <f t="shared" si="19"/>
        <v>149.49119256528584</v>
      </c>
      <c r="H54" s="71">
        <f t="shared" si="19"/>
        <v>149.25212024505319</v>
      </c>
      <c r="I54" s="71">
        <f t="shared" si="19"/>
        <v>149.01343025887863</v>
      </c>
      <c r="J54" s="71">
        <f t="shared" si="19"/>
        <v>148.77512199531816</v>
      </c>
      <c r="K54" s="71">
        <f t="shared" si="19"/>
        <v>148.53719484390564</v>
      </c>
      <c r="L54" s="71">
        <f t="shared" si="19"/>
        <v>148.29964819515126</v>
      </c>
      <c r="M54" s="71">
        <f t="shared" si="19"/>
        <v>148.06248144053981</v>
      </c>
      <c r="N54" s="71">
        <f t="shared" si="19"/>
        <v>147.82569397252936</v>
      </c>
      <c r="O54" s="71">
        <f t="shared" si="19"/>
        <v>147.58928518454957</v>
      </c>
      <c r="P54" s="71">
        <f t="shared" si="19"/>
        <v>147.35325447100007</v>
      </c>
      <c r="R54" s="71">
        <f t="shared" si="10"/>
        <v>148.41994231722114</v>
      </c>
      <c r="S54" s="72">
        <f t="shared" si="8"/>
        <v>2.6175802572530622E-2</v>
      </c>
      <c r="U54" s="45"/>
    </row>
    <row r="55" spans="2:21">
      <c r="B55" s="2" t="str">
        <f t="shared" si="4"/>
        <v>Newcastle Port</v>
      </c>
      <c r="C55" s="44">
        <f t="shared" si="6"/>
        <v>6.5097536435754222E-4</v>
      </c>
      <c r="D55" s="35" t="str">
        <f t="shared" si="6"/>
        <v>Growth</v>
      </c>
      <c r="E55" s="35" t="str">
        <f t="shared" si="6"/>
        <v>MW</v>
      </c>
      <c r="F55" s="71">
        <f t="shared" ref="F55:P55" si="20">$F25*(1+$C55)^(F$43-$F$43)</f>
        <v>142.63120802027652</v>
      </c>
      <c r="G55" s="71">
        <f t="shared" si="20"/>
        <v>142.72405742288626</v>
      </c>
      <c r="H55" s="71">
        <f t="shared" si="20"/>
        <v>142.81696726816972</v>
      </c>
      <c r="I55" s="71">
        <f t="shared" si="20"/>
        <v>142.90993759547359</v>
      </c>
      <c r="J55" s="71">
        <f t="shared" si="20"/>
        <v>143.00296844417011</v>
      </c>
      <c r="K55" s="71">
        <f t="shared" si="20"/>
        <v>143.09605985365727</v>
      </c>
      <c r="L55" s="71">
        <f t="shared" si="20"/>
        <v>143.18921186335862</v>
      </c>
      <c r="M55" s="71">
        <f t="shared" si="20"/>
        <v>143.28242451272345</v>
      </c>
      <c r="N55" s="71">
        <f t="shared" si="20"/>
        <v>143.37569784122667</v>
      </c>
      <c r="O55" s="71">
        <f t="shared" si="20"/>
        <v>143.46903188836887</v>
      </c>
      <c r="P55" s="71">
        <f t="shared" si="20"/>
        <v>143.56242669367646</v>
      </c>
      <c r="R55" s="71">
        <f t="shared" si="10"/>
        <v>143.1428783383711</v>
      </c>
      <c r="S55" s="72">
        <f t="shared" si="8"/>
        <v>2.524512315899359E-2</v>
      </c>
      <c r="U55" s="45"/>
    </row>
    <row r="56" spans="2:21">
      <c r="B56" s="2" t="str">
        <f t="shared" si="4"/>
        <v>Newcastle Western Corridor</v>
      </c>
      <c r="C56" s="44">
        <f t="shared" si="6"/>
        <v>-2.0539664397783985E-3</v>
      </c>
      <c r="D56" s="35" t="str">
        <f t="shared" si="6"/>
        <v>Decline</v>
      </c>
      <c r="E56" s="35" t="str">
        <f t="shared" si="6"/>
        <v>MW</v>
      </c>
      <c r="F56" s="71">
        <f t="shared" ref="F56:P56" si="21">$F26*(1+$C56)^(F$43-$F$43)</f>
        <v>99.633781150924179</v>
      </c>
      <c r="G56" s="71">
        <f t="shared" si="21"/>
        <v>99.429136708171953</v>
      </c>
      <c r="H56" s="71">
        <f t="shared" si="21"/>
        <v>99.224912598237225</v>
      </c>
      <c r="I56" s="71">
        <f t="shared" si="21"/>
        <v>99.021107957770511</v>
      </c>
      <c r="J56" s="71">
        <f t="shared" si="21"/>
        <v>98.817721925195571</v>
      </c>
      <c r="K56" s="71">
        <f t="shared" si="21"/>
        <v>98.614753640705871</v>
      </c>
      <c r="L56" s="71">
        <f t="shared" si="21"/>
        <v>98.412202246260833</v>
      </c>
      <c r="M56" s="71">
        <f t="shared" si="21"/>
        <v>98.210066885582336</v>
      </c>
      <c r="N56" s="71">
        <f t="shared" si="21"/>
        <v>98.008346704150952</v>
      </c>
      <c r="O56" s="71">
        <f t="shared" si="21"/>
        <v>97.807040849202451</v>
      </c>
      <c r="P56" s="71">
        <f t="shared" si="21"/>
        <v>97.606148469724161</v>
      </c>
      <c r="R56" s="71">
        <f t="shared" si="10"/>
        <v>98.515143798500191</v>
      </c>
      <c r="S56" s="72">
        <f t="shared" si="8"/>
        <v>1.737443711548187E-2</v>
      </c>
      <c r="U56" s="45"/>
    </row>
    <row r="57" spans="2:21">
      <c r="B57" s="2" t="str">
        <f t="shared" si="4"/>
        <v>North East Lake Macquarie</v>
      </c>
      <c r="C57" s="44">
        <f t="shared" si="6"/>
        <v>-3.0187182740873952E-3</v>
      </c>
      <c r="D57" s="35" t="str">
        <f t="shared" si="6"/>
        <v>Decline</v>
      </c>
      <c r="E57" s="35" t="str">
        <f t="shared" si="6"/>
        <v>MW</v>
      </c>
      <c r="F57" s="71">
        <f t="shared" ref="F57:P57" si="22">$F27*(1+$C57)^(F$43-$F$43)</f>
        <v>118.8263141967</v>
      </c>
      <c r="G57" s="71">
        <f t="shared" si="22"/>
        <v>118.46761103059197</v>
      </c>
      <c r="H57" s="71">
        <f t="shared" si="22"/>
        <v>118.10999068828644</v>
      </c>
      <c r="I57" s="71">
        <f t="shared" si="22"/>
        <v>117.75344990104342</v>
      </c>
      <c r="J57" s="71">
        <f t="shared" si="22"/>
        <v>117.39798540999033</v>
      </c>
      <c r="K57" s="71">
        <f t="shared" si="22"/>
        <v>117.04359396609215</v>
      </c>
      <c r="L57" s="71">
        <f t="shared" si="22"/>
        <v>116.69027233012183</v>
      </c>
      <c r="M57" s="71">
        <f t="shared" si="22"/>
        <v>116.33801727263065</v>
      </c>
      <c r="N57" s="71">
        <f t="shared" si="22"/>
        <v>115.98682557391868</v>
      </c>
      <c r="O57" s="71">
        <f t="shared" si="22"/>
        <v>115.63669402400531</v>
      </c>
      <c r="P57" s="71">
        <f t="shared" si="22"/>
        <v>115.28761942259999</v>
      </c>
      <c r="R57" s="71">
        <f t="shared" si="10"/>
        <v>116.87120596192808</v>
      </c>
      <c r="S57" s="72">
        <f t="shared" si="8"/>
        <v>2.0611769320961627E-2</v>
      </c>
      <c r="U57" s="45"/>
    </row>
    <row r="58" spans="2:21">
      <c r="B58" s="2" t="str">
        <f t="shared" si="4"/>
        <v>North West</v>
      </c>
      <c r="C58" s="44">
        <f t="shared" si="6"/>
        <v>1.0636900548102179E-3</v>
      </c>
      <c r="D58" s="35" t="str">
        <f t="shared" si="6"/>
        <v>Growth</v>
      </c>
      <c r="E58" s="35" t="str">
        <f t="shared" si="6"/>
        <v>MW</v>
      </c>
      <c r="F58" s="71">
        <f t="shared" ref="F58:P58" si="23">$F28*(1+$C58)^(F$43-$F$43)</f>
        <v>177.24936082242615</v>
      </c>
      <c r="G58" s="71">
        <f t="shared" si="23"/>
        <v>177.43789920475444</v>
      </c>
      <c r="H58" s="71">
        <f t="shared" si="23"/>
        <v>177.62663813348496</v>
      </c>
      <c r="I58" s="71">
        <f t="shared" si="23"/>
        <v>177.8155778219369</v>
      </c>
      <c r="J58" s="71">
        <f t="shared" si="23"/>
        <v>178.00471848365643</v>
      </c>
      <c r="K58" s="71">
        <f t="shared" si="23"/>
        <v>178.1940603324168</v>
      </c>
      <c r="L58" s="71">
        <f t="shared" si="23"/>
        <v>178.38360358221863</v>
      </c>
      <c r="M58" s="71">
        <f t="shared" si="23"/>
        <v>178.57334844729024</v>
      </c>
      <c r="N58" s="71">
        <f t="shared" si="23"/>
        <v>178.76329514208777</v>
      </c>
      <c r="O58" s="71">
        <f t="shared" si="23"/>
        <v>178.95344388129553</v>
      </c>
      <c r="P58" s="71">
        <f t="shared" si="23"/>
        <v>179.14379487982609</v>
      </c>
      <c r="R58" s="71">
        <f t="shared" si="10"/>
        <v>178.28963799089678</v>
      </c>
      <c r="S58" s="72">
        <f t="shared" si="8"/>
        <v>3.1443714988131838E-2</v>
      </c>
      <c r="U58" s="45"/>
    </row>
    <row r="59" spans="2:21">
      <c r="B59" s="2" t="str">
        <f t="shared" si="4"/>
        <v>Pittwater &amp; Terrey Hills</v>
      </c>
      <c r="C59" s="44">
        <f t="shared" si="6"/>
        <v>-2.9543825278255387E-3</v>
      </c>
      <c r="D59" s="35" t="str">
        <f t="shared" si="6"/>
        <v>Decline</v>
      </c>
      <c r="E59" s="35" t="str">
        <f t="shared" si="6"/>
        <v>MW</v>
      </c>
      <c r="F59" s="71">
        <f t="shared" ref="F59:P59" si="24">$F29*(1+$C59)^(F$43-$F$43)</f>
        <v>68.251768513100004</v>
      </c>
      <c r="G59" s="71">
        <f t="shared" si="24"/>
        <v>68.050126680711713</v>
      </c>
      <c r="H59" s="71">
        <f t="shared" si="24"/>
        <v>67.849080575429895</v>
      </c>
      <c r="I59" s="71">
        <f t="shared" si="24"/>
        <v>67.648628437248817</v>
      </c>
      <c r="J59" s="71">
        <f t="shared" si="24"/>
        <v>67.448768511362459</v>
      </c>
      <c r="K59" s="71">
        <f t="shared" si="24"/>
        <v>67.249499048149147</v>
      </c>
      <c r="L59" s="71">
        <f t="shared" si="24"/>
        <v>67.050818303156277</v>
      </c>
      <c r="M59" s="71">
        <f t="shared" si="24"/>
        <v>66.852724537085024</v>
      </c>
      <c r="N59" s="71">
        <f t="shared" si="24"/>
        <v>66.655216015775125</v>
      </c>
      <c r="O59" s="71">
        <f t="shared" si="24"/>
        <v>66.458291010189683</v>
      </c>
      <c r="P59" s="71">
        <f t="shared" si="24"/>
        <v>66.261947796400037</v>
      </c>
      <c r="R59" s="71">
        <f t="shared" si="10"/>
        <v>67.152510091550809</v>
      </c>
      <c r="S59" s="72">
        <f t="shared" si="8"/>
        <v>1.1843225505703154E-2</v>
      </c>
      <c r="U59" s="45"/>
    </row>
    <row r="60" spans="2:21">
      <c r="B60" s="2" t="str">
        <f t="shared" si="4"/>
        <v>Port Stephens</v>
      </c>
      <c r="C60" s="44">
        <f t="shared" si="6"/>
        <v>-1.6507470783905243E-3</v>
      </c>
      <c r="D60" s="35" t="str">
        <f t="shared" si="6"/>
        <v>Decline</v>
      </c>
      <c r="E60" s="35" t="str">
        <f t="shared" si="6"/>
        <v>MW</v>
      </c>
      <c r="F60" s="71">
        <f t="shared" ref="F60:P60" si="25">$F30*(1+$C60)^(F$43-$F$43)</f>
        <v>104.57896222719287</v>
      </c>
      <c r="G60" s="71">
        <f t="shared" si="25"/>
        <v>104.40632881083522</v>
      </c>
      <c r="H60" s="71">
        <f t="shared" si="25"/>
        <v>104.23398036858525</v>
      </c>
      <c r="I60" s="71">
        <f t="shared" si="25"/>
        <v>104.06191643002281</v>
      </c>
      <c r="J60" s="71">
        <f t="shared" si="25"/>
        <v>103.89013652550422</v>
      </c>
      <c r="K60" s="71">
        <f t="shared" si="25"/>
        <v>103.71864018616114</v>
      </c>
      <c r="L60" s="71">
        <f t="shared" si="25"/>
        <v>103.5474269438992</v>
      </c>
      <c r="M60" s="71">
        <f t="shared" si="25"/>
        <v>103.37649633139671</v>
      </c>
      <c r="N60" s="71">
        <f t="shared" si="25"/>
        <v>103.2058478821034</v>
      </c>
      <c r="O60" s="71">
        <f t="shared" si="25"/>
        <v>103.03548113023919</v>
      </c>
      <c r="P60" s="71">
        <f t="shared" si="25"/>
        <v>102.86539561079289</v>
      </c>
      <c r="R60" s="71">
        <f t="shared" si="10"/>
        <v>103.634165021954</v>
      </c>
      <c r="S60" s="72">
        <f t="shared" si="8"/>
        <v>1.827724361720744E-2</v>
      </c>
      <c r="U60" s="45"/>
    </row>
    <row r="61" spans="2:21">
      <c r="B61" s="2" t="str">
        <f t="shared" si="4"/>
        <v>Singleton</v>
      </c>
      <c r="C61" s="44">
        <f t="shared" si="6"/>
        <v>-6.2653058517569971E-4</v>
      </c>
      <c r="D61" s="35" t="str">
        <f t="shared" si="6"/>
        <v>Decline</v>
      </c>
      <c r="E61" s="35" t="str">
        <f t="shared" si="6"/>
        <v>MW</v>
      </c>
      <c r="F61" s="71">
        <f t="shared" ref="F61:P61" si="26">$F31*(1+$C61)^(F$43-$F$43)</f>
        <v>131.5612340632</v>
      </c>
      <c r="G61" s="71">
        <f t="shared" si="26"/>
        <v>131.47880692623596</v>
      </c>
      <c r="H61" s="71">
        <f t="shared" si="26"/>
        <v>131.39643143239425</v>
      </c>
      <c r="I61" s="71">
        <f t="shared" si="26"/>
        <v>131.31410754931892</v>
      </c>
      <c r="J61" s="71">
        <f t="shared" si="26"/>
        <v>131.23183524467422</v>
      </c>
      <c r="K61" s="71">
        <f t="shared" si="26"/>
        <v>131.14961448614469</v>
      </c>
      <c r="L61" s="71">
        <f t="shared" si="26"/>
        <v>131.06744524143511</v>
      </c>
      <c r="M61" s="71">
        <f t="shared" si="26"/>
        <v>130.98532747827051</v>
      </c>
      <c r="N61" s="71">
        <f t="shared" si="26"/>
        <v>130.90326116439613</v>
      </c>
      <c r="O61" s="71">
        <f t="shared" si="26"/>
        <v>130.82124626757738</v>
      </c>
      <c r="P61" s="71">
        <f t="shared" si="26"/>
        <v>130.73928275559996</v>
      </c>
      <c r="R61" s="71">
        <f t="shared" si="10"/>
        <v>131.10873585460473</v>
      </c>
      <c r="S61" s="72">
        <f t="shared" si="8"/>
        <v>2.3122744367661704E-2</v>
      </c>
      <c r="U61" s="45"/>
    </row>
    <row r="62" spans="2:21">
      <c r="B62" s="2" t="str">
        <f t="shared" si="4"/>
        <v>St George</v>
      </c>
      <c r="C62" s="44">
        <f t="shared" si="6"/>
        <v>-3.1820220272277266E-3</v>
      </c>
      <c r="D62" s="35" t="str">
        <f t="shared" si="6"/>
        <v>Decline</v>
      </c>
      <c r="E62" s="35" t="str">
        <f t="shared" si="6"/>
        <v>MW</v>
      </c>
      <c r="F62" s="71">
        <f t="shared" ref="F62:P62" si="27">$F32*(1+$C62)^(F$43-$F$43)</f>
        <v>228.4178832874</v>
      </c>
      <c r="G62" s="71">
        <f t="shared" si="27"/>
        <v>227.69105255136677</v>
      </c>
      <c r="H62" s="71">
        <f t="shared" si="27"/>
        <v>226.96653460674565</v>
      </c>
      <c r="I62" s="71">
        <f t="shared" si="27"/>
        <v>226.24432209418345</v>
      </c>
      <c r="J62" s="71">
        <f t="shared" si="27"/>
        <v>225.52440767774453</v>
      </c>
      <c r="K62" s="71">
        <f t="shared" si="27"/>
        <v>224.80678404483646</v>
      </c>
      <c r="L62" s="71">
        <f t="shared" si="27"/>
        <v>224.09144390613557</v>
      </c>
      <c r="M62" s="71">
        <f t="shared" si="27"/>
        <v>223.37837999551297</v>
      </c>
      <c r="N62" s="71">
        <f t="shared" si="27"/>
        <v>222.66758506996081</v>
      </c>
      <c r="O62" s="71">
        <f t="shared" si="27"/>
        <v>221.95905190951859</v>
      </c>
      <c r="P62" s="71">
        <f t="shared" si="27"/>
        <v>221.25277331719991</v>
      </c>
      <c r="R62" s="71">
        <f t="shared" si="10"/>
        <v>224.45823351732048</v>
      </c>
      <c r="S62" s="72">
        <f t="shared" si="8"/>
        <v>3.958615206688864E-2</v>
      </c>
      <c r="U62" s="45"/>
    </row>
    <row r="63" spans="2:21">
      <c r="B63" s="2" t="str">
        <f t="shared" si="4"/>
        <v>Sutherland</v>
      </c>
      <c r="C63" s="44">
        <f t="shared" si="6"/>
        <v>-3.5276496302595328E-3</v>
      </c>
      <c r="D63" s="35" t="str">
        <f t="shared" si="6"/>
        <v>Decline</v>
      </c>
      <c r="E63" s="35" t="str">
        <f t="shared" si="6"/>
        <v>MW</v>
      </c>
      <c r="F63" s="71">
        <f t="shared" ref="F63:P63" si="28">$F33*(1+$C63)^(F$43-$F$43)</f>
        <v>265.19191453726535</v>
      </c>
      <c r="G63" s="71">
        <f t="shared" si="28"/>
        <v>264.25641037800017</v>
      </c>
      <c r="H63" s="71">
        <f t="shared" si="28"/>
        <v>263.32420634963648</v>
      </c>
      <c r="I63" s="71">
        <f t="shared" si="28"/>
        <v>262.39529081046879</v>
      </c>
      <c r="J63" s="71">
        <f t="shared" si="28"/>
        <v>261.46965215985938</v>
      </c>
      <c r="K63" s="71">
        <f t="shared" si="28"/>
        <v>260.54727883809358</v>
      </c>
      <c r="L63" s="71">
        <f t="shared" si="28"/>
        <v>259.62815932623522</v>
      </c>
      <c r="M63" s="71">
        <f t="shared" si="28"/>
        <v>258.71228214598312</v>
      </c>
      <c r="N63" s="71">
        <f t="shared" si="28"/>
        <v>257.7996358595272</v>
      </c>
      <c r="O63" s="71">
        <f t="shared" si="28"/>
        <v>256.8902090694063</v>
      </c>
      <c r="P63" s="71">
        <f t="shared" si="28"/>
        <v>255.98399041836529</v>
      </c>
      <c r="R63" s="71">
        <f t="shared" si="10"/>
        <v>260.10071153555759</v>
      </c>
      <c r="S63" s="72">
        <f t="shared" si="8"/>
        <v>4.5872170328552418E-2</v>
      </c>
      <c r="U63" s="45"/>
    </row>
    <row r="64" spans="2:21">
      <c r="B64" s="2" t="str">
        <f t="shared" si="4"/>
        <v>Sydney CBD</v>
      </c>
      <c r="C64" s="44">
        <f t="shared" si="6"/>
        <v>3.9170119920013402E-3</v>
      </c>
      <c r="D64" s="35" t="str">
        <f t="shared" si="6"/>
        <v>Growth</v>
      </c>
      <c r="E64" s="35" t="str">
        <f t="shared" si="6"/>
        <v>MW</v>
      </c>
      <c r="F64" s="71">
        <f t="shared" ref="F64:P64" si="29">$F34*(1+$C64)^(F$43-$F$43)</f>
        <v>284.13969429880001</v>
      </c>
      <c r="G64" s="71">
        <f t="shared" si="29"/>
        <v>285.252672888772</v>
      </c>
      <c r="H64" s="71">
        <f t="shared" si="29"/>
        <v>286.37001102922778</v>
      </c>
      <c r="I64" s="71">
        <f t="shared" si="29"/>
        <v>287.49172579657881</v>
      </c>
      <c r="J64" s="71">
        <f t="shared" si="29"/>
        <v>288.61783433412518</v>
      </c>
      <c r="K64" s="71">
        <f t="shared" si="29"/>
        <v>289.74835385231739</v>
      </c>
      <c r="L64" s="71">
        <f t="shared" si="29"/>
        <v>290.88330162901957</v>
      </c>
      <c r="M64" s="71">
        <f t="shared" si="29"/>
        <v>292.02269500977343</v>
      </c>
      <c r="N64" s="71">
        <f t="shared" si="29"/>
        <v>293.16655140806319</v>
      </c>
      <c r="O64" s="71">
        <f t="shared" si="29"/>
        <v>294.31488830558226</v>
      </c>
      <c r="P64" s="71">
        <f t="shared" si="29"/>
        <v>295.4677232524997</v>
      </c>
      <c r="R64" s="71">
        <f t="shared" si="10"/>
        <v>290.33357575059597</v>
      </c>
      <c r="S64" s="72">
        <f t="shared" si="8"/>
        <v>5.1204132277463295E-2</v>
      </c>
      <c r="U64" s="45"/>
    </row>
    <row r="65" spans="2:21">
      <c r="B65" s="2" t="str">
        <f t="shared" si="4"/>
        <v>Upper Central Coast</v>
      </c>
      <c r="C65" s="44">
        <f t="shared" si="6"/>
        <v>3.9493611341141488E-3</v>
      </c>
      <c r="D65" s="35" t="str">
        <f t="shared" si="6"/>
        <v>Growth</v>
      </c>
      <c r="E65" s="35" t="str">
        <f t="shared" si="6"/>
        <v>MW</v>
      </c>
      <c r="F65" s="71">
        <f t="shared" ref="F65:P65" si="30">$F35*(1+$C65)^(F$43-$F$43)</f>
        <v>114.7001787377</v>
      </c>
      <c r="G65" s="71">
        <f t="shared" si="30"/>
        <v>115.15317116568262</v>
      </c>
      <c r="H65" s="71">
        <f t="shared" si="30"/>
        <v>115.60795262435435</v>
      </c>
      <c r="I65" s="71">
        <f t="shared" si="30"/>
        <v>116.06453017924348</v>
      </c>
      <c r="J65" s="71">
        <f t="shared" si="30"/>
        <v>116.52291092378259</v>
      </c>
      <c r="K65" s="71">
        <f t="shared" si="30"/>
        <v>116.98310197941882</v>
      </c>
      <c r="L65" s="71">
        <f t="shared" si="30"/>
        <v>117.44511049572444</v>
      </c>
      <c r="M65" s="71">
        <f t="shared" si="30"/>
        <v>117.90894365050798</v>
      </c>
      <c r="N65" s="71">
        <f t="shared" si="30"/>
        <v>118.37460864992576</v>
      </c>
      <c r="O65" s="71">
        <f t="shared" si="30"/>
        <v>118.84211272859375</v>
      </c>
      <c r="P65" s="71">
        <f t="shared" si="30"/>
        <v>119.31146314970005</v>
      </c>
      <c r="R65" s="71">
        <f t="shared" si="10"/>
        <v>117.22139055469339</v>
      </c>
      <c r="S65" s="72">
        <f t="shared" si="8"/>
        <v>2.0673528964720113E-2</v>
      </c>
      <c r="U65" s="45"/>
    </row>
    <row r="66" spans="2:21">
      <c r="B66" s="2" t="str">
        <f t="shared" si="4"/>
        <v>Upper Hunter</v>
      </c>
      <c r="C66" s="44">
        <f t="shared" si="6"/>
        <v>-1.6065523484984912E-3</v>
      </c>
      <c r="D66" s="35" t="str">
        <f t="shared" si="6"/>
        <v>Decline</v>
      </c>
      <c r="E66" s="35" t="str">
        <f t="shared" si="6"/>
        <v>MW</v>
      </c>
      <c r="F66" s="71">
        <f t="shared" ref="F66:P66" si="31">$F36*(1+$C66)^(F$43-$F$43)</f>
        <v>68.478330021270125</v>
      </c>
      <c r="G66" s="71">
        <f t="shared" si="31"/>
        <v>68.3683159993532</v>
      </c>
      <c r="H66" s="71">
        <f t="shared" si="31"/>
        <v>68.258478720721556</v>
      </c>
      <c r="I66" s="71">
        <f t="shared" si="31"/>
        <v>68.148817901427833</v>
      </c>
      <c r="J66" s="71">
        <f t="shared" si="31"/>
        <v>68.0393332579809</v>
      </c>
      <c r="K66" s="71">
        <f t="shared" si="31"/>
        <v>67.930024507345024</v>
      </c>
      <c r="L66" s="71">
        <f t="shared" si="31"/>
        <v>67.820891366939193</v>
      </c>
      <c r="M66" s="71">
        <f t="shared" si="31"/>
        <v>67.711933554636374</v>
      </c>
      <c r="N66" s="71">
        <f t="shared" si="31"/>
        <v>67.60315078876279</v>
      </c>
      <c r="O66" s="71">
        <f t="shared" si="31"/>
        <v>67.494542788097206</v>
      </c>
      <c r="P66" s="71">
        <f t="shared" si="31"/>
        <v>67.386109271870154</v>
      </c>
      <c r="R66" s="71">
        <f t="shared" si="10"/>
        <v>67.876159815713422</v>
      </c>
      <c r="S66" s="72">
        <f t="shared" si="8"/>
        <v>1.1970850621409379E-2</v>
      </c>
      <c r="U66" s="45"/>
    </row>
    <row r="67" spans="2:21">
      <c r="B67" s="2" t="str">
        <f t="shared" si="4"/>
        <v>Upper North Shore</v>
      </c>
      <c r="C67" s="44">
        <f t="shared" si="6"/>
        <v>-1.5532898420259622E-3</v>
      </c>
      <c r="D67" s="35" t="str">
        <f t="shared" si="6"/>
        <v>Decline</v>
      </c>
      <c r="E67" s="35" t="str">
        <f t="shared" si="6"/>
        <v>MW</v>
      </c>
      <c r="F67" s="71">
        <f t="shared" ref="F67:P67" si="32">$F37*(1+$C67)^(F$43-$F$43)</f>
        <v>138.75928949259998</v>
      </c>
      <c r="G67" s="71">
        <f t="shared" si="32"/>
        <v>138.54375609774439</v>
      </c>
      <c r="H67" s="71">
        <f t="shared" si="32"/>
        <v>138.32855748872163</v>
      </c>
      <c r="I67" s="71">
        <f t="shared" si="32"/>
        <v>138.11369314551229</v>
      </c>
      <c r="J67" s="71">
        <f t="shared" si="32"/>
        <v>137.89916254890468</v>
      </c>
      <c r="K67" s="71">
        <f t="shared" si="32"/>
        <v>137.68496518049358</v>
      </c>
      <c r="L67" s="71">
        <f t="shared" si="32"/>
        <v>137.47110052267902</v>
      </c>
      <c r="M67" s="71">
        <f t="shared" si="32"/>
        <v>137.25756805866502</v>
      </c>
      <c r="N67" s="71">
        <f t="shared" si="32"/>
        <v>137.04436727245829</v>
      </c>
      <c r="O67" s="71">
        <f t="shared" si="32"/>
        <v>136.8314976488671</v>
      </c>
      <c r="P67" s="71">
        <f t="shared" si="32"/>
        <v>136.61895867349992</v>
      </c>
      <c r="R67" s="71">
        <f t="shared" si="10"/>
        <v>137.57936266375458</v>
      </c>
      <c r="S67" s="72">
        <f t="shared" si="8"/>
        <v>2.4263924233604676E-2</v>
      </c>
      <c r="U67" s="45"/>
    </row>
    <row r="68" spans="2:21">
      <c r="B68" s="2" t="str">
        <f t="shared" si="4"/>
        <v>West Lake Macquarie</v>
      </c>
      <c r="C68" s="44">
        <f t="shared" si="6"/>
        <v>-1.1427113179696136E-3</v>
      </c>
      <c r="D68" s="35" t="str">
        <f t="shared" si="6"/>
        <v>Decline</v>
      </c>
      <c r="E68" s="35" t="str">
        <f t="shared" si="6"/>
        <v>MW</v>
      </c>
      <c r="F68" s="71">
        <f t="shared" ref="F68:P68" si="33">$F38*(1+$C68)^(F$43-$F$43)</f>
        <v>99.514349944485474</v>
      </c>
      <c r="G68" s="71">
        <f t="shared" si="33"/>
        <v>99.400633770503518</v>
      </c>
      <c r="H68" s="71">
        <f t="shared" si="33"/>
        <v>99.287047541280614</v>
      </c>
      <c r="I68" s="71">
        <f t="shared" si="33"/>
        <v>99.173591108327415</v>
      </c>
      <c r="J68" s="71">
        <f t="shared" si="33"/>
        <v>99.060264323324233</v>
      </c>
      <c r="K68" s="71">
        <f t="shared" si="33"/>
        <v>98.947067038120906</v>
      </c>
      <c r="L68" s="71">
        <f t="shared" si="33"/>
        <v>98.833999104736549</v>
      </c>
      <c r="M68" s="71">
        <f t="shared" si="33"/>
        <v>98.721060375359386</v>
      </c>
      <c r="N68" s="71">
        <f t="shared" si="33"/>
        <v>98.608250702346496</v>
      </c>
      <c r="O68" s="71">
        <f t="shared" si="33"/>
        <v>98.495569938223724</v>
      </c>
      <c r="P68" s="71">
        <f t="shared" si="33"/>
        <v>98.383017935685459</v>
      </c>
      <c r="R68" s="71">
        <f t="shared" si="10"/>
        <v>98.891050183790824</v>
      </c>
      <c r="S68" s="72">
        <f t="shared" si="8"/>
        <v>1.7440733134557872E-2</v>
      </c>
      <c r="U68" s="45"/>
    </row>
    <row r="69" spans="2:21">
      <c r="B69" s="2" t="str">
        <f t="shared" si="4"/>
        <v>System wide</v>
      </c>
      <c r="C69" s="44">
        <f t="shared" si="6"/>
        <v>0</v>
      </c>
      <c r="D69" s="35" t="str">
        <f t="shared" si="6"/>
        <v>System wide</v>
      </c>
      <c r="E69" s="35" t="str">
        <f t="shared" si="6"/>
        <v>MW</v>
      </c>
      <c r="F69" s="71">
        <f t="shared" ref="F69:P69" si="34">$F39*(1+$C69)^(F$43-$F$43)</f>
        <v>0</v>
      </c>
      <c r="G69" s="71">
        <f t="shared" si="34"/>
        <v>0</v>
      </c>
      <c r="H69" s="71">
        <f t="shared" si="34"/>
        <v>0</v>
      </c>
      <c r="I69" s="71">
        <f t="shared" si="34"/>
        <v>0</v>
      </c>
      <c r="J69" s="71">
        <f t="shared" si="34"/>
        <v>0</v>
      </c>
      <c r="K69" s="71">
        <f t="shared" si="34"/>
        <v>0</v>
      </c>
      <c r="L69" s="71">
        <f t="shared" si="34"/>
        <v>0</v>
      </c>
      <c r="M69" s="71">
        <f t="shared" si="34"/>
        <v>0</v>
      </c>
      <c r="N69" s="71">
        <f t="shared" si="34"/>
        <v>0</v>
      </c>
      <c r="O69" s="71">
        <f t="shared" si="34"/>
        <v>0</v>
      </c>
      <c r="P69" s="71">
        <f t="shared" si="34"/>
        <v>0</v>
      </c>
      <c r="R69" s="71">
        <f t="shared" si="10"/>
        <v>0</v>
      </c>
      <c r="S69" s="72">
        <f t="shared" si="8"/>
        <v>0</v>
      </c>
    </row>
  </sheetData>
  <dataValidations disablePrompts="1" count="3">
    <dataValidation type="list" allowBlank="1" showInputMessage="1" showErrorMessage="1" sqref="C6:E6" xr:uid="{5F44608A-E5AE-4C05-8FAA-AE161327FCBE}">
      <formula1>"Yes, No"</formula1>
    </dataValidation>
    <dataValidation type="list" allowBlank="1" showInputMessage="1" showErrorMessage="1" sqref="D9" xr:uid="{71D5F2CA-9AC4-4E53-9C8F-5F68CC00CD4D}">
      <formula1>years</formula1>
    </dataValidation>
    <dataValidation type="list" allowBlank="1" showInputMessage="1" showErrorMessage="1" sqref="C9" xr:uid="{89718D40-27E8-415F-A521-E64BE0CE9613}">
      <formula1>$F$13:$P$13</formula1>
    </dataValidation>
  </dataValidations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B261D-57A6-45CD-BDBC-B63E1135D467}">
  <sheetPr>
    <tabColor rgb="FF9EC0DB"/>
  </sheetPr>
  <dimension ref="A1:AN89"/>
  <sheetViews>
    <sheetView showGridLines="0" zoomScale="70" zoomScaleNormal="70" workbookViewId="0"/>
  </sheetViews>
  <sheetFormatPr defaultColWidth="8.84375" defaultRowHeight="15.5"/>
  <cols>
    <col min="1" max="1" width="21.53515625" bestFit="1" customWidth="1"/>
    <col min="2" max="2" width="26" customWidth="1"/>
    <col min="3" max="3" width="13.4609375" bestFit="1" customWidth="1"/>
    <col min="4" max="4" width="13.84375" bestFit="1" customWidth="1"/>
    <col min="5" max="5" width="5.84375" bestFit="1" customWidth="1"/>
    <col min="6" max="16" width="9.3046875" customWidth="1"/>
  </cols>
  <sheetData>
    <row r="1" spans="1:18" s="1" customFormat="1" ht="18">
      <c r="A1" s="49" t="str">
        <f ca="1">MID(CELL("filename",A2),FIND("]",CELL("filename",A2))+1,256)</f>
        <v>Smoothed demand</v>
      </c>
      <c r="C1" s="19"/>
      <c r="D1" s="19"/>
      <c r="E1" s="19"/>
      <c r="P1" s="12"/>
    </row>
    <row r="2" spans="1:18" s="1" customFormat="1">
      <c r="A2"/>
      <c r="C2" s="19"/>
      <c r="D2" s="19"/>
      <c r="E2" s="19"/>
    </row>
    <row r="3" spans="1:18" s="1" customFormat="1" ht="21">
      <c r="B3" s="6" t="s">
        <v>114</v>
      </c>
      <c r="C3" s="38"/>
      <c r="D3" s="38"/>
      <c r="E3" s="38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s="1" customFormat="1" ht="14">
      <c r="C4" s="19"/>
      <c r="D4" s="19"/>
      <c r="E4" s="19"/>
      <c r="O4" s="7"/>
    </row>
    <row r="5" spans="1:18" s="1" customFormat="1">
      <c r="B5" s="5" t="s">
        <v>115</v>
      </c>
      <c r="C5" s="39"/>
      <c r="D5" s="39"/>
      <c r="E5" s="39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7" spans="1:18" s="1" customFormat="1">
      <c r="B7" s="2" t="s">
        <v>97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9" spans="1:18" s="1" customFormat="1">
      <c r="B9" s="14" t="s">
        <v>86</v>
      </c>
      <c r="C9" s="18" t="s">
        <v>68</v>
      </c>
      <c r="D9" s="18" t="s">
        <v>88</v>
      </c>
      <c r="E9" s="18" t="s">
        <v>69</v>
      </c>
      <c r="F9" s="14">
        <f>G9-1</f>
        <v>2024</v>
      </c>
      <c r="G9" s="14" cm="1">
        <f t="array" ref="G9:P9">TRANSPOSE(years)</f>
        <v>2025</v>
      </c>
      <c r="H9" s="14">
        <v>2026</v>
      </c>
      <c r="I9" s="14">
        <v>2027</v>
      </c>
      <c r="J9" s="14">
        <v>2028</v>
      </c>
      <c r="K9" s="14">
        <v>2029</v>
      </c>
      <c r="L9" s="14">
        <v>2030</v>
      </c>
      <c r="M9" s="14">
        <v>2031</v>
      </c>
      <c r="N9" s="14">
        <v>2032</v>
      </c>
      <c r="O9" s="14">
        <v>2033</v>
      </c>
      <c r="P9" s="14">
        <v>2034</v>
      </c>
      <c r="Q9"/>
      <c r="R9" s="14" t="s">
        <v>98</v>
      </c>
    </row>
    <row r="10" spans="1:18" s="1" customFormat="1">
      <c r="B10" s="2" t="str" cm="1">
        <f t="array" ref="B10:B35">area_plans</f>
        <v>Auburn / Homebush</v>
      </c>
      <c r="C10" s="35" t="str" cm="1">
        <f t="array" ref="C10">INDEX(network_levels,COUNTIFS($B$10:$B10,$B$10))</f>
        <v>LV</v>
      </c>
      <c r="D10" s="35" t="str">
        <f>INDEX('Growing &amp; falling'!$D$14:$D$39,MATCH($B10,'Growing &amp; falling'!$B$14:$B$39,0))</f>
        <v>Growth</v>
      </c>
      <c r="E10" s="35" t="s">
        <v>80</v>
      </c>
      <c r="F10" s="21">
        <f>INDEX('Growing &amp; falling'!F$44:F$69,MATCH($B10,'Growing &amp; falling'!$B$44:$B$69,0))*'Raw demand'!$AJ10</f>
        <v>351.95794535994207</v>
      </c>
      <c r="G10" s="21">
        <f>INDEX('Growing &amp; falling'!G$44:G$69,MATCH($B10,'Growing &amp; falling'!$B$44:$B$69,0))*'Raw demand'!$AJ10</f>
        <v>355.3252485784547</v>
      </c>
      <c r="H10" s="21">
        <f>INDEX('Growing &amp; falling'!H$44:H$69,MATCH($B10,'Growing &amp; falling'!$B$44:$B$69,0))*'Raw demand'!$AJ10</f>
        <v>358.72476794981986</v>
      </c>
      <c r="I10" s="21">
        <f>INDEX('Growing &amp; falling'!I$44:I$69,MATCH($B10,'Growing &amp; falling'!$B$44:$B$69,0))*'Raw demand'!$AJ10</f>
        <v>362.15681169709848</v>
      </c>
      <c r="J10" s="21">
        <f>INDEX('Growing &amp; falling'!J$44:J$69,MATCH($B10,'Growing &amp; falling'!$B$44:$B$69,0))*'Raw demand'!$AJ10</f>
        <v>365.62169099222774</v>
      </c>
      <c r="K10" s="21">
        <f>INDEX('Growing &amp; falling'!K$44:K$69,MATCH($B10,'Growing &amp; falling'!$B$44:$B$69,0))*'Raw demand'!$AJ10</f>
        <v>369.11971998423428</v>
      </c>
      <c r="L10" s="21">
        <f>INDEX('Growing &amp; falling'!L$44:L$69,MATCH($B10,'Growing &amp; falling'!$B$44:$B$69,0))*'Raw demand'!$AJ10</f>
        <v>372.65121582771712</v>
      </c>
      <c r="M10" s="21">
        <f>INDEX('Growing &amp; falling'!M$44:M$69,MATCH($B10,'Growing &amp; falling'!$B$44:$B$69,0))*'Raw demand'!$AJ10</f>
        <v>376.21649871160264</v>
      </c>
      <c r="N10" s="21">
        <f>INDEX('Growing &amp; falling'!N$44:N$69,MATCH($B10,'Growing &amp; falling'!$B$44:$B$69,0))*'Raw demand'!$AJ10</f>
        <v>379.81589188817532</v>
      </c>
      <c r="O10" s="21">
        <f>INDEX('Growing &amp; falling'!O$44:O$69,MATCH($B10,'Growing &amp; falling'!$B$44:$B$69,0))*'Raw demand'!$AJ10</f>
        <v>383.449721702386</v>
      </c>
      <c r="P10" s="21">
        <f>INDEX('Growing &amp; falling'!P$44:P$69,MATCH($B10,'Growing &amp; falling'!$B$44:$B$69,0))*'Raw demand'!$AJ10</f>
        <v>387.11831762144021</v>
      </c>
      <c r="Q10"/>
      <c r="R10" s="73">
        <f>IFERROR(IF('Smoothed demand'!$F10&lt;MAX('Smoothed demand'!$G10:$P10),(MAX('Smoothed demand'!$G10:$P10)/'Smoothed demand'!$F10)^(1/10)-1,('Smoothed demand'!$P10/'Smoothed demand'!$F10)^(1/10)-1),0)</f>
        <v>9.5673453686886401E-3</v>
      </c>
    </row>
    <row r="11" spans="1:18" s="1" customFormat="1">
      <c r="B11" s="2" t="str">
        <v>Camperdown &amp; Blackwattle Bay</v>
      </c>
      <c r="C11" s="35" t="str" cm="1">
        <f t="array" ref="C11">INDEX(network_levels,COUNTIFS($B$10:$B11,$B$10))</f>
        <v>LV</v>
      </c>
      <c r="D11" s="35" t="str">
        <f>INDEX('Growing &amp; falling'!$D$14:$D$39,MATCH($B11,'Growing &amp; falling'!$B$14:$B$39,0))</f>
        <v>Growth</v>
      </c>
      <c r="E11" s="35" t="s">
        <v>80</v>
      </c>
      <c r="F11" s="21">
        <f>INDEX('Growing &amp; falling'!F$44:F$69,MATCH($B11,'Growing &amp; falling'!$B$44:$B$69,0))*'Raw demand'!$AJ11</f>
        <v>70.421820782255807</v>
      </c>
      <c r="G11" s="21">
        <f>INDEX('Growing &amp; falling'!G$44:G$69,MATCH($B11,'Growing &amp; falling'!$B$44:$B$69,0))*'Raw demand'!$AJ11</f>
        <v>70.61858899365582</v>
      </c>
      <c r="H11" s="21">
        <f>INDEX('Growing &amp; falling'!H$44:H$69,MATCH($B11,'Growing &amp; falling'!$B$44:$B$69,0))*'Raw demand'!$AJ11</f>
        <v>70.815907002385529</v>
      </c>
      <c r="I11" s="21">
        <f>INDEX('Growing &amp; falling'!I$44:I$69,MATCH($B11,'Growing &amp; falling'!$B$44:$B$69,0))*'Raw demand'!$AJ11</f>
        <v>71.013776344653948</v>
      </c>
      <c r="J11" s="21">
        <f>INDEX('Growing &amp; falling'!J$44:J$69,MATCH($B11,'Growing &amp; falling'!$B$44:$B$69,0))*'Raw demand'!$AJ11</f>
        <v>71.212198560962491</v>
      </c>
      <c r="K11" s="21">
        <f>INDEX('Growing &amp; falling'!K$44:K$69,MATCH($B11,'Growing &amp; falling'!$B$44:$B$69,0))*'Raw demand'!$AJ11</f>
        <v>71.411175196116957</v>
      </c>
      <c r="L11" s="21">
        <f>INDEX('Growing &amp; falling'!L$44:L$69,MATCH($B11,'Growing &amp; falling'!$B$44:$B$69,0))*'Raw demand'!$AJ11</f>
        <v>71.61070779923952</v>
      </c>
      <c r="M11" s="21">
        <f>INDEX('Growing &amp; falling'!M$44:M$69,MATCH($B11,'Growing &amp; falling'!$B$44:$B$69,0))*'Raw demand'!$AJ11</f>
        <v>71.810797923780783</v>
      </c>
      <c r="N11" s="21">
        <f>INDEX('Growing &amp; falling'!N$44:N$69,MATCH($B11,'Growing &amp; falling'!$B$44:$B$69,0))*'Raw demand'!$AJ11</f>
        <v>72.011447127532023</v>
      </c>
      <c r="O11" s="21">
        <f>INDEX('Growing &amp; falling'!O$44:O$69,MATCH($B11,'Growing &amp; falling'!$B$44:$B$69,0))*'Raw demand'!$AJ11</f>
        <v>72.212656972637035</v>
      </c>
      <c r="P11" s="21">
        <f>INDEX('Growing &amp; falling'!P$44:P$69,MATCH($B11,'Growing &amp; falling'!$B$44:$B$69,0))*'Raw demand'!$AJ11</f>
        <v>72.414429025604591</v>
      </c>
      <c r="Q11"/>
      <c r="R11" s="73">
        <f>IFERROR(IF('Smoothed demand'!$F11&lt;MAX('Smoothed demand'!$G11:$P11),(MAX('Smoothed demand'!$G11:$P11)/'Smoothed demand'!$F11)^(1/10)-1,('Smoothed demand'!$P11/'Smoothed demand'!$F11)^(1/10)-1),0)</f>
        <v>2.7941369480977141E-3</v>
      </c>
    </row>
    <row r="12" spans="1:18" s="1" customFormat="1">
      <c r="B12" s="2" t="str">
        <v>Canterbury Bankstown</v>
      </c>
      <c r="C12" s="35" t="str" cm="1">
        <f t="array" ref="C12">INDEX(network_levels,COUNTIFS($B$10:$B12,$B$10))</f>
        <v>LV</v>
      </c>
      <c r="D12" s="35" t="str">
        <f>INDEX('Growing &amp; falling'!$D$14:$D$39,MATCH($B12,'Growing &amp; falling'!$B$14:$B$39,0))</f>
        <v>Growth</v>
      </c>
      <c r="E12" s="35" t="s">
        <v>80</v>
      </c>
      <c r="F12" s="21">
        <f>INDEX('Growing &amp; falling'!F$44:F$69,MATCH($B12,'Growing &amp; falling'!$B$44:$B$69,0))*'Raw demand'!$AJ12</f>
        <v>450.79464969439272</v>
      </c>
      <c r="G12" s="21">
        <f>INDEX('Growing &amp; falling'!G$44:G$69,MATCH($B12,'Growing &amp; falling'!$B$44:$B$69,0))*'Raw demand'!$AJ12</f>
        <v>451.72555749329024</v>
      </c>
      <c r="H12" s="21">
        <f>INDEX('Growing &amp; falling'!H$44:H$69,MATCH($B12,'Growing &amp; falling'!$B$44:$B$69,0))*'Raw demand'!$AJ12</f>
        <v>452.6583876515827</v>
      </c>
      <c r="I12" s="21">
        <f>INDEX('Growing &amp; falling'!I$44:I$69,MATCH($B12,'Growing &amp; falling'!$B$44:$B$69,0))*'Raw demand'!$AJ12</f>
        <v>453.59314413901421</v>
      </c>
      <c r="J12" s="21">
        <f>INDEX('Growing &amp; falling'!J$44:J$69,MATCH($B12,'Growing &amp; falling'!$B$44:$B$69,0))*'Raw demand'!$AJ12</f>
        <v>454.52983093352623</v>
      </c>
      <c r="K12" s="21">
        <f>INDEX('Growing &amp; falling'!K$44:K$69,MATCH($B12,'Growing &amp; falling'!$B$44:$B$69,0))*'Raw demand'!$AJ12</f>
        <v>455.46845202127525</v>
      </c>
      <c r="L12" s="21">
        <f>INDEX('Growing &amp; falling'!L$44:L$69,MATCH($B12,'Growing &amp; falling'!$B$44:$B$69,0))*'Raw demand'!$AJ12</f>
        <v>456.40901139664896</v>
      </c>
      <c r="M12" s="21">
        <f>INDEX('Growing &amp; falling'!M$44:M$69,MATCH($B12,'Growing &amp; falling'!$B$44:$B$69,0))*'Raw demand'!$AJ12</f>
        <v>457.35151306228391</v>
      </c>
      <c r="N12" s="21">
        <f>INDEX('Growing &amp; falling'!N$44:N$69,MATCH($B12,'Growing &amp; falling'!$B$44:$B$69,0))*'Raw demand'!$AJ12</f>
        <v>458.29596102908181</v>
      </c>
      <c r="O12" s="21">
        <f>INDEX('Growing &amp; falling'!O$44:O$69,MATCH($B12,'Growing &amp; falling'!$B$44:$B$69,0))*'Raw demand'!$AJ12</f>
        <v>459.24235931622741</v>
      </c>
      <c r="P12" s="21">
        <f>INDEX('Growing &amp; falling'!P$44:P$69,MATCH($B12,'Growing &amp; falling'!$B$44:$B$69,0))*'Raw demand'!$AJ12</f>
        <v>460.19071195120529</v>
      </c>
      <c r="Q12"/>
      <c r="R12" s="73">
        <f>IFERROR(IF('Smoothed demand'!$F12&lt;MAX('Smoothed demand'!$G12:$P12),(MAX('Smoothed demand'!$G12:$P12)/'Smoothed demand'!$F12)^(1/10)-1,('Smoothed demand'!$P12/'Smoothed demand'!$F12)^(1/10)-1),0)</f>
        <v>2.0650373724013793E-3</v>
      </c>
    </row>
    <row r="13" spans="1:18" s="1" customFormat="1">
      <c r="B13" s="2" t="str">
        <v>Carlingford</v>
      </c>
      <c r="C13" s="35" t="str" cm="1">
        <f t="array" ref="C13">INDEX(network_levels,COUNTIFS($B$10:$B13,$B$10))</f>
        <v>LV</v>
      </c>
      <c r="D13" s="35" t="str">
        <f>INDEX('Growing &amp; falling'!$D$14:$D$39,MATCH($B13,'Growing &amp; falling'!$B$14:$B$39,0))</f>
        <v>Growth</v>
      </c>
      <c r="E13" s="35" t="s">
        <v>80</v>
      </c>
      <c r="F13" s="21">
        <f>INDEX('Growing &amp; falling'!F$44:F$69,MATCH($B13,'Growing &amp; falling'!$B$44:$B$69,0))*'Raw demand'!$AJ13</f>
        <v>209.20675750008911</v>
      </c>
      <c r="G13" s="21">
        <f>INDEX('Growing &amp; falling'!G$44:G$69,MATCH($B13,'Growing &amp; falling'!$B$44:$B$69,0))*'Raw demand'!$AJ13</f>
        <v>218.36963524584334</v>
      </c>
      <c r="H13" s="21">
        <f>INDEX('Growing &amp; falling'!H$44:H$69,MATCH($B13,'Growing &amp; falling'!$B$44:$B$69,0))*'Raw demand'!$AJ13</f>
        <v>227.93383047095097</v>
      </c>
      <c r="I13" s="21">
        <f>INDEX('Growing &amp; falling'!I$44:I$69,MATCH($B13,'Growing &amp; falling'!$B$44:$B$69,0))*'Raw demand'!$AJ13</f>
        <v>237.91692015545075</v>
      </c>
      <c r="J13" s="21">
        <f>INDEX('Growing &amp; falling'!J$44:J$69,MATCH($B13,'Growing &amp; falling'!$B$44:$B$69,0))*'Raw demand'!$AJ13</f>
        <v>248.33725111932904</v>
      </c>
      <c r="K13" s="21">
        <f>INDEX('Growing &amp; falling'!K$44:K$69,MATCH($B13,'Growing &amp; falling'!$B$44:$B$69,0))*'Raw demand'!$AJ13</f>
        <v>259.21397374011775</v>
      </c>
      <c r="L13" s="21">
        <f>INDEX('Growing &amp; falling'!L$44:L$69,MATCH($B13,'Growing &amp; falling'!$B$44:$B$69,0))*'Raw demand'!$AJ13</f>
        <v>270.56707714726195</v>
      </c>
      <c r="M13" s="21">
        <f>INDEX('Growing &amp; falling'!M$44:M$69,MATCH($B13,'Growing &amp; falling'!$B$44:$B$69,0))*'Raw demand'!$AJ13</f>
        <v>282.41742595793716</v>
      </c>
      <c r="N13" s="21">
        <f>INDEX('Growing &amp; falling'!N$44:N$69,MATCH($B13,'Growing &amp; falling'!$B$44:$B$69,0))*'Raw demand'!$AJ13</f>
        <v>294.78679862182958</v>
      </c>
      <c r="O13" s="21">
        <f>INDEX('Growing &amp; falling'!O$44:O$69,MATCH($B13,'Growing &amp; falling'!$B$44:$B$69,0))*'Raw demand'!$AJ13</f>
        <v>307.69792744534726</v>
      </c>
      <c r="P13" s="21">
        <f>INDEX('Growing &amp; falling'!P$44:P$69,MATCH($B13,'Growing &amp; falling'!$B$44:$B$69,0))*'Raw demand'!$AJ13</f>
        <v>321.17454036882071</v>
      </c>
      <c r="Q13"/>
      <c r="R13" s="73">
        <f>IFERROR(IF('Smoothed demand'!$F13&lt;MAX('Smoothed demand'!$G13:$P13),(MAX('Smoothed demand'!$G13:$P13)/'Smoothed demand'!$F13)^(1/10)-1,('Smoothed demand'!$P13/'Smoothed demand'!$F13)^(1/10)-1),0)</f>
        <v>4.3798192062463936E-2</v>
      </c>
    </row>
    <row r="14" spans="1:18" s="1" customFormat="1">
      <c r="B14" s="2" t="str">
        <v>Eastern Suburbs</v>
      </c>
      <c r="C14" s="35" t="str" cm="1">
        <f t="array" ref="C14">INDEX(network_levels,COUNTIFS($B$10:$B14,$B$10))</f>
        <v>LV</v>
      </c>
      <c r="D14" s="35" t="str">
        <f>INDEX('Growing &amp; falling'!$D$14:$D$39,MATCH($B14,'Growing &amp; falling'!$B$14:$B$39,0))</f>
        <v>Growth</v>
      </c>
      <c r="E14" s="35" t="s">
        <v>80</v>
      </c>
      <c r="F14" s="21">
        <f>INDEX('Growing &amp; falling'!F$44:F$69,MATCH($B14,'Growing &amp; falling'!$B$44:$B$69,0))*'Raw demand'!$AJ14</f>
        <v>581.19543881564243</v>
      </c>
      <c r="G14" s="21">
        <f>INDEX('Growing &amp; falling'!G$44:G$69,MATCH($B14,'Growing &amp; falling'!$B$44:$B$69,0))*'Raw demand'!$AJ14</f>
        <v>581.50006599322717</v>
      </c>
      <c r="H14" s="21">
        <f>INDEX('Growing &amp; falling'!H$44:H$69,MATCH($B14,'Growing &amp; falling'!$B$44:$B$69,0))*'Raw demand'!$AJ14</f>
        <v>581.80485283778637</v>
      </c>
      <c r="I14" s="21">
        <f>INDEX('Growing &amp; falling'!I$44:I$69,MATCH($B14,'Growing &amp; falling'!$B$44:$B$69,0))*'Raw demand'!$AJ14</f>
        <v>582.10979943300765</v>
      </c>
      <c r="J14" s="21">
        <f>INDEX('Growing &amp; falling'!J$44:J$69,MATCH($B14,'Growing &amp; falling'!$B$44:$B$69,0))*'Raw demand'!$AJ14</f>
        <v>582.41490586262285</v>
      </c>
      <c r="K14" s="21">
        <f>INDEX('Growing &amp; falling'!K$44:K$69,MATCH($B14,'Growing &amp; falling'!$B$44:$B$69,0))*'Raw demand'!$AJ14</f>
        <v>582.72017221040721</v>
      </c>
      <c r="L14" s="21">
        <f>INDEX('Growing &amp; falling'!L$44:L$69,MATCH($B14,'Growing &amp; falling'!$B$44:$B$69,0))*'Raw demand'!$AJ14</f>
        <v>583.02559856018013</v>
      </c>
      <c r="M14" s="21">
        <f>INDEX('Growing &amp; falling'!M$44:M$69,MATCH($B14,'Growing &amp; falling'!$B$44:$B$69,0))*'Raw demand'!$AJ14</f>
        <v>583.33118499580473</v>
      </c>
      <c r="N14" s="21">
        <f>INDEX('Growing &amp; falling'!N$44:N$69,MATCH($B14,'Growing &amp; falling'!$B$44:$B$69,0))*'Raw demand'!$AJ14</f>
        <v>583.63693160118851</v>
      </c>
      <c r="O14" s="21">
        <f>INDEX('Growing &amp; falling'!O$44:O$69,MATCH($B14,'Growing &amp; falling'!$B$44:$B$69,0))*'Raw demand'!$AJ14</f>
        <v>583.94283846028247</v>
      </c>
      <c r="P14" s="21">
        <f>INDEX('Growing &amp; falling'!P$44:P$69,MATCH($B14,'Growing &amp; falling'!$B$44:$B$69,0))*'Raw demand'!$AJ14</f>
        <v>584.24890565708188</v>
      </c>
      <c r="Q14"/>
      <c r="R14" s="73">
        <f>IFERROR(IF('Smoothed demand'!$F14&lt;MAX('Smoothed demand'!$G14:$P14),(MAX('Smoothed demand'!$G14:$P14)/'Smoothed demand'!$F14)^(1/10)-1,('Smoothed demand'!$P14/'Smoothed demand'!$F14)^(1/10)-1),0)</f>
        <v>5.241389681334141E-4</v>
      </c>
    </row>
    <row r="15" spans="1:18" s="1" customFormat="1">
      <c r="B15" s="2" t="str">
        <v>Greater Cessnock</v>
      </c>
      <c r="C15" s="35" t="str" cm="1">
        <f t="array" ref="C15">INDEX(network_levels,COUNTIFS($B$10:$B15,$B$10))</f>
        <v>LV</v>
      </c>
      <c r="D15" s="35" t="str">
        <f>INDEX('Growing &amp; falling'!$D$14:$D$39,MATCH($B15,'Growing &amp; falling'!$B$14:$B$39,0))</f>
        <v>Growth</v>
      </c>
      <c r="E15" s="35" t="s">
        <v>80</v>
      </c>
      <c r="F15" s="21">
        <f>INDEX('Growing &amp; falling'!F$44:F$69,MATCH($B15,'Growing &amp; falling'!$B$44:$B$69,0))*'Raw demand'!$AJ15</f>
        <v>95.769141766725213</v>
      </c>
      <c r="G15" s="21">
        <f>INDEX('Growing &amp; falling'!G$44:G$69,MATCH($B15,'Growing &amp; falling'!$B$44:$B$69,0))*'Raw demand'!$AJ15</f>
        <v>96.107124479782669</v>
      </c>
      <c r="H15" s="21">
        <f>INDEX('Growing &amp; falling'!H$44:H$69,MATCH($B15,'Growing &amp; falling'!$B$44:$B$69,0))*'Raw demand'!$AJ15</f>
        <v>96.44629998116649</v>
      </c>
      <c r="I15" s="21">
        <f>INDEX('Growing &amp; falling'!I$44:I$69,MATCH($B15,'Growing &amp; falling'!$B$44:$B$69,0))*'Raw demand'!$AJ15</f>
        <v>96.786672480393719</v>
      </c>
      <c r="J15" s="21">
        <f>INDEX('Growing &amp; falling'!J$44:J$69,MATCH($B15,'Growing &amp; falling'!$B$44:$B$69,0))*'Raw demand'!$AJ15</f>
        <v>97.128246201837399</v>
      </c>
      <c r="K15" s="21">
        <f>INDEX('Growing &amp; falling'!K$44:K$69,MATCH($B15,'Growing &amp; falling'!$B$44:$B$69,0))*'Raw demand'!$AJ15</f>
        <v>97.471025384778898</v>
      </c>
      <c r="L15" s="21">
        <f>INDEX('Growing &amp; falling'!L$44:L$69,MATCH($B15,'Growing &amp; falling'!$B$44:$B$69,0))*'Raw demand'!$AJ15</f>
        <v>97.815014283460727</v>
      </c>
      <c r="M15" s="21">
        <f>INDEX('Growing &amp; falling'!M$44:M$69,MATCH($B15,'Growing &amp; falling'!$B$44:$B$69,0))*'Raw demand'!$AJ15</f>
        <v>98.160217167139123</v>
      </c>
      <c r="N15" s="21">
        <f>INDEX('Growing &amp; falling'!N$44:N$69,MATCH($B15,'Growing &amp; falling'!$B$44:$B$69,0))*'Raw demand'!$AJ15</f>
        <v>98.506638320137114</v>
      </c>
      <c r="O15" s="21">
        <f>INDEX('Growing &amp; falling'!O$44:O$69,MATCH($B15,'Growing &amp; falling'!$B$44:$B$69,0))*'Raw demand'!$AJ15</f>
        <v>98.85428204189779</v>
      </c>
      <c r="P15" s="21">
        <f>INDEX('Growing &amp; falling'!P$44:P$69,MATCH($B15,'Growing &amp; falling'!$B$44:$B$69,0))*'Raw demand'!$AJ15</f>
        <v>99.20315264703747</v>
      </c>
      <c r="Q15"/>
      <c r="R15" s="73">
        <f>IFERROR(IF('Smoothed demand'!$F15&lt;MAX('Smoothed demand'!$G15:$P15),(MAX('Smoothed demand'!$G15:$P15)/'Smoothed demand'!$F15)^(1/10)-1,('Smoothed demand'!$P15/'Smoothed demand'!$F15)^(1/10)-1),0)</f>
        <v>3.5291400426320507E-3</v>
      </c>
    </row>
    <row r="16" spans="1:18" s="1" customFormat="1">
      <c r="B16" s="2" t="str">
        <v>Lower Central Coast</v>
      </c>
      <c r="C16" s="35" t="str" cm="1">
        <f t="array" ref="C16">INDEX(network_levels,COUNTIFS($B$10:$B16,$B$10))</f>
        <v>LV</v>
      </c>
      <c r="D16" s="35" t="str">
        <f>INDEX('Growing &amp; falling'!$D$14:$D$39,MATCH($B16,'Growing &amp; falling'!$B$14:$B$39,0))</f>
        <v>Growth</v>
      </c>
      <c r="E16" s="35" t="s">
        <v>80</v>
      </c>
      <c r="F16" s="21">
        <f>INDEX('Growing &amp; falling'!F$44:F$69,MATCH($B16,'Growing &amp; falling'!$B$44:$B$69,0))*'Raw demand'!$AJ16</f>
        <v>295.36043901382845</v>
      </c>
      <c r="G16" s="21">
        <f>INDEX('Growing &amp; falling'!G$44:G$69,MATCH($B16,'Growing &amp; falling'!$B$44:$B$69,0))*'Raw demand'!$AJ16</f>
        <v>295.36994650609853</v>
      </c>
      <c r="H16" s="21">
        <f>INDEX('Growing &amp; falling'!H$44:H$69,MATCH($B16,'Growing &amp; falling'!$B$44:$B$69,0))*'Raw demand'!$AJ16</f>
        <v>295.37945430440959</v>
      </c>
      <c r="I16" s="21">
        <f>INDEX('Growing &amp; falling'!I$44:I$69,MATCH($B16,'Growing &amp; falling'!$B$44:$B$69,0))*'Raw demand'!$AJ16</f>
        <v>295.38896240877153</v>
      </c>
      <c r="J16" s="21">
        <f>INDEX('Growing &amp; falling'!J$44:J$69,MATCH($B16,'Growing &amp; falling'!$B$44:$B$69,0))*'Raw demand'!$AJ16</f>
        <v>295.39847081919424</v>
      </c>
      <c r="K16" s="21">
        <f>INDEX('Growing &amp; falling'!K$44:K$69,MATCH($B16,'Growing &amp; falling'!$B$44:$B$69,0))*'Raw demand'!$AJ16</f>
        <v>295.40797953568745</v>
      </c>
      <c r="L16" s="21">
        <f>INDEX('Growing &amp; falling'!L$44:L$69,MATCH($B16,'Growing &amp; falling'!$B$44:$B$69,0))*'Raw demand'!$AJ16</f>
        <v>295.4174885582612</v>
      </c>
      <c r="M16" s="21">
        <f>INDEX('Growing &amp; falling'!M$44:M$69,MATCH($B16,'Growing &amp; falling'!$B$44:$B$69,0))*'Raw demand'!$AJ16</f>
        <v>295.42699788692511</v>
      </c>
      <c r="N16" s="21">
        <f>INDEX('Growing &amp; falling'!N$44:N$69,MATCH($B16,'Growing &amp; falling'!$B$44:$B$69,0))*'Raw demand'!$AJ16</f>
        <v>295.43650752168918</v>
      </c>
      <c r="O16" s="21">
        <f>INDEX('Growing &amp; falling'!O$44:O$69,MATCH($B16,'Growing &amp; falling'!$B$44:$B$69,0))*'Raw demand'!$AJ16</f>
        <v>295.4460174625633</v>
      </c>
      <c r="P16" s="21">
        <f>INDEX('Growing &amp; falling'!P$44:P$69,MATCH($B16,'Growing &amp; falling'!$B$44:$B$69,0))*'Raw demand'!$AJ16</f>
        <v>295.4555277095572</v>
      </c>
      <c r="Q16"/>
      <c r="R16" s="73">
        <f>IFERROR(IF('Smoothed demand'!$F16&lt;MAX('Smoothed demand'!$G16:$P16),(MAX('Smoothed demand'!$G16:$P16)/'Smoothed demand'!$F16)^(1/10)-1,('Smoothed demand'!$P16/'Smoothed demand'!$F16)^(1/10)-1),0)</f>
        <v>3.2189457402687083E-5</v>
      </c>
    </row>
    <row r="17" spans="2:40">
      <c r="B17" s="2" t="str">
        <v>Lower North Shore</v>
      </c>
      <c r="C17" s="35" t="str" cm="1">
        <f t="array" ref="C17">INDEX(network_levels,COUNTIFS($B$10:$B17,$B$10))</f>
        <v>LV</v>
      </c>
      <c r="D17" s="35" t="str">
        <f>INDEX('Growing &amp; falling'!$D$14:$D$39,MATCH($B17,'Growing &amp; falling'!$B$14:$B$39,0))</f>
        <v>Growth</v>
      </c>
      <c r="E17" s="35" t="s">
        <v>80</v>
      </c>
      <c r="F17" s="21">
        <f>INDEX('Growing &amp; falling'!F$44:F$69,MATCH($B17,'Growing &amp; falling'!$B$44:$B$69,0))*'Raw demand'!$AJ17</f>
        <v>248.99901468732267</v>
      </c>
      <c r="G17" s="21">
        <f>INDEX('Growing &amp; falling'!G$44:G$69,MATCH($B17,'Growing &amp; falling'!$B$44:$B$69,0))*'Raw demand'!$AJ17</f>
        <v>251.59758044046819</v>
      </c>
      <c r="H17" s="21">
        <f>INDEX('Growing &amp; falling'!H$44:H$69,MATCH($B17,'Growing &amp; falling'!$B$44:$B$69,0))*'Raw demand'!$AJ17</f>
        <v>254.22326495142048</v>
      </c>
      <c r="I17" s="21">
        <f>INDEX('Growing &amp; falling'!I$44:I$69,MATCH($B17,'Growing &amp; falling'!$B$44:$B$69,0))*'Raw demand'!$AJ17</f>
        <v>256.87635123284684</v>
      </c>
      <c r="J17" s="21">
        <f>INDEX('Growing &amp; falling'!J$44:J$69,MATCH($B17,'Growing &amp; falling'!$B$44:$B$69,0))*'Raw demand'!$AJ17</f>
        <v>259.55712525094839</v>
      </c>
      <c r="K17" s="21">
        <f>INDEX('Growing &amp; falling'!K$44:K$69,MATCH($B17,'Growing &amp; falling'!$B$44:$B$69,0))*'Raw demand'!$AJ17</f>
        <v>262.26587595628348</v>
      </c>
      <c r="L17" s="21">
        <f>INDEX('Growing &amp; falling'!L$44:L$69,MATCH($B17,'Growing &amp; falling'!$B$44:$B$69,0))*'Raw demand'!$AJ17</f>
        <v>265.00289531491234</v>
      </c>
      <c r="M17" s="21">
        <f>INDEX('Growing &amp; falling'!M$44:M$69,MATCH($B17,'Growing &amp; falling'!$B$44:$B$69,0))*'Raw demand'!$AJ17</f>
        <v>267.76847833986716</v>
      </c>
      <c r="N17" s="21">
        <f>INDEX('Growing &amp; falling'!N$44:N$69,MATCH($B17,'Growing &amp; falling'!$B$44:$B$69,0))*'Raw demand'!$AJ17</f>
        <v>270.56292312295051</v>
      </c>
      <c r="O17" s="21">
        <f>INDEX('Growing &amp; falling'!O$44:O$69,MATCH($B17,'Growing &amp; falling'!$B$44:$B$69,0))*'Raw demand'!$AJ17</f>
        <v>273.38653086686514</v>
      </c>
      <c r="P17" s="21">
        <f>INDEX('Growing &amp; falling'!P$44:P$69,MATCH($B17,'Growing &amp; falling'!$B$44:$B$69,0))*'Raw demand'!$AJ17</f>
        <v>276.23960591768014</v>
      </c>
      <c r="R17" s="73">
        <f>IFERROR(IF('Smoothed demand'!$F17&lt;MAX('Smoothed demand'!$G17:$P17),(MAX('Smoothed demand'!$G17:$P17)/'Smoothed demand'!$F17)^(1/10)-1,('Smoothed demand'!$P17/'Smoothed demand'!$F17)^(1/10)-1),0)</f>
        <v>1.0436048337013171E-2</v>
      </c>
      <c r="AN17" s="1"/>
    </row>
    <row r="18" spans="2:40">
      <c r="B18" s="2" t="str">
        <v>Maitland</v>
      </c>
      <c r="C18" s="35" t="str" cm="1">
        <f t="array" ref="C18">INDEX(network_levels,COUNTIFS($B$10:$B18,$B$10))</f>
        <v>LV</v>
      </c>
      <c r="D18" s="35" t="str">
        <f>INDEX('Growing &amp; falling'!$D$14:$D$39,MATCH($B18,'Growing &amp; falling'!$B$14:$B$39,0))</f>
        <v>Growth</v>
      </c>
      <c r="E18" s="35" t="s">
        <v>80</v>
      </c>
      <c r="F18" s="21">
        <f>INDEX('Growing &amp; falling'!F$44:F$69,MATCH($B18,'Growing &amp; falling'!$B$44:$B$69,0))*'Raw demand'!$AJ18</f>
        <v>163.39706661928324</v>
      </c>
      <c r="G18" s="21">
        <f>INDEX('Growing &amp; falling'!G$44:G$69,MATCH($B18,'Growing &amp; falling'!$B$44:$B$69,0))*'Raw demand'!$AJ18</f>
        <v>163.63351612489669</v>
      </c>
      <c r="H18" s="21">
        <f>INDEX('Growing &amp; falling'!H$44:H$69,MATCH($B18,'Growing &amp; falling'!$B$44:$B$69,0))*'Raw demand'!$AJ18</f>
        <v>163.87030779313187</v>
      </c>
      <c r="I18" s="21">
        <f>INDEX('Growing &amp; falling'!I$44:I$69,MATCH($B18,'Growing &amp; falling'!$B$44:$B$69,0))*'Raw demand'!$AJ18</f>
        <v>164.10744211912737</v>
      </c>
      <c r="J18" s="21">
        <f>INDEX('Growing &amp; falling'!J$44:J$69,MATCH($B18,'Growing &amp; falling'!$B$44:$B$69,0))*'Raw demand'!$AJ18</f>
        <v>164.34491959873819</v>
      </c>
      <c r="K18" s="21">
        <f>INDEX('Growing &amp; falling'!K$44:K$69,MATCH($B18,'Growing &amp; falling'!$B$44:$B$69,0))*'Raw demand'!$AJ18</f>
        <v>164.58274072853692</v>
      </c>
      <c r="L18" s="21">
        <f>INDEX('Growing &amp; falling'!L$44:L$69,MATCH($B18,'Growing &amp; falling'!$B$44:$B$69,0))*'Raw demand'!$AJ18</f>
        <v>164.82090600581475</v>
      </c>
      <c r="M18" s="21">
        <f>INDEX('Growing &amp; falling'!M$44:M$69,MATCH($B18,'Growing &amp; falling'!$B$44:$B$69,0))*'Raw demand'!$AJ18</f>
        <v>165.05941592858244</v>
      </c>
      <c r="N18" s="21">
        <f>INDEX('Growing &amp; falling'!N$44:N$69,MATCH($B18,'Growing &amp; falling'!$B$44:$B$69,0))*'Raw demand'!$AJ18</f>
        <v>165.29827099557144</v>
      </c>
      <c r="O18" s="21">
        <f>INDEX('Growing &amp; falling'!O$44:O$69,MATCH($B18,'Growing &amp; falling'!$B$44:$B$69,0))*'Raw demand'!$AJ18</f>
        <v>165.5374717062349</v>
      </c>
      <c r="P18" s="21">
        <f>INDEX('Growing &amp; falling'!P$44:P$69,MATCH($B18,'Growing &amp; falling'!$B$44:$B$69,0))*'Raw demand'!$AJ18</f>
        <v>165.77701856074867</v>
      </c>
      <c r="R18" s="73">
        <f>IFERROR(IF('Smoothed demand'!$F18&lt;MAX('Smoothed demand'!$G18:$P18),(MAX('Smoothed demand'!$G18:$P18)/'Smoothed demand'!$F18)^(1/10)-1,('Smoothed demand'!$P18/'Smoothed demand'!$F18)^(1/10)-1),0)</f>
        <v>1.4470853761674451E-3</v>
      </c>
      <c r="AN18" s="1"/>
    </row>
    <row r="19" spans="2:40">
      <c r="B19" s="2" t="str">
        <v>Manly Warringah</v>
      </c>
      <c r="C19" s="35" t="str" cm="1">
        <f t="array" ref="C19">INDEX(network_levels,COUNTIFS($B$10:$B19,$B$10))</f>
        <v>LV</v>
      </c>
      <c r="D19" s="35" t="str">
        <f>INDEX('Growing &amp; falling'!$D$14:$D$39,MATCH($B19,'Growing &amp; falling'!$B$14:$B$39,0))</f>
        <v>Growth</v>
      </c>
      <c r="E19" s="35" t="s">
        <v>80</v>
      </c>
      <c r="F19" s="21">
        <f>INDEX('Growing &amp; falling'!F$44:F$69,MATCH($B19,'Growing &amp; falling'!$B$44:$B$69,0))*'Raw demand'!$AJ19</f>
        <v>159.97832547433705</v>
      </c>
      <c r="G19" s="21">
        <f>INDEX('Growing &amp; falling'!G$44:G$69,MATCH($B19,'Growing &amp; falling'!$B$44:$B$69,0))*'Raw demand'!$AJ19</f>
        <v>160.46311815782619</v>
      </c>
      <c r="H19" s="21">
        <f>INDEX('Growing &amp; falling'!H$44:H$69,MATCH($B19,'Growing &amp; falling'!$B$44:$B$69,0))*'Raw demand'!$AJ19</f>
        <v>160.94937993999022</v>
      </c>
      <c r="I19" s="21">
        <f>INDEX('Growing &amp; falling'!I$44:I$69,MATCH($B19,'Growing &amp; falling'!$B$44:$B$69,0))*'Raw demand'!$AJ19</f>
        <v>161.43711527273402</v>
      </c>
      <c r="J19" s="21">
        <f>INDEX('Growing &amp; falling'!J$44:J$69,MATCH($B19,'Growing &amp; falling'!$B$44:$B$69,0))*'Raw demand'!$AJ19</f>
        <v>161.92632862145342</v>
      </c>
      <c r="K19" s="21">
        <f>INDEX('Growing &amp; falling'!K$44:K$69,MATCH($B19,'Growing &amp; falling'!$B$44:$B$69,0))*'Raw demand'!$AJ19</f>
        <v>162.41702446507591</v>
      </c>
      <c r="L19" s="21">
        <f>INDEX('Growing &amp; falling'!L$44:L$69,MATCH($B19,'Growing &amp; falling'!$B$44:$B$69,0))*'Raw demand'!$AJ19</f>
        <v>162.90920729610181</v>
      </c>
      <c r="M19" s="21">
        <f>INDEX('Growing &amp; falling'!M$44:M$69,MATCH($B19,'Growing &amp; falling'!$B$44:$B$69,0))*'Raw demand'!$AJ19</f>
        <v>163.40288162064545</v>
      </c>
      <c r="N19" s="21">
        <f>INDEX('Growing &amp; falling'!N$44:N$69,MATCH($B19,'Growing &amp; falling'!$B$44:$B$69,0))*'Raw demand'!$AJ19</f>
        <v>163.89805195847629</v>
      </c>
      <c r="O19" s="21">
        <f>INDEX('Growing &amp; falling'!O$44:O$69,MATCH($B19,'Growing &amp; falling'!$B$44:$B$69,0))*'Raw demand'!$AJ19</f>
        <v>164.39472284306018</v>
      </c>
      <c r="P19" s="21">
        <f>INDEX('Growing &amp; falling'!P$44:P$69,MATCH($B19,'Growing &amp; falling'!$B$44:$B$69,0))*'Raw demand'!$AJ19</f>
        <v>164.89289882160128</v>
      </c>
      <c r="R19" s="73">
        <f>IFERROR(IF('Smoothed demand'!$F19&lt;MAX('Smoothed demand'!$G19:$P19),(MAX('Smoothed demand'!$G19:$P19)/'Smoothed demand'!$F19)^(1/10)-1,('Smoothed demand'!$P19/'Smoothed demand'!$F19)^(1/10)-1),0)</f>
        <v>3.0303647825524749E-3</v>
      </c>
      <c r="AN19" s="1"/>
    </row>
    <row r="20" spans="2:40">
      <c r="B20" s="2" t="str">
        <v>Newcastle Inner City</v>
      </c>
      <c r="C20" s="35" t="str" cm="1">
        <f t="array" ref="C20">INDEX(network_levels,COUNTIFS($B$10:$B20,$B$10))</f>
        <v>LV</v>
      </c>
      <c r="D20" s="35" t="str">
        <f>INDEX('Growing &amp; falling'!$D$14:$D$39,MATCH($B20,'Growing &amp; falling'!$B$14:$B$39,0))</f>
        <v>Decline</v>
      </c>
      <c r="E20" s="35" t="s">
        <v>80</v>
      </c>
      <c r="F20" s="21">
        <f>INDEX('Growing &amp; falling'!F$44:F$69,MATCH($B20,'Growing &amp; falling'!$B$44:$B$69,0))*'Raw demand'!$AJ20</f>
        <v>135.06825453843851</v>
      </c>
      <c r="G20" s="21">
        <f>INDEX('Growing &amp; falling'!G$44:G$69,MATCH($B20,'Growing &amp; falling'!$B$44:$B$69,0))*'Raw demand'!$AJ20</f>
        <v>134.85224796006983</v>
      </c>
      <c r="H20" s="21">
        <f>INDEX('Growing &amp; falling'!H$44:H$69,MATCH($B20,'Growing &amp; falling'!$B$44:$B$69,0))*'Raw demand'!$AJ20</f>
        <v>134.6365868280983</v>
      </c>
      <c r="I20" s="21">
        <f>INDEX('Growing &amp; falling'!I$44:I$69,MATCH($B20,'Growing &amp; falling'!$B$44:$B$69,0))*'Raw demand'!$AJ20</f>
        <v>134.42127059007217</v>
      </c>
      <c r="J20" s="21">
        <f>INDEX('Growing &amp; falling'!J$44:J$69,MATCH($B20,'Growing &amp; falling'!$B$44:$B$69,0))*'Raw demand'!$AJ20</f>
        <v>134.20629869442317</v>
      </c>
      <c r="K20" s="21">
        <f>INDEX('Growing &amp; falling'!K$44:K$69,MATCH($B20,'Growing &amp; falling'!$B$44:$B$69,0))*'Raw demand'!$AJ20</f>
        <v>133.99167059046511</v>
      </c>
      <c r="L20" s="21">
        <f>INDEX('Growing &amp; falling'!L$44:L$69,MATCH($B20,'Growing &amp; falling'!$B$44:$B$69,0))*'Raw demand'!$AJ20</f>
        <v>133.7773857283926</v>
      </c>
      <c r="M20" s="21">
        <f>INDEX('Growing &amp; falling'!M$44:M$69,MATCH($B20,'Growing &amp; falling'!$B$44:$B$69,0))*'Raw demand'!$AJ20</f>
        <v>133.56344355927931</v>
      </c>
      <c r="N20" s="21">
        <f>INDEX('Growing &amp; falling'!N$44:N$69,MATCH($B20,'Growing &amp; falling'!$B$44:$B$69,0))*'Raw demand'!$AJ20</f>
        <v>133.34984353507699</v>
      </c>
      <c r="O20" s="21">
        <f>INDEX('Growing &amp; falling'!O$44:O$69,MATCH($B20,'Growing &amp; falling'!$B$44:$B$69,0))*'Raw demand'!$AJ20</f>
        <v>133.1365851086137</v>
      </c>
      <c r="P20" s="21">
        <f>INDEX('Growing &amp; falling'!P$44:P$69,MATCH($B20,'Growing &amp; falling'!$B$44:$B$69,0))*'Raw demand'!$AJ20</f>
        <v>132.92366773359265</v>
      </c>
      <c r="R20" s="73">
        <f>IFERROR(IF('Smoothed demand'!$F20&lt;MAX('Smoothed demand'!$G20:$P20),(MAX('Smoothed demand'!$G20:$P20)/'Smoothed demand'!$F20)^(1/10)-1,('Smoothed demand'!$P20/'Smoothed demand'!$F20)^(1/10)-1),0)</f>
        <v>-1.5992401701407921E-3</v>
      </c>
      <c r="AN20" s="1"/>
    </row>
    <row r="21" spans="2:40">
      <c r="B21" s="2" t="str">
        <v>Newcastle Port</v>
      </c>
      <c r="C21" s="35" t="str" cm="1">
        <f t="array" ref="C21">INDEX(network_levels,COUNTIFS($B$10:$B21,$B$10))</f>
        <v>LV</v>
      </c>
      <c r="D21" s="35" t="str">
        <f>INDEX('Growing &amp; falling'!$D$14:$D$39,MATCH($B21,'Growing &amp; falling'!$B$14:$B$39,0))</f>
        <v>Growth</v>
      </c>
      <c r="E21" s="35" t="s">
        <v>80</v>
      </c>
      <c r="F21" s="21">
        <f>INDEX('Growing &amp; falling'!F$44:F$69,MATCH($B21,'Growing &amp; falling'!$B$44:$B$69,0))*'Raw demand'!$AJ21</f>
        <v>61.192417538138351</v>
      </c>
      <c r="G21" s="21">
        <f>INDEX('Growing &amp; falling'!G$44:G$69,MATCH($B21,'Growing &amp; falling'!$B$44:$B$69,0))*'Raw demand'!$AJ21</f>
        <v>61.232252294441153</v>
      </c>
      <c r="H21" s="21">
        <f>INDEX('Growing &amp; falling'!H$44:H$69,MATCH($B21,'Growing &amp; falling'!$B$44:$B$69,0))*'Raw demand'!$AJ21</f>
        <v>61.272112982188965</v>
      </c>
      <c r="I21" s="21">
        <f>INDEX('Growing &amp; falling'!I$44:I$69,MATCH($B21,'Growing &amp; falling'!$B$44:$B$69,0))*'Raw demand'!$AJ21</f>
        <v>61.311999618262519</v>
      </c>
      <c r="J21" s="21">
        <f>INDEX('Growing &amp; falling'!J$44:J$69,MATCH($B21,'Growing &amp; falling'!$B$44:$B$69,0))*'Raw demand'!$AJ21</f>
        <v>61.351912219553498</v>
      </c>
      <c r="K21" s="21">
        <f>INDEX('Growing &amp; falling'!K$44:K$69,MATCH($B21,'Growing &amp; falling'!$B$44:$B$69,0))*'Raw demand'!$AJ21</f>
        <v>61.391850802964655</v>
      </c>
      <c r="L21" s="21">
        <f>INDEX('Growing &amp; falling'!L$44:L$69,MATCH($B21,'Growing &amp; falling'!$B$44:$B$69,0))*'Raw demand'!$AJ21</f>
        <v>61.431815385409699</v>
      </c>
      <c r="M21" s="21">
        <f>INDEX('Growing &amp; falling'!M$44:M$69,MATCH($B21,'Growing &amp; falling'!$B$44:$B$69,0))*'Raw demand'!$AJ21</f>
        <v>61.471805983813361</v>
      </c>
      <c r="N21" s="21">
        <f>INDEX('Growing &amp; falling'!N$44:N$69,MATCH($B21,'Growing &amp; falling'!$B$44:$B$69,0))*'Raw demand'!$AJ21</f>
        <v>61.511822615111399</v>
      </c>
      <c r="O21" s="21">
        <f>INDEX('Growing &amp; falling'!O$44:O$69,MATCH($B21,'Growing &amp; falling'!$B$44:$B$69,0))*'Raw demand'!$AJ21</f>
        <v>61.551865296250568</v>
      </c>
      <c r="P21" s="21">
        <f>INDEX('Growing &amp; falling'!P$44:P$69,MATCH($B21,'Growing &amp; falling'!$B$44:$B$69,0))*'Raw demand'!$AJ21</f>
        <v>61.59193404418869</v>
      </c>
      <c r="R21" s="73">
        <f>IFERROR(IF('Smoothed demand'!$F21&lt;MAX('Smoothed demand'!$G21:$P21),(MAX('Smoothed demand'!$G21:$P21)/'Smoothed demand'!$F21)^(1/10)-1,('Smoothed demand'!$P21/'Smoothed demand'!$F21)^(1/10)-1),0)</f>
        <v>6.5097536435754222E-4</v>
      </c>
      <c r="AN21" s="1"/>
    </row>
    <row r="22" spans="2:40">
      <c r="B22" s="2" t="str">
        <v>Newcastle Western Corridor</v>
      </c>
      <c r="C22" s="35" t="str" cm="1">
        <f t="array" ref="C22">INDEX(network_levels,COUNTIFS($B$10:$B22,$B$10))</f>
        <v>LV</v>
      </c>
      <c r="D22" s="35" t="str">
        <f>INDEX('Growing &amp; falling'!$D$14:$D$39,MATCH($B22,'Growing &amp; falling'!$B$14:$B$39,0))</f>
        <v>Decline</v>
      </c>
      <c r="E22" s="35" t="s">
        <v>80</v>
      </c>
      <c r="F22" s="21">
        <f>INDEX('Growing &amp; falling'!F$44:F$69,MATCH($B22,'Growing &amp; falling'!$B$44:$B$69,0))*'Raw demand'!$AJ22</f>
        <v>98.889367297396504</v>
      </c>
      <c r="G22" s="21">
        <f>INDEX('Growing &amp; falling'!G$44:G$69,MATCH($B22,'Growing &amp; falling'!$B$44:$B$69,0))*'Raw demand'!$AJ22</f>
        <v>98.686251855716719</v>
      </c>
      <c r="H22" s="21">
        <f>INDEX('Growing &amp; falling'!H$44:H$69,MATCH($B22,'Growing &amp; falling'!$B$44:$B$69,0))*'Raw demand'!$AJ22</f>
        <v>98.483553606337566</v>
      </c>
      <c r="I22" s="21">
        <f>INDEX('Growing &amp; falling'!I$44:I$69,MATCH($B22,'Growing &amp; falling'!$B$44:$B$69,0))*'Raw demand'!$AJ22</f>
        <v>98.281271692360036</v>
      </c>
      <c r="J22" s="21">
        <f>INDEX('Growing &amp; falling'!J$44:J$69,MATCH($B22,'Growing &amp; falling'!$B$44:$B$69,0))*'Raw demand'!$AJ22</f>
        <v>98.079405258645181</v>
      </c>
      <c r="K22" s="21">
        <f>INDEX('Growing &amp; falling'!K$44:K$69,MATCH($B22,'Growing &amp; falling'!$B$44:$B$69,0))*'Raw demand'!$AJ22</f>
        <v>97.877953451810498</v>
      </c>
      <c r="L22" s="21">
        <f>INDEX('Growing &amp; falling'!L$44:L$69,MATCH($B22,'Growing &amp; falling'!$B$44:$B$69,0))*'Raw demand'!$AJ22</f>
        <v>97.67691542022628</v>
      </c>
      <c r="M22" s="21">
        <f>INDEX('Growing &amp; falling'!M$44:M$69,MATCH($B22,'Growing &amp; falling'!$B$44:$B$69,0))*'Raw demand'!$AJ22</f>
        <v>97.476290314012061</v>
      </c>
      <c r="N22" s="21">
        <f>INDEX('Growing &amp; falling'!N$44:N$69,MATCH($B22,'Growing &amp; falling'!$B$44:$B$69,0))*'Raw demand'!$AJ22</f>
        <v>97.276077285032983</v>
      </c>
      <c r="O22" s="21">
        <f>INDEX('Growing &amp; falling'!O$44:O$69,MATCH($B22,'Growing &amp; falling'!$B$44:$B$69,0))*'Raw demand'!$AJ22</f>
        <v>97.076275486896222</v>
      </c>
      <c r="P22" s="21">
        <f>INDEX('Growing &amp; falling'!P$44:P$69,MATCH($B22,'Growing &amp; falling'!$B$44:$B$69,0))*'Raw demand'!$AJ22</f>
        <v>96.876884074947469</v>
      </c>
      <c r="R22" s="73">
        <f>IFERROR(IF('Smoothed demand'!$F22&lt;MAX('Smoothed demand'!$G22:$P22),(MAX('Smoothed demand'!$G22:$P22)/'Smoothed demand'!$F22)^(1/10)-1,('Smoothed demand'!$P22/'Smoothed demand'!$F22)^(1/10)-1),0)</f>
        <v>-2.0539664397783985E-3</v>
      </c>
      <c r="AN22" s="1"/>
    </row>
    <row r="23" spans="2:40">
      <c r="B23" s="2" t="str">
        <v>North East Lake Macquarie</v>
      </c>
      <c r="C23" s="35" t="str" cm="1">
        <f t="array" ref="C23">INDEX(network_levels,COUNTIFS($B$10:$B23,$B$10))</f>
        <v>LV</v>
      </c>
      <c r="D23" s="35" t="str">
        <f>INDEX('Growing &amp; falling'!$D$14:$D$39,MATCH($B23,'Growing &amp; falling'!$B$14:$B$39,0))</f>
        <v>Decline</v>
      </c>
      <c r="E23" s="35" t="s">
        <v>80</v>
      </c>
      <c r="F23" s="21">
        <f>INDEX('Growing &amp; falling'!F$44:F$69,MATCH($B23,'Growing &amp; falling'!$B$44:$B$69,0))*'Raw demand'!$AJ23</f>
        <v>116.09363832060264</v>
      </c>
      <c r="G23" s="21">
        <f>INDEX('Growing &amp; falling'!G$44:G$69,MATCH($B23,'Growing &amp; falling'!$B$44:$B$69,0))*'Raw demand'!$AJ23</f>
        <v>115.74318433309894</v>
      </c>
      <c r="H23" s="21">
        <f>INDEX('Growing &amp; falling'!H$44:H$69,MATCH($B23,'Growing &amp; falling'!$B$44:$B$69,0))*'Raw demand'!$AJ23</f>
        <v>115.39378826745154</v>
      </c>
      <c r="I23" s="21">
        <f>INDEX('Growing &amp; falling'!I$44:I$69,MATCH($B23,'Growing &amp; falling'!$B$44:$B$69,0))*'Raw demand'!$AJ23</f>
        <v>115.04544693009242</v>
      </c>
      <c r="J23" s="21">
        <f>INDEX('Growing &amp; falling'!J$44:J$69,MATCH($B23,'Growing &amp; falling'!$B$44:$B$69,0))*'Raw demand'!$AJ23</f>
        <v>114.69815713709401</v>
      </c>
      <c r="K23" s="21">
        <f>INDEX('Growing &amp; falling'!K$44:K$69,MATCH($B23,'Growing &amp; falling'!$B$44:$B$69,0))*'Raw demand'!$AJ23</f>
        <v>114.35191571414012</v>
      </c>
      <c r="L23" s="21">
        <f>INDEX('Growing &amp; falling'!L$44:L$69,MATCH($B23,'Growing &amp; falling'!$B$44:$B$69,0))*'Raw demand'!$AJ23</f>
        <v>114.00671949649694</v>
      </c>
      <c r="M23" s="21">
        <f>INDEX('Growing &amp; falling'!M$44:M$69,MATCH($B23,'Growing &amp; falling'!$B$44:$B$69,0))*'Raw demand'!$AJ23</f>
        <v>113.6625653289841</v>
      </c>
      <c r="N23" s="21">
        <f>INDEX('Growing &amp; falling'!N$44:N$69,MATCH($B23,'Growing &amp; falling'!$B$44:$B$69,0))*'Raw demand'!$AJ23</f>
        <v>113.31945006594586</v>
      </c>
      <c r="O23" s="21">
        <f>INDEX('Growing &amp; falling'!O$44:O$69,MATCH($B23,'Growing &amp; falling'!$B$44:$B$69,0))*'Raw demand'!$AJ23</f>
        <v>112.97737057122227</v>
      </c>
      <c r="P23" s="21">
        <f>INDEX('Growing &amp; falling'!P$44:P$69,MATCH($B23,'Growing &amp; falling'!$B$44:$B$69,0))*'Raw demand'!$AJ23</f>
        <v>112.63632371812056</v>
      </c>
      <c r="R23" s="73">
        <f>IFERROR(IF('Smoothed demand'!$F23&lt;MAX('Smoothed demand'!$G23:$P23),(MAX('Smoothed demand'!$G23:$P23)/'Smoothed demand'!$F23)^(1/10)-1,('Smoothed demand'!$P23/'Smoothed demand'!$F23)^(1/10)-1),0)</f>
        <v>-3.0187182740873952E-3</v>
      </c>
      <c r="AN23" s="1"/>
    </row>
    <row r="24" spans="2:40">
      <c r="B24" s="2" t="str">
        <v>North West</v>
      </c>
      <c r="C24" s="35" t="str" cm="1">
        <f t="array" ref="C24">INDEX(network_levels,COUNTIFS($B$10:$B24,$B$10))</f>
        <v>LV</v>
      </c>
      <c r="D24" s="35" t="str">
        <f>INDEX('Growing &amp; falling'!$D$14:$D$39,MATCH($B24,'Growing &amp; falling'!$B$14:$B$39,0))</f>
        <v>Growth</v>
      </c>
      <c r="E24" s="35" t="s">
        <v>80</v>
      </c>
      <c r="F24" s="21">
        <f>INDEX('Growing &amp; falling'!F$44:F$69,MATCH($B24,'Growing &amp; falling'!$B$44:$B$69,0))*'Raw demand'!$AJ24</f>
        <v>166.83295779328381</v>
      </c>
      <c r="G24" s="21">
        <f>INDEX('Growing &amp; falling'!G$44:G$69,MATCH($B24,'Growing &amp; falling'!$B$44:$B$69,0))*'Raw demand'!$AJ24</f>
        <v>167.01041635130312</v>
      </c>
      <c r="H24" s="21">
        <f>INDEX('Growing &amp; falling'!H$44:H$69,MATCH($B24,'Growing &amp; falling'!$B$44:$B$69,0))*'Raw demand'!$AJ24</f>
        <v>167.18806367022572</v>
      </c>
      <c r="I24" s="21">
        <f>INDEX('Growing &amp; falling'!I$44:I$69,MATCH($B24,'Growing &amp; falling'!$B$44:$B$69,0))*'Raw demand'!$AJ24</f>
        <v>167.36589995083469</v>
      </c>
      <c r="J24" s="21">
        <f>INDEX('Growing &amp; falling'!J$44:J$69,MATCH($B24,'Growing &amp; falling'!$B$44:$B$69,0))*'Raw demand'!$AJ24</f>
        <v>167.54392539412675</v>
      </c>
      <c r="K24" s="21">
        <f>INDEX('Growing &amp; falling'!K$44:K$69,MATCH($B24,'Growing &amp; falling'!$B$44:$B$69,0))*'Raw demand'!$AJ24</f>
        <v>167.72214020131236</v>
      </c>
      <c r="L24" s="21">
        <f>INDEX('Growing &amp; falling'!L$44:L$69,MATCH($B24,'Growing &amp; falling'!$B$44:$B$69,0))*'Raw demand'!$AJ24</f>
        <v>167.90054457381598</v>
      </c>
      <c r="M24" s="21">
        <f>INDEX('Growing &amp; falling'!M$44:M$69,MATCH($B24,'Growing &amp; falling'!$B$44:$B$69,0))*'Raw demand'!$AJ24</f>
        <v>168.07913871327636</v>
      </c>
      <c r="N24" s="21">
        <f>INDEX('Growing &amp; falling'!N$44:N$69,MATCH($B24,'Growing &amp; falling'!$B$44:$B$69,0))*'Raw demand'!$AJ24</f>
        <v>168.25792282154671</v>
      </c>
      <c r="O24" s="21">
        <f>INDEX('Growing &amp; falling'!O$44:O$69,MATCH($B24,'Growing &amp; falling'!$B$44:$B$69,0))*'Raw demand'!$AJ24</f>
        <v>168.43689710069503</v>
      </c>
      <c r="P24" s="21">
        <f>INDEX('Growing &amp; falling'!P$44:P$69,MATCH($B24,'Growing &amp; falling'!$B$44:$B$69,0))*'Raw demand'!$AJ24</f>
        <v>168.61606175300412</v>
      </c>
      <c r="R24" s="73">
        <f>IFERROR(IF('Smoothed demand'!$F24&lt;MAX('Smoothed demand'!$G24:$P24),(MAX('Smoothed demand'!$G24:$P24)/'Smoothed demand'!$F24)^(1/10)-1,('Smoothed demand'!$P24/'Smoothed demand'!$F24)^(1/10)-1),0)</f>
        <v>1.0636900548102179E-3</v>
      </c>
      <c r="AN24" s="1"/>
    </row>
    <row r="25" spans="2:40" s="1" customFormat="1">
      <c r="B25" s="2" t="str">
        <v>Pittwater &amp; Terrey Hills</v>
      </c>
      <c r="C25" s="35" t="str" cm="1">
        <f t="array" ref="C25">INDEX(network_levels,COUNTIFS($B$10:$B25,$B$10))</f>
        <v>LV</v>
      </c>
      <c r="D25" s="35" t="str">
        <f>INDEX('Growing &amp; falling'!$D$14:$D$39,MATCH($B25,'Growing &amp; falling'!$B$14:$B$39,0))</f>
        <v>Decline</v>
      </c>
      <c r="E25" s="35" t="s">
        <v>80</v>
      </c>
      <c r="F25" s="21">
        <f>INDEX('Growing &amp; falling'!F$44:F$69,MATCH($B25,'Growing &amp; falling'!$B$44:$B$69,0))*'Raw demand'!$AJ25</f>
        <v>68.102970234791613</v>
      </c>
      <c r="G25" s="21">
        <f>INDEX('Growing &amp; falling'!G$44:G$69,MATCH($B25,'Growing &amp; falling'!$B$44:$B$69,0))*'Raw demand'!$AJ25</f>
        <v>67.901768009436935</v>
      </c>
      <c r="H25" s="21">
        <f>INDEX('Growing &amp; falling'!H$44:H$69,MATCH($B25,'Growing &amp; falling'!$B$44:$B$69,0))*'Raw demand'!$AJ25</f>
        <v>67.701160212421385</v>
      </c>
      <c r="I25" s="21">
        <f>INDEX('Growing &amp; falling'!I$44:I$69,MATCH($B25,'Growing &amp; falling'!$B$44:$B$69,0))*'Raw demand'!$AJ25</f>
        <v>67.50114508757629</v>
      </c>
      <c r="J25" s="21">
        <f>INDEX('Growing &amp; falling'!J$44:J$69,MATCH($B25,'Growing &amp; falling'!$B$44:$B$69,0))*'Raw demand'!$AJ25</f>
        <v>67.301720883921348</v>
      </c>
      <c r="K25" s="21">
        <f>INDEX('Growing &amp; falling'!K$44:K$69,MATCH($B25,'Growing &amp; falling'!$B$44:$B$69,0))*'Raw demand'!$AJ25</f>
        <v>67.102885855649305</v>
      </c>
      <c r="L25" s="21">
        <f>INDEX('Growing &amp; falling'!L$44:L$69,MATCH($B25,'Growing &amp; falling'!$B$44:$B$69,0))*'Raw demand'!$AJ25</f>
        <v>66.904638262110709</v>
      </c>
      <c r="M25" s="21">
        <f>INDEX('Growing &amp; falling'!M$44:M$69,MATCH($B25,'Growing &amp; falling'!$B$44:$B$69,0))*'Raw demand'!$AJ25</f>
        <v>66.706976367798632</v>
      </c>
      <c r="N25" s="21">
        <f>INDEX('Growing &amp; falling'!N$44:N$69,MATCH($B25,'Growing &amp; falling'!$B$44:$B$69,0))*'Raw demand'!$AJ25</f>
        <v>66.509898442333537</v>
      </c>
      <c r="O25" s="21">
        <f>INDEX('Growing &amp; falling'!O$44:O$69,MATCH($B25,'Growing &amp; falling'!$B$44:$B$69,0))*'Raw demand'!$AJ25</f>
        <v>66.313402760448056</v>
      </c>
      <c r="P25" s="21">
        <f>INDEX('Growing &amp; falling'!P$44:P$69,MATCH($B25,'Growing &amp; falling'!$B$44:$B$69,0))*'Raw demand'!$AJ25</f>
        <v>66.117487601971931</v>
      </c>
      <c r="Q25"/>
      <c r="R25" s="73">
        <f>IFERROR(IF('Smoothed demand'!$F25&lt;MAX('Smoothed demand'!$G25:$P25),(MAX('Smoothed demand'!$G25:$P25)/'Smoothed demand'!$F25)^(1/10)-1,('Smoothed demand'!$P25/'Smoothed demand'!$F25)^(1/10)-1),0)</f>
        <v>-2.9543825278255387E-3</v>
      </c>
    </row>
    <row r="26" spans="2:40" s="1" customFormat="1">
      <c r="B26" s="2" t="str">
        <v>Port Stephens</v>
      </c>
      <c r="C26" s="35" t="str" cm="1">
        <f t="array" ref="C26">INDEX(network_levels,COUNTIFS($B$10:$B26,$B$10))</f>
        <v>LV</v>
      </c>
      <c r="D26" s="35" t="str">
        <f>INDEX('Growing &amp; falling'!$D$14:$D$39,MATCH($B26,'Growing &amp; falling'!$B$14:$B$39,0))</f>
        <v>Decline</v>
      </c>
      <c r="E26" s="35" t="s">
        <v>80</v>
      </c>
      <c r="F26" s="21">
        <f>INDEX('Growing &amp; falling'!F$44:F$69,MATCH($B26,'Growing &amp; falling'!$B$44:$B$69,0))*'Raw demand'!$AJ26</f>
        <v>97.415336412765384</v>
      </c>
      <c r="G26" s="21">
        <f>INDEX('Growing &amp; falling'!G$44:G$69,MATCH($B26,'Growing &amp; falling'!$B$44:$B$69,0))*'Raw demand'!$AJ26</f>
        <v>97.254528330791572</v>
      </c>
      <c r="H26" s="21">
        <f>INDEX('Growing &amp; falling'!H$44:H$69,MATCH($B26,'Growing &amp; falling'!$B$44:$B$69,0))*'Raw demand'!$AJ26</f>
        <v>97.093985702289274</v>
      </c>
      <c r="I26" s="21">
        <f>INDEX('Growing &amp; falling'!I$44:I$69,MATCH($B26,'Growing &amp; falling'!$B$44:$B$69,0))*'Raw demand'!$AJ26</f>
        <v>96.933708089061938</v>
      </c>
      <c r="J26" s="21">
        <f>INDEX('Growing &amp; falling'!J$44:J$69,MATCH($B26,'Growing &amp; falling'!$B$44:$B$69,0))*'Raw demand'!$AJ26</f>
        <v>96.773695053636345</v>
      </c>
      <c r="K26" s="21">
        <f>INDEX('Growing &amp; falling'!K$44:K$69,MATCH($B26,'Growing &amp; falling'!$B$44:$B$69,0))*'Raw demand'!$AJ26</f>
        <v>96.613946159261488</v>
      </c>
      <c r="L26" s="21">
        <f>INDEX('Growing &amp; falling'!L$44:L$69,MATCH($B26,'Growing &amp; falling'!$B$44:$B$69,0))*'Raw demand'!$AJ26</f>
        <v>96.454460969907316</v>
      </c>
      <c r="M26" s="21">
        <f>INDEX('Growing &amp; falling'!M$44:M$69,MATCH($B26,'Growing &amp; falling'!$B$44:$B$69,0))*'Raw demand'!$AJ26</f>
        <v>96.295239050263518</v>
      </c>
      <c r="N26" s="21">
        <f>INDEX('Growing &amp; falling'!N$44:N$69,MATCH($B26,'Growing &amp; falling'!$B$44:$B$69,0))*'Raw demand'!$AJ26</f>
        <v>96.136279965738368</v>
      </c>
      <c r="O26" s="21">
        <f>INDEX('Growing &amp; falling'!O$44:O$69,MATCH($B26,'Growing &amp; falling'!$B$44:$B$69,0))*'Raw demand'!$AJ26</f>
        <v>95.977583282457587</v>
      </c>
      <c r="P26" s="21">
        <f>INDEX('Growing &amp; falling'!P$44:P$69,MATCH($B26,'Growing &amp; falling'!$B$44:$B$69,0))*'Raw demand'!$AJ26</f>
        <v>95.819148567263085</v>
      </c>
      <c r="Q26"/>
      <c r="R26" s="73">
        <f>IFERROR(IF('Smoothed demand'!$F26&lt;MAX('Smoothed demand'!$G26:$P26),(MAX('Smoothed demand'!$G26:$P26)/'Smoothed demand'!$F26)^(1/10)-1,('Smoothed demand'!$P26/'Smoothed demand'!$F26)^(1/10)-1),0)</f>
        <v>-1.6507470783905243E-3</v>
      </c>
    </row>
    <row r="27" spans="2:40">
      <c r="B27" s="2" t="str">
        <v>Singleton</v>
      </c>
      <c r="C27" s="35" t="str" cm="1">
        <f t="array" ref="C27">INDEX(network_levels,COUNTIFS($B$10:$B27,$B$10))</f>
        <v>LV</v>
      </c>
      <c r="D27" s="35" t="str">
        <f>INDEX('Growing &amp; falling'!$D$14:$D$39,MATCH($B27,'Growing &amp; falling'!$B$14:$B$39,0))</f>
        <v>Decline</v>
      </c>
      <c r="E27" s="35" t="s">
        <v>80</v>
      </c>
      <c r="F27" s="21">
        <f>INDEX('Growing &amp; falling'!F$44:F$69,MATCH($B27,'Growing &amp; falling'!$B$44:$B$69,0))*'Raw demand'!$AJ27</f>
        <v>51.542909167391699</v>
      </c>
      <c r="G27" s="21">
        <f>INDEX('Growing &amp; falling'!G$44:G$69,MATCH($B27,'Growing &amp; falling'!$B$44:$B$69,0))*'Raw demand'!$AJ27</f>
        <v>51.510615958349398</v>
      </c>
      <c r="H27" s="21">
        <f>INDEX('Growing &amp; falling'!H$44:H$69,MATCH($B27,'Growing &amp; falling'!$B$44:$B$69,0))*'Raw demand'!$AJ27</f>
        <v>51.478342981990252</v>
      </c>
      <c r="I27" s="21">
        <f>INDEX('Growing &amp; falling'!I$44:I$69,MATCH($B27,'Growing &amp; falling'!$B$44:$B$69,0))*'Raw demand'!$AJ27</f>
        <v>51.446090225637867</v>
      </c>
      <c r="J27" s="21">
        <f>INDEX('Growing &amp; falling'!J$44:J$69,MATCH($B27,'Growing &amp; falling'!$B$44:$B$69,0))*'Raw demand'!$AJ27</f>
        <v>51.413857676623799</v>
      </c>
      <c r="K27" s="21">
        <f>INDEX('Growing &amp; falling'!K$44:K$69,MATCH($B27,'Growing &amp; falling'!$B$44:$B$69,0))*'Raw demand'!$AJ27</f>
        <v>51.381645322287518</v>
      </c>
      <c r="L27" s="21">
        <f>INDEX('Growing &amp; falling'!L$44:L$69,MATCH($B27,'Growing &amp; falling'!$B$44:$B$69,0))*'Raw demand'!$AJ27</f>
        <v>51.349453149976455</v>
      </c>
      <c r="M27" s="21">
        <f>INDEX('Growing &amp; falling'!M$44:M$69,MATCH($B27,'Growing &amp; falling'!$B$44:$B$69,0))*'Raw demand'!$AJ27</f>
        <v>51.317281147045946</v>
      </c>
      <c r="N27" s="21">
        <f>INDEX('Growing &amp; falling'!N$44:N$69,MATCH($B27,'Growing &amp; falling'!$B$44:$B$69,0))*'Raw demand'!$AJ27</f>
        <v>51.285129300859268</v>
      </c>
      <c r="O27" s="21">
        <f>INDEX('Growing &amp; falling'!O$44:O$69,MATCH($B27,'Growing &amp; falling'!$B$44:$B$69,0))*'Raw demand'!$AJ27</f>
        <v>51.252997598787587</v>
      </c>
      <c r="P27" s="21">
        <f>INDEX('Growing &amp; falling'!P$44:P$69,MATCH($B27,'Growing &amp; falling'!$B$44:$B$69,0))*'Raw demand'!$AJ27</f>
        <v>51.220886028210018</v>
      </c>
      <c r="R27" s="73">
        <f>IFERROR(IF('Smoothed demand'!$F27&lt;MAX('Smoothed demand'!$G27:$P27),(MAX('Smoothed demand'!$G27:$P27)/'Smoothed demand'!$F27)^(1/10)-1,('Smoothed demand'!$P27/'Smoothed demand'!$F27)^(1/10)-1),0)</f>
        <v>-6.2653058517569971E-4</v>
      </c>
      <c r="AN27" s="1"/>
    </row>
    <row r="28" spans="2:40">
      <c r="B28" s="2" t="str">
        <v>St George</v>
      </c>
      <c r="C28" s="35" t="str" cm="1">
        <f t="array" ref="C28">INDEX(network_levels,COUNTIFS($B$10:$B28,$B$10))</f>
        <v>LV</v>
      </c>
      <c r="D28" s="35" t="str">
        <f>INDEX('Growing &amp; falling'!$D$14:$D$39,MATCH($B28,'Growing &amp; falling'!$B$14:$B$39,0))</f>
        <v>Decline</v>
      </c>
      <c r="E28" s="35" t="s">
        <v>80</v>
      </c>
      <c r="F28" s="21">
        <f>INDEX('Growing &amp; falling'!F$44:F$69,MATCH($B28,'Growing &amp; falling'!$B$44:$B$69,0))*'Raw demand'!$AJ28</f>
        <v>226.72927608231367</v>
      </c>
      <c r="G28" s="21">
        <f>INDEX('Growing &amp; falling'!G$44:G$69,MATCH($B28,'Growing &amp; falling'!$B$44:$B$69,0))*'Raw demand'!$AJ28</f>
        <v>226.00781853160234</v>
      </c>
      <c r="H28" s="21">
        <f>INDEX('Growing &amp; falling'!H$44:H$69,MATCH($B28,'Growing &amp; falling'!$B$44:$B$69,0))*'Raw demand'!$AJ28</f>
        <v>225.2886566747091</v>
      </c>
      <c r="I28" s="21">
        <f>INDEX('Growing &amp; falling'!I$44:I$69,MATCH($B28,'Growing &amp; falling'!$B$44:$B$69,0))*'Raw demand'!$AJ28</f>
        <v>224.57178320668564</v>
      </c>
      <c r="J28" s="21">
        <f>INDEX('Growing &amp; falling'!J$44:J$69,MATCH($B28,'Growing &amp; falling'!$B$44:$B$69,0))*'Raw demand'!$AJ28</f>
        <v>223.85719084582814</v>
      </c>
      <c r="K28" s="21">
        <f>INDEX('Growing &amp; falling'!K$44:K$69,MATCH($B28,'Growing &amp; falling'!$B$44:$B$69,0))*'Raw demand'!$AJ28</f>
        <v>223.14487233360339</v>
      </c>
      <c r="L28" s="21">
        <f>INDEX('Growing &amp; falling'!L$44:L$69,MATCH($B28,'Growing &amp; falling'!$B$44:$B$69,0))*'Raw demand'!$AJ28</f>
        <v>222.43482043457496</v>
      </c>
      <c r="M28" s="21">
        <f>INDEX('Growing &amp; falling'!M$44:M$69,MATCH($B28,'Growing &amp; falling'!$B$44:$B$69,0))*'Raw demand'!$AJ28</f>
        <v>221.72702793632968</v>
      </c>
      <c r="N28" s="21">
        <f>INDEX('Growing &amp; falling'!N$44:N$69,MATCH($B28,'Growing &amp; falling'!$B$44:$B$69,0))*'Raw demand'!$AJ28</f>
        <v>221.02148764940455</v>
      </c>
      <c r="O28" s="21">
        <f>INDEX('Growing &amp; falling'!O$44:O$69,MATCH($B28,'Growing &amp; falling'!$B$44:$B$69,0))*'Raw demand'!$AJ28</f>
        <v>220.3181924072135</v>
      </c>
      <c r="P28" s="21">
        <f>INDEX('Growing &amp; falling'!P$44:P$69,MATCH($B28,'Growing &amp; falling'!$B$44:$B$69,0))*'Raw demand'!$AJ28</f>
        <v>219.61713506597474</v>
      </c>
      <c r="R28" s="73">
        <f>IFERROR(IF('Smoothed demand'!$F28&lt;MAX('Smoothed demand'!$G28:$P28),(MAX('Smoothed demand'!$G28:$P28)/'Smoothed demand'!$F28)^(1/10)-1,('Smoothed demand'!$P28/'Smoothed demand'!$F28)^(1/10)-1),0)</f>
        <v>-3.1820220272277266E-3</v>
      </c>
      <c r="AN28" s="1"/>
    </row>
    <row r="29" spans="2:40">
      <c r="B29" s="2" t="str">
        <v>Sutherland</v>
      </c>
      <c r="C29" s="35" t="str" cm="1">
        <f t="array" ref="C29">INDEX(network_levels,COUNTIFS($B$10:$B29,$B$10))</f>
        <v>LV</v>
      </c>
      <c r="D29" s="35" t="str">
        <f>INDEX('Growing &amp; falling'!$D$14:$D$39,MATCH($B29,'Growing &amp; falling'!$B$14:$B$39,0))</f>
        <v>Decline</v>
      </c>
      <c r="E29" s="35" t="s">
        <v>80</v>
      </c>
      <c r="F29" s="21">
        <f>INDEX('Growing &amp; falling'!F$44:F$69,MATCH($B29,'Growing &amp; falling'!$B$44:$B$69,0))*'Raw demand'!$AJ29</f>
        <v>259.8168674320018</v>
      </c>
      <c r="G29" s="21">
        <f>INDEX('Growing &amp; falling'!G$44:G$69,MATCH($B29,'Growing &amp; falling'!$B$44:$B$69,0))*'Raw demand'!$AJ29</f>
        <v>258.90032455567018</v>
      </c>
      <c r="H29" s="21">
        <f>INDEX('Growing &amp; falling'!H$44:H$69,MATCH($B29,'Growing &amp; falling'!$B$44:$B$69,0))*'Raw demand'!$AJ29</f>
        <v>257.98701492147723</v>
      </c>
      <c r="I29" s="21">
        <f>INDEX('Growing &amp; falling'!I$44:I$69,MATCH($B29,'Growing &amp; falling'!$B$44:$B$69,0))*'Raw demand'!$AJ29</f>
        <v>257.07692712367771</v>
      </c>
      <c r="J29" s="21">
        <f>INDEX('Growing &amp; falling'!J$44:J$69,MATCH($B29,'Growing &amp; falling'!$B$44:$B$69,0))*'Raw demand'!$AJ29</f>
        <v>256.17004979676159</v>
      </c>
      <c r="K29" s="21">
        <f>INDEX('Growing &amp; falling'!K$44:K$69,MATCH($B29,'Growing &amp; falling'!$B$44:$B$69,0))*'Raw demand'!$AJ29</f>
        <v>255.26637161531252</v>
      </c>
      <c r="L29" s="21">
        <f>INDEX('Growing &amp; falling'!L$44:L$69,MATCH($B29,'Growing &amp; falling'!$B$44:$B$69,0))*'Raw demand'!$AJ29</f>
        <v>254.36588129386604</v>
      </c>
      <c r="M29" s="21">
        <f>INDEX('Growing &amp; falling'!M$44:M$69,MATCH($B29,'Growing &amp; falling'!$B$44:$B$69,0))*'Raw demand'!$AJ29</f>
        <v>253.46856758676915</v>
      </c>
      <c r="N29" s="21">
        <f>INDEX('Growing &amp; falling'!N$44:N$69,MATCH($B29,'Growing &amp; falling'!$B$44:$B$69,0))*'Raw demand'!$AJ29</f>
        <v>252.57441928803922</v>
      </c>
      <c r="O29" s="21">
        <f>INDEX('Growing &amp; falling'!O$44:O$69,MATCH($B29,'Growing &amp; falling'!$B$44:$B$69,0))*'Raw demand'!$AJ29</f>
        <v>251.68342523122476</v>
      </c>
      <c r="P29" s="21">
        <f>INDEX('Growing &amp; falling'!P$44:P$69,MATCH($B29,'Growing &amp; falling'!$B$44:$B$69,0))*'Raw demand'!$AJ29</f>
        <v>250.79557428926535</v>
      </c>
      <c r="R29" s="73">
        <f>IFERROR(IF('Smoothed demand'!$F29&lt;MAX('Smoothed demand'!$G29:$P29),(MAX('Smoothed demand'!$G29:$P29)/'Smoothed demand'!$F29)^(1/10)-1,('Smoothed demand'!$P29/'Smoothed demand'!$F29)^(1/10)-1),0)</f>
        <v>-3.5276496302595328E-3</v>
      </c>
      <c r="AN29" s="1"/>
    </row>
    <row r="30" spans="2:40">
      <c r="B30" s="2" t="str">
        <v>Sydney CBD</v>
      </c>
      <c r="C30" s="35" t="str" cm="1">
        <f t="array" ref="C30">INDEX(network_levels,COUNTIFS($B$10:$B30,$B$10))</f>
        <v>LV</v>
      </c>
      <c r="D30" s="35" t="str">
        <f>INDEX('Growing &amp; falling'!$D$14:$D$39,MATCH($B30,'Growing &amp; falling'!$B$14:$B$39,0))</f>
        <v>Growth</v>
      </c>
      <c r="E30" s="35" t="s">
        <v>80</v>
      </c>
      <c r="F30" s="21">
        <f>INDEX('Growing &amp; falling'!F$44:F$69,MATCH($B30,'Growing &amp; falling'!$B$44:$B$69,0))*'Raw demand'!$AJ30</f>
        <v>282.64585243581308</v>
      </c>
      <c r="G30" s="21">
        <f>INDEX('Growing &amp; falling'!G$44:G$69,MATCH($B30,'Growing &amp; falling'!$B$44:$B$69,0))*'Raw demand'!$AJ30</f>
        <v>283.75297962929363</v>
      </c>
      <c r="H30" s="21">
        <f>INDEX('Growing &amp; falling'!H$44:H$69,MATCH($B30,'Growing &amp; falling'!$B$44:$B$69,0))*'Raw demand'!$AJ30</f>
        <v>284.86444345326771</v>
      </c>
      <c r="I30" s="21">
        <f>INDEX('Growing &amp; falling'!I$44:I$69,MATCH($B30,'Growing &amp; falling'!$B$44:$B$69,0))*'Raw demand'!$AJ30</f>
        <v>285.98026089436894</v>
      </c>
      <c r="J30" s="21">
        <f>INDEX('Growing &amp; falling'!J$44:J$69,MATCH($B30,'Growing &amp; falling'!$B$44:$B$69,0))*'Raw demand'!$AJ30</f>
        <v>287.10044900576787</v>
      </c>
      <c r="K30" s="21">
        <f>INDEX('Growing &amp; falling'!K$44:K$69,MATCH($B30,'Growing &amp; falling'!$B$44:$B$69,0))*'Raw demand'!$AJ30</f>
        <v>288.22502490743238</v>
      </c>
      <c r="L30" s="21">
        <f>INDEX('Growing &amp; falling'!L$44:L$69,MATCH($B30,'Growing &amp; falling'!$B$44:$B$69,0))*'Raw demand'!$AJ30</f>
        <v>289.35400578638973</v>
      </c>
      <c r="M30" s="21">
        <f>INDEX('Growing &amp; falling'!M$44:M$69,MATCH($B30,'Growing &amp; falling'!$B$44:$B$69,0))*'Raw demand'!$AJ30</f>
        <v>290.48740889698865</v>
      </c>
      <c r="N30" s="21">
        <f>INDEX('Growing &amp; falling'!N$44:N$69,MATCH($B30,'Growing &amp; falling'!$B$44:$B$69,0))*'Raw demand'!$AJ30</f>
        <v>291.62525156116351</v>
      </c>
      <c r="O30" s="21">
        <f>INDEX('Growing &amp; falling'!O$44:O$69,MATCH($B30,'Growing &amp; falling'!$B$44:$B$69,0))*'Raw demand'!$AJ30</f>
        <v>292.76755116869901</v>
      </c>
      <c r="P30" s="21">
        <f>INDEX('Growing &amp; falling'!P$44:P$69,MATCH($B30,'Growing &amp; falling'!$B$44:$B$69,0))*'Raw demand'!$AJ30</f>
        <v>293.91432517749558</v>
      </c>
      <c r="R30" s="73">
        <f>IFERROR(IF('Smoothed demand'!$F30&lt;MAX('Smoothed demand'!$G30:$P30),(MAX('Smoothed demand'!$G30:$P30)/'Smoothed demand'!$F30)^(1/10)-1,('Smoothed demand'!$P30/'Smoothed demand'!$F30)^(1/10)-1),0)</f>
        <v>3.9170119920013402E-3</v>
      </c>
      <c r="AN30" s="1"/>
    </row>
    <row r="31" spans="2:40">
      <c r="B31" s="2" t="str">
        <v>Upper Central Coast</v>
      </c>
      <c r="C31" s="35" t="str" cm="1">
        <f t="array" ref="C31">INDEX(network_levels,COUNTIFS($B$10:$B31,$B$10))</f>
        <v>LV</v>
      </c>
      <c r="D31" s="35" t="str">
        <f>INDEX('Growing &amp; falling'!$D$14:$D$39,MATCH($B31,'Growing &amp; falling'!$B$14:$B$39,0))</f>
        <v>Growth</v>
      </c>
      <c r="E31" s="35" t="s">
        <v>80</v>
      </c>
      <c r="F31" s="21">
        <f>INDEX('Growing &amp; falling'!F$44:F$69,MATCH($B31,'Growing &amp; falling'!$B$44:$B$69,0))*'Raw demand'!$AJ31</f>
        <v>119.01348154958416</v>
      </c>
      <c r="G31" s="21">
        <f>INDEX('Growing &amp; falling'!G$44:G$69,MATCH($B31,'Growing &amp; falling'!$B$44:$B$69,0))*'Raw demand'!$AJ31</f>
        <v>119.48350876805171</v>
      </c>
      <c r="H31" s="21">
        <f>INDEX('Growing &amp; falling'!H$44:H$69,MATCH($B31,'Growing &amp; falling'!$B$44:$B$69,0))*'Raw demand'!$AJ31</f>
        <v>119.95539229374782</v>
      </c>
      <c r="I31" s="21">
        <f>INDEX('Growing &amp; falling'!I$44:I$69,MATCH($B31,'Growing &amp; falling'!$B$44:$B$69,0))*'Raw demand'!$AJ31</f>
        <v>120.42913945790016</v>
      </c>
      <c r="J31" s="21">
        <f>INDEX('Growing &amp; falling'!J$44:J$69,MATCH($B31,'Growing &amp; falling'!$B$44:$B$69,0))*'Raw demand'!$AJ31</f>
        <v>120.90475762068999</v>
      </c>
      <c r="K31" s="21">
        <f>INDEX('Growing &amp; falling'!K$44:K$69,MATCH($B31,'Growing &amp; falling'!$B$44:$B$69,0))*'Raw demand'!$AJ31</f>
        <v>121.38225417136664</v>
      </c>
      <c r="L31" s="21">
        <f>INDEX('Growing &amp; falling'!L$44:L$69,MATCH($B31,'Growing &amp; falling'!$B$44:$B$69,0))*'Raw demand'!$AJ31</f>
        <v>121.86163652836218</v>
      </c>
      <c r="M31" s="21">
        <f>INDEX('Growing &amp; falling'!M$44:M$69,MATCH($B31,'Growing &amp; falling'!$B$44:$B$69,0))*'Raw demand'!$AJ31</f>
        <v>122.34291213940682</v>
      </c>
      <c r="N31" s="21">
        <f>INDEX('Growing &amp; falling'!N$44:N$69,MATCH($B31,'Growing &amp; falling'!$B$44:$B$69,0))*'Raw demand'!$AJ31</f>
        <v>122.82608848164455</v>
      </c>
      <c r="O31" s="21">
        <f>INDEX('Growing &amp; falling'!O$44:O$69,MATCH($B31,'Growing &amp; falling'!$B$44:$B$69,0))*'Raw demand'!$AJ31</f>
        <v>123.31117306174922</v>
      </c>
      <c r="P31" s="21">
        <f>INDEX('Growing &amp; falling'!P$44:P$69,MATCH($B31,'Growing &amp; falling'!$B$44:$B$69,0))*'Raw demand'!$AJ31</f>
        <v>123.79817341604129</v>
      </c>
      <c r="R31" s="73">
        <f>IFERROR(IF('Smoothed demand'!$F31&lt;MAX('Smoothed demand'!$G31:$P31),(MAX('Smoothed demand'!$G31:$P31)/'Smoothed demand'!$F31)^(1/10)-1,('Smoothed demand'!$P31/'Smoothed demand'!$F31)^(1/10)-1),0)</f>
        <v>3.9493611341141488E-3</v>
      </c>
      <c r="AN31" s="1"/>
    </row>
    <row r="32" spans="2:40">
      <c r="B32" s="2" t="str">
        <v>Upper Hunter</v>
      </c>
      <c r="C32" s="35" t="str" cm="1">
        <f t="array" ref="C32">INDEX(network_levels,COUNTIFS($B$10:$B32,$B$10))</f>
        <v>LV</v>
      </c>
      <c r="D32" s="35" t="str">
        <f>INDEX('Growing &amp; falling'!$D$14:$D$39,MATCH($B32,'Growing &amp; falling'!$B$14:$B$39,0))</f>
        <v>Decline</v>
      </c>
      <c r="E32" s="35" t="s">
        <v>80</v>
      </c>
      <c r="F32" s="21">
        <f>INDEX('Growing &amp; falling'!F$44:F$69,MATCH($B32,'Growing &amp; falling'!$B$44:$B$69,0))*'Raw demand'!$AJ32</f>
        <v>51.783723234801677</v>
      </c>
      <c r="G32" s="21">
        <f>INDEX('Growing &amp; falling'!G$44:G$69,MATCH($B32,'Growing &amp; falling'!$B$44:$B$69,0))*'Raw demand'!$AJ32</f>
        <v>51.700529972624807</v>
      </c>
      <c r="H32" s="21">
        <f>INDEX('Growing &amp; falling'!H$44:H$69,MATCH($B32,'Growing &amp; falling'!$B$44:$B$69,0))*'Raw demand'!$AJ32</f>
        <v>51.617470364778676</v>
      </c>
      <c r="I32" s="21">
        <f>INDEX('Growing &amp; falling'!I$44:I$69,MATCH($B32,'Growing &amp; falling'!$B$44:$B$69,0))*'Raw demand'!$AJ32</f>
        <v>51.53454419654058</v>
      </c>
      <c r="J32" s="21">
        <f>INDEX('Growing &amp; falling'!J$44:J$69,MATCH($B32,'Growing &amp; falling'!$B$44:$B$69,0))*'Raw demand'!$AJ32</f>
        <v>51.451751253532827</v>
      </c>
      <c r="K32" s="21">
        <f>INDEX('Growing &amp; falling'!K$44:K$69,MATCH($B32,'Growing &amp; falling'!$B$44:$B$69,0))*'Raw demand'!$AJ32</f>
        <v>51.369091321722109</v>
      </c>
      <c r="L32" s="21">
        <f>INDEX('Growing &amp; falling'!L$44:L$69,MATCH($B32,'Growing &amp; falling'!$B$44:$B$69,0))*'Raw demand'!$AJ32</f>
        <v>51.286564187418968</v>
      </c>
      <c r="M32" s="21">
        <f>INDEX('Growing &amp; falling'!M$44:M$69,MATCH($B32,'Growing &amp; falling'!$B$44:$B$69,0))*'Raw demand'!$AJ32</f>
        <v>51.204169637277246</v>
      </c>
      <c r="N32" s="21">
        <f>INDEX('Growing &amp; falling'!N$44:N$69,MATCH($B32,'Growing &amp; falling'!$B$44:$B$69,0))*'Raw demand'!$AJ32</f>
        <v>51.121907458293556</v>
      </c>
      <c r="O32" s="21">
        <f>INDEX('Growing &amp; falling'!O$44:O$69,MATCH($B32,'Growing &amp; falling'!$B$44:$B$69,0))*'Raw demand'!$AJ32</f>
        <v>51.039777437806713</v>
      </c>
      <c r="P32" s="21">
        <f>INDEX('Growing &amp; falling'!P$44:P$69,MATCH($B32,'Growing &amp; falling'!$B$44:$B$69,0))*'Raw demand'!$AJ32</f>
        <v>50.957779363497167</v>
      </c>
      <c r="R32" s="73">
        <f>IFERROR(IF('Smoothed demand'!$F32&lt;MAX('Smoothed demand'!$G32:$P32),(MAX('Smoothed demand'!$G32:$P32)/'Smoothed demand'!$F32)^(1/10)-1,('Smoothed demand'!$P32/'Smoothed demand'!$F32)^(1/10)-1),0)</f>
        <v>-1.6065523484984912E-3</v>
      </c>
      <c r="AN32" s="1"/>
    </row>
    <row r="33" spans="2:40">
      <c r="B33" s="2" t="str">
        <v>Upper North Shore</v>
      </c>
      <c r="C33" s="35" t="str" cm="1">
        <f t="array" ref="C33">INDEX(network_levels,COUNTIFS($B$10:$B33,$B$10))</f>
        <v>LV</v>
      </c>
      <c r="D33" s="35" t="str">
        <f>INDEX('Growing &amp; falling'!$D$14:$D$39,MATCH($B33,'Growing &amp; falling'!$B$14:$B$39,0))</f>
        <v>Decline</v>
      </c>
      <c r="E33" s="35" t="s">
        <v>80</v>
      </c>
      <c r="F33" s="21">
        <f>INDEX('Growing &amp; falling'!F$44:F$69,MATCH($B33,'Growing &amp; falling'!$B$44:$B$69,0))*'Raw demand'!$AJ33</f>
        <v>137.68593154495719</v>
      </c>
      <c r="G33" s="21">
        <f>INDEX('Growing &amp; falling'!G$44:G$69,MATCH($B33,'Growing &amp; falling'!$B$44:$B$69,0))*'Raw demand'!$AJ33</f>
        <v>137.47206538609854</v>
      </c>
      <c r="H33" s="21">
        <f>INDEX('Growing &amp; falling'!H$44:H$69,MATCH($B33,'Growing &amp; falling'!$B$44:$B$69,0))*'Raw demand'!$AJ33</f>
        <v>137.25853142337198</v>
      </c>
      <c r="I33" s="21">
        <f>INDEX('Growing &amp; falling'!I$44:I$69,MATCH($B33,'Growing &amp; falling'!$B$44:$B$69,0))*'Raw demand'!$AJ33</f>
        <v>137.04532914078064</v>
      </c>
      <c r="J33" s="21">
        <f>INDEX('Growing &amp; falling'!J$44:J$69,MATCH($B33,'Growing &amp; falling'!$B$44:$B$69,0))*'Raw demand'!$AJ33</f>
        <v>136.83245802312916</v>
      </c>
      <c r="K33" s="21">
        <f>INDEX('Growing &amp; falling'!K$44:K$69,MATCH($B33,'Growing &amp; falling'!$B$44:$B$69,0))*'Raw demand'!$AJ33</f>
        <v>136.61991755602239</v>
      </c>
      <c r="L33" s="21">
        <f>INDEX('Growing &amp; falling'!L$44:L$69,MATCH($B33,'Growing &amp; falling'!$B$44:$B$69,0))*'Raw demand'!$AJ33</f>
        <v>136.40770722586421</v>
      </c>
      <c r="M33" s="21">
        <f>INDEX('Growing &amp; falling'!M$44:M$69,MATCH($B33,'Growing &amp; falling'!$B$44:$B$69,0))*'Raw demand'!$AJ33</f>
        <v>136.19582651985621</v>
      </c>
      <c r="N33" s="21">
        <f>INDEX('Growing &amp; falling'!N$44:N$69,MATCH($B33,'Growing &amp; falling'!$B$44:$B$69,0))*'Raw demand'!$AJ33</f>
        <v>135.98427492599657</v>
      </c>
      <c r="O33" s="21">
        <f>INDEX('Growing &amp; falling'!O$44:O$69,MATCH($B33,'Growing &amp; falling'!$B$44:$B$69,0))*'Raw demand'!$AJ33</f>
        <v>135.77305193307876</v>
      </c>
      <c r="P33" s="21">
        <f>INDEX('Growing &amp; falling'!P$44:P$69,MATCH($B33,'Growing &amp; falling'!$B$44:$B$69,0))*'Raw demand'!$AJ33</f>
        <v>135.56215703069026</v>
      </c>
      <c r="R33" s="73">
        <f>IFERROR(IF('Smoothed demand'!$F33&lt;MAX('Smoothed demand'!$G33:$P33),(MAX('Smoothed demand'!$G33:$P33)/'Smoothed demand'!$F33)^(1/10)-1,('Smoothed demand'!$P33/'Smoothed demand'!$F33)^(1/10)-1),0)</f>
        <v>-1.5532898420259622E-3</v>
      </c>
      <c r="AN33" s="1"/>
    </row>
    <row r="34" spans="2:40">
      <c r="B34" s="2" t="str">
        <v>West Lake Macquarie</v>
      </c>
      <c r="C34" s="35" t="str" cm="1">
        <f t="array" ref="C34">INDEX(network_levels,COUNTIFS($B$10:$B34,$B$10))</f>
        <v>LV</v>
      </c>
      <c r="D34" s="35" t="str">
        <f>INDEX('Growing &amp; falling'!$D$14:$D$39,MATCH($B34,'Growing &amp; falling'!$B$14:$B$39,0))</f>
        <v>Decline</v>
      </c>
      <c r="E34" s="35" t="s">
        <v>80</v>
      </c>
      <c r="F34" s="21">
        <f>INDEX('Growing &amp; falling'!F$44:F$69,MATCH($B34,'Growing &amp; falling'!$B$44:$B$69,0))*'Raw demand'!$AJ34</f>
        <v>70.943194499414304</v>
      </c>
      <c r="G34" s="21">
        <f>INDEX('Growing &amp; falling'!G$44:G$69,MATCH($B34,'Growing &amp; falling'!$B$44:$B$69,0))*'Raw demand'!$AJ34</f>
        <v>70.862126908126911</v>
      </c>
      <c r="H34" s="21">
        <f>INDEX('Growing &amp; falling'!H$44:H$69,MATCH($B34,'Growing &amp; falling'!$B$44:$B$69,0))*'Raw demand'!$AJ34</f>
        <v>70.781151953693595</v>
      </c>
      <c r="I34" s="21">
        <f>INDEX('Growing &amp; falling'!I$44:I$69,MATCH($B34,'Growing &amp; falling'!$B$44:$B$69,0))*'Raw demand'!$AJ34</f>
        <v>70.700269530257188</v>
      </c>
      <c r="J34" s="21">
        <f>INDEX('Growing &amp; falling'!J$44:J$69,MATCH($B34,'Growing &amp; falling'!$B$44:$B$69,0))*'Raw demand'!$AJ34</f>
        <v>70.619479532081456</v>
      </c>
      <c r="K34" s="21">
        <f>INDEX('Growing &amp; falling'!K$44:K$69,MATCH($B34,'Growing &amp; falling'!$B$44:$B$69,0))*'Raw demand'!$AJ34</f>
        <v>70.538781853551015</v>
      </c>
      <c r="L34" s="21">
        <f>INDEX('Growing &amp; falling'!L$44:L$69,MATCH($B34,'Growing &amp; falling'!$B$44:$B$69,0))*'Raw demand'!$AJ34</f>
        <v>70.458176389171186</v>
      </c>
      <c r="M34" s="21">
        <f>INDEX('Growing &amp; falling'!M$44:M$69,MATCH($B34,'Growing &amp; falling'!$B$44:$B$69,0))*'Raw demand'!$AJ34</f>
        <v>70.377663033567785</v>
      </c>
      <c r="N34" s="21">
        <f>INDEX('Growing &amp; falling'!N$44:N$69,MATCH($B34,'Growing &amp; falling'!$B$44:$B$69,0))*'Raw demand'!$AJ34</f>
        <v>70.29724168148708</v>
      </c>
      <c r="O34" s="21">
        <f>INDEX('Growing &amp; falling'!O$44:O$69,MATCH($B34,'Growing &amp; falling'!$B$44:$B$69,0))*'Raw demand'!$AJ34</f>
        <v>70.216912227795589</v>
      </c>
      <c r="P34" s="21">
        <f>INDEX('Growing &amp; falling'!P$44:P$69,MATCH($B34,'Growing &amp; falling'!$B$44:$B$69,0))*'Raw demand'!$AJ34</f>
        <v>70.136674567480014</v>
      </c>
      <c r="R34" s="73">
        <f>IFERROR(IF('Smoothed demand'!$F34&lt;MAX('Smoothed demand'!$G34:$P34),(MAX('Smoothed demand'!$G34:$P34)/'Smoothed demand'!$F34)^(1/10)-1,('Smoothed demand'!$P34/'Smoothed demand'!$F34)^(1/10)-1),0)</f>
        <v>-1.1427113179696136E-3</v>
      </c>
      <c r="AN34" s="1"/>
    </row>
    <row r="35" spans="2:40">
      <c r="B35" s="2" t="str">
        <v>System wide</v>
      </c>
      <c r="C35" s="35" t="str" cm="1">
        <f t="array" ref="C35">INDEX(network_levels,COUNTIFS($B$10:$B35,$B$10))</f>
        <v>LV</v>
      </c>
      <c r="D35" s="35" t="str">
        <f>INDEX('Growing &amp; falling'!$D$14:$D$39,MATCH($B35,'Growing &amp; falling'!$B$14:$B$39,0))</f>
        <v>System wide</v>
      </c>
      <c r="E35" s="35" t="s">
        <v>80</v>
      </c>
      <c r="F35" s="21">
        <f>INDEX('Growing &amp; falling'!F$44:F$69,MATCH($B35,'Growing &amp; falling'!$B$44:$B$69,0))*'Raw demand'!$AJ35</f>
        <v>0</v>
      </c>
      <c r="G35" s="21">
        <f>INDEX('Growing &amp; falling'!G$44:G$69,MATCH($B35,'Growing &amp; falling'!$B$44:$B$69,0))*'Raw demand'!$AJ35</f>
        <v>0</v>
      </c>
      <c r="H35" s="21">
        <f>INDEX('Growing &amp; falling'!H$44:H$69,MATCH($B35,'Growing &amp; falling'!$B$44:$B$69,0))*'Raw demand'!$AJ35</f>
        <v>0</v>
      </c>
      <c r="I35" s="21">
        <f>INDEX('Growing &amp; falling'!I$44:I$69,MATCH($B35,'Growing &amp; falling'!$B$44:$B$69,0))*'Raw demand'!$AJ35</f>
        <v>0</v>
      </c>
      <c r="J35" s="21">
        <f>INDEX('Growing &amp; falling'!J$44:J$69,MATCH($B35,'Growing &amp; falling'!$B$44:$B$69,0))*'Raw demand'!$AJ35</f>
        <v>0</v>
      </c>
      <c r="K35" s="21">
        <f>INDEX('Growing &amp; falling'!K$44:K$69,MATCH($B35,'Growing &amp; falling'!$B$44:$B$69,0))*'Raw demand'!$AJ35</f>
        <v>0</v>
      </c>
      <c r="L35" s="21">
        <f>INDEX('Growing &amp; falling'!L$44:L$69,MATCH($B35,'Growing &amp; falling'!$B$44:$B$69,0))*'Raw demand'!$AJ35</f>
        <v>0</v>
      </c>
      <c r="M35" s="21">
        <f>INDEX('Growing &amp; falling'!M$44:M$69,MATCH($B35,'Growing &amp; falling'!$B$44:$B$69,0))*'Raw demand'!$AJ35</f>
        <v>0</v>
      </c>
      <c r="N35" s="21">
        <f>INDEX('Growing &amp; falling'!N$44:N$69,MATCH($B35,'Growing &amp; falling'!$B$44:$B$69,0))*'Raw demand'!$AJ35</f>
        <v>0</v>
      </c>
      <c r="O35" s="21">
        <f>INDEX('Growing &amp; falling'!O$44:O$69,MATCH($B35,'Growing &amp; falling'!$B$44:$B$69,0))*'Raw demand'!$AJ35</f>
        <v>0</v>
      </c>
      <c r="P35" s="21">
        <f>INDEX('Growing &amp; falling'!P$44:P$69,MATCH($B35,'Growing &amp; falling'!$B$44:$B$69,0))*'Raw demand'!$AJ35</f>
        <v>0</v>
      </c>
      <c r="R35" s="73">
        <f>IFERROR(IF('Smoothed demand'!$F35&lt;MAX('Smoothed demand'!$G35:$P35),(MAX('Smoothed demand'!$G35:$P35)/'Smoothed demand'!$F35)^(1/10)-1,('Smoothed demand'!$P35/'Smoothed demand'!$F35)^(1/10)-1),0)</f>
        <v>0</v>
      </c>
      <c r="AN35" s="1"/>
    </row>
    <row r="36" spans="2:40">
      <c r="B36" s="2" t="str">
        <f t="shared" ref="B36:B67" si="0">B10</f>
        <v>Auburn / Homebush</v>
      </c>
      <c r="C36" s="35" t="str" cm="1">
        <f t="array" ref="C36">INDEX(network_levels,COUNTIFS($B$10:$B36,$B$10))</f>
        <v>HV</v>
      </c>
      <c r="D36" s="35" t="str">
        <f>INDEX('Growing &amp; falling'!$D$14:$D$39,MATCH($B36,'Growing &amp; falling'!$B$14:$B$39,0))</f>
        <v>Growth</v>
      </c>
      <c r="E36" s="35" t="s">
        <v>80</v>
      </c>
      <c r="F36" s="21">
        <f>INDEX('Growing &amp; falling'!F$44:F$69,MATCH($B36,'Growing &amp; falling'!$B$44:$B$69,0))*'Raw demand'!$AJ36</f>
        <v>16.840190457370372</v>
      </c>
      <c r="G36" s="21">
        <f>INDEX('Growing &amp; falling'!G$44:G$69,MATCH($B36,'Growing &amp; falling'!$B$44:$B$69,0))*'Raw demand'!$AJ36</f>
        <v>17.001306375550531</v>
      </c>
      <c r="H36" s="21">
        <f>INDEX('Growing &amp; falling'!H$44:H$69,MATCH($B36,'Growing &amp; falling'!$B$44:$B$69,0))*'Raw demand'!$AJ36</f>
        <v>17.163963745364306</v>
      </c>
      <c r="I36" s="21">
        <f>INDEX('Growing &amp; falling'!I$44:I$69,MATCH($B36,'Growing &amp; falling'!$B$44:$B$69,0))*'Raw demand'!$AJ36</f>
        <v>17.328177314411857</v>
      </c>
      <c r="J36" s="21">
        <f>INDEX('Growing &amp; falling'!J$44:J$69,MATCH($B36,'Growing &amp; falling'!$B$44:$B$69,0))*'Raw demand'!$AJ36</f>
        <v>17.49396197138871</v>
      </c>
      <c r="K36" s="21">
        <f>INDEX('Growing &amp; falling'!K$44:K$69,MATCH($B36,'Growing &amp; falling'!$B$44:$B$69,0))*'Raw demand'!$AJ36</f>
        <v>17.66133274743569</v>
      </c>
      <c r="L36" s="21">
        <f>INDEX('Growing &amp; falling'!L$44:L$69,MATCH($B36,'Growing &amp; falling'!$B$44:$B$69,0))*'Raw demand'!$AJ36</f>
        <v>17.830304817501737</v>
      </c>
      <c r="M36" s="21">
        <f>INDEX('Growing &amp; falling'!M$44:M$69,MATCH($B36,'Growing &amp; falling'!$B$44:$B$69,0))*'Raw demand'!$AJ36</f>
        <v>18.000893501719769</v>
      </c>
      <c r="N36" s="21">
        <f>INDEX('Growing &amp; falling'!N$44:N$69,MATCH($B36,'Growing &amp; falling'!$B$44:$B$69,0))*'Raw demand'!$AJ36</f>
        <v>18.173114266795704</v>
      </c>
      <c r="O36" s="21">
        <f>INDEX('Growing &amp; falling'!O$44:O$69,MATCH($B36,'Growing &amp; falling'!$B$44:$B$69,0))*'Raw demand'!$AJ36</f>
        <v>18.346982727410783</v>
      </c>
      <c r="P36" s="21">
        <f>INDEX('Growing &amp; falling'!P$44:P$69,MATCH($B36,'Growing &amp; falling'!$B$44:$B$69,0))*'Raw demand'!$AJ36</f>
        <v>18.522514647637284</v>
      </c>
      <c r="R36" s="73">
        <f>IFERROR(IF('Smoothed demand'!$F36&lt;MAX('Smoothed demand'!$G36:$P36),(MAX('Smoothed demand'!$G36:$P36)/'Smoothed demand'!$F36)^(1/10)-1,('Smoothed demand'!$P36/'Smoothed demand'!$F36)^(1/10)-1),0)</f>
        <v>9.5673453686886401E-3</v>
      </c>
      <c r="AN36" s="1"/>
    </row>
    <row r="37" spans="2:40">
      <c r="B37" s="2" t="str">
        <f t="shared" si="0"/>
        <v>Camperdown &amp; Blackwattle Bay</v>
      </c>
      <c r="C37" s="35" t="str" cm="1">
        <f t="array" ref="C37">INDEX(network_levels,COUNTIFS($B$10:$B37,$B$10))</f>
        <v>HV</v>
      </c>
      <c r="D37" s="35" t="str">
        <f>INDEX('Growing &amp; falling'!$D$14:$D$39,MATCH($B37,'Growing &amp; falling'!$B$14:$B$39,0))</f>
        <v>Growth</v>
      </c>
      <c r="E37" s="35" t="s">
        <v>80</v>
      </c>
      <c r="F37" s="21">
        <f>INDEX('Growing &amp; falling'!F$44:F$69,MATCH($B37,'Growing &amp; falling'!$B$44:$B$69,0))*'Raw demand'!$AJ37</f>
        <v>3.4163398691383629</v>
      </c>
      <c r="G37" s="21">
        <f>INDEX('Growing &amp; falling'!G$44:G$69,MATCH($B37,'Growing &amp; falling'!$B$44:$B$69,0))*'Raw demand'!$AJ37</f>
        <v>3.4258855905939813</v>
      </c>
      <c r="H37" s="21">
        <f>INDEX('Growing &amp; falling'!H$44:H$69,MATCH($B37,'Growing &amp; falling'!$B$44:$B$69,0))*'Raw demand'!$AJ37</f>
        <v>3.4354579841026163</v>
      </c>
      <c r="I37" s="21">
        <f>INDEX('Growing &amp; falling'!I$44:I$69,MATCH($B37,'Growing &amp; falling'!$B$44:$B$69,0))*'Raw demand'!$AJ37</f>
        <v>3.4450571241896348</v>
      </c>
      <c r="J37" s="21">
        <f>INDEX('Growing &amp; falling'!J$44:J$69,MATCH($B37,'Growing &amp; falling'!$B$44:$B$69,0))*'Raw demand'!$AJ37</f>
        <v>3.4546830855886399</v>
      </c>
      <c r="K37" s="21">
        <f>INDEX('Growing &amp; falling'!K$44:K$69,MATCH($B37,'Growing &amp; falling'!$B$44:$B$69,0))*'Raw demand'!$AJ37</f>
        <v>3.4643359432420517</v>
      </c>
      <c r="L37" s="21">
        <f>INDEX('Growing &amp; falling'!L$44:L$69,MATCH($B37,'Growing &amp; falling'!$B$44:$B$69,0))*'Raw demand'!$AJ37</f>
        <v>3.474015772301688</v>
      </c>
      <c r="M37" s="21">
        <f>INDEX('Growing &amp; falling'!M$44:M$69,MATCH($B37,'Growing &amp; falling'!$B$44:$B$69,0))*'Raw demand'!$AJ37</f>
        <v>3.4837226481293495</v>
      </c>
      <c r="N37" s="21">
        <f>INDEX('Growing &amp; falling'!N$44:N$69,MATCH($B37,'Growing &amp; falling'!$B$44:$B$69,0))*'Raw demand'!$AJ37</f>
        <v>3.4934566462974135</v>
      </c>
      <c r="O37" s="21">
        <f>INDEX('Growing &amp; falling'!O$44:O$69,MATCH($B37,'Growing &amp; falling'!$B$44:$B$69,0))*'Raw demand'!$AJ37</f>
        <v>3.5032178425894105</v>
      </c>
      <c r="P37" s="21">
        <f>INDEX('Growing &amp; falling'!P$44:P$69,MATCH($B37,'Growing &amp; falling'!$B$44:$B$69,0))*'Raw demand'!$AJ37</f>
        <v>3.5130063130006248</v>
      </c>
      <c r="R37" s="73">
        <f>IFERROR(IF('Smoothed demand'!$F37&lt;MAX('Smoothed demand'!$G37:$P37),(MAX('Smoothed demand'!$G37:$P37)/'Smoothed demand'!$F37)^(1/10)-1,('Smoothed demand'!$P37/'Smoothed demand'!$F37)^(1/10)-1),0)</f>
        <v>2.7941369480977141E-3</v>
      </c>
      <c r="AN37" s="1"/>
    </row>
    <row r="38" spans="2:40">
      <c r="B38" s="2" t="str">
        <f t="shared" si="0"/>
        <v>Canterbury Bankstown</v>
      </c>
      <c r="C38" s="35" t="str" cm="1">
        <f t="array" ref="C38">INDEX(network_levels,COUNTIFS($B$10:$B38,$B$10))</f>
        <v>HV</v>
      </c>
      <c r="D38" s="35" t="str">
        <f>INDEX('Growing &amp; falling'!$D$14:$D$39,MATCH($B38,'Growing &amp; falling'!$B$14:$B$39,0))</f>
        <v>Growth</v>
      </c>
      <c r="E38" s="35" t="s">
        <v>80</v>
      </c>
      <c r="F38" s="21">
        <f>INDEX('Growing &amp; falling'!F$44:F$69,MATCH($B38,'Growing &amp; falling'!$B$44:$B$69,0))*'Raw demand'!$AJ38</f>
        <v>3.9730896343934798</v>
      </c>
      <c r="G38" s="21">
        <f>INDEX('Growing &amp; falling'!G$44:G$69,MATCH($B38,'Growing &amp; falling'!$B$44:$B$69,0))*'Raw demand'!$AJ38</f>
        <v>3.9812942129724025</v>
      </c>
      <c r="H38" s="21">
        <f>INDEX('Growing &amp; falling'!H$44:H$69,MATCH($B38,'Growing &amp; falling'!$B$44:$B$69,0))*'Raw demand'!$AJ38</f>
        <v>3.9895157343127159</v>
      </c>
      <c r="I38" s="21">
        <f>INDEX('Growing &amp; falling'!I$44:I$69,MATCH($B38,'Growing &amp; falling'!$B$44:$B$69,0))*'Raw demand'!$AJ38</f>
        <v>3.9977542334018552</v>
      </c>
      <c r="J38" s="21">
        <f>INDEX('Growing &amp; falling'!J$44:J$69,MATCH($B38,'Growing &amp; falling'!$B$44:$B$69,0))*'Raw demand'!$AJ38</f>
        <v>4.0060097452995054</v>
      </c>
      <c r="K38" s="21">
        <f>INDEX('Growing &amp; falling'!K$44:K$69,MATCH($B38,'Growing &amp; falling'!$B$44:$B$69,0))*'Raw demand'!$AJ38</f>
        <v>4.014282305137753</v>
      </c>
      <c r="L38" s="21">
        <f>INDEX('Growing &amp; falling'!L$44:L$69,MATCH($B38,'Growing &amp; falling'!$B$44:$B$69,0))*'Raw demand'!$AJ38</f>
        <v>4.0225719481212314</v>
      </c>
      <c r="M38" s="21">
        <f>INDEX('Growing &amp; falling'!M$44:M$69,MATCH($B38,'Growing &amp; falling'!$B$44:$B$69,0))*'Raw demand'!$AJ38</f>
        <v>4.0308787095272764</v>
      </c>
      <c r="N38" s="21">
        <f>INDEX('Growing &amp; falling'!N$44:N$69,MATCH($B38,'Growing &amp; falling'!$B$44:$B$69,0))*'Raw demand'!$AJ38</f>
        <v>4.0392026247060668</v>
      </c>
      <c r="O38" s="21">
        <f>INDEX('Growing &amp; falling'!O$44:O$69,MATCH($B38,'Growing &amp; falling'!$B$44:$B$69,0))*'Raw demand'!$AJ38</f>
        <v>4.0475437290807861</v>
      </c>
      <c r="P38" s="21">
        <f>INDEX('Growing &amp; falling'!P$44:P$69,MATCH($B38,'Growing &amp; falling'!$B$44:$B$69,0))*'Raw demand'!$AJ38</f>
        <v>4.0559020581477672</v>
      </c>
      <c r="R38" s="73">
        <f>IFERROR(IF('Smoothed demand'!$F38&lt;MAX('Smoothed demand'!$G38:$P38),(MAX('Smoothed demand'!$G38:$P38)/'Smoothed demand'!$F38)^(1/10)-1,('Smoothed demand'!$P38/'Smoothed demand'!$F38)^(1/10)-1),0)</f>
        <v>2.0650373724013793E-3</v>
      </c>
      <c r="AN38" s="1"/>
    </row>
    <row r="39" spans="2:40">
      <c r="B39" s="2" t="str">
        <f t="shared" si="0"/>
        <v>Carlingford</v>
      </c>
      <c r="C39" s="35" t="str" cm="1">
        <f t="array" ref="C39">INDEX(network_levels,COUNTIFS($B$10:$B39,$B$10))</f>
        <v>HV</v>
      </c>
      <c r="D39" s="35" t="str">
        <f>INDEX('Growing &amp; falling'!$D$14:$D$39,MATCH($B39,'Growing &amp; falling'!$B$14:$B$39,0))</f>
        <v>Growth</v>
      </c>
      <c r="E39" s="35" t="s">
        <v>80</v>
      </c>
      <c r="F39" s="21">
        <f>INDEX('Growing &amp; falling'!F$44:F$69,MATCH($B39,'Growing &amp; falling'!$B$44:$B$69,0))*'Raw demand'!$AJ39</f>
        <v>27.424748297278782</v>
      </c>
      <c r="G39" s="21">
        <f>INDEX('Growing &amp; falling'!G$44:G$69,MATCH($B39,'Growing &amp; falling'!$B$44:$B$69,0))*'Raw demand'!$AJ39</f>
        <v>28.625902690467729</v>
      </c>
      <c r="H39" s="21">
        <f>INDEX('Growing &amp; falling'!H$44:H$69,MATCH($B39,'Growing &amp; falling'!$B$44:$B$69,0))*'Raw demand'!$AJ39</f>
        <v>29.879665474466233</v>
      </c>
      <c r="I39" s="21">
        <f>INDEX('Growing &amp; falling'!I$44:I$69,MATCH($B39,'Growing &amp; falling'!$B$44:$B$69,0))*'Raw demand'!$AJ39</f>
        <v>31.188340801679079</v>
      </c>
      <c r="J39" s="21">
        <f>INDEX('Growing &amp; falling'!J$44:J$69,MATCH($B39,'Growing &amp; falling'!$B$44:$B$69,0))*'Raw demand'!$AJ39</f>
        <v>32.554333742220592</v>
      </c>
      <c r="K39" s="21">
        <f>INDEX('Growing &amp; falling'!K$44:K$69,MATCH($B39,'Growing &amp; falling'!$B$44:$B$69,0))*'Raw demand'!$AJ39</f>
        <v>33.980154703927923</v>
      </c>
      <c r="L39" s="21">
        <f>INDEX('Growing &amp; falling'!L$44:L$69,MATCH($B39,'Growing &amp; falling'!$B$44:$B$69,0))*'Raw demand'!$AJ39</f>
        <v>35.468424045962799</v>
      </c>
      <c r="M39" s="21">
        <f>INDEX('Growing &amp; falling'!M$44:M$69,MATCH($B39,'Growing &amp; falling'!$B$44:$B$69,0))*'Raw demand'!$AJ39</f>
        <v>37.021876894480783</v>
      </c>
      <c r="N39" s="21">
        <f>INDEX('Growing &amp; falling'!N$44:N$69,MATCH($B39,'Growing &amp; falling'!$B$44:$B$69,0))*'Raw demand'!$AJ39</f>
        <v>38.643368169218142</v>
      </c>
      <c r="O39" s="21">
        <f>INDEX('Growing &amp; falling'!O$44:O$69,MATCH($B39,'Growing &amp; falling'!$B$44:$B$69,0))*'Raw demand'!$AJ39</f>
        <v>40.335877830234061</v>
      </c>
      <c r="P39" s="21">
        <f>INDEX('Growing &amp; falling'!P$44:P$69,MATCH($B39,'Growing &amp; falling'!$B$44:$B$69,0))*'Raw demand'!$AJ39</f>
        <v>42.102516354450735</v>
      </c>
      <c r="R39" s="73">
        <f>IFERROR(IF('Smoothed demand'!$F39&lt;MAX('Smoothed demand'!$G39:$P39),(MAX('Smoothed demand'!$G39:$P39)/'Smoothed demand'!$F39)^(1/10)-1,('Smoothed demand'!$P39/'Smoothed demand'!$F39)^(1/10)-1),0)</f>
        <v>4.3798192062463936E-2</v>
      </c>
      <c r="AN39" s="1"/>
    </row>
    <row r="40" spans="2:40" s="1" customFormat="1">
      <c r="B40" s="2" t="str">
        <f t="shared" si="0"/>
        <v>Eastern Suburbs</v>
      </c>
      <c r="C40" s="35" t="str" cm="1">
        <f t="array" ref="C40">INDEX(network_levels,COUNTIFS($B$10:$B40,$B$10))</f>
        <v>HV</v>
      </c>
      <c r="D40" s="35" t="str">
        <f>INDEX('Growing &amp; falling'!$D$14:$D$39,MATCH($B40,'Growing &amp; falling'!$B$14:$B$39,0))</f>
        <v>Growth</v>
      </c>
      <c r="E40" s="35" t="s">
        <v>80</v>
      </c>
      <c r="F40" s="21">
        <f>INDEX('Growing &amp; falling'!F$44:F$69,MATCH($B40,'Growing &amp; falling'!$B$44:$B$69,0))*'Raw demand'!$AJ40</f>
        <v>61.744832736656591</v>
      </c>
      <c r="G40" s="21">
        <f>INDEX('Growing &amp; falling'!G$44:G$69,MATCH($B40,'Growing &amp; falling'!$B$44:$B$69,0))*'Raw demand'!$AJ40</f>
        <v>61.777195609574747</v>
      </c>
      <c r="H40" s="21">
        <f>INDEX('Growing &amp; falling'!H$44:H$69,MATCH($B40,'Growing &amp; falling'!$B$44:$B$69,0))*'Raw demand'!$AJ40</f>
        <v>61.809575445135721</v>
      </c>
      <c r="I40" s="21">
        <f>INDEX('Growing &amp; falling'!I$44:I$69,MATCH($B40,'Growing &amp; falling'!$B$44:$B$69,0))*'Raw demand'!$AJ40</f>
        <v>61.841972252230299</v>
      </c>
      <c r="J40" s="21">
        <f>INDEX('Growing &amp; falling'!J$44:J$69,MATCH($B40,'Growing &amp; falling'!$B$44:$B$69,0))*'Raw demand'!$AJ40</f>
        <v>61.874386039753915</v>
      </c>
      <c r="K40" s="21">
        <f>INDEX('Growing &amp; falling'!K$44:K$69,MATCH($B40,'Growing &amp; falling'!$B$44:$B$69,0))*'Raw demand'!$AJ40</f>
        <v>61.906816816606685</v>
      </c>
      <c r="L40" s="21">
        <f>INDEX('Growing &amp; falling'!L$44:L$69,MATCH($B40,'Growing &amp; falling'!$B$44:$B$69,0))*'Raw demand'!$AJ40</f>
        <v>61.939264591693366</v>
      </c>
      <c r="M40" s="21">
        <f>INDEX('Growing &amp; falling'!M$44:M$69,MATCH($B40,'Growing &amp; falling'!$B$44:$B$69,0))*'Raw demand'!$AJ40</f>
        <v>61.971729373923388</v>
      </c>
      <c r="N40" s="21">
        <f>INDEX('Growing &amp; falling'!N$44:N$69,MATCH($B40,'Growing &amp; falling'!$B$44:$B$69,0))*'Raw demand'!$AJ40</f>
        <v>62.00421117221088</v>
      </c>
      <c r="O40" s="21">
        <f>INDEX('Growing &amp; falling'!O$44:O$69,MATCH($B40,'Growing &amp; falling'!$B$44:$B$69,0))*'Raw demand'!$AJ40</f>
        <v>62.036709995474602</v>
      </c>
      <c r="P40" s="21">
        <f>INDEX('Growing &amp; falling'!P$44:P$69,MATCH($B40,'Growing &amp; falling'!$B$44:$B$69,0))*'Raw demand'!$AJ40</f>
        <v>62.06922585263802</v>
      </c>
      <c r="Q40"/>
      <c r="R40" s="73">
        <f>IFERROR(IF('Smoothed demand'!$F40&lt;MAX('Smoothed demand'!$G40:$P40),(MAX('Smoothed demand'!$G40:$P40)/'Smoothed demand'!$F40)^(1/10)-1,('Smoothed demand'!$P40/'Smoothed demand'!$F40)^(1/10)-1),0)</f>
        <v>5.241389681334141E-4</v>
      </c>
    </row>
    <row r="41" spans="2:40" s="1" customFormat="1">
      <c r="B41" s="2" t="str">
        <f t="shared" si="0"/>
        <v>Greater Cessnock</v>
      </c>
      <c r="C41" s="35" t="str" cm="1">
        <f t="array" ref="C41">INDEX(network_levels,COUNTIFS($B$10:$B41,$B$10))</f>
        <v>HV</v>
      </c>
      <c r="D41" s="35" t="str">
        <f>INDEX('Growing &amp; falling'!$D$14:$D$39,MATCH($B41,'Growing &amp; falling'!$B$14:$B$39,0))</f>
        <v>Growth</v>
      </c>
      <c r="E41" s="35" t="s">
        <v>80</v>
      </c>
      <c r="F41" s="21">
        <f>INDEX('Growing &amp; falling'!F$44:F$69,MATCH($B41,'Growing &amp; falling'!$B$44:$B$69,0))*'Raw demand'!$AJ41</f>
        <v>2.1205124385708438</v>
      </c>
      <c r="G41" s="21">
        <f>INDEX('Growing &amp; falling'!G$44:G$69,MATCH($B41,'Growing &amp; falling'!$B$44:$B$69,0))*'Raw demand'!$AJ41</f>
        <v>2.1279960239287035</v>
      </c>
      <c r="H41" s="21">
        <f>INDEX('Growing &amp; falling'!H$44:H$69,MATCH($B41,'Growing &amp; falling'!$B$44:$B$69,0))*'Raw demand'!$AJ41</f>
        <v>2.1355060199073117</v>
      </c>
      <c r="I41" s="21">
        <f>INDEX('Growing &amp; falling'!I$44:I$69,MATCH($B41,'Growing &amp; falling'!$B$44:$B$69,0))*'Raw demand'!$AJ41</f>
        <v>2.1430425197134486</v>
      </c>
      <c r="J41" s="21">
        <f>INDEX('Growing &amp; falling'!J$44:J$69,MATCH($B41,'Growing &amp; falling'!$B$44:$B$69,0))*'Raw demand'!$AJ41</f>
        <v>2.1506056168828325</v>
      </c>
      <c r="K41" s="21">
        <f>INDEX('Growing &amp; falling'!K$44:K$69,MATCH($B41,'Growing &amp; falling'!$B$44:$B$69,0))*'Raw demand'!$AJ41</f>
        <v>2.1581954052812824</v>
      </c>
      <c r="L41" s="21">
        <f>INDEX('Growing &amp; falling'!L$44:L$69,MATCH($B41,'Growing &amp; falling'!$B$44:$B$69,0))*'Raw demand'!$AJ41</f>
        <v>2.165811979105885</v>
      </c>
      <c r="M41" s="21">
        <f>INDEX('Growing &amp; falling'!M$44:M$69,MATCH($B41,'Growing &amp; falling'!$B$44:$B$69,0))*'Raw demand'!$AJ41</f>
        <v>2.1734554328861599</v>
      </c>
      <c r="N41" s="21">
        <f>INDEX('Growing &amp; falling'!N$44:N$69,MATCH($B41,'Growing &amp; falling'!$B$44:$B$69,0))*'Raw demand'!$AJ41</f>
        <v>2.1811258614852345</v>
      </c>
      <c r="O41" s="21">
        <f>INDEX('Growing &amp; falling'!O$44:O$69,MATCH($B41,'Growing &amp; falling'!$B$44:$B$69,0))*'Raw demand'!$AJ41</f>
        <v>2.1888233601010225</v>
      </c>
      <c r="P41" s="21">
        <f>INDEX('Growing &amp; falling'!P$44:P$69,MATCH($B41,'Growing &amp; falling'!$B$44:$B$69,0))*'Raw demand'!$AJ41</f>
        <v>2.1965480242674027</v>
      </c>
      <c r="Q41"/>
      <c r="R41" s="73">
        <f>IFERROR(IF('Smoothed demand'!$F41&lt;MAX('Smoothed demand'!$G41:$P41),(MAX('Smoothed demand'!$G41:$P41)/'Smoothed demand'!$F41)^(1/10)-1,('Smoothed demand'!$P41/'Smoothed demand'!$F41)^(1/10)-1),0)</f>
        <v>3.5291400426320507E-3</v>
      </c>
    </row>
    <row r="42" spans="2:40" s="1" customFormat="1">
      <c r="B42" s="2" t="str">
        <f t="shared" si="0"/>
        <v>Lower Central Coast</v>
      </c>
      <c r="C42" s="35" t="str" cm="1">
        <f t="array" ref="C42">INDEX(network_levels,COUNTIFS($B$10:$B42,$B$10))</f>
        <v>HV</v>
      </c>
      <c r="D42" s="35" t="str">
        <f>INDEX('Growing &amp; falling'!$D$14:$D$39,MATCH($B42,'Growing &amp; falling'!$B$14:$B$39,0))</f>
        <v>Growth</v>
      </c>
      <c r="E42" s="35" t="s">
        <v>80</v>
      </c>
      <c r="F42" s="21">
        <f>INDEX('Growing &amp; falling'!F$44:F$69,MATCH($B42,'Growing &amp; falling'!$B$44:$B$69,0))*'Raw demand'!$AJ42</f>
        <v>2.9512479321083962</v>
      </c>
      <c r="G42" s="21">
        <f>INDEX('Growing &amp; falling'!G$44:G$69,MATCH($B42,'Growing &amp; falling'!$B$44:$B$69,0))*'Raw demand'!$AJ42</f>
        <v>2.951342931177992</v>
      </c>
      <c r="H42" s="21">
        <f>INDEX('Growing &amp; falling'!H$44:H$69,MATCH($B42,'Growing &amp; falling'!$B$44:$B$69,0))*'Raw demand'!$AJ42</f>
        <v>2.9514379333055554</v>
      </c>
      <c r="I42" s="21">
        <f>INDEX('Growing &amp; falling'!I$44:I$69,MATCH($B42,'Growing &amp; falling'!$B$44:$B$69,0))*'Raw demand'!$AJ42</f>
        <v>2.9515329384911859</v>
      </c>
      <c r="J42" s="21">
        <f>INDEX('Growing &amp; falling'!J$44:J$69,MATCH($B42,'Growing &amp; falling'!$B$44:$B$69,0))*'Raw demand'!$AJ42</f>
        <v>2.9516279467349826</v>
      </c>
      <c r="K42" s="21">
        <f>INDEX('Growing &amp; falling'!K$44:K$69,MATCH($B42,'Growing &amp; falling'!$B$44:$B$69,0))*'Raw demand'!$AJ42</f>
        <v>2.9517229580370419</v>
      </c>
      <c r="L42" s="21">
        <f>INDEX('Growing &amp; falling'!L$44:L$69,MATCH($B42,'Growing &amp; falling'!$B$44:$B$69,0))*'Raw demand'!$AJ42</f>
        <v>2.9518179723974649</v>
      </c>
      <c r="M42" s="21">
        <f>INDEX('Growing &amp; falling'!M$44:M$69,MATCH($B42,'Growing &amp; falling'!$B$44:$B$69,0))*'Raw demand'!$AJ42</f>
        <v>2.9519129898163472</v>
      </c>
      <c r="N42" s="21">
        <f>INDEX('Growing &amp; falling'!N$44:N$69,MATCH($B42,'Growing &amp; falling'!$B$44:$B$69,0))*'Raw demand'!$AJ42</f>
        <v>2.9520080102937896</v>
      </c>
      <c r="O42" s="21">
        <f>INDEX('Growing &amp; falling'!O$44:O$69,MATCH($B42,'Growing &amp; falling'!$B$44:$B$69,0))*'Raw demand'!$AJ42</f>
        <v>2.9521030338298897</v>
      </c>
      <c r="P42" s="21">
        <f>INDEX('Growing &amp; falling'!P$44:P$69,MATCH($B42,'Growing &amp; falling'!$B$44:$B$69,0))*'Raw demand'!$AJ42</f>
        <v>2.9521980604247453</v>
      </c>
      <c r="Q42"/>
      <c r="R42" s="73">
        <f>IFERROR(IF('Smoothed demand'!$F42&lt;MAX('Smoothed demand'!$G42:$P42),(MAX('Smoothed demand'!$G42:$P42)/'Smoothed demand'!$F42)^(1/10)-1,('Smoothed demand'!$P42/'Smoothed demand'!$F42)^(1/10)-1),0)</f>
        <v>3.2189457402687083E-5</v>
      </c>
    </row>
    <row r="43" spans="2:40" s="1" customFormat="1">
      <c r="B43" s="2" t="str">
        <f t="shared" si="0"/>
        <v>Lower North Shore</v>
      </c>
      <c r="C43" s="35" t="str" cm="1">
        <f t="array" ref="C43">INDEX(network_levels,COUNTIFS($B$10:$B43,$B$10))</f>
        <v>HV</v>
      </c>
      <c r="D43" s="35" t="str">
        <f>INDEX('Growing &amp; falling'!$D$14:$D$39,MATCH($B43,'Growing &amp; falling'!$B$14:$B$39,0))</f>
        <v>Growth</v>
      </c>
      <c r="E43" s="35" t="s">
        <v>80</v>
      </c>
      <c r="F43" s="21">
        <f>INDEX('Growing &amp; falling'!F$44:F$69,MATCH($B43,'Growing &amp; falling'!$B$44:$B$69,0))*'Raw demand'!$AJ43</f>
        <v>10.357262811937233</v>
      </c>
      <c r="G43" s="21">
        <f>INDEX('Growing &amp; falling'!G$44:G$69,MATCH($B43,'Growing &amp; falling'!$B$44:$B$69,0))*'Raw demand'!$AJ43</f>
        <v>10.465351707281757</v>
      </c>
      <c r="H43" s="21">
        <f>INDEX('Growing &amp; falling'!H$44:H$69,MATCH($B43,'Growing &amp; falling'!$B$44:$B$69,0))*'Raw demand'!$AJ43</f>
        <v>10.574568623562792</v>
      </c>
      <c r="I43" s="21">
        <f>INDEX('Growing &amp; falling'!I$44:I$69,MATCH($B43,'Growing &amp; falling'!$B$44:$B$69,0))*'Raw demand'!$AJ43</f>
        <v>10.684925332861358</v>
      </c>
      <c r="J43" s="21">
        <f>INDEX('Growing &amp; falling'!J$44:J$69,MATCH($B43,'Growing &amp; falling'!$B$44:$B$69,0))*'Raw demand'!$AJ43</f>
        <v>10.796433730112474</v>
      </c>
      <c r="K43" s="21">
        <f>INDEX('Growing &amp; falling'!K$44:K$69,MATCH($B43,'Growing &amp; falling'!$B$44:$B$69,0))*'Raw demand'!$AJ43</f>
        <v>10.909105834387288</v>
      </c>
      <c r="L43" s="21">
        <f>INDEX('Growing &amp; falling'!L$44:L$69,MATCH($B43,'Growing &amp; falling'!$B$44:$B$69,0))*'Raw demand'!$AJ43</f>
        <v>11.022953790188545</v>
      </c>
      <c r="M43" s="21">
        <f>INDEX('Growing &amp; falling'!M$44:M$69,MATCH($B43,'Growing &amp; falling'!$B$44:$B$69,0))*'Raw demand'!$AJ43</f>
        <v>11.137989868759615</v>
      </c>
      <c r="N43" s="21">
        <f>INDEX('Growing &amp; falling'!N$44:N$69,MATCH($B43,'Growing &amp; falling'!$B$44:$B$69,0))*'Raw demand'!$AJ43</f>
        <v>11.254226469407154</v>
      </c>
      <c r="O43" s="21">
        <f>INDEX('Growing &amp; falling'!O$44:O$69,MATCH($B43,'Growing &amp; falling'!$B$44:$B$69,0))*'Raw demand'!$AJ43</f>
        <v>11.371676120837577</v>
      </c>
      <c r="P43" s="21">
        <f>INDEX('Growing &amp; falling'!P$44:P$69,MATCH($B43,'Growing &amp; falling'!$B$44:$B$69,0))*'Raw demand'!$AJ43</f>
        <v>11.490351482507499</v>
      </c>
      <c r="Q43"/>
      <c r="R43" s="73">
        <f>IFERROR(IF('Smoothed demand'!$F43&lt;MAX('Smoothed demand'!$G43:$P43),(MAX('Smoothed demand'!$G43:$P43)/'Smoothed demand'!$F43)^(1/10)-1,('Smoothed demand'!$P43/'Smoothed demand'!$F43)^(1/10)-1),0)</f>
        <v>1.0436048337013171E-2</v>
      </c>
    </row>
    <row r="44" spans="2:40" s="1" customFormat="1">
      <c r="B44" s="2" t="str">
        <f t="shared" si="0"/>
        <v>Maitland</v>
      </c>
      <c r="C44" s="35" t="str" cm="1">
        <f t="array" ref="C44">INDEX(network_levels,COUNTIFS($B$10:$B44,$B$10))</f>
        <v>HV</v>
      </c>
      <c r="D44" s="35" t="str">
        <f>INDEX('Growing &amp; falling'!$D$14:$D$39,MATCH($B44,'Growing &amp; falling'!$B$14:$B$39,0))</f>
        <v>Growth</v>
      </c>
      <c r="E44" s="35" t="s">
        <v>80</v>
      </c>
      <c r="F44" s="21">
        <f>INDEX('Growing &amp; falling'!F$44:F$69,MATCH($B44,'Growing &amp; falling'!$B$44:$B$69,0))*'Raw demand'!$AJ44</f>
        <v>7.8817586289499877</v>
      </c>
      <c r="G44" s="21">
        <f>INDEX('Growing &amp; falling'!G$44:G$69,MATCH($B44,'Growing &amp; falling'!$B$44:$B$69,0))*'Raw demand'!$AJ44</f>
        <v>7.8931642066004235</v>
      </c>
      <c r="H44" s="21">
        <f>INDEX('Growing &amp; falling'!H$44:H$69,MATCH($B44,'Growing &amp; falling'!$B$44:$B$69,0))*'Raw demand'!$AJ44</f>
        <v>7.9045862890954828</v>
      </c>
      <c r="I44" s="21">
        <f>INDEX('Growing &amp; falling'!I$44:I$69,MATCH($B44,'Growing &amp; falling'!$B$44:$B$69,0))*'Raw demand'!$AJ44</f>
        <v>7.916024900319087</v>
      </c>
      <c r="J44" s="21">
        <f>INDEX('Growing &amp; falling'!J$44:J$69,MATCH($B44,'Growing &amp; falling'!$B$44:$B$69,0))*'Raw demand'!$AJ44</f>
        <v>7.927480064189715</v>
      </c>
      <c r="K44" s="21">
        <f>INDEX('Growing &amp; falling'!K$44:K$69,MATCH($B44,'Growing &amp; falling'!$B$44:$B$69,0))*'Raw demand'!$AJ44</f>
        <v>7.938951804660463</v>
      </c>
      <c r="L44" s="21">
        <f>INDEX('Growing &amp; falling'!L$44:L$69,MATCH($B44,'Growing &amp; falling'!$B$44:$B$69,0))*'Raw demand'!$AJ44</f>
        <v>7.9504401457190843</v>
      </c>
      <c r="M44" s="21">
        <f>INDEX('Growing &amp; falling'!M$44:M$69,MATCH($B44,'Growing &amp; falling'!$B$44:$B$69,0))*'Raw demand'!$AJ44</f>
        <v>7.9619451113880499</v>
      </c>
      <c r="N44" s="21">
        <f>INDEX('Growing &amp; falling'!N$44:N$69,MATCH($B44,'Growing &amp; falling'!$B$44:$B$69,0))*'Raw demand'!$AJ44</f>
        <v>7.9734667257245873</v>
      </c>
      <c r="O44" s="21">
        <f>INDEX('Growing &amp; falling'!O$44:O$69,MATCH($B44,'Growing &amp; falling'!$B$44:$B$69,0))*'Raw demand'!$AJ44</f>
        <v>7.985005012820741</v>
      </c>
      <c r="P44" s="21">
        <f>INDEX('Growing &amp; falling'!P$44:P$69,MATCH($B44,'Growing &amp; falling'!$B$44:$B$69,0))*'Raw demand'!$AJ44</f>
        <v>7.9965599968034162</v>
      </c>
      <c r="Q44"/>
      <c r="R44" s="73">
        <f>IFERROR(IF('Smoothed demand'!$F44&lt;MAX('Smoothed demand'!$G44:$P44),(MAX('Smoothed demand'!$G44:$P44)/'Smoothed demand'!$F44)^(1/10)-1,('Smoothed demand'!$P44/'Smoothed demand'!$F44)^(1/10)-1),0)</f>
        <v>1.4470853761674451E-3</v>
      </c>
    </row>
    <row r="45" spans="2:40" s="1" customFormat="1">
      <c r="B45" s="2" t="str">
        <f t="shared" si="0"/>
        <v>Manly Warringah</v>
      </c>
      <c r="C45" s="35" t="str" cm="1">
        <f t="array" ref="C45">INDEX(network_levels,COUNTIFS($B$10:$B45,$B$10))</f>
        <v>HV</v>
      </c>
      <c r="D45" s="35" t="str">
        <f>INDEX('Growing &amp; falling'!$D$14:$D$39,MATCH($B45,'Growing &amp; falling'!$B$14:$B$39,0))</f>
        <v>Growth</v>
      </c>
      <c r="E45" s="35" t="s">
        <v>80</v>
      </c>
      <c r="F45" s="21">
        <f>INDEX('Growing &amp; falling'!F$44:F$69,MATCH($B45,'Growing &amp; falling'!$B$44:$B$69,0))*'Raw demand'!$AJ45</f>
        <v>0.88078325207110186</v>
      </c>
      <c r="G45" s="21">
        <f>INDEX('Growing &amp; falling'!G$44:G$69,MATCH($B45,'Growing &amp; falling'!$B$44:$B$69,0))*'Raw demand'!$AJ45</f>
        <v>0.88345234661924021</v>
      </c>
      <c r="H45" s="21">
        <f>INDEX('Growing &amp; falling'!H$44:H$69,MATCH($B45,'Growing &amp; falling'!$B$44:$B$69,0))*'Raw demand'!$AJ45</f>
        <v>0.88612952949749846</v>
      </c>
      <c r="I45" s="21">
        <f>INDEX('Growing &amp; falling'!I$44:I$69,MATCH($B45,'Growing &amp; falling'!$B$44:$B$69,0))*'Raw demand'!$AJ45</f>
        <v>0.88881482521646749</v>
      </c>
      <c r="J45" s="21">
        <f>INDEX('Growing &amp; falling'!J$44:J$69,MATCH($B45,'Growing &amp; falling'!$B$44:$B$69,0))*'Raw demand'!$AJ45</f>
        <v>0.89150825836101411</v>
      </c>
      <c r="K45" s="21">
        <f>INDEX('Growing &amp; falling'!K$44:K$69,MATCH($B45,'Growing &amp; falling'!$B$44:$B$69,0))*'Raw demand'!$AJ45</f>
        <v>0.89420985359050609</v>
      </c>
      <c r="L45" s="21">
        <f>INDEX('Growing &amp; falling'!L$44:L$69,MATCH($B45,'Growing &amp; falling'!$B$44:$B$69,0))*'Raw demand'!$AJ45</f>
        <v>0.8969196356390382</v>
      </c>
      <c r="M45" s="21">
        <f>INDEX('Growing &amp; falling'!M$44:M$69,MATCH($B45,'Growing &amp; falling'!$B$44:$B$69,0))*'Raw demand'!$AJ45</f>
        <v>0.89963762931565838</v>
      </c>
      <c r="N45" s="21">
        <f>INDEX('Growing &amp; falling'!N$44:N$69,MATCH($B45,'Growing &amp; falling'!$B$44:$B$69,0))*'Raw demand'!$AJ45</f>
        <v>0.90236385950459574</v>
      </c>
      <c r="O45" s="21">
        <f>INDEX('Growing &amp; falling'!O$44:O$69,MATCH($B45,'Growing &amp; falling'!$B$44:$B$69,0))*'Raw demand'!$AJ45</f>
        <v>0.90509835116548643</v>
      </c>
      <c r="P45" s="21">
        <f>INDEX('Growing &amp; falling'!P$44:P$69,MATCH($B45,'Growing &amp; falling'!$B$44:$B$69,0))*'Raw demand'!$AJ45</f>
        <v>0.90784112933360472</v>
      </c>
      <c r="Q45"/>
      <c r="R45" s="73">
        <f>IFERROR(IF('Smoothed demand'!$F45&lt;MAX('Smoothed demand'!$G45:$P45),(MAX('Smoothed demand'!$G45:$P45)/'Smoothed demand'!$F45)^(1/10)-1,('Smoothed demand'!$P45/'Smoothed demand'!$F45)^(1/10)-1),0)</f>
        <v>3.0303647825524749E-3</v>
      </c>
    </row>
    <row r="46" spans="2:40" s="1" customFormat="1">
      <c r="B46" s="2" t="str">
        <f t="shared" si="0"/>
        <v>Newcastle Inner City</v>
      </c>
      <c r="C46" s="35" t="str" cm="1">
        <f t="array" ref="C46">INDEX(network_levels,COUNTIFS($B$10:$B46,$B$10))</f>
        <v>HV</v>
      </c>
      <c r="D46" s="35" t="str">
        <f>INDEX('Growing &amp; falling'!$D$14:$D$39,MATCH($B46,'Growing &amp; falling'!$B$14:$B$39,0))</f>
        <v>Decline</v>
      </c>
      <c r="E46" s="35" t="s">
        <v>80</v>
      </c>
      <c r="F46" s="21">
        <f>INDEX('Growing &amp; falling'!F$44:F$69,MATCH($B46,'Growing &amp; falling'!$B$44:$B$69,0))*'Raw demand'!$AJ46</f>
        <v>14.662393293561474</v>
      </c>
      <c r="G46" s="21">
        <f>INDEX('Growing &amp; falling'!G$44:G$69,MATCH($B46,'Growing &amp; falling'!$B$44:$B$69,0))*'Raw demand'!$AJ46</f>
        <v>14.638944605216007</v>
      </c>
      <c r="H46" s="21">
        <f>INDEX('Growing &amp; falling'!H$44:H$69,MATCH($B46,'Growing &amp; falling'!$B$44:$B$69,0))*'Raw demand'!$AJ46</f>
        <v>14.615533416954881</v>
      </c>
      <c r="I46" s="21">
        <f>INDEX('Growing &amp; falling'!I$44:I$69,MATCH($B46,'Growing &amp; falling'!$B$44:$B$69,0))*'Raw demand'!$AJ46</f>
        <v>14.592159668806453</v>
      </c>
      <c r="J46" s="21">
        <f>INDEX('Growing &amp; falling'!J$44:J$69,MATCH($B46,'Growing &amp; falling'!$B$44:$B$69,0))*'Raw demand'!$AJ46</f>
        <v>14.568823300894989</v>
      </c>
      <c r="K46" s="21">
        <f>INDEX('Growing &amp; falling'!K$44:K$69,MATCH($B46,'Growing &amp; falling'!$B$44:$B$69,0))*'Raw demand'!$AJ46</f>
        <v>14.545524253440513</v>
      </c>
      <c r="L46" s="21">
        <f>INDEX('Growing &amp; falling'!L$44:L$69,MATCH($B46,'Growing &amp; falling'!$B$44:$B$69,0))*'Raw demand'!$AJ46</f>
        <v>14.522262466758656</v>
      </c>
      <c r="M46" s="21">
        <f>INDEX('Growing &amp; falling'!M$44:M$69,MATCH($B46,'Growing &amp; falling'!$B$44:$B$69,0))*'Raw demand'!$AJ46</f>
        <v>14.499037881260486</v>
      </c>
      <c r="N46" s="21">
        <f>INDEX('Growing &amp; falling'!N$44:N$69,MATCH($B46,'Growing &amp; falling'!$B$44:$B$69,0))*'Raw demand'!$AJ46</f>
        <v>14.475850437452381</v>
      </c>
      <c r="O46" s="21">
        <f>INDEX('Growing &amp; falling'!O$44:O$69,MATCH($B46,'Growing &amp; falling'!$B$44:$B$69,0))*'Raw demand'!$AJ46</f>
        <v>14.452700075935859</v>
      </c>
      <c r="P46" s="21">
        <f>INDEX('Growing &amp; falling'!P$44:P$69,MATCH($B46,'Growing &amp; falling'!$B$44:$B$69,0))*'Raw demand'!$AJ46</f>
        <v>14.429586737407424</v>
      </c>
      <c r="Q46"/>
      <c r="R46" s="73">
        <f>IFERROR(IF('Smoothed demand'!$F46&lt;MAX('Smoothed demand'!$G46:$P46),(MAX('Smoothed demand'!$G46:$P46)/'Smoothed demand'!$F46)^(1/10)-1,('Smoothed demand'!$P46/'Smoothed demand'!$F46)^(1/10)-1),0)</f>
        <v>-1.5992401701407921E-3</v>
      </c>
    </row>
    <row r="47" spans="2:40" s="1" customFormat="1">
      <c r="B47" s="2" t="str">
        <f t="shared" si="0"/>
        <v>Newcastle Port</v>
      </c>
      <c r="C47" s="35" t="str" cm="1">
        <f t="array" ref="C47">INDEX(network_levels,COUNTIFS($B$10:$B47,$B$10))</f>
        <v>HV</v>
      </c>
      <c r="D47" s="35" t="str">
        <f>INDEX('Growing &amp; falling'!$D$14:$D$39,MATCH($B47,'Growing &amp; falling'!$B$14:$B$39,0))</f>
        <v>Growth</v>
      </c>
      <c r="E47" s="35" t="s">
        <v>80</v>
      </c>
      <c r="F47" s="21">
        <f>INDEX('Growing &amp; falling'!F$44:F$69,MATCH($B47,'Growing &amp; falling'!$B$44:$B$69,0))*'Raw demand'!$AJ47</f>
        <v>4.8210897647361612</v>
      </c>
      <c r="G47" s="21">
        <f>INDEX('Growing &amp; falling'!G$44:G$69,MATCH($B47,'Growing &amp; falling'!$B$44:$B$69,0))*'Raw demand'!$AJ47</f>
        <v>4.8242281754023599</v>
      </c>
      <c r="H47" s="21">
        <f>INDEX('Growing &amp; falling'!H$44:H$69,MATCH($B47,'Growing &amp; falling'!$B$44:$B$69,0))*'Raw demand'!$AJ47</f>
        <v>4.8273686290965863</v>
      </c>
      <c r="I47" s="21">
        <f>INDEX('Growing &amp; falling'!I$44:I$69,MATCH($B47,'Growing &amp; falling'!$B$44:$B$69,0))*'Raw demand'!$AJ47</f>
        <v>4.8305111271488022</v>
      </c>
      <c r="J47" s="21">
        <f>INDEX('Growing &amp; falling'!J$44:J$69,MATCH($B47,'Growing &amp; falling'!$B$44:$B$69,0))*'Raw demand'!$AJ47</f>
        <v>4.8336556708898311</v>
      </c>
      <c r="K47" s="21">
        <f>INDEX('Growing &amp; falling'!K$44:K$69,MATCH($B47,'Growing &amp; falling'!$B$44:$B$69,0))*'Raw demand'!$AJ47</f>
        <v>4.8368022616513668</v>
      </c>
      <c r="L47" s="21">
        <f>INDEX('Growing &amp; falling'!L$44:L$69,MATCH($B47,'Growing &amp; falling'!$B$44:$B$69,0))*'Raw demand'!$AJ47</f>
        <v>4.8399509007659711</v>
      </c>
      <c r="M47" s="21">
        <f>INDEX('Growing &amp; falling'!M$44:M$69,MATCH($B47,'Growing &amp; falling'!$B$44:$B$69,0))*'Raw demand'!$AJ47</f>
        <v>4.8431015895670697</v>
      </c>
      <c r="N47" s="21">
        <f>INDEX('Growing &amp; falling'!N$44:N$69,MATCH($B47,'Growing &amp; falling'!$B$44:$B$69,0))*'Raw demand'!$AJ47</f>
        <v>4.8462543293889597</v>
      </c>
      <c r="O47" s="21">
        <f>INDEX('Growing &amp; falling'!O$44:O$69,MATCH($B47,'Growing &amp; falling'!$B$44:$B$69,0))*'Raw demand'!$AJ47</f>
        <v>4.8494091215668025</v>
      </c>
      <c r="P47" s="21">
        <f>INDEX('Growing &amp; falling'!P$44:P$69,MATCH($B47,'Growing &amp; falling'!$B$44:$B$69,0))*'Raw demand'!$AJ47</f>
        <v>4.8525659674366342</v>
      </c>
      <c r="Q47"/>
      <c r="R47" s="73">
        <f>IFERROR(IF('Smoothed demand'!$F47&lt;MAX('Smoothed demand'!$G47:$P47),(MAX('Smoothed demand'!$G47:$P47)/'Smoothed demand'!$F47)^(1/10)-1,('Smoothed demand'!$P47/'Smoothed demand'!$F47)^(1/10)-1),0)</f>
        <v>6.5097536435754222E-4</v>
      </c>
    </row>
    <row r="48" spans="2:40" s="1" customFormat="1">
      <c r="B48" s="2" t="str">
        <f t="shared" si="0"/>
        <v>Newcastle Western Corridor</v>
      </c>
      <c r="C48" s="35" t="str" cm="1">
        <f t="array" ref="C48">INDEX(network_levels,COUNTIFS($B$10:$B48,$B$10))</f>
        <v>HV</v>
      </c>
      <c r="D48" s="35" t="str">
        <f>INDEX('Growing &amp; falling'!$D$14:$D$39,MATCH($B48,'Growing &amp; falling'!$B$14:$B$39,0))</f>
        <v>Decline</v>
      </c>
      <c r="E48" s="35" t="s">
        <v>80</v>
      </c>
      <c r="F48" s="21">
        <f>INDEX('Growing &amp; falling'!F$44:F$69,MATCH($B48,'Growing &amp; falling'!$B$44:$B$69,0))*'Raw demand'!$AJ48</f>
        <v>0.71583605750904622</v>
      </c>
      <c r="G48" s="21">
        <f>INDEX('Growing &amp; falling'!G$44:G$69,MATCH($B48,'Growing &amp; falling'!$B$44:$B$69,0))*'Raw demand'!$AJ48</f>
        <v>0.71436575427053939</v>
      </c>
      <c r="H48" s="21">
        <f>INDEX('Growing &amp; falling'!H$44:H$69,MATCH($B48,'Growing &amp; falling'!$B$44:$B$69,0))*'Raw demand'!$AJ48</f>
        <v>0.7128984709855406</v>
      </c>
      <c r="I48" s="21">
        <f>INDEX('Growing &amp; falling'!I$44:I$69,MATCH($B48,'Growing &amp; falling'!$B$44:$B$69,0))*'Raw demand'!$AJ48</f>
        <v>0.71143420145116709</v>
      </c>
      <c r="J48" s="21">
        <f>INDEX('Growing &amp; falling'!J$44:J$69,MATCH($B48,'Growing &amp; falling'!$B$44:$B$69,0))*'Raw demand'!$AJ48</f>
        <v>0.7099729394772758</v>
      </c>
      <c r="K48" s="21">
        <f>INDEX('Growing &amp; falling'!K$44:K$69,MATCH($B48,'Growing &amp; falling'!$B$44:$B$69,0))*'Raw demand'!$AJ48</f>
        <v>0.70851467888643871</v>
      </c>
      <c r="L48" s="21">
        <f>INDEX('Growing &amp; falling'!L$44:L$69,MATCH($B48,'Growing &amp; falling'!$B$44:$B$69,0))*'Raw demand'!$AJ48</f>
        <v>0.70705941351391544</v>
      </c>
      <c r="M48" s="21">
        <f>INDEX('Growing &amp; falling'!M$44:M$69,MATCH($B48,'Growing &amp; falling'!$B$44:$B$69,0))*'Raw demand'!$AJ48</f>
        <v>0.70560713720762858</v>
      </c>
      <c r="N48" s="21">
        <f>INDEX('Growing &amp; falling'!N$44:N$69,MATCH($B48,'Growing &amp; falling'!$B$44:$B$69,0))*'Raw demand'!$AJ48</f>
        <v>0.70415784382813595</v>
      </c>
      <c r="O48" s="21">
        <f>INDEX('Growing &amp; falling'!O$44:O$69,MATCH($B48,'Growing &amp; falling'!$B$44:$B$69,0))*'Raw demand'!$AJ48</f>
        <v>0.70271152724860619</v>
      </c>
      <c r="P48" s="21">
        <f>INDEX('Growing &amp; falling'!P$44:P$69,MATCH($B48,'Growing &amp; falling'!$B$44:$B$69,0))*'Raw demand'!$AJ48</f>
        <v>0.70126818135479219</v>
      </c>
      <c r="Q48"/>
      <c r="R48" s="73">
        <f>IFERROR(IF('Smoothed demand'!$F48&lt;MAX('Smoothed demand'!$G48:$P48),(MAX('Smoothed demand'!$G48:$P48)/'Smoothed demand'!$F48)^(1/10)-1,('Smoothed demand'!$P48/'Smoothed demand'!$F48)^(1/10)-1),0)</f>
        <v>-2.0539664397783985E-3</v>
      </c>
    </row>
    <row r="49" spans="2:18" s="1" customFormat="1">
      <c r="B49" s="2" t="str">
        <f t="shared" si="0"/>
        <v>North East Lake Macquarie</v>
      </c>
      <c r="C49" s="35" t="str" cm="1">
        <f t="array" ref="C49">INDEX(network_levels,COUNTIFS($B$10:$B49,$B$10))</f>
        <v>HV</v>
      </c>
      <c r="D49" s="35" t="str">
        <f>INDEX('Growing &amp; falling'!$D$14:$D$39,MATCH($B49,'Growing &amp; falling'!$B$14:$B$39,0))</f>
        <v>Decline</v>
      </c>
      <c r="E49" s="35" t="s">
        <v>80</v>
      </c>
      <c r="F49" s="21">
        <f>INDEX('Growing &amp; falling'!F$44:F$69,MATCH($B49,'Growing &amp; falling'!$B$44:$B$69,0))*'Raw demand'!$AJ49</f>
        <v>2.7326758760973702</v>
      </c>
      <c r="G49" s="21">
        <f>INDEX('Growing &amp; falling'!G$44:G$69,MATCH($B49,'Growing &amp; falling'!$B$44:$B$69,0))*'Raw demand'!$AJ49</f>
        <v>2.7244266974930373</v>
      </c>
      <c r="H49" s="21">
        <f>INDEX('Growing &amp; falling'!H$44:H$69,MATCH($B49,'Growing &amp; falling'!$B$44:$B$69,0))*'Raw demand'!$AJ49</f>
        <v>2.7162024208349038</v>
      </c>
      <c r="I49" s="21">
        <f>INDEX('Growing &amp; falling'!I$44:I$69,MATCH($B49,'Growing &amp; falling'!$B$44:$B$69,0))*'Raw demand'!$AJ49</f>
        <v>2.7080029709510089</v>
      </c>
      <c r="J49" s="21">
        <f>INDEX('Growing &amp; falling'!J$44:J$69,MATCH($B49,'Growing &amp; falling'!$B$44:$B$69,0))*'Raw demand'!$AJ49</f>
        <v>2.6998282728963168</v>
      </c>
      <c r="K49" s="21">
        <f>INDEX('Growing &amp; falling'!K$44:K$69,MATCH($B49,'Growing &amp; falling'!$B$44:$B$69,0))*'Raw demand'!$AJ49</f>
        <v>2.6916782519520268</v>
      </c>
      <c r="L49" s="21">
        <f>INDEX('Growing &amp; falling'!L$44:L$69,MATCH($B49,'Growing &amp; falling'!$B$44:$B$69,0))*'Raw demand'!$AJ49</f>
        <v>2.6835528336248955</v>
      </c>
      <c r="M49" s="21">
        <f>INDEX('Growing &amp; falling'!M$44:M$69,MATCH($B49,'Growing &amp; falling'!$B$44:$B$69,0))*'Raw demand'!$AJ49</f>
        <v>2.6754519436465527</v>
      </c>
      <c r="N49" s="21">
        <f>INDEX('Growing &amp; falling'!N$44:N$69,MATCH($B49,'Growing &amp; falling'!$B$44:$B$69,0))*'Raw demand'!$AJ49</f>
        <v>2.6673755079728245</v>
      </c>
      <c r="O49" s="21">
        <f>INDEX('Growing &amp; falling'!O$44:O$69,MATCH($B49,'Growing &amp; falling'!$B$44:$B$69,0))*'Raw demand'!$AJ49</f>
        <v>2.6593234527830538</v>
      </c>
      <c r="P49" s="21">
        <f>INDEX('Growing &amp; falling'!P$44:P$69,MATCH($B49,'Growing &amp; falling'!$B$44:$B$69,0))*'Raw demand'!$AJ49</f>
        <v>2.6512957044794283</v>
      </c>
      <c r="Q49"/>
      <c r="R49" s="73">
        <f>IFERROR(IF('Smoothed demand'!$F49&lt;MAX('Smoothed demand'!$G49:$P49),(MAX('Smoothed demand'!$G49:$P49)/'Smoothed demand'!$F49)^(1/10)-1,('Smoothed demand'!$P49/'Smoothed demand'!$F49)^(1/10)-1),0)</f>
        <v>-3.0187182740873952E-3</v>
      </c>
    </row>
    <row r="50" spans="2:18" s="1" customFormat="1">
      <c r="B50" s="2" t="str">
        <f t="shared" si="0"/>
        <v>North West</v>
      </c>
      <c r="C50" s="35" t="str" cm="1">
        <f t="array" ref="C50">INDEX(network_levels,COUNTIFS($B$10:$B50,$B$10))</f>
        <v>HV</v>
      </c>
      <c r="D50" s="35" t="str">
        <f>INDEX('Growing &amp; falling'!$D$14:$D$39,MATCH($B50,'Growing &amp; falling'!$B$14:$B$39,0))</f>
        <v>Growth</v>
      </c>
      <c r="E50" s="35" t="s">
        <v>80</v>
      </c>
      <c r="F50" s="21">
        <f>INDEX('Growing &amp; falling'!F$44:F$69,MATCH($B50,'Growing &amp; falling'!$B$44:$B$69,0))*'Raw demand'!$AJ50</f>
        <v>2.8545142347156149</v>
      </c>
      <c r="G50" s="21">
        <f>INDEX('Growing &amp; falling'!G$44:G$69,MATCH($B50,'Growing &amp; falling'!$B$44:$B$69,0))*'Raw demand'!$AJ50</f>
        <v>2.8575505531183962</v>
      </c>
      <c r="H50" s="21">
        <f>INDEX('Growing &amp; falling'!H$44:H$69,MATCH($B50,'Growing &amp; falling'!$B$44:$B$69,0))*'Raw demand'!$AJ50</f>
        <v>2.8605901012228658</v>
      </c>
      <c r="I50" s="21">
        <f>INDEX('Growing &amp; falling'!I$44:I$69,MATCH($B50,'Growing &amp; falling'!$B$44:$B$69,0))*'Raw demand'!$AJ50</f>
        <v>2.8636328824644246</v>
      </c>
      <c r="J50" s="21">
        <f>INDEX('Growing &amp; falling'!J$44:J$69,MATCH($B50,'Growing &amp; falling'!$B$44:$B$69,0))*'Raw demand'!$AJ50</f>
        <v>2.86667890028213</v>
      </c>
      <c r="K50" s="21">
        <f>INDEX('Growing &amp; falling'!K$44:K$69,MATCH($B50,'Growing &amp; falling'!$B$44:$B$69,0))*'Raw demand'!$AJ50</f>
        <v>2.8697281581186944</v>
      </c>
      <c r="L50" s="21">
        <f>INDEX('Growing &amp; falling'!L$44:L$69,MATCH($B50,'Growing &amp; falling'!$B$44:$B$69,0))*'Raw demand'!$AJ50</f>
        <v>2.8727806594204939</v>
      </c>
      <c r="M50" s="21">
        <f>INDEX('Growing &amp; falling'!M$44:M$69,MATCH($B50,'Growing &amp; falling'!$B$44:$B$69,0))*'Raw demand'!$AJ50</f>
        <v>2.8758364076375704</v>
      </c>
      <c r="N50" s="21">
        <f>INDEX('Growing &amp; falling'!N$44:N$69,MATCH($B50,'Growing &amp; falling'!$B$44:$B$69,0))*'Raw demand'!$AJ50</f>
        <v>2.8788954062236356</v>
      </c>
      <c r="O50" s="21">
        <f>INDEX('Growing &amp; falling'!O$44:O$69,MATCH($B50,'Growing &amp; falling'!$B$44:$B$69,0))*'Raw demand'!$AJ50</f>
        <v>2.8819576586360744</v>
      </c>
      <c r="P50" s="21">
        <f>INDEX('Growing &amp; falling'!P$44:P$69,MATCH($B50,'Growing &amp; falling'!$B$44:$B$69,0))*'Raw demand'!$AJ50</f>
        <v>2.88502316833595</v>
      </c>
      <c r="Q50"/>
      <c r="R50" s="73">
        <f>IFERROR(IF('Smoothed demand'!$F50&lt;MAX('Smoothed demand'!$G50:$P50),(MAX('Smoothed demand'!$G50:$P50)/'Smoothed demand'!$F50)^(1/10)-1,('Smoothed demand'!$P50/'Smoothed demand'!$F50)^(1/10)-1),0)</f>
        <v>1.0636900548102179E-3</v>
      </c>
    </row>
    <row r="51" spans="2:18" s="1" customFormat="1">
      <c r="B51" s="2" t="str">
        <f t="shared" si="0"/>
        <v>Pittwater &amp; Terrey Hills</v>
      </c>
      <c r="C51" s="35" t="str" cm="1">
        <f t="array" ref="C51">INDEX(network_levels,COUNTIFS($B$10:$B51,$B$10))</f>
        <v>HV</v>
      </c>
      <c r="D51" s="35" t="str">
        <f>INDEX('Growing &amp; falling'!$D$14:$D$39,MATCH($B51,'Growing &amp; falling'!$B$14:$B$39,0))</f>
        <v>Decline</v>
      </c>
      <c r="E51" s="35" t="s">
        <v>80</v>
      </c>
      <c r="F51" s="21">
        <f>INDEX('Growing &amp; falling'!F$44:F$69,MATCH($B51,'Growing &amp; falling'!$B$44:$B$69,0))*'Raw demand'!$AJ51</f>
        <v>0.14879827830838782</v>
      </c>
      <c r="G51" s="21">
        <f>INDEX('Growing &amp; falling'!G$44:G$69,MATCH($B51,'Growing &amp; falling'!$B$44:$B$69,0))*'Raw demand'!$AJ51</f>
        <v>0.14835867127478303</v>
      </c>
      <c r="H51" s="21">
        <f>INDEX('Growing &amp; falling'!H$44:H$69,MATCH($B51,'Growing &amp; falling'!$B$44:$B$69,0))*'Raw demand'!$AJ51</f>
        <v>0.14792036300851735</v>
      </c>
      <c r="I51" s="21">
        <f>INDEX('Growing &amp; falling'!I$44:I$69,MATCH($B51,'Growing &amp; falling'!$B$44:$B$69,0))*'Raw demand'!$AJ51</f>
        <v>0.1474833496725354</v>
      </c>
      <c r="J51" s="21">
        <f>INDEX('Growing &amp; falling'!J$44:J$69,MATCH($B51,'Growing &amp; falling'!$B$44:$B$69,0))*'Raw demand'!$AJ51</f>
        <v>0.14704762744111768</v>
      </c>
      <c r="K51" s="21">
        <f>INDEX('Growing &amp; falling'!K$44:K$69,MATCH($B51,'Growing &amp; falling'!$B$44:$B$69,0))*'Raw demand'!$AJ51</f>
        <v>0.14661319249984747</v>
      </c>
      <c r="L51" s="21">
        <f>INDEX('Growing &amp; falling'!L$44:L$69,MATCH($B51,'Growing &amp; falling'!$B$44:$B$69,0))*'Raw demand'!$AJ51</f>
        <v>0.14618004104557719</v>
      </c>
      <c r="M51" s="21">
        <f>INDEX('Growing &amp; falling'!M$44:M$69,MATCH($B51,'Growing &amp; falling'!$B$44:$B$69,0))*'Raw demand'!$AJ51</f>
        <v>0.14574816928639533</v>
      </c>
      <c r="N51" s="21">
        <f>INDEX('Growing &amp; falling'!N$44:N$69,MATCH($B51,'Growing &amp; falling'!$B$44:$B$69,0))*'Raw demand'!$AJ51</f>
        <v>0.14531757344159305</v>
      </c>
      <c r="O51" s="21">
        <f>INDEX('Growing &amp; falling'!O$44:O$69,MATCH($B51,'Growing &amp; falling'!$B$44:$B$69,0))*'Raw demand'!$AJ51</f>
        <v>0.1448882497416312</v>
      </c>
      <c r="P51" s="21">
        <f>INDEX('Growing &amp; falling'!P$44:P$69,MATCH($B51,'Growing &amp; falling'!$B$44:$B$69,0))*'Raw demand'!$AJ51</f>
        <v>0.14446019442810729</v>
      </c>
      <c r="Q51"/>
      <c r="R51" s="73">
        <f>IFERROR(IF('Smoothed demand'!$F51&lt;MAX('Smoothed demand'!$G51:$P51),(MAX('Smoothed demand'!$G51:$P51)/'Smoothed demand'!$F51)^(1/10)-1,('Smoothed demand'!$P51/'Smoothed demand'!$F51)^(1/10)-1),0)</f>
        <v>-2.9543825278255387E-3</v>
      </c>
    </row>
    <row r="52" spans="2:18" s="1" customFormat="1">
      <c r="B52" s="2" t="str">
        <f t="shared" si="0"/>
        <v>Port Stephens</v>
      </c>
      <c r="C52" s="35" t="str" cm="1">
        <f t="array" ref="C52">INDEX(network_levels,COUNTIFS($B$10:$B52,$B$10))</f>
        <v>HV</v>
      </c>
      <c r="D52" s="35" t="str">
        <f>INDEX('Growing &amp; falling'!$D$14:$D$39,MATCH($B52,'Growing &amp; falling'!$B$14:$B$39,0))</f>
        <v>Decline</v>
      </c>
      <c r="E52" s="35" t="s">
        <v>80</v>
      </c>
      <c r="F52" s="21">
        <f>INDEX('Growing &amp; falling'!F$44:F$69,MATCH($B52,'Growing &amp; falling'!$B$44:$B$69,0))*'Raw demand'!$AJ52</f>
        <v>0.72826806795022525</v>
      </c>
      <c r="G52" s="21">
        <f>INDEX('Growing &amp; falling'!G$44:G$69,MATCH($B52,'Growing &amp; falling'!$B$44:$B$69,0))*'Raw demand'!$AJ52</f>
        <v>0.72706588156477137</v>
      </c>
      <c r="H52" s="21">
        <f>INDEX('Growing &amp; falling'!H$44:H$69,MATCH($B52,'Growing &amp; falling'!$B$44:$B$69,0))*'Raw demand'!$AJ52</f>
        <v>0.72586567968498084</v>
      </c>
      <c r="I52" s="21">
        <f>INDEX('Growing &amp; falling'!I$44:I$69,MATCH($B52,'Growing &amp; falling'!$B$44:$B$69,0))*'Raw demand'!$AJ52</f>
        <v>0.72466745903493701</v>
      </c>
      <c r="J52" s="21">
        <f>INDEX('Growing &amp; falling'!J$44:J$69,MATCH($B52,'Growing &amp; falling'!$B$44:$B$69,0))*'Raw demand'!$AJ52</f>
        <v>0.72347121634413036</v>
      </c>
      <c r="K52" s="21">
        <f>INDEX('Growing &amp; falling'!K$44:K$69,MATCH($B52,'Growing &amp; falling'!$B$44:$B$69,0))*'Raw demand'!$AJ52</f>
        <v>0.72227694834745049</v>
      </c>
      <c r="L52" s="21">
        <f>INDEX('Growing &amp; falling'!L$44:L$69,MATCH($B52,'Growing &amp; falling'!$B$44:$B$69,0))*'Raw demand'!$AJ52</f>
        <v>0.72108465178517722</v>
      </c>
      <c r="M52" s="21">
        <f>INDEX('Growing &amp; falling'!M$44:M$69,MATCH($B52,'Growing &amp; falling'!$B$44:$B$69,0))*'Raw demand'!$AJ52</f>
        <v>0.71989432340297066</v>
      </c>
      <c r="N52" s="21">
        <f>INDEX('Growing &amp; falling'!N$44:N$69,MATCH($B52,'Growing &amp; falling'!$B$44:$B$69,0))*'Raw demand'!$AJ52</f>
        <v>0.71870595995186315</v>
      </c>
      <c r="O52" s="21">
        <f>INDEX('Growing &amp; falling'!O$44:O$69,MATCH($B52,'Growing &amp; falling'!$B$44:$B$69,0))*'Raw demand'!$AJ52</f>
        <v>0.71751955818825075</v>
      </c>
      <c r="P52" s="21">
        <f>INDEX('Growing &amp; falling'!P$44:P$69,MATCH($B52,'Growing &amp; falling'!$B$44:$B$69,0))*'Raw demand'!$AJ52</f>
        <v>0.71633511487388346</v>
      </c>
      <c r="Q52"/>
      <c r="R52" s="73">
        <f>IFERROR(IF('Smoothed demand'!$F52&lt;MAX('Smoothed demand'!$G52:$P52),(MAX('Smoothed demand'!$G52:$P52)/'Smoothed demand'!$F52)^(1/10)-1,('Smoothed demand'!$P52/'Smoothed demand'!$F52)^(1/10)-1),0)</f>
        <v>-1.6507470783905243E-3</v>
      </c>
    </row>
    <row r="53" spans="2:18" s="1" customFormat="1">
      <c r="B53" s="2" t="str">
        <f t="shared" si="0"/>
        <v>Singleton</v>
      </c>
      <c r="C53" s="35" t="str" cm="1">
        <f t="array" ref="C53">INDEX(network_levels,COUNTIFS($B$10:$B53,$B$10))</f>
        <v>HV</v>
      </c>
      <c r="D53" s="35" t="str">
        <f>INDEX('Growing &amp; falling'!$D$14:$D$39,MATCH($B53,'Growing &amp; falling'!$B$14:$B$39,0))</f>
        <v>Decline</v>
      </c>
      <c r="E53" s="35" t="s">
        <v>80</v>
      </c>
      <c r="F53" s="21">
        <f>INDEX('Growing &amp; falling'!F$44:F$69,MATCH($B53,'Growing &amp; falling'!$B$44:$B$69,0))*'Raw demand'!$AJ53</f>
        <v>2.8801522529139305</v>
      </c>
      <c r="G53" s="21">
        <f>INDEX('Growing &amp; falling'!G$44:G$69,MATCH($B53,'Growing &amp; falling'!$B$44:$B$69,0))*'Raw demand'!$AJ53</f>
        <v>2.8783477494375176</v>
      </c>
      <c r="H53" s="21">
        <f>INDEX('Growing &amp; falling'!H$44:H$69,MATCH($B53,'Growing &amp; falling'!$B$44:$B$69,0))*'Raw demand'!$AJ53</f>
        <v>2.8765443765377232</v>
      </c>
      <c r="I53" s="21">
        <f>INDEX('Growing &amp; falling'!I$44:I$69,MATCH($B53,'Growing &amp; falling'!$B$44:$B$69,0))*'Raw demand'!$AJ53</f>
        <v>2.8747421335062073</v>
      </c>
      <c r="J53" s="21">
        <f>INDEX('Growing &amp; falling'!J$44:J$69,MATCH($B53,'Growing &amp; falling'!$B$44:$B$69,0))*'Raw demand'!$AJ53</f>
        <v>2.8729410196350722</v>
      </c>
      <c r="K53" s="21">
        <f>INDEX('Growing &amp; falling'!K$44:K$69,MATCH($B53,'Growing &amp; falling'!$B$44:$B$69,0))*'Raw demand'!$AJ53</f>
        <v>2.8711410342168646</v>
      </c>
      <c r="L53" s="21">
        <f>INDEX('Growing &amp; falling'!L$44:L$69,MATCH($B53,'Growing &amp; falling'!$B$44:$B$69,0))*'Raw demand'!$AJ53</f>
        <v>2.869342176544575</v>
      </c>
      <c r="M53" s="21">
        <f>INDEX('Growing &amp; falling'!M$44:M$69,MATCH($B53,'Growing &amp; falling'!$B$44:$B$69,0))*'Raw demand'!$AJ53</f>
        <v>2.8675444459116348</v>
      </c>
      <c r="N53" s="21">
        <f>INDEX('Growing &amp; falling'!N$44:N$69,MATCH($B53,'Growing &amp; falling'!$B$44:$B$69,0))*'Raw demand'!$AJ53</f>
        <v>2.8657478416119209</v>
      </c>
      <c r="O53" s="21">
        <f>INDEX('Growing &amp; falling'!O$44:O$69,MATCH($B53,'Growing &amp; falling'!$B$44:$B$69,0))*'Raw demand'!$AJ53</f>
        <v>2.8639523629397496</v>
      </c>
      <c r="P53" s="21">
        <f>INDEX('Growing &amp; falling'!P$44:P$69,MATCH($B53,'Growing &amp; falling'!$B$44:$B$69,0))*'Raw demand'!$AJ53</f>
        <v>2.8621580091898822</v>
      </c>
      <c r="Q53"/>
      <c r="R53" s="73">
        <f>IFERROR(IF('Smoothed demand'!$F53&lt;MAX('Smoothed demand'!$G53:$P53),(MAX('Smoothed demand'!$G53:$P53)/'Smoothed demand'!$F53)^(1/10)-1,('Smoothed demand'!$P53/'Smoothed demand'!$F53)^(1/10)-1),0)</f>
        <v>-6.2653058517569971E-4</v>
      </c>
    </row>
    <row r="54" spans="2:18" s="1" customFormat="1">
      <c r="B54" s="2" t="str">
        <f t="shared" si="0"/>
        <v>St George</v>
      </c>
      <c r="C54" s="35" t="str" cm="1">
        <f t="array" ref="C54">INDEX(network_levels,COUNTIFS($B$10:$B54,$B$10))</f>
        <v>HV</v>
      </c>
      <c r="D54" s="35" t="str">
        <f>INDEX('Growing &amp; falling'!$D$14:$D$39,MATCH($B54,'Growing &amp; falling'!$B$14:$B$39,0))</f>
        <v>Decline</v>
      </c>
      <c r="E54" s="35" t="s">
        <v>80</v>
      </c>
      <c r="F54" s="21">
        <f>INDEX('Growing &amp; falling'!F$44:F$69,MATCH($B54,'Growing &amp; falling'!$B$44:$B$69,0))*'Raw demand'!$AJ54</f>
        <v>1.6886072050863337</v>
      </c>
      <c r="G54" s="21">
        <f>INDEX('Growing &amp; falling'!G$44:G$69,MATCH($B54,'Growing &amp; falling'!$B$44:$B$69,0))*'Raw demand'!$AJ54</f>
        <v>1.6832340197644136</v>
      </c>
      <c r="H54" s="21">
        <f>INDEX('Growing &amp; falling'!H$44:H$69,MATCH($B54,'Growing &amp; falling'!$B$44:$B$69,0))*'Raw demand'!$AJ54</f>
        <v>1.6778779320365442</v>
      </c>
      <c r="I54" s="21">
        <f>INDEX('Growing &amp; falling'!I$44:I$69,MATCH($B54,'Growing &amp; falling'!$B$44:$B$69,0))*'Raw demand'!$AJ54</f>
        <v>1.6725388874978047</v>
      </c>
      <c r="J54" s="21">
        <f>INDEX('Growing &amp; falling'!J$44:J$69,MATCH($B54,'Growing &amp; falling'!$B$44:$B$69,0))*'Raw demand'!$AJ54</f>
        <v>1.6672168319163916</v>
      </c>
      <c r="K54" s="21">
        <f>INDEX('Growing &amp; falling'!K$44:K$69,MATCH($B54,'Growing &amp; falling'!$B$44:$B$69,0))*'Raw demand'!$AJ54</f>
        <v>1.6619117112330688</v>
      </c>
      <c r="L54" s="21">
        <f>INDEX('Growing &amp; falling'!L$44:L$69,MATCH($B54,'Growing &amp; falling'!$B$44:$B$69,0))*'Raw demand'!$AJ54</f>
        <v>1.6566234715606174</v>
      </c>
      <c r="M54" s="21">
        <f>INDEX('Growing &amp; falling'!M$44:M$69,MATCH($B54,'Growing &amp; falling'!$B$44:$B$69,0))*'Raw demand'!$AJ54</f>
        <v>1.6513520591832891</v>
      </c>
      <c r="N54" s="21">
        <f>INDEX('Growing &amp; falling'!N$44:N$69,MATCH($B54,'Growing &amp; falling'!$B$44:$B$69,0))*'Raw demand'!$AJ54</f>
        <v>1.64609742055626</v>
      </c>
      <c r="O54" s="21">
        <f>INDEX('Growing &amp; falling'!O$44:O$69,MATCH($B54,'Growing &amp; falling'!$B$44:$B$69,0))*'Raw demand'!$AJ54</f>
        <v>1.6408595023050871</v>
      </c>
      <c r="P54" s="21">
        <f>INDEX('Growing &amp; falling'!P$44:P$69,MATCH($B54,'Growing &amp; falling'!$B$44:$B$69,0))*'Raw demand'!$AJ54</f>
        <v>1.6356382512251664</v>
      </c>
      <c r="Q54"/>
      <c r="R54" s="73">
        <f>IFERROR(IF('Smoothed demand'!$F54&lt;MAX('Smoothed demand'!$G54:$P54),(MAX('Smoothed demand'!$G54:$P54)/'Smoothed demand'!$F54)^(1/10)-1,('Smoothed demand'!$P54/'Smoothed demand'!$F54)^(1/10)-1),0)</f>
        <v>-3.1820220272277266E-3</v>
      </c>
    </row>
    <row r="55" spans="2:18" s="1" customFormat="1">
      <c r="B55" s="2" t="str">
        <f t="shared" si="0"/>
        <v>Sutherland</v>
      </c>
      <c r="C55" s="35" t="str" cm="1">
        <f t="array" ref="C55">INDEX(network_levels,COUNTIFS($B$10:$B55,$B$10))</f>
        <v>HV</v>
      </c>
      <c r="D55" s="35" t="str">
        <f>INDEX('Growing &amp; falling'!$D$14:$D$39,MATCH($B55,'Growing &amp; falling'!$B$14:$B$39,0))</f>
        <v>Decline</v>
      </c>
      <c r="E55" s="35" t="s">
        <v>80</v>
      </c>
      <c r="F55" s="21">
        <f>INDEX('Growing &amp; falling'!F$44:F$69,MATCH($B55,'Growing &amp; falling'!$B$44:$B$69,0))*'Raw demand'!$AJ55</f>
        <v>4.8524758244275512</v>
      </c>
      <c r="G55" s="21">
        <f>INDEX('Growing &amp; falling'!G$44:G$69,MATCH($B55,'Growing &amp; falling'!$B$44:$B$69,0))*'Raw demand'!$AJ55</f>
        <v>4.8353579898796664</v>
      </c>
      <c r="H55" s="21">
        <f>INDEX('Growing &amp; falling'!H$44:H$69,MATCH($B55,'Growing &amp; falling'!$B$44:$B$69,0))*'Raw demand'!$AJ55</f>
        <v>4.8183005410544952</v>
      </c>
      <c r="I55" s="21">
        <f>INDEX('Growing &amp; falling'!I$44:I$69,MATCH($B55,'Growing &amp; falling'!$B$44:$B$69,0))*'Raw demand'!$AJ55</f>
        <v>4.8013032649323648</v>
      </c>
      <c r="J55" s="21">
        <f>INDEX('Growing &amp; falling'!J$44:J$69,MATCH($B55,'Growing &amp; falling'!$B$44:$B$69,0))*'Raw demand'!$AJ55</f>
        <v>4.7843659492450614</v>
      </c>
      <c r="K55" s="21">
        <f>INDEX('Growing &amp; falling'!K$44:K$69,MATCH($B55,'Growing &amp; falling'!$B$44:$B$69,0))*'Raw demand'!$AJ55</f>
        <v>4.7674883824731813</v>
      </c>
      <c r="L55" s="21">
        <f>INDEX('Growing &amp; falling'!L$44:L$69,MATCH($B55,'Growing &amp; falling'!$B$44:$B$69,0))*'Raw demand'!$AJ55</f>
        <v>4.7506703538434829</v>
      </c>
      <c r="M55" s="21">
        <f>INDEX('Growing &amp; falling'!M$44:M$69,MATCH($B55,'Growing &amp; falling'!$B$44:$B$69,0))*'Raw demand'!$AJ55</f>
        <v>4.7339116533262624</v>
      </c>
      <c r="N55" s="21">
        <f>INDEX('Growing &amp; falling'!N$44:N$69,MATCH($B55,'Growing &amp; falling'!$B$44:$B$69,0))*'Raw demand'!$AJ55</f>
        <v>4.7172120716327246</v>
      </c>
      <c r="O55" s="21">
        <f>INDEX('Growing &amp; falling'!O$44:O$69,MATCH($B55,'Growing &amp; falling'!$B$44:$B$69,0))*'Raw demand'!$AJ55</f>
        <v>4.7005714002123735</v>
      </c>
      <c r="P55" s="21">
        <f>INDEX('Growing &amp; falling'!P$44:P$69,MATCH($B55,'Growing &amp; falling'!$B$44:$B$69,0))*'Raw demand'!$AJ55</f>
        <v>4.6839894312504056</v>
      </c>
      <c r="Q55"/>
      <c r="R55" s="73">
        <f>IFERROR(IF('Smoothed demand'!$F55&lt;MAX('Smoothed demand'!$G55:$P55),(MAX('Smoothed demand'!$G55:$P55)/'Smoothed demand'!$F55)^(1/10)-1,('Smoothed demand'!$P55/'Smoothed demand'!$F55)^(1/10)-1),0)</f>
        <v>-3.5276496302595328E-3</v>
      </c>
    </row>
    <row r="56" spans="2:18" s="1" customFormat="1">
      <c r="B56" s="2" t="str">
        <f t="shared" si="0"/>
        <v>Sydney CBD</v>
      </c>
      <c r="C56" s="35" t="str" cm="1">
        <f t="array" ref="C56">INDEX(network_levels,COUNTIFS($B$10:$B56,$B$10))</f>
        <v>HV</v>
      </c>
      <c r="D56" s="35" t="str">
        <f>INDEX('Growing &amp; falling'!$D$14:$D$39,MATCH($B56,'Growing &amp; falling'!$B$14:$B$39,0))</f>
        <v>Growth</v>
      </c>
      <c r="E56" s="35" t="s">
        <v>80</v>
      </c>
      <c r="F56" s="21">
        <f>INDEX('Growing &amp; falling'!F$44:F$69,MATCH($B56,'Growing &amp; falling'!$B$44:$B$69,0))*'Raw demand'!$AJ56</f>
        <v>1.4938418629868213</v>
      </c>
      <c r="G56" s="21">
        <f>INDEX('Growing &amp; falling'!G$44:G$69,MATCH($B56,'Growing &amp; falling'!$B$44:$B$69,0))*'Raw demand'!$AJ56</f>
        <v>1.4996932594782943</v>
      </c>
      <c r="H56" s="21">
        <f>INDEX('Growing &amp; falling'!H$44:H$69,MATCH($B56,'Growing &amp; falling'!$B$44:$B$69,0))*'Raw demand'!$AJ56</f>
        <v>1.5055675759599945</v>
      </c>
      <c r="I56" s="21">
        <f>INDEX('Growing &amp; falling'!I$44:I$69,MATCH($B56,'Growing &amp; falling'!$B$44:$B$69,0))*'Raw demand'!$AJ56</f>
        <v>1.5114649022097981</v>
      </c>
      <c r="J56" s="21">
        <f>INDEX('Growing &amp; falling'!J$44:J$69,MATCH($B56,'Growing &amp; falling'!$B$44:$B$69,0))*'Raw demand'!$AJ56</f>
        <v>1.5173853283572432</v>
      </c>
      <c r="K56" s="21">
        <f>INDEX('Growing &amp; falling'!K$44:K$69,MATCH($B56,'Growing &amp; falling'!$B$44:$B$69,0))*'Raw demand'!$AJ56</f>
        <v>1.5233289448849052</v>
      </c>
      <c r="L56" s="21">
        <f>INDEX('Growing &amp; falling'!L$44:L$69,MATCH($B56,'Growing &amp; falling'!$B$44:$B$69,0))*'Raw demand'!$AJ56</f>
        <v>1.5292958426297822</v>
      </c>
      <c r="M56" s="21">
        <f>INDEX('Growing &amp; falling'!M$44:M$69,MATCH($B56,'Growing &amp; falling'!$B$44:$B$69,0))*'Raw demand'!$AJ56</f>
        <v>1.5352861127846811</v>
      </c>
      <c r="N56" s="21">
        <f>INDEX('Growing &amp; falling'!N$44:N$69,MATCH($B56,'Growing &amp; falling'!$B$44:$B$69,0))*'Raw demand'!$AJ56</f>
        <v>1.5412998468996115</v>
      </c>
      <c r="O56" s="21">
        <f>INDEX('Growing &amp; falling'!O$44:O$69,MATCH($B56,'Growing &amp; falling'!$B$44:$B$69,0))*'Raw demand'!$AJ56</f>
        <v>1.5473371368831872</v>
      </c>
      <c r="P56" s="21">
        <f>INDEX('Growing &amp; falling'!P$44:P$69,MATCH($B56,'Growing &amp; falling'!$B$44:$B$69,0))*'Raw demand'!$AJ56</f>
        <v>1.5533980750040273</v>
      </c>
      <c r="Q56"/>
      <c r="R56" s="73">
        <f>IFERROR(IF('Smoothed demand'!$F56&lt;MAX('Smoothed demand'!$G56:$P56),(MAX('Smoothed demand'!$G56:$P56)/'Smoothed demand'!$F56)^(1/10)-1,('Smoothed demand'!$P56/'Smoothed demand'!$F56)^(1/10)-1),0)</f>
        <v>3.9170119920013402E-3</v>
      </c>
    </row>
    <row r="57" spans="2:18" s="1" customFormat="1">
      <c r="B57" s="2" t="str">
        <f t="shared" si="0"/>
        <v>Upper Central Coast</v>
      </c>
      <c r="C57" s="35" t="str" cm="1">
        <f t="array" ref="C57">INDEX(network_levels,COUNTIFS($B$10:$B57,$B$10))</f>
        <v>HV</v>
      </c>
      <c r="D57" s="35" t="str">
        <f>INDEX('Growing &amp; falling'!$D$14:$D$39,MATCH($B57,'Growing &amp; falling'!$B$14:$B$39,0))</f>
        <v>Growth</v>
      </c>
      <c r="E57" s="35" t="s">
        <v>80</v>
      </c>
      <c r="F57" s="21">
        <f>INDEX('Growing &amp; falling'!F$44:F$69,MATCH($B57,'Growing &amp; falling'!$B$44:$B$69,0))*'Raw demand'!$AJ57</f>
        <v>3.5634394025752458</v>
      </c>
      <c r="G57" s="21">
        <f>INDEX('Growing &amp; falling'!G$44:G$69,MATCH($B57,'Growing &amp; falling'!$B$44:$B$69,0))*'Raw demand'!$AJ57</f>
        <v>3.5775127116555474</v>
      </c>
      <c r="H57" s="21">
        <f>INDEX('Growing &amp; falling'!H$44:H$69,MATCH($B57,'Growing &amp; falling'!$B$44:$B$69,0))*'Raw demand'!$AJ57</f>
        <v>3.591641601315759</v>
      </c>
      <c r="I57" s="21">
        <f>INDEX('Growing &amp; falling'!I$44:I$69,MATCH($B57,'Growing &amp; falling'!$B$44:$B$69,0))*'Raw demand'!$AJ57</f>
        <v>3.6058262910636625</v>
      </c>
      <c r="J57" s="21">
        <f>INDEX('Growing &amp; falling'!J$44:J$69,MATCH($B57,'Growing &amp; falling'!$B$44:$B$69,0))*'Raw demand'!$AJ57</f>
        <v>3.6200670012739562</v>
      </c>
      <c r="K57" s="21">
        <f>INDEX('Growing &amp; falling'!K$44:K$69,MATCH($B57,'Growing &amp; falling'!$B$44:$B$69,0))*'Raw demand'!$AJ57</f>
        <v>3.6343639531916763</v>
      </c>
      <c r="L57" s="21">
        <f>INDEX('Growing &amp; falling'!L$44:L$69,MATCH($B57,'Growing &amp; falling'!$B$44:$B$69,0))*'Raw demand'!$AJ57</f>
        <v>3.6487173689356367</v>
      </c>
      <c r="M57" s="21">
        <f>INDEX('Growing &amp; falling'!M$44:M$69,MATCH($B57,'Growing &amp; falling'!$B$44:$B$69,0))*'Raw demand'!$AJ57</f>
        <v>3.6631274715018778</v>
      </c>
      <c r="N57" s="21">
        <f>INDEX('Growing &amp; falling'!N$44:N$69,MATCH($B57,'Growing &amp; falling'!$B$44:$B$69,0))*'Raw demand'!$AJ57</f>
        <v>3.6775944847671336</v>
      </c>
      <c r="O57" s="21">
        <f>INDEX('Growing &amp; falling'!O$44:O$69,MATCH($B57,'Growing &amp; falling'!$B$44:$B$69,0))*'Raw demand'!$AJ57</f>
        <v>3.6921186334923055</v>
      </c>
      <c r="P57" s="21">
        <f>INDEX('Growing &amp; falling'!P$44:P$69,MATCH($B57,'Growing &amp; falling'!$B$44:$B$69,0))*'Raw demand'!$AJ57</f>
        <v>3.7067001433259579</v>
      </c>
      <c r="Q57"/>
      <c r="R57" s="73">
        <f>IFERROR(IF('Smoothed demand'!$F57&lt;MAX('Smoothed demand'!$G57:$P57),(MAX('Smoothed demand'!$G57:$P57)/'Smoothed demand'!$F57)^(1/10)-1,('Smoothed demand'!$P57/'Smoothed demand'!$F57)^(1/10)-1),0)</f>
        <v>3.9493611341141488E-3</v>
      </c>
    </row>
    <row r="58" spans="2:18" s="1" customFormat="1">
      <c r="B58" s="2" t="str">
        <f t="shared" si="0"/>
        <v>Upper Hunter</v>
      </c>
      <c r="C58" s="35" t="str" cm="1">
        <f t="array" ref="C58">INDEX(network_levels,COUNTIFS($B$10:$B58,$B$10))</f>
        <v>HV</v>
      </c>
      <c r="D58" s="35" t="str">
        <f>INDEX('Growing &amp; falling'!$D$14:$D$39,MATCH($B58,'Growing &amp; falling'!$B$14:$B$39,0))</f>
        <v>Decline</v>
      </c>
      <c r="E58" s="35" t="s">
        <v>80</v>
      </c>
      <c r="F58" s="21">
        <f>INDEX('Growing &amp; falling'!F$44:F$69,MATCH($B58,'Growing &amp; falling'!$B$44:$B$69,0))*'Raw demand'!$AJ58</f>
        <v>1.0439487593422991</v>
      </c>
      <c r="G58" s="21">
        <f>INDEX('Growing &amp; falling'!G$44:G$69,MATCH($B58,'Growing &amp; falling'!$B$44:$B$69,0))*'Raw demand'!$AJ58</f>
        <v>1.0422716010112656</v>
      </c>
      <c r="H58" s="21">
        <f>INDEX('Growing &amp; falling'!H$44:H$69,MATCH($B58,'Growing &amp; falling'!$B$44:$B$69,0))*'Raw demand'!$AJ58</f>
        <v>1.0405971371228877</v>
      </c>
      <c r="I58" s="21">
        <f>INDEX('Growing &amp; falling'!I$44:I$69,MATCH($B58,'Growing &amp; falling'!$B$44:$B$69,0))*'Raw demand'!$AJ58</f>
        <v>1.0389253633484019</v>
      </c>
      <c r="J58" s="21">
        <f>INDEX('Growing &amp; falling'!J$44:J$69,MATCH($B58,'Growing &amp; falling'!$B$44:$B$69,0))*'Raw demand'!$AJ58</f>
        <v>1.037256275366</v>
      </c>
      <c r="K58" s="21">
        <f>INDEX('Growing &amp; falling'!K$44:K$69,MATCH($B58,'Growing &amp; falling'!$B$44:$B$69,0))*'Raw demand'!$AJ58</f>
        <v>1.0355898688608161</v>
      </c>
      <c r="L58" s="21">
        <f>INDEX('Growing &amp; falling'!L$44:L$69,MATCH($B58,'Growing &amp; falling'!$B$44:$B$69,0))*'Raw demand'!$AJ58</f>
        <v>1.0339261395249164</v>
      </c>
      <c r="M58" s="21">
        <f>INDEX('Growing &amp; falling'!M$44:M$69,MATCH($B58,'Growing &amp; falling'!$B$44:$B$69,0))*'Raw demand'!$AJ58</f>
        <v>1.0322650830572886</v>
      </c>
      <c r="N58" s="21">
        <f>INDEX('Growing &amp; falling'!N$44:N$69,MATCH($B58,'Growing &amp; falling'!$B$44:$B$69,0))*'Raw demand'!$AJ58</f>
        <v>1.03060669516383</v>
      </c>
      <c r="O58" s="21">
        <f>INDEX('Growing &amp; falling'!O$44:O$69,MATCH($B58,'Growing &amp; falling'!$B$44:$B$69,0))*'Raw demand'!$AJ58</f>
        <v>1.0289509715573362</v>
      </c>
      <c r="P58" s="21">
        <f>INDEX('Growing &amp; falling'!P$44:P$69,MATCH($B58,'Growing &amp; falling'!$B$44:$B$69,0))*'Raw demand'!$AJ58</f>
        <v>1.0272979079574909</v>
      </c>
      <c r="Q58"/>
      <c r="R58" s="73">
        <f>IFERROR(IF('Smoothed demand'!$F58&lt;MAX('Smoothed demand'!$G58:$P58),(MAX('Smoothed demand'!$G58:$P58)/'Smoothed demand'!$F58)^(1/10)-1,('Smoothed demand'!$P58/'Smoothed demand'!$F58)^(1/10)-1),0)</f>
        <v>-1.6065523484984912E-3</v>
      </c>
    </row>
    <row r="59" spans="2:18" s="1" customFormat="1">
      <c r="B59" s="2" t="str">
        <f t="shared" si="0"/>
        <v>Upper North Shore</v>
      </c>
      <c r="C59" s="35" t="str" cm="1">
        <f t="array" ref="C59">INDEX(network_levels,COUNTIFS($B$10:$B59,$B$10))</f>
        <v>HV</v>
      </c>
      <c r="D59" s="35" t="str">
        <f>INDEX('Growing &amp; falling'!$D$14:$D$39,MATCH($B59,'Growing &amp; falling'!$B$14:$B$39,0))</f>
        <v>Decline</v>
      </c>
      <c r="E59" s="35" t="s">
        <v>80</v>
      </c>
      <c r="F59" s="21">
        <f>INDEX('Growing &amp; falling'!F$44:F$69,MATCH($B59,'Growing &amp; falling'!$B$44:$B$69,0))*'Raw demand'!$AJ59</f>
        <v>1.0733579476427657</v>
      </c>
      <c r="G59" s="21">
        <f>INDEX('Growing &amp; falling'!G$44:G$69,MATCH($B59,'Growing &amp; falling'!$B$44:$B$69,0))*'Raw demand'!$AJ59</f>
        <v>1.0716907116458345</v>
      </c>
      <c r="H59" s="21">
        <f>INDEX('Growing &amp; falling'!H$44:H$69,MATCH($B59,'Growing &amp; falling'!$B$44:$B$69,0))*'Raw demand'!$AJ59</f>
        <v>1.0700260653496412</v>
      </c>
      <c r="I59" s="21">
        <f>INDEX('Growing &amp; falling'!I$44:I$69,MATCH($B59,'Growing &amp; falling'!$B$44:$B$69,0))*'Raw demand'!$AJ59</f>
        <v>1.0683640047316305</v>
      </c>
      <c r="J59" s="21">
        <f>INDEX('Growing &amp; falling'!J$44:J$69,MATCH($B59,'Growing &amp; falling'!$B$44:$B$69,0))*'Raw demand'!$AJ59</f>
        <v>1.0667045257754948</v>
      </c>
      <c r="K59" s="21">
        <f>INDEX('Growing &amp; falling'!K$44:K$69,MATCH($B59,'Growing &amp; falling'!$B$44:$B$69,0))*'Raw demand'!$AJ59</f>
        <v>1.0650476244711646</v>
      </c>
      <c r="L59" s="21">
        <f>INDEX('Growing &amp; falling'!L$44:L$69,MATCH($B59,'Growing &amp; falling'!$B$44:$B$69,0))*'Raw demand'!$AJ59</f>
        <v>1.0633932968147997</v>
      </c>
      <c r="M59" s="21">
        <f>INDEX('Growing &amp; falling'!M$44:M$69,MATCH($B59,'Growing &amp; falling'!$B$44:$B$69,0))*'Raw demand'!$AJ59</f>
        <v>1.0617415388087788</v>
      </c>
      <c r="N59" s="21">
        <f>INDEX('Growing &amp; falling'!N$44:N$69,MATCH($B59,'Growing &amp; falling'!$B$44:$B$69,0))*'Raw demand'!$AJ59</f>
        <v>1.06009234646169</v>
      </c>
      <c r="O59" s="21">
        <f>INDEX('Growing &amp; falling'!O$44:O$69,MATCH($B59,'Growing &amp; falling'!$B$44:$B$69,0))*'Raw demand'!$AJ59</f>
        <v>1.0584457157883216</v>
      </c>
      <c r="P59" s="21">
        <f>INDEX('Growing &amp; falling'!P$44:P$69,MATCH($B59,'Growing &amp; falling'!$B$44:$B$69,0))*'Raw demand'!$AJ59</f>
        <v>1.0568016428096516</v>
      </c>
      <c r="Q59"/>
      <c r="R59" s="73">
        <f>IFERROR(IF('Smoothed demand'!$F59&lt;MAX('Smoothed demand'!$G59:$P59),(MAX('Smoothed demand'!$G59:$P59)/'Smoothed demand'!$F59)^(1/10)-1,('Smoothed demand'!$P59/'Smoothed demand'!$F59)^(1/10)-1),0)</f>
        <v>-1.5532898420259622E-3</v>
      </c>
    </row>
    <row r="60" spans="2:18" s="1" customFormat="1">
      <c r="B60" s="2" t="str">
        <f t="shared" si="0"/>
        <v>West Lake Macquarie</v>
      </c>
      <c r="C60" s="35" t="str" cm="1">
        <f t="array" ref="C60">INDEX(network_levels,COUNTIFS($B$10:$B60,$B$10))</f>
        <v>HV</v>
      </c>
      <c r="D60" s="35" t="str">
        <f>INDEX('Growing &amp; falling'!$D$14:$D$39,MATCH($B60,'Growing &amp; falling'!$B$14:$B$39,0))</f>
        <v>Decline</v>
      </c>
      <c r="E60" s="35" t="s">
        <v>80</v>
      </c>
      <c r="F60" s="21">
        <f>INDEX('Growing &amp; falling'!F$44:F$69,MATCH($B60,'Growing &amp; falling'!$B$44:$B$69,0))*'Raw demand'!$AJ60</f>
        <v>0.34816528755205178</v>
      </c>
      <c r="G60" s="21">
        <f>INDEX('Growing &amp; falling'!G$44:G$69,MATCH($B60,'Growing &amp; falling'!$B$44:$B$69,0))*'Raw demand'!$AJ60</f>
        <v>0.3477674351374419</v>
      </c>
      <c r="H60" s="21">
        <f>INDEX('Growing &amp; falling'!H$44:H$69,MATCH($B60,'Growing &amp; falling'!$B$44:$B$69,0))*'Raw demand'!$AJ60</f>
        <v>0.34737003735328909</v>
      </c>
      <c r="I60" s="21">
        <f>INDEX('Growing &amp; falling'!I$44:I$69,MATCH($B60,'Growing &amp; falling'!$B$44:$B$69,0))*'Raw demand'!$AJ60</f>
        <v>0.346973093680082</v>
      </c>
      <c r="J60" s="21">
        <f>INDEX('Growing &amp; falling'!J$44:J$69,MATCH($B60,'Growing &amp; falling'!$B$44:$B$69,0))*'Raw demand'!$AJ60</f>
        <v>0.3465766035989028</v>
      </c>
      <c r="K60" s="21">
        <f>INDEX('Growing &amp; falling'!K$44:K$69,MATCH($B60,'Growing &amp; falling'!$B$44:$B$69,0))*'Raw demand'!$AJ60</f>
        <v>0.34618056659142687</v>
      </c>
      <c r="L60" s="21">
        <f>INDEX('Growing &amp; falling'!L$44:L$69,MATCH($B60,'Growing &amp; falling'!$B$44:$B$69,0))*'Raw demand'!$AJ60</f>
        <v>0.3457849821399217</v>
      </c>
      <c r="M60" s="21">
        <f>INDEX('Growing &amp; falling'!M$44:M$69,MATCH($B60,'Growing &amp; falling'!$B$44:$B$69,0))*'Raw demand'!$AJ60</f>
        <v>0.34538984972724657</v>
      </c>
      <c r="N60" s="21">
        <f>INDEX('Growing &amp; falling'!N$44:N$69,MATCH($B60,'Growing &amp; falling'!$B$44:$B$69,0))*'Raw demand'!$AJ60</f>
        <v>0.34499516883685138</v>
      </c>
      <c r="O60" s="21">
        <f>INDEX('Growing &amp; falling'!O$44:O$69,MATCH($B60,'Growing &amp; falling'!$B$44:$B$69,0))*'Raw demand'!$AJ60</f>
        <v>0.3446009389527766</v>
      </c>
      <c r="P60" s="21">
        <f>INDEX('Growing &amp; falling'!P$44:P$69,MATCH($B60,'Growing &amp; falling'!$B$44:$B$69,0))*'Raw demand'!$AJ60</f>
        <v>0.34420715955965236</v>
      </c>
      <c r="Q60"/>
      <c r="R60" s="73">
        <f>IFERROR(IF('Smoothed demand'!$F60&lt;MAX('Smoothed demand'!$G60:$P60),(MAX('Smoothed demand'!$G60:$P60)/'Smoothed demand'!$F60)^(1/10)-1,('Smoothed demand'!$P60/'Smoothed demand'!$F60)^(1/10)-1),0)</f>
        <v>-1.1427113179696136E-3</v>
      </c>
    </row>
    <row r="61" spans="2:18" s="1" customFormat="1">
      <c r="B61" s="2" t="str">
        <f t="shared" si="0"/>
        <v>System wide</v>
      </c>
      <c r="C61" s="35" t="str" cm="1">
        <f t="array" ref="C61">INDEX(network_levels,COUNTIFS($B$10:$B61,$B$10))</f>
        <v>HV</v>
      </c>
      <c r="D61" s="35" t="str">
        <f>INDEX('Growing &amp; falling'!$D$14:$D$39,MATCH($B61,'Growing &amp; falling'!$B$14:$B$39,0))</f>
        <v>System wide</v>
      </c>
      <c r="E61" s="35" t="s">
        <v>80</v>
      </c>
      <c r="F61" s="21">
        <f>INDEX('Growing &amp; falling'!F$44:F$69,MATCH($B61,'Growing &amp; falling'!$B$44:$B$69,0))*'Raw demand'!$AJ61</f>
        <v>0</v>
      </c>
      <c r="G61" s="21">
        <f>INDEX('Growing &amp; falling'!G$44:G$69,MATCH($B61,'Growing &amp; falling'!$B$44:$B$69,0))*'Raw demand'!$AJ61</f>
        <v>0</v>
      </c>
      <c r="H61" s="21">
        <f>INDEX('Growing &amp; falling'!H$44:H$69,MATCH($B61,'Growing &amp; falling'!$B$44:$B$69,0))*'Raw demand'!$AJ61</f>
        <v>0</v>
      </c>
      <c r="I61" s="21">
        <f>INDEX('Growing &amp; falling'!I$44:I$69,MATCH($B61,'Growing &amp; falling'!$B$44:$B$69,0))*'Raw demand'!$AJ61</f>
        <v>0</v>
      </c>
      <c r="J61" s="21">
        <f>INDEX('Growing &amp; falling'!J$44:J$69,MATCH($B61,'Growing &amp; falling'!$B$44:$B$69,0))*'Raw demand'!$AJ61</f>
        <v>0</v>
      </c>
      <c r="K61" s="21">
        <f>INDEX('Growing &amp; falling'!K$44:K$69,MATCH($B61,'Growing &amp; falling'!$B$44:$B$69,0))*'Raw demand'!$AJ61</f>
        <v>0</v>
      </c>
      <c r="L61" s="21">
        <f>INDEX('Growing &amp; falling'!L$44:L$69,MATCH($B61,'Growing &amp; falling'!$B$44:$B$69,0))*'Raw demand'!$AJ61</f>
        <v>0</v>
      </c>
      <c r="M61" s="21">
        <f>INDEX('Growing &amp; falling'!M$44:M$69,MATCH($B61,'Growing &amp; falling'!$B$44:$B$69,0))*'Raw demand'!$AJ61</f>
        <v>0</v>
      </c>
      <c r="N61" s="21">
        <f>INDEX('Growing &amp; falling'!N$44:N$69,MATCH($B61,'Growing &amp; falling'!$B$44:$B$69,0))*'Raw demand'!$AJ61</f>
        <v>0</v>
      </c>
      <c r="O61" s="21">
        <f>INDEX('Growing &amp; falling'!O$44:O$69,MATCH($B61,'Growing &amp; falling'!$B$44:$B$69,0))*'Raw demand'!$AJ61</f>
        <v>0</v>
      </c>
      <c r="P61" s="21">
        <f>INDEX('Growing &amp; falling'!P$44:P$69,MATCH($B61,'Growing &amp; falling'!$B$44:$B$69,0))*'Raw demand'!$AJ61</f>
        <v>0</v>
      </c>
      <c r="Q61"/>
      <c r="R61" s="73">
        <f>IFERROR(IF('Smoothed demand'!$F61&lt;MAX('Smoothed demand'!$G61:$P61),(MAX('Smoothed demand'!$G61:$P61)/'Smoothed demand'!$F61)^(1/10)-1,('Smoothed demand'!$P61/'Smoothed demand'!$F61)^(1/10)-1),0)</f>
        <v>0</v>
      </c>
    </row>
    <row r="62" spans="2:18" s="1" customFormat="1">
      <c r="B62" s="2" t="str">
        <f t="shared" si="0"/>
        <v>Auburn / Homebush</v>
      </c>
      <c r="C62" s="35" t="str" cm="1">
        <f t="array" ref="C62">INDEX(network_levels,COUNTIFS($B$10:$B62,$B$10))</f>
        <v>ST</v>
      </c>
      <c r="D62" s="35" t="str">
        <f>INDEX('Growing &amp; falling'!$D$14:$D$39,MATCH($B62,'Growing &amp; falling'!$B$14:$B$39,0))</f>
        <v>Growth</v>
      </c>
      <c r="E62" s="35" t="s">
        <v>80</v>
      </c>
      <c r="F62" s="21">
        <f>INDEX('Growing &amp; falling'!F$44:F$69,MATCH($B62,'Growing &amp; falling'!$B$44:$B$69,0))*'Raw demand'!$AJ62</f>
        <v>72.819579123160466</v>
      </c>
      <c r="G62" s="21">
        <f>INDEX('Growing &amp; falling'!G$44:G$69,MATCH($B62,'Growing &amp; falling'!$B$44:$B$69,0))*'Raw demand'!$AJ62</f>
        <v>73.516269186234297</v>
      </c>
      <c r="H62" s="21">
        <f>INDEX('Growing &amp; falling'!H$44:H$69,MATCH($B62,'Growing &amp; falling'!$B$44:$B$69,0))*'Raw demand'!$AJ62</f>
        <v>74.219624723756482</v>
      </c>
      <c r="I62" s="21">
        <f>INDEX('Growing &amp; falling'!I$44:I$69,MATCH($B62,'Growing &amp; falling'!$B$44:$B$69,0))*'Raw demand'!$AJ62</f>
        <v>74.929709506623112</v>
      </c>
      <c r="J62" s="21">
        <f>INDEX('Growing &amp; falling'!J$44:J$69,MATCH($B62,'Growing &amp; falling'!$B$44:$B$69,0))*'Raw demand'!$AJ62</f>
        <v>75.646587915848485</v>
      </c>
      <c r="K62" s="21">
        <f>INDEX('Growing &amp; falling'!K$44:K$69,MATCH($B62,'Growing &amp; falling'!$B$44:$B$69,0))*'Raw demand'!$AJ62</f>
        <v>76.370324948402271</v>
      </c>
      <c r="L62" s="21">
        <f>INDEX('Growing &amp; falling'!L$44:L$69,MATCH($B62,'Growing &amp; falling'!$B$44:$B$69,0))*'Raw demand'!$AJ62</f>
        <v>77.100986223102623</v>
      </c>
      <c r="M62" s="21">
        <f>INDEX('Growing &amp; falling'!M$44:M$69,MATCH($B62,'Growing &amp; falling'!$B$44:$B$69,0))*'Raw demand'!$AJ62</f>
        <v>77.838637986565544</v>
      </c>
      <c r="N62" s="21">
        <f>INDEX('Growing &amp; falling'!N$44:N$69,MATCH($B62,'Growing &amp; falling'!$B$44:$B$69,0))*'Raw demand'!$AJ62</f>
        <v>78.583347119211339</v>
      </c>
      <c r="O62" s="21">
        <f>INDEX('Growing &amp; falling'!O$44:O$69,MATCH($B62,'Growing &amp; falling'!$B$44:$B$69,0))*'Raw demand'!$AJ62</f>
        <v>79.335181141328377</v>
      </c>
      <c r="P62" s="21">
        <f>INDEX('Growing &amp; falling'!P$44:P$69,MATCH($B62,'Growing &amp; falling'!$B$44:$B$69,0))*'Raw demand'!$AJ62</f>
        <v>80.094208219194925</v>
      </c>
      <c r="Q62"/>
      <c r="R62" s="73">
        <f>IFERROR(IF('Smoothed demand'!$F62&lt;MAX('Smoothed demand'!$G62:$P62),(MAX('Smoothed demand'!$G62:$P62)/'Smoothed demand'!$F62)^(1/10)-1,('Smoothed demand'!$P62/'Smoothed demand'!$F62)^(1/10)-1),0)</f>
        <v>9.5673453686886401E-3</v>
      </c>
    </row>
    <row r="63" spans="2:18" s="1" customFormat="1">
      <c r="B63" s="2" t="str">
        <f t="shared" si="0"/>
        <v>Camperdown &amp; Blackwattle Bay</v>
      </c>
      <c r="C63" s="35" t="str" cm="1">
        <f t="array" ref="C63">INDEX(network_levels,COUNTIFS($B$10:$B63,$B$10))</f>
        <v>ST</v>
      </c>
      <c r="D63" s="35" t="str">
        <f>INDEX('Growing &amp; falling'!$D$14:$D$39,MATCH($B63,'Growing &amp; falling'!$B$14:$B$39,0))</f>
        <v>Growth</v>
      </c>
      <c r="E63" s="35" t="s">
        <v>80</v>
      </c>
      <c r="F63" s="21">
        <f>INDEX('Growing &amp; falling'!F$44:F$69,MATCH($B63,'Growing &amp; falling'!$B$44:$B$69,0))*'Raw demand'!$AJ63</f>
        <v>71.710575501042598</v>
      </c>
      <c r="G63" s="21">
        <f>INDEX('Growing &amp; falling'!G$44:G$69,MATCH($B63,'Growing &amp; falling'!$B$44:$B$69,0))*'Raw demand'!$AJ63</f>
        <v>71.910944669619411</v>
      </c>
      <c r="H63" s="21">
        <f>INDEX('Growing &amp; falling'!H$44:H$69,MATCH($B63,'Growing &amp; falling'!$B$44:$B$69,0))*'Raw demand'!$AJ63</f>
        <v>72.111873697093415</v>
      </c>
      <c r="I63" s="21">
        <f>INDEX('Growing &amp; falling'!I$44:I$69,MATCH($B63,'Growing &amp; falling'!$B$44:$B$69,0))*'Raw demand'!$AJ63</f>
        <v>72.313364147787027</v>
      </c>
      <c r="J63" s="21">
        <f>INDEX('Growing &amp; falling'!J$44:J$69,MATCH($B63,'Growing &amp; falling'!$B$44:$B$69,0))*'Raw demand'!$AJ63</f>
        <v>72.515417590393596</v>
      </c>
      <c r="K63" s="21">
        <f>INDEX('Growing &amp; falling'!K$44:K$69,MATCH($B63,'Growing &amp; falling'!$B$44:$B$69,0))*'Raw demand'!$AJ63</f>
        <v>72.718035597989655</v>
      </c>
      <c r="L63" s="21">
        <f>INDEX('Growing &amp; falling'!L$44:L$69,MATCH($B63,'Growing &amp; falling'!$B$44:$B$69,0))*'Raw demand'!$AJ63</f>
        <v>72.921219748047093</v>
      </c>
      <c r="M63" s="21">
        <f>INDEX('Growing &amp; falling'!M$44:M$69,MATCH($B63,'Growing &amp; falling'!$B$44:$B$69,0))*'Raw demand'!$AJ63</f>
        <v>73.124971622445443</v>
      </c>
      <c r="N63" s="21">
        <f>INDEX('Growing &amp; falling'!N$44:N$69,MATCH($B63,'Growing &amp; falling'!$B$44:$B$69,0))*'Raw demand'!$AJ63</f>
        <v>73.329292807484336</v>
      </c>
      <c r="O63" s="21">
        <f>INDEX('Growing &amp; falling'!O$44:O$69,MATCH($B63,'Growing &amp; falling'!$B$44:$B$69,0))*'Raw demand'!$AJ63</f>
        <v>73.534184893895599</v>
      </c>
      <c r="P63" s="21">
        <f>INDEX('Growing &amp; falling'!P$44:P$69,MATCH($B63,'Growing &amp; falling'!$B$44:$B$69,0))*'Raw demand'!$AJ63</f>
        <v>73.739649476855888</v>
      </c>
      <c r="Q63"/>
      <c r="R63" s="73">
        <f>IFERROR(IF('Smoothed demand'!$F63&lt;MAX('Smoothed demand'!$G63:$P63),(MAX('Smoothed demand'!$G63:$P63)/'Smoothed demand'!$F63)^(1/10)-1,('Smoothed demand'!$P63/'Smoothed demand'!$F63)^(1/10)-1),0)</f>
        <v>2.7941369480977141E-3</v>
      </c>
    </row>
    <row r="64" spans="2:18" s="1" customFormat="1">
      <c r="B64" s="2" t="str">
        <f t="shared" si="0"/>
        <v>Canterbury Bankstown</v>
      </c>
      <c r="C64" s="35" t="str" cm="1">
        <f t="array" ref="C64">INDEX(network_levels,COUNTIFS($B$10:$B64,$B$10))</f>
        <v>ST</v>
      </c>
      <c r="D64" s="35" t="str">
        <f>INDEX('Growing &amp; falling'!$D$14:$D$39,MATCH($B64,'Growing &amp; falling'!$B$14:$B$39,0))</f>
        <v>Growth</v>
      </c>
      <c r="E64" s="35" t="s">
        <v>80</v>
      </c>
      <c r="F64" s="21">
        <f>INDEX('Growing &amp; falling'!F$44:F$69,MATCH($B64,'Growing &amp; falling'!$B$44:$B$69,0))*'Raw demand'!$AJ64</f>
        <v>20.744230706734374</v>
      </c>
      <c r="G64" s="21">
        <f>INDEX('Growing &amp; falling'!G$44:G$69,MATCH($B64,'Growing &amp; falling'!$B$44:$B$69,0))*'Raw demand'!$AJ64</f>
        <v>20.787068318405499</v>
      </c>
      <c r="H64" s="21">
        <f>INDEX('Growing &amp; falling'!H$44:H$69,MATCH($B64,'Growing &amp; falling'!$B$44:$B$69,0))*'Raw demand'!$AJ64</f>
        <v>20.829994391345664</v>
      </c>
      <c r="I64" s="21">
        <f>INDEX('Growing &amp; falling'!I$44:I$69,MATCH($B64,'Growing &amp; falling'!$B$44:$B$69,0))*'Raw demand'!$AJ64</f>
        <v>20.873009108230708</v>
      </c>
      <c r="J64" s="21">
        <f>INDEX('Growing &amp; falling'!J$44:J$69,MATCH($B64,'Growing &amp; falling'!$B$44:$B$69,0))*'Raw demand'!$AJ64</f>
        <v>20.916112652113675</v>
      </c>
      <c r="K64" s="21">
        <f>INDEX('Growing &amp; falling'!K$44:K$69,MATCH($B64,'Growing &amp; falling'!$B$44:$B$69,0))*'Raw demand'!$AJ64</f>
        <v>20.959305206425647</v>
      </c>
      <c r="L64" s="21">
        <f>INDEX('Growing &amp; falling'!L$44:L$69,MATCH($B64,'Growing &amp; falling'!$B$44:$B$69,0))*'Raw demand'!$AJ64</f>
        <v>21.002586954976479</v>
      </c>
      <c r="M64" s="21">
        <f>INDEX('Growing &amp; falling'!M$44:M$69,MATCH($B64,'Growing &amp; falling'!$B$44:$B$69,0))*'Raw demand'!$AJ64</f>
        <v>21.045958081955622</v>
      </c>
      <c r="N64" s="21">
        <f>INDEX('Growing &amp; falling'!N$44:N$69,MATCH($B64,'Growing &amp; falling'!$B$44:$B$69,0))*'Raw demand'!$AJ64</f>
        <v>21.089418771932852</v>
      </c>
      <c r="O64" s="21">
        <f>INDEX('Growing &amp; falling'!O$44:O$69,MATCH($B64,'Growing &amp; falling'!$B$44:$B$69,0))*'Raw demand'!$AJ64</f>
        <v>21.132969209859112</v>
      </c>
      <c r="P64" s="21">
        <f>INDEX('Growing &amp; falling'!P$44:P$69,MATCH($B64,'Growing &amp; falling'!$B$44:$B$69,0))*'Raw demand'!$AJ64</f>
        <v>21.176609581067282</v>
      </c>
      <c r="Q64"/>
      <c r="R64" s="73">
        <f>IFERROR(IF('Smoothed demand'!$F64&lt;MAX('Smoothed demand'!$G64:$P64),(MAX('Smoothed demand'!$G64:$P64)/'Smoothed demand'!$F64)^(1/10)-1,('Smoothed demand'!$P64/'Smoothed demand'!$F64)^(1/10)-1),0)</f>
        <v>2.0650373724013793E-3</v>
      </c>
    </row>
    <row r="65" spans="2:18" s="1" customFormat="1">
      <c r="B65" s="2" t="str">
        <f t="shared" si="0"/>
        <v>Carlingford</v>
      </c>
      <c r="C65" s="35" t="str" cm="1">
        <f t="array" ref="C65">INDEX(network_levels,COUNTIFS($B$10:$B65,$B$10))</f>
        <v>ST</v>
      </c>
      <c r="D65" s="35" t="str">
        <f>INDEX('Growing &amp; falling'!$D$14:$D$39,MATCH($B65,'Growing &amp; falling'!$B$14:$B$39,0))</f>
        <v>Growth</v>
      </c>
      <c r="E65" s="35" t="s">
        <v>80</v>
      </c>
      <c r="F65" s="21">
        <f>INDEX('Growing &amp; falling'!F$44:F$69,MATCH($B65,'Growing &amp; falling'!$B$44:$B$69,0))*'Raw demand'!$AJ65</f>
        <v>135.3357731746321</v>
      </c>
      <c r="G65" s="21">
        <f>INDEX('Growing &amp; falling'!G$44:G$69,MATCH($B65,'Growing &amp; falling'!$B$44:$B$69,0))*'Raw demand'!$AJ65</f>
        <v>141.26323536105667</v>
      </c>
      <c r="H65" s="21">
        <f>INDEX('Growing &amp; falling'!H$44:H$69,MATCH($B65,'Growing &amp; falling'!$B$44:$B$69,0))*'Raw demand'!$AJ65</f>
        <v>147.45030967476526</v>
      </c>
      <c r="I65" s="21">
        <f>INDEX('Growing &amp; falling'!I$44:I$69,MATCH($B65,'Growing &amp; falling'!$B$44:$B$69,0))*'Raw demand'!$AJ65</f>
        <v>153.90836665757041</v>
      </c>
      <c r="J65" s="21">
        <f>INDEX('Growing &amp; falling'!J$44:J$69,MATCH($B65,'Growing &amp; falling'!$B$44:$B$69,0))*'Raw demand'!$AJ65</f>
        <v>160.64927486045877</v>
      </c>
      <c r="K65" s="21">
        <f>INDEX('Growing &amp; falling'!K$44:K$69,MATCH($B65,'Growing &amp; falling'!$B$44:$B$69,0))*'Raw demand'!$AJ65</f>
        <v>167.68542265549272</v>
      </c>
      <c r="L65" s="21">
        <f>INDEX('Growing &amp; falling'!L$44:L$69,MATCH($B65,'Growing &amp; falling'!$B$44:$B$69,0))*'Raw demand'!$AJ65</f>
        <v>175.02974100303345</v>
      </c>
      <c r="M65" s="21">
        <f>INDEX('Growing &amp; falling'!M$44:M$69,MATCH($B65,'Growing &amp; falling'!$B$44:$B$69,0))*'Raw demand'!$AJ65</f>
        <v>182.69572721612758</v>
      </c>
      <c r="N65" s="21">
        <f>INDEX('Growing &amp; falling'!N$44:N$69,MATCH($B65,'Growing &amp; falling'!$B$44:$B$69,0))*'Raw demand'!$AJ65</f>
        <v>190.69746976573103</v>
      </c>
      <c r="O65" s="21">
        <f>INDEX('Growing &amp; falling'!O$44:O$69,MATCH($B65,'Growing &amp; falling'!$B$44:$B$69,0))*'Raw demand'!$AJ65</f>
        <v>199.04967417235642</v>
      </c>
      <c r="P65" s="21">
        <f>INDEX('Growing &amp; falling'!P$44:P$69,MATCH($B65,'Growing &amp; falling'!$B$44:$B$69,0))*'Raw demand'!$AJ65</f>
        <v>207.76769003172814</v>
      </c>
      <c r="Q65"/>
      <c r="R65" s="73">
        <f>IFERROR(IF('Smoothed demand'!$F65&lt;MAX('Smoothed demand'!$G65:$P65),(MAX('Smoothed demand'!$G65:$P65)/'Smoothed demand'!$F65)^(1/10)-1,('Smoothed demand'!$P65/'Smoothed demand'!$F65)^(1/10)-1),0)</f>
        <v>4.3798192062463936E-2</v>
      </c>
    </row>
    <row r="66" spans="2:18" s="1" customFormat="1">
      <c r="B66" s="2" t="str">
        <f t="shared" si="0"/>
        <v>Eastern Suburbs</v>
      </c>
      <c r="C66" s="35" t="str" cm="1">
        <f t="array" ref="C66">INDEX(network_levels,COUNTIFS($B$10:$B66,$B$10))</f>
        <v>ST</v>
      </c>
      <c r="D66" s="35" t="str">
        <f>INDEX('Growing &amp; falling'!$D$14:$D$39,MATCH($B66,'Growing &amp; falling'!$B$14:$B$39,0))</f>
        <v>Growth</v>
      </c>
      <c r="E66" s="35" t="s">
        <v>80</v>
      </c>
      <c r="F66" s="21">
        <f>INDEX('Growing &amp; falling'!F$44:F$69,MATCH($B66,'Growing &amp; falling'!$B$44:$B$69,0))*'Raw demand'!$AJ66</f>
        <v>156.38242767605243</v>
      </c>
      <c r="G66" s="21">
        <f>INDEX('Growing &amp; falling'!G$44:G$69,MATCH($B66,'Growing &amp; falling'!$B$44:$B$69,0))*'Raw demand'!$AJ66</f>
        <v>156.46439380032874</v>
      </c>
      <c r="H66" s="21">
        <f>INDEX('Growing &amp; falling'!H$44:H$69,MATCH($B66,'Growing &amp; falling'!$B$44:$B$69,0))*'Raw demand'!$AJ66</f>
        <v>156.54640288624486</v>
      </c>
      <c r="I66" s="21">
        <f>INDEX('Growing &amp; falling'!I$44:I$69,MATCH($B66,'Growing &amp; falling'!$B$44:$B$69,0))*'Raw demand'!$AJ66</f>
        <v>156.62845495631865</v>
      </c>
      <c r="J66" s="21">
        <f>INDEX('Growing &amp; falling'!J$44:J$69,MATCH($B66,'Growing &amp; falling'!$B$44:$B$69,0))*'Raw demand'!$AJ66</f>
        <v>156.71055003307978</v>
      </c>
      <c r="K66" s="21">
        <f>INDEX('Growing &amp; falling'!K$44:K$69,MATCH($B66,'Growing &amp; falling'!$B$44:$B$69,0))*'Raw demand'!$AJ66</f>
        <v>156.79268813906975</v>
      </c>
      <c r="L66" s="21">
        <f>INDEX('Growing &amp; falling'!L$44:L$69,MATCH($B66,'Growing &amp; falling'!$B$44:$B$69,0))*'Raw demand'!$AJ66</f>
        <v>156.87486929684184</v>
      </c>
      <c r="M66" s="21">
        <f>INDEX('Growing &amp; falling'!M$44:M$69,MATCH($B66,'Growing &amp; falling'!$B$44:$B$69,0))*'Raw demand'!$AJ66</f>
        <v>156.95709352896111</v>
      </c>
      <c r="N66" s="21">
        <f>INDEX('Growing &amp; falling'!N$44:N$69,MATCH($B66,'Growing &amp; falling'!$B$44:$B$69,0))*'Raw demand'!$AJ66</f>
        <v>157.03936085800458</v>
      </c>
      <c r="O66" s="21">
        <f>INDEX('Growing &amp; falling'!O$44:O$69,MATCH($B66,'Growing &amp; falling'!$B$44:$B$69,0))*'Raw demand'!$AJ66</f>
        <v>157.12167130656104</v>
      </c>
      <c r="P66" s="21">
        <f>INDEX('Growing &amp; falling'!P$44:P$69,MATCH($B66,'Growing &amp; falling'!$B$44:$B$69,0))*'Raw demand'!$AJ66</f>
        <v>157.20402489723105</v>
      </c>
      <c r="Q66"/>
      <c r="R66" s="73">
        <f>IFERROR(IF('Smoothed demand'!$F66&lt;MAX('Smoothed demand'!$G66:$P66),(MAX('Smoothed demand'!$G66:$P66)/'Smoothed demand'!$F66)^(1/10)-1,('Smoothed demand'!$P66/'Smoothed demand'!$F66)^(1/10)-1),0)</f>
        <v>5.241389681334141E-4</v>
      </c>
    </row>
    <row r="67" spans="2:18" s="1" customFormat="1">
      <c r="B67" s="2" t="str">
        <f t="shared" si="0"/>
        <v>Greater Cessnock</v>
      </c>
      <c r="C67" s="35" t="str" cm="1">
        <f t="array" ref="C67">INDEX(network_levels,COUNTIFS($B$10:$B67,$B$10))</f>
        <v>ST</v>
      </c>
      <c r="D67" s="35" t="str">
        <f>INDEX('Growing &amp; falling'!$D$14:$D$39,MATCH($B67,'Growing &amp; falling'!$B$14:$B$39,0))</f>
        <v>Growth</v>
      </c>
      <c r="E67" s="35" t="s">
        <v>80</v>
      </c>
      <c r="F67" s="21">
        <f>INDEX('Growing &amp; falling'!F$44:F$69,MATCH($B67,'Growing &amp; falling'!$B$44:$B$69,0))*'Raw demand'!$AJ67</f>
        <v>4.2395674365599838</v>
      </c>
      <c r="G67" s="21">
        <f>INDEX('Growing &amp; falling'!G$44:G$69,MATCH($B67,'Growing &amp; falling'!$B$44:$B$69,0))*'Raw demand'!$AJ67</f>
        <v>4.2545294637637863</v>
      </c>
      <c r="H67" s="21">
        <f>INDEX('Growing &amp; falling'!H$44:H$69,MATCH($B67,'Growing &amp; falling'!$B$44:$B$69,0))*'Raw demand'!$AJ67</f>
        <v>4.2695442940569128</v>
      </c>
      <c r="I67" s="21">
        <f>INDEX('Growing &amp; falling'!I$44:I$69,MATCH($B67,'Growing &amp; falling'!$B$44:$B$69,0))*'Raw demand'!$AJ67</f>
        <v>4.2846121137888602</v>
      </c>
      <c r="J67" s="21">
        <f>INDEX('Growing &amp; falling'!J$44:J$69,MATCH($B67,'Growing &amp; falling'!$B$44:$B$69,0))*'Raw demand'!$AJ67</f>
        <v>4.2997331099667786</v>
      </c>
      <c r="K67" s="21">
        <f>INDEX('Growing &amp; falling'!K$44:K$69,MATCH($B67,'Growing &amp; falling'!$B$44:$B$69,0))*'Raw demand'!$AJ67</f>
        <v>4.3149074702577925</v>
      </c>
      <c r="L67" s="21">
        <f>INDEX('Growing &amp; falling'!L$44:L$69,MATCH($B67,'Growing &amp; falling'!$B$44:$B$69,0))*'Raw demand'!$AJ67</f>
        <v>4.3301353829913314</v>
      </c>
      <c r="M67" s="21">
        <f>INDEX('Growing &amp; falling'!M$44:M$69,MATCH($B67,'Growing &amp; falling'!$B$44:$B$69,0))*'Raw demand'!$AJ67</f>
        <v>4.3454170371614635</v>
      </c>
      <c r="N67" s="21">
        <f>INDEX('Growing &amp; falling'!N$44:N$69,MATCH($B67,'Growing &amp; falling'!$B$44:$B$69,0))*'Raw demand'!$AJ67</f>
        <v>4.3607526224292457</v>
      </c>
      <c r="O67" s="21">
        <f>INDEX('Growing &amp; falling'!O$44:O$69,MATCH($B67,'Growing &amp; falling'!$B$44:$B$69,0))*'Raw demand'!$AJ67</f>
        <v>4.3761423291250736</v>
      </c>
      <c r="P67" s="21">
        <f>INDEX('Growing &amp; falling'!P$44:P$69,MATCH($B67,'Growing &amp; falling'!$B$44:$B$69,0))*'Raw demand'!$AJ67</f>
        <v>4.3915863482510451</v>
      </c>
      <c r="Q67"/>
      <c r="R67" s="73">
        <f>IFERROR(IF('Smoothed demand'!$F67&lt;MAX('Smoothed demand'!$G67:$P67),(MAX('Smoothed demand'!$G67:$P67)/'Smoothed demand'!$F67)^(1/10)-1,('Smoothed demand'!$P67/'Smoothed demand'!$F67)^(1/10)-1),0)</f>
        <v>3.5291400426320507E-3</v>
      </c>
    </row>
    <row r="68" spans="2:18" s="1" customFormat="1">
      <c r="B68" s="2" t="str">
        <f t="shared" ref="B68:B87" si="1">B42</f>
        <v>Lower Central Coast</v>
      </c>
      <c r="C68" s="35" t="str" cm="1">
        <f t="array" ref="C68">INDEX(network_levels,COUNTIFS($B$10:$B68,$B$10))</f>
        <v>ST</v>
      </c>
      <c r="D68" s="35" t="str">
        <f>INDEX('Growing &amp; falling'!$D$14:$D$39,MATCH($B68,'Growing &amp; falling'!$B$14:$B$39,0))</f>
        <v>Growth</v>
      </c>
      <c r="E68" s="35" t="s">
        <v>80</v>
      </c>
      <c r="F68" s="21">
        <f>INDEX('Growing &amp; falling'!F$44:F$69,MATCH($B68,'Growing &amp; falling'!$B$44:$B$69,0))*'Raw demand'!$AJ68</f>
        <v>8.661506850215801</v>
      </c>
      <c r="G68" s="21">
        <f>INDEX('Growing &amp; falling'!G$44:G$69,MATCH($B68,'Growing &amp; falling'!$B$44:$B$69,0))*'Raw demand'!$AJ68</f>
        <v>8.6617856594216001</v>
      </c>
      <c r="H68" s="21">
        <f>INDEX('Growing &amp; falling'!H$44:H$69,MATCH($B68,'Growing &amp; falling'!$B$44:$B$69,0))*'Raw demand'!$AJ68</f>
        <v>8.6620644776021134</v>
      </c>
      <c r="I68" s="21">
        <f>INDEX('Growing &amp; falling'!I$44:I$69,MATCH($B68,'Growing &amp; falling'!$B$44:$B$69,0))*'Raw demand'!$AJ68</f>
        <v>8.6623433047576341</v>
      </c>
      <c r="J68" s="21">
        <f>INDEX('Growing &amp; falling'!J$44:J$69,MATCH($B68,'Growing &amp; falling'!$B$44:$B$69,0))*'Raw demand'!$AJ68</f>
        <v>8.6626221408884518</v>
      </c>
      <c r="K68" s="21">
        <f>INDEX('Growing &amp; falling'!K$44:K$69,MATCH($B68,'Growing &amp; falling'!$B$44:$B$69,0))*'Raw demand'!$AJ68</f>
        <v>8.6629009859948489</v>
      </c>
      <c r="L68" s="21">
        <f>INDEX('Growing &amp; falling'!L$44:L$69,MATCH($B68,'Growing &amp; falling'!$B$44:$B$69,0))*'Raw demand'!$AJ68</f>
        <v>8.6631798400771238</v>
      </c>
      <c r="M68" s="21">
        <f>INDEX('Growing &amp; falling'!M$44:M$69,MATCH($B68,'Growing &amp; falling'!$B$44:$B$69,0))*'Raw demand'!$AJ68</f>
        <v>8.6634587031355554</v>
      </c>
      <c r="N68" s="21">
        <f>INDEX('Growing &amp; falling'!N$44:N$69,MATCH($B68,'Growing &amp; falling'!$B$44:$B$69,0))*'Raw demand'!$AJ68</f>
        <v>8.6637375751704404</v>
      </c>
      <c r="O68" s="21">
        <f>INDEX('Growing &amp; falling'!O$44:O$69,MATCH($B68,'Growing &amp; falling'!$B$44:$B$69,0))*'Raw demand'!$AJ68</f>
        <v>8.6640164561820647</v>
      </c>
      <c r="P68" s="21">
        <f>INDEX('Growing &amp; falling'!P$44:P$69,MATCH($B68,'Growing &amp; falling'!$B$44:$B$69,0))*'Raw demand'!$AJ68</f>
        <v>8.6642953461707179</v>
      </c>
      <c r="Q68"/>
      <c r="R68" s="73">
        <f>IFERROR(IF('Smoothed demand'!$F68&lt;MAX('Smoothed demand'!$G68:$P68),(MAX('Smoothed demand'!$G68:$P68)/'Smoothed demand'!$F68)^(1/10)-1,('Smoothed demand'!$P68/'Smoothed demand'!$F68)^(1/10)-1),0)</f>
        <v>3.2189457402687083E-5</v>
      </c>
    </row>
    <row r="69" spans="2:18" s="1" customFormat="1">
      <c r="B69" s="2" t="str">
        <f t="shared" si="1"/>
        <v>Lower North Shore</v>
      </c>
      <c r="C69" s="35" t="str" cm="1">
        <f t="array" ref="C69">INDEX(network_levels,COUNTIFS($B$10:$B69,$B$10))</f>
        <v>ST</v>
      </c>
      <c r="D69" s="35" t="str">
        <f>INDEX('Growing &amp; falling'!$D$14:$D$39,MATCH($B69,'Growing &amp; falling'!$B$14:$B$39,0))</f>
        <v>Growth</v>
      </c>
      <c r="E69" s="35" t="s">
        <v>80</v>
      </c>
      <c r="F69" s="21">
        <f>INDEX('Growing &amp; falling'!F$44:F$69,MATCH($B69,'Growing &amp; falling'!$B$44:$B$69,0))*'Raw demand'!$AJ69</f>
        <v>95.154284614500213</v>
      </c>
      <c r="G69" s="21">
        <f>INDEX('Growing &amp; falling'!G$44:G$69,MATCH($B69,'Growing &amp; falling'!$B$44:$B$69,0))*'Raw demand'!$AJ69</f>
        <v>96.147319328211054</v>
      </c>
      <c r="H69" s="21">
        <f>INDEX('Growing &amp; falling'!H$44:H$69,MATCH($B69,'Growing &amp; falling'!$B$44:$B$69,0))*'Raw demand'!$AJ69</f>
        <v>97.150717400194495</v>
      </c>
      <c r="I69" s="21">
        <f>INDEX('Growing &amp; falling'!I$44:I$69,MATCH($B69,'Growing &amp; falling'!$B$44:$B$69,0))*'Raw demand'!$AJ69</f>
        <v>98.16458698295844</v>
      </c>
      <c r="J69" s="21">
        <f>INDEX('Growing &amp; falling'!J$44:J$69,MATCH($B69,'Growing &amp; falling'!$B$44:$B$69,0))*'Raw demand'!$AJ69</f>
        <v>99.189037357695526</v>
      </c>
      <c r="K69" s="21">
        <f>INDEX('Growing &amp; falling'!K$44:K$69,MATCH($B69,'Growing &amp; falling'!$B$44:$B$69,0))*'Raw demand'!$AJ69</f>
        <v>100.22417894606224</v>
      </c>
      <c r="L69" s="21">
        <f>INDEX('Growing &amp; falling'!L$44:L$69,MATCH($B69,'Growing &amp; falling'!$B$44:$B$69,0))*'Raw demand'!$AJ69</f>
        <v>101.27012332208079</v>
      </c>
      <c r="M69" s="21">
        <f>INDEX('Growing &amp; falling'!M$44:M$69,MATCH($B69,'Growing &amp; falling'!$B$44:$B$69,0))*'Raw demand'!$AJ69</f>
        <v>102.32698322416532</v>
      </c>
      <c r="N69" s="21">
        <f>INDEX('Growing &amp; falling'!N$44:N$69,MATCH($B69,'Growing &amp; falling'!$B$44:$B$69,0))*'Raw demand'!$AJ69</f>
        <v>103.39487256727344</v>
      </c>
      <c r="O69" s="21">
        <f>INDEX('Growing &amp; falling'!O$44:O$69,MATCH($B69,'Growing &amp; falling'!$B$44:$B$69,0))*'Raw demand'!$AJ69</f>
        <v>104.4739064551848</v>
      </c>
      <c r="P69" s="21">
        <f>INDEX('Growing &amp; falling'!P$44:P$69,MATCH($B69,'Growing &amp; falling'!$B$44:$B$69,0))*'Raw demand'!$AJ69</f>
        <v>105.56420119290772</v>
      </c>
      <c r="Q69"/>
      <c r="R69" s="73">
        <f>IFERROR(IF('Smoothed demand'!$F69&lt;MAX('Smoothed demand'!$G69:$P69),(MAX('Smoothed demand'!$G69:$P69)/'Smoothed demand'!$F69)^(1/10)-1,('Smoothed demand'!$P69/'Smoothed demand'!$F69)^(1/10)-1),0)</f>
        <v>1.0436048337013171E-2</v>
      </c>
    </row>
    <row r="70" spans="2:18" s="1" customFormat="1">
      <c r="B70" s="2" t="str">
        <f t="shared" si="1"/>
        <v>Maitland</v>
      </c>
      <c r="C70" s="35" t="str" cm="1">
        <f t="array" ref="C70">INDEX(network_levels,COUNTIFS($B$10:$B70,$B$10))</f>
        <v>ST</v>
      </c>
      <c r="D70" s="35" t="str">
        <f>INDEX('Growing &amp; falling'!$D$14:$D$39,MATCH($B70,'Growing &amp; falling'!$B$14:$B$39,0))</f>
        <v>Growth</v>
      </c>
      <c r="E70" s="35" t="s">
        <v>80</v>
      </c>
      <c r="F70" s="21">
        <f>INDEX('Growing &amp; falling'!F$44:F$69,MATCH($B70,'Growing &amp; falling'!$B$44:$B$69,0))*'Raw demand'!$AJ70</f>
        <v>-13.233697852426653</v>
      </c>
      <c r="G70" s="21">
        <f>INDEX('Growing &amp; falling'!G$44:G$69,MATCH($B70,'Growing &amp; falling'!$B$44:$B$69,0))*'Raw demand'!$AJ70</f>
        <v>-13.252848143061518</v>
      </c>
      <c r="H70" s="21">
        <f>INDEX('Growing &amp; falling'!H$44:H$69,MATCH($B70,'Growing &amp; falling'!$B$44:$B$69,0))*'Raw demand'!$AJ70</f>
        <v>-13.27202614580191</v>
      </c>
      <c r="I70" s="21">
        <f>INDEX('Growing &amp; falling'!I$44:I$69,MATCH($B70,'Growing &amp; falling'!$B$44:$B$69,0))*'Raw demand'!$AJ70</f>
        <v>-13.291231900749612</v>
      </c>
      <c r="J70" s="21">
        <f>INDEX('Growing &amp; falling'!J$44:J$69,MATCH($B70,'Growing &amp; falling'!$B$44:$B$69,0))*'Raw demand'!$AJ70</f>
        <v>-13.310465448064436</v>
      </c>
      <c r="K70" s="21">
        <f>INDEX('Growing &amp; falling'!K$44:K$69,MATCH($B70,'Growing &amp; falling'!$B$44:$B$69,0))*'Raw demand'!$AJ70</f>
        <v>-13.329726827964311</v>
      </c>
      <c r="L70" s="21">
        <f>INDEX('Growing &amp; falling'!L$44:L$69,MATCH($B70,'Growing &amp; falling'!$B$44:$B$69,0))*'Raw demand'!$AJ70</f>
        <v>-13.349016080725365</v>
      </c>
      <c r="M70" s="21">
        <f>INDEX('Growing &amp; falling'!M$44:M$69,MATCH($B70,'Growing &amp; falling'!$B$44:$B$69,0))*'Raw demand'!$AJ70</f>
        <v>-13.368333246682008</v>
      </c>
      <c r="N70" s="21">
        <f>INDEX('Growing &amp; falling'!N$44:N$69,MATCH($B70,'Growing &amp; falling'!$B$44:$B$69,0))*'Raw demand'!$AJ70</f>
        <v>-13.387678366227014</v>
      </c>
      <c r="O70" s="21">
        <f>INDEX('Growing &amp; falling'!O$44:O$69,MATCH($B70,'Growing &amp; falling'!$B$44:$B$69,0))*'Raw demand'!$AJ70</f>
        <v>-13.407051479811614</v>
      </c>
      <c r="P70" s="21">
        <f>INDEX('Growing &amp; falling'!P$44:P$69,MATCH($B70,'Growing &amp; falling'!$B$44:$B$69,0))*'Raw demand'!$AJ70</f>
        <v>-13.426452627945572</v>
      </c>
      <c r="Q70"/>
      <c r="R70" s="73">
        <f>IFERROR(IF('Smoothed demand'!$F70&lt;MAX('Smoothed demand'!$G70:$P70),(MAX('Smoothed demand'!$G70:$P70)/'Smoothed demand'!$F70)^(1/10)-1,('Smoothed demand'!$P70/'Smoothed demand'!$F70)^(1/10)-1),0)</f>
        <v>1.4470853761674451E-3</v>
      </c>
    </row>
    <row r="71" spans="2:18" s="1" customFormat="1">
      <c r="B71" s="2" t="str">
        <f t="shared" si="1"/>
        <v>Manly Warringah</v>
      </c>
      <c r="C71" s="35" t="str" cm="1">
        <f t="array" ref="C71">INDEX(network_levels,COUNTIFS($B$10:$B71,$B$10))</f>
        <v>ST</v>
      </c>
      <c r="D71" s="35" t="str">
        <f>INDEX('Growing &amp; falling'!$D$14:$D$39,MATCH($B71,'Growing &amp; falling'!$B$14:$B$39,0))</f>
        <v>Growth</v>
      </c>
      <c r="E71" s="35" t="s">
        <v>80</v>
      </c>
      <c r="F71" s="21">
        <f>INDEX('Growing &amp; falling'!F$44:F$69,MATCH($B71,'Growing &amp; falling'!$B$44:$B$69,0))*'Raw demand'!$AJ71</f>
        <v>6.5146905311918619</v>
      </c>
      <c r="G71" s="21">
        <f>INDEX('Growing &amp; falling'!G$44:G$69,MATCH($B71,'Growing &amp; falling'!$B$44:$B$69,0))*'Raw demand'!$AJ71</f>
        <v>6.5344324199468131</v>
      </c>
      <c r="H71" s="21">
        <f>INDEX('Growing &amp; falling'!H$44:H$69,MATCH($B71,'Growing &amp; falling'!$B$44:$B$69,0))*'Raw demand'!$AJ71</f>
        <v>6.5542341338261894</v>
      </c>
      <c r="I71" s="21">
        <f>INDEX('Growing &amp; falling'!I$44:I$69,MATCH($B71,'Growing &amp; falling'!$B$44:$B$69,0))*'Raw demand'!$AJ71</f>
        <v>6.5740958541219392</v>
      </c>
      <c r="J71" s="21">
        <f>INDEX('Growing &amp; falling'!J$44:J$69,MATCH($B71,'Growing &amp; falling'!$B$44:$B$69,0))*'Raw demand'!$AJ71</f>
        <v>6.5940177626753957</v>
      </c>
      <c r="K71" s="21">
        <f>INDEX('Growing &amp; falling'!K$44:K$69,MATCH($B71,'Growing &amp; falling'!$B$44:$B$69,0))*'Raw demand'!$AJ71</f>
        <v>6.614000041878934</v>
      </c>
      <c r="L71" s="21">
        <f>INDEX('Growing &amp; falling'!L$44:L$69,MATCH($B71,'Growing &amp; falling'!$B$44:$B$69,0))*'Raw demand'!$AJ71</f>
        <v>6.6340428746776441</v>
      </c>
      <c r="M71" s="21">
        <f>INDEX('Growing &amp; falling'!M$44:M$69,MATCH($B71,'Growing &amp; falling'!$B$44:$B$69,0))*'Raw demand'!$AJ71</f>
        <v>6.6541464445710092</v>
      </c>
      <c r="N71" s="21">
        <f>INDEX('Growing &amp; falling'!N$44:N$69,MATCH($B71,'Growing &amp; falling'!$B$44:$B$69,0))*'Raw demand'!$AJ71</f>
        <v>6.6743109356145851</v>
      </c>
      <c r="O71" s="21">
        <f>INDEX('Growing &amp; falling'!O$44:O$69,MATCH($B71,'Growing &amp; falling'!$B$44:$B$69,0))*'Raw demand'!$AJ71</f>
        <v>6.6945365324216759</v>
      </c>
      <c r="P71" s="21">
        <f>INDEX('Growing &amp; falling'!P$44:P$69,MATCH($B71,'Growing &amp; falling'!$B$44:$B$69,0))*'Raw demand'!$AJ71</f>
        <v>6.7148234201650379</v>
      </c>
      <c r="Q71"/>
      <c r="R71" s="73">
        <f>IFERROR(IF('Smoothed demand'!$F71&lt;MAX('Smoothed demand'!$G71:$P71),(MAX('Smoothed demand'!$G71:$P71)/'Smoothed demand'!$F71)^(1/10)-1,('Smoothed demand'!$P71/'Smoothed demand'!$F71)^(1/10)-1),0)</f>
        <v>3.0303647825524749E-3</v>
      </c>
    </row>
    <row r="72" spans="2:18" s="1" customFormat="1">
      <c r="B72" s="2" t="str">
        <f t="shared" si="1"/>
        <v>Newcastle Inner City</v>
      </c>
      <c r="C72" s="35" t="str" cm="1">
        <f t="array" ref="C72">INDEX(network_levels,COUNTIFS($B$10:$B72,$B$10))</f>
        <v>ST</v>
      </c>
      <c r="D72" s="35" t="str">
        <f>INDEX('Growing &amp; falling'!$D$14:$D$39,MATCH($B72,'Growing &amp; falling'!$B$14:$B$39,0))</f>
        <v>Decline</v>
      </c>
      <c r="E72" s="35" t="s">
        <v>80</v>
      </c>
      <c r="F72" s="21">
        <f>INDEX('Growing &amp; falling'!F$44:F$69,MATCH($B72,'Growing &amp; falling'!$B$44:$B$69,0))*'Raw demand'!$AJ72</f>
        <v>0</v>
      </c>
      <c r="G72" s="21">
        <f>INDEX('Growing &amp; falling'!G$44:G$69,MATCH($B72,'Growing &amp; falling'!$B$44:$B$69,0))*'Raw demand'!$AJ72</f>
        <v>0</v>
      </c>
      <c r="H72" s="21">
        <f>INDEX('Growing &amp; falling'!H$44:H$69,MATCH($B72,'Growing &amp; falling'!$B$44:$B$69,0))*'Raw demand'!$AJ72</f>
        <v>0</v>
      </c>
      <c r="I72" s="21">
        <f>INDEX('Growing &amp; falling'!I$44:I$69,MATCH($B72,'Growing &amp; falling'!$B$44:$B$69,0))*'Raw demand'!$AJ72</f>
        <v>0</v>
      </c>
      <c r="J72" s="21">
        <f>INDEX('Growing &amp; falling'!J$44:J$69,MATCH($B72,'Growing &amp; falling'!$B$44:$B$69,0))*'Raw demand'!$AJ72</f>
        <v>0</v>
      </c>
      <c r="K72" s="21">
        <f>INDEX('Growing &amp; falling'!K$44:K$69,MATCH($B72,'Growing &amp; falling'!$B$44:$B$69,0))*'Raw demand'!$AJ72</f>
        <v>0</v>
      </c>
      <c r="L72" s="21">
        <f>INDEX('Growing &amp; falling'!L$44:L$69,MATCH($B72,'Growing &amp; falling'!$B$44:$B$69,0))*'Raw demand'!$AJ72</f>
        <v>0</v>
      </c>
      <c r="M72" s="21">
        <f>INDEX('Growing &amp; falling'!M$44:M$69,MATCH($B72,'Growing &amp; falling'!$B$44:$B$69,0))*'Raw demand'!$AJ72</f>
        <v>0</v>
      </c>
      <c r="N72" s="21">
        <f>INDEX('Growing &amp; falling'!N$44:N$69,MATCH($B72,'Growing &amp; falling'!$B$44:$B$69,0))*'Raw demand'!$AJ72</f>
        <v>0</v>
      </c>
      <c r="O72" s="21">
        <f>INDEX('Growing &amp; falling'!O$44:O$69,MATCH($B72,'Growing &amp; falling'!$B$44:$B$69,0))*'Raw demand'!$AJ72</f>
        <v>0</v>
      </c>
      <c r="P72" s="21">
        <f>INDEX('Growing &amp; falling'!P$44:P$69,MATCH($B72,'Growing &amp; falling'!$B$44:$B$69,0))*'Raw demand'!$AJ72</f>
        <v>0</v>
      </c>
      <c r="Q72"/>
      <c r="R72" s="73">
        <f>IFERROR(IF('Smoothed demand'!$F72&lt;MAX('Smoothed demand'!$G72:$P72),(MAX('Smoothed demand'!$G72:$P72)/'Smoothed demand'!$F72)^(1/10)-1,('Smoothed demand'!$P72/'Smoothed demand'!$F72)^(1/10)-1),0)</f>
        <v>0</v>
      </c>
    </row>
    <row r="73" spans="2:18" s="1" customFormat="1">
      <c r="B73" s="2" t="str">
        <f t="shared" si="1"/>
        <v>Newcastle Port</v>
      </c>
      <c r="C73" s="35" t="str" cm="1">
        <f t="array" ref="C73">INDEX(network_levels,COUNTIFS($B$10:$B73,$B$10))</f>
        <v>ST</v>
      </c>
      <c r="D73" s="35" t="str">
        <f>INDEX('Growing &amp; falling'!$D$14:$D$39,MATCH($B73,'Growing &amp; falling'!$B$14:$B$39,0))</f>
        <v>Growth</v>
      </c>
      <c r="E73" s="35" t="s">
        <v>80</v>
      </c>
      <c r="F73" s="21">
        <f>INDEX('Growing &amp; falling'!F$44:F$69,MATCH($B73,'Growing &amp; falling'!$B$44:$B$69,0))*'Raw demand'!$AJ73</f>
        <v>76.617700717402016</v>
      </c>
      <c r="G73" s="21">
        <f>INDEX('Growing &amp; falling'!G$44:G$69,MATCH($B73,'Growing &amp; falling'!$B$44:$B$69,0))*'Raw demand'!$AJ73</f>
        <v>76.667576953042754</v>
      </c>
      <c r="H73" s="21">
        <f>INDEX('Growing &amp; falling'!H$44:H$69,MATCH($B73,'Growing &amp; falling'!$B$44:$B$69,0))*'Raw demand'!$AJ73</f>
        <v>76.717485656884179</v>
      </c>
      <c r="I73" s="21">
        <f>INDEX('Growing &amp; falling'!I$44:I$69,MATCH($B73,'Growing &amp; falling'!$B$44:$B$69,0))*'Raw demand'!$AJ73</f>
        <v>76.767426850062279</v>
      </c>
      <c r="J73" s="21">
        <f>INDEX('Growing &amp; falling'!J$44:J$69,MATCH($B73,'Growing &amp; falling'!$B$44:$B$69,0))*'Raw demand'!$AJ73</f>
        <v>76.817400553726785</v>
      </c>
      <c r="K73" s="21">
        <f>INDEX('Growing &amp; falling'!K$44:K$69,MATCH($B73,'Growing &amp; falling'!$B$44:$B$69,0))*'Raw demand'!$AJ73</f>
        <v>76.86740678904124</v>
      </c>
      <c r="L73" s="21">
        <f>INDEX('Growing &amp; falling'!L$44:L$69,MATCH($B73,'Growing &amp; falling'!$B$44:$B$69,0))*'Raw demand'!$AJ73</f>
        <v>76.91744557718296</v>
      </c>
      <c r="M73" s="21">
        <f>INDEX('Growing &amp; falling'!M$44:M$69,MATCH($B73,'Growing &amp; falling'!$B$44:$B$69,0))*'Raw demand'!$AJ73</f>
        <v>76.967516939343028</v>
      </c>
      <c r="N73" s="21">
        <f>INDEX('Growing &amp; falling'!N$44:N$69,MATCH($B73,'Growing &amp; falling'!$B$44:$B$69,0))*'Raw demand'!$AJ73</f>
        <v>77.017620896726314</v>
      </c>
      <c r="O73" s="21">
        <f>INDEX('Growing &amp; falling'!O$44:O$69,MATCH($B73,'Growing &amp; falling'!$B$44:$B$69,0))*'Raw demand'!$AJ73</f>
        <v>77.067757470551513</v>
      </c>
      <c r="P73" s="21">
        <f>INDEX('Growing &amp; falling'!P$44:P$69,MATCH($B73,'Growing &amp; falling'!$B$44:$B$69,0))*'Raw demand'!$AJ73</f>
        <v>77.117926682051134</v>
      </c>
      <c r="Q73"/>
      <c r="R73" s="73">
        <f>IFERROR(IF('Smoothed demand'!$F73&lt;MAX('Smoothed demand'!$G73:$P73),(MAX('Smoothed demand'!$G73:$P73)/'Smoothed demand'!$F73)^(1/10)-1,('Smoothed demand'!$P73/'Smoothed demand'!$F73)^(1/10)-1),0)</f>
        <v>6.5097536435754222E-4</v>
      </c>
    </row>
    <row r="74" spans="2:18" s="1" customFormat="1">
      <c r="B74" s="2" t="str">
        <f t="shared" si="1"/>
        <v>Newcastle Western Corridor</v>
      </c>
      <c r="C74" s="35" t="str" cm="1">
        <f t="array" ref="C74">INDEX(network_levels,COUNTIFS($B$10:$B74,$B$10))</f>
        <v>ST</v>
      </c>
      <c r="D74" s="35" t="str">
        <f>INDEX('Growing &amp; falling'!$D$14:$D$39,MATCH($B74,'Growing &amp; falling'!$B$14:$B$39,0))</f>
        <v>Decline</v>
      </c>
      <c r="E74" s="35" t="s">
        <v>80</v>
      </c>
      <c r="F74" s="21">
        <f>INDEX('Growing &amp; falling'!F$44:F$69,MATCH($B74,'Growing &amp; falling'!$B$44:$B$69,0))*'Raw demand'!$AJ74</f>
        <v>2.8577796018641376E-2</v>
      </c>
      <c r="G74" s="21">
        <f>INDEX('Growing &amp; falling'!G$44:G$69,MATCH($B74,'Growing &amp; falling'!$B$44:$B$69,0))*'Raw demand'!$AJ74</f>
        <v>2.8519098184696251E-2</v>
      </c>
      <c r="H74" s="21">
        <f>INDEX('Growing &amp; falling'!H$44:H$69,MATCH($B74,'Growing &amp; falling'!$B$44:$B$69,0))*'Raw demand'!$AJ74</f>
        <v>2.8460520914132138E-2</v>
      </c>
      <c r="I74" s="21">
        <f>INDEX('Growing &amp; falling'!I$44:I$69,MATCH($B74,'Growing &amp; falling'!$B$44:$B$69,0))*'Raw demand'!$AJ74</f>
        <v>2.8402063959315903E-2</v>
      </c>
      <c r="J74" s="21">
        <f>INDEX('Growing &amp; falling'!J$44:J$69,MATCH($B74,'Growing &amp; falling'!$B$44:$B$69,0))*'Raw demand'!$AJ74</f>
        <v>2.8343727073123028E-2</v>
      </c>
      <c r="K74" s="21">
        <f>INDEX('Growing &amp; falling'!K$44:K$69,MATCH($B74,'Growing &amp; falling'!$B$44:$B$69,0))*'Raw demand'!$AJ74</f>
        <v>2.8285510008936594E-2</v>
      </c>
      <c r="L74" s="21">
        <f>INDEX('Growing &amp; falling'!L$44:L$69,MATCH($B74,'Growing &amp; falling'!$B$44:$B$69,0))*'Raw demand'!$AJ74</f>
        <v>2.8227412520646221E-2</v>
      </c>
      <c r="M74" s="21">
        <f>INDEX('Growing &amp; falling'!M$44:M$69,MATCH($B74,'Growing &amp; falling'!$B$44:$B$69,0))*'Raw demand'!$AJ74</f>
        <v>2.8169434362647034E-2</v>
      </c>
      <c r="N74" s="21">
        <f>INDEX('Growing &amp; falling'!N$44:N$69,MATCH($B74,'Growing &amp; falling'!$B$44:$B$69,0))*'Raw demand'!$AJ74</f>
        <v>2.8111575289838615E-2</v>
      </c>
      <c r="O74" s="21">
        <f>INDEX('Growing &amp; falling'!O$44:O$69,MATCH($B74,'Growing &amp; falling'!$B$44:$B$69,0))*'Raw demand'!$AJ74</f>
        <v>2.8053835057623981E-2</v>
      </c>
      <c r="P74" s="21">
        <f>INDEX('Growing &amp; falling'!P$44:P$69,MATCH($B74,'Growing &amp; falling'!$B$44:$B$69,0))*'Raw demand'!$AJ74</f>
        <v>2.7996213421908545E-2</v>
      </c>
      <c r="Q74"/>
      <c r="R74" s="73">
        <f>IFERROR(IF('Smoothed demand'!$F74&lt;MAX('Smoothed demand'!$G74:$P74),(MAX('Smoothed demand'!$G74:$P74)/'Smoothed demand'!$F74)^(1/10)-1,('Smoothed demand'!$P74/'Smoothed demand'!$F74)^(1/10)-1),0)</f>
        <v>-2.0539664397783985E-3</v>
      </c>
    </row>
    <row r="75" spans="2:18" s="1" customFormat="1">
      <c r="B75" s="2" t="str">
        <f t="shared" si="1"/>
        <v>North East Lake Macquarie</v>
      </c>
      <c r="C75" s="35" t="str" cm="1">
        <f t="array" ref="C75">INDEX(network_levels,COUNTIFS($B$10:$B75,$B$10))</f>
        <v>ST</v>
      </c>
      <c r="D75" s="35" t="str">
        <f>INDEX('Growing &amp; falling'!$D$14:$D$39,MATCH($B75,'Growing &amp; falling'!$B$14:$B$39,0))</f>
        <v>Decline</v>
      </c>
      <c r="E75" s="35" t="s">
        <v>80</v>
      </c>
      <c r="F75" s="21">
        <f>INDEX('Growing &amp; falling'!F$44:F$69,MATCH($B75,'Growing &amp; falling'!$B$44:$B$69,0))*'Raw demand'!$AJ75</f>
        <v>0</v>
      </c>
      <c r="G75" s="21">
        <f>INDEX('Growing &amp; falling'!G$44:G$69,MATCH($B75,'Growing &amp; falling'!$B$44:$B$69,0))*'Raw demand'!$AJ75</f>
        <v>0</v>
      </c>
      <c r="H75" s="21">
        <f>INDEX('Growing &amp; falling'!H$44:H$69,MATCH($B75,'Growing &amp; falling'!$B$44:$B$69,0))*'Raw demand'!$AJ75</f>
        <v>0</v>
      </c>
      <c r="I75" s="21">
        <f>INDEX('Growing &amp; falling'!I$44:I$69,MATCH($B75,'Growing &amp; falling'!$B$44:$B$69,0))*'Raw demand'!$AJ75</f>
        <v>0</v>
      </c>
      <c r="J75" s="21">
        <f>INDEX('Growing &amp; falling'!J$44:J$69,MATCH($B75,'Growing &amp; falling'!$B$44:$B$69,0))*'Raw demand'!$AJ75</f>
        <v>0</v>
      </c>
      <c r="K75" s="21">
        <f>INDEX('Growing &amp; falling'!K$44:K$69,MATCH($B75,'Growing &amp; falling'!$B$44:$B$69,0))*'Raw demand'!$AJ75</f>
        <v>0</v>
      </c>
      <c r="L75" s="21">
        <f>INDEX('Growing &amp; falling'!L$44:L$69,MATCH($B75,'Growing &amp; falling'!$B$44:$B$69,0))*'Raw demand'!$AJ75</f>
        <v>0</v>
      </c>
      <c r="M75" s="21">
        <f>INDEX('Growing &amp; falling'!M$44:M$69,MATCH($B75,'Growing &amp; falling'!$B$44:$B$69,0))*'Raw demand'!$AJ75</f>
        <v>0</v>
      </c>
      <c r="N75" s="21">
        <f>INDEX('Growing &amp; falling'!N$44:N$69,MATCH($B75,'Growing &amp; falling'!$B$44:$B$69,0))*'Raw demand'!$AJ75</f>
        <v>0</v>
      </c>
      <c r="O75" s="21">
        <f>INDEX('Growing &amp; falling'!O$44:O$69,MATCH($B75,'Growing &amp; falling'!$B$44:$B$69,0))*'Raw demand'!$AJ75</f>
        <v>0</v>
      </c>
      <c r="P75" s="21">
        <f>INDEX('Growing &amp; falling'!P$44:P$69,MATCH($B75,'Growing &amp; falling'!$B$44:$B$69,0))*'Raw demand'!$AJ75</f>
        <v>0</v>
      </c>
      <c r="Q75"/>
      <c r="R75" s="73">
        <f>IFERROR(IF('Smoothed demand'!$F75&lt;MAX('Smoothed demand'!$G75:$P75),(MAX('Smoothed demand'!$G75:$P75)/'Smoothed demand'!$F75)^(1/10)-1,('Smoothed demand'!$P75/'Smoothed demand'!$F75)^(1/10)-1),0)</f>
        <v>0</v>
      </c>
    </row>
    <row r="76" spans="2:18" s="1" customFormat="1">
      <c r="B76" s="2" t="str">
        <f t="shared" si="1"/>
        <v>North West</v>
      </c>
      <c r="C76" s="35" t="str" cm="1">
        <f t="array" ref="C76">INDEX(network_levels,COUNTIFS($B$10:$B76,$B$10))</f>
        <v>ST</v>
      </c>
      <c r="D76" s="35" t="str">
        <f>INDEX('Growing &amp; falling'!$D$14:$D$39,MATCH($B76,'Growing &amp; falling'!$B$14:$B$39,0))</f>
        <v>Growth</v>
      </c>
      <c r="E76" s="35" t="s">
        <v>80</v>
      </c>
      <c r="F76" s="21">
        <f>INDEX('Growing &amp; falling'!F$44:F$69,MATCH($B76,'Growing &amp; falling'!$B$44:$B$69,0))*'Raw demand'!$AJ76</f>
        <v>7.561888794426741</v>
      </c>
      <c r="G76" s="21">
        <f>INDEX('Growing &amp; falling'!G$44:G$69,MATCH($B76,'Growing &amp; falling'!$B$44:$B$69,0))*'Raw demand'!$AJ76</f>
        <v>7.5699323003329537</v>
      </c>
      <c r="H76" s="21">
        <f>INDEX('Growing &amp; falling'!H$44:H$69,MATCH($B76,'Growing &amp; falling'!$B$44:$B$69,0))*'Raw demand'!$AJ76</f>
        <v>7.5779843620364042</v>
      </c>
      <c r="I76" s="21">
        <f>INDEX('Growing &amp; falling'!I$44:I$69,MATCH($B76,'Growing &amp; falling'!$B$44:$B$69,0))*'Raw demand'!$AJ76</f>
        <v>7.5860449886378092</v>
      </c>
      <c r="J76" s="21">
        <f>INDEX('Growing &amp; falling'!J$44:J$69,MATCH($B76,'Growing &amp; falling'!$B$44:$B$69,0))*'Raw demand'!$AJ76</f>
        <v>7.5941141892475663</v>
      </c>
      <c r="K76" s="21">
        <f>INDEX('Growing &amp; falling'!K$44:K$69,MATCH($B76,'Growing &amp; falling'!$B$44:$B$69,0))*'Raw demand'!$AJ76</f>
        <v>7.6021919729857625</v>
      </c>
      <c r="L76" s="21">
        <f>INDEX('Growing &amp; falling'!L$44:L$69,MATCH($B76,'Growing &amp; falling'!$B$44:$B$69,0))*'Raw demand'!$AJ76</f>
        <v>7.6102783489821846</v>
      </c>
      <c r="M76" s="21">
        <f>INDEX('Growing &amp; falling'!M$44:M$69,MATCH($B76,'Growing &amp; falling'!$B$44:$B$69,0))*'Raw demand'!$AJ76</f>
        <v>7.6183733263763349</v>
      </c>
      <c r="N76" s="21">
        <f>INDEX('Growing &amp; falling'!N$44:N$69,MATCH($B76,'Growing &amp; falling'!$B$44:$B$69,0))*'Raw demand'!$AJ76</f>
        <v>7.6264769143174318</v>
      </c>
      <c r="O76" s="21">
        <f>INDEX('Growing &amp; falling'!O$44:O$69,MATCH($B76,'Growing &amp; falling'!$B$44:$B$69,0))*'Raw demand'!$AJ76</f>
        <v>7.6345891219644315</v>
      </c>
      <c r="P76" s="21">
        <f>INDEX('Growing &amp; falling'!P$44:P$69,MATCH($B76,'Growing &amp; falling'!$B$44:$B$69,0))*'Raw demand'!$AJ76</f>
        <v>7.6427099584860274</v>
      </c>
      <c r="Q76"/>
      <c r="R76" s="73">
        <f>IFERROR(IF('Smoothed demand'!$F76&lt;MAX('Smoothed demand'!$G76:$P76),(MAX('Smoothed demand'!$G76:$P76)/'Smoothed demand'!$F76)^(1/10)-1,('Smoothed demand'!$P76/'Smoothed demand'!$F76)^(1/10)-1),0)</f>
        <v>1.0636900548102179E-3</v>
      </c>
    </row>
    <row r="77" spans="2:18" s="1" customFormat="1">
      <c r="B77" s="2" t="str">
        <f t="shared" si="1"/>
        <v>Pittwater &amp; Terrey Hills</v>
      </c>
      <c r="C77" s="35" t="str" cm="1">
        <f t="array" ref="C77">INDEX(network_levels,COUNTIFS($B$10:$B77,$B$10))</f>
        <v>ST</v>
      </c>
      <c r="D77" s="35" t="str">
        <f>INDEX('Growing &amp; falling'!$D$14:$D$39,MATCH($B77,'Growing &amp; falling'!$B$14:$B$39,0))</f>
        <v>Decline</v>
      </c>
      <c r="E77" s="35" t="s">
        <v>80</v>
      </c>
      <c r="F77" s="21">
        <f>INDEX('Growing &amp; falling'!F$44:F$69,MATCH($B77,'Growing &amp; falling'!$B$44:$B$69,0))*'Raw demand'!$AJ77</f>
        <v>0</v>
      </c>
      <c r="G77" s="21">
        <f>INDEX('Growing &amp; falling'!G$44:G$69,MATCH($B77,'Growing &amp; falling'!$B$44:$B$69,0))*'Raw demand'!$AJ77</f>
        <v>0</v>
      </c>
      <c r="H77" s="21">
        <f>INDEX('Growing &amp; falling'!H$44:H$69,MATCH($B77,'Growing &amp; falling'!$B$44:$B$69,0))*'Raw demand'!$AJ77</f>
        <v>0</v>
      </c>
      <c r="I77" s="21">
        <f>INDEX('Growing &amp; falling'!I$44:I$69,MATCH($B77,'Growing &amp; falling'!$B$44:$B$69,0))*'Raw demand'!$AJ77</f>
        <v>0</v>
      </c>
      <c r="J77" s="21">
        <f>INDEX('Growing &amp; falling'!J$44:J$69,MATCH($B77,'Growing &amp; falling'!$B$44:$B$69,0))*'Raw demand'!$AJ77</f>
        <v>0</v>
      </c>
      <c r="K77" s="21">
        <f>INDEX('Growing &amp; falling'!K$44:K$69,MATCH($B77,'Growing &amp; falling'!$B$44:$B$69,0))*'Raw demand'!$AJ77</f>
        <v>0</v>
      </c>
      <c r="L77" s="21">
        <f>INDEX('Growing &amp; falling'!L$44:L$69,MATCH($B77,'Growing &amp; falling'!$B$44:$B$69,0))*'Raw demand'!$AJ77</f>
        <v>0</v>
      </c>
      <c r="M77" s="21">
        <f>INDEX('Growing &amp; falling'!M$44:M$69,MATCH($B77,'Growing &amp; falling'!$B$44:$B$69,0))*'Raw demand'!$AJ77</f>
        <v>0</v>
      </c>
      <c r="N77" s="21">
        <f>INDEX('Growing &amp; falling'!N$44:N$69,MATCH($B77,'Growing &amp; falling'!$B$44:$B$69,0))*'Raw demand'!$AJ77</f>
        <v>0</v>
      </c>
      <c r="O77" s="21">
        <f>INDEX('Growing &amp; falling'!O$44:O$69,MATCH($B77,'Growing &amp; falling'!$B$44:$B$69,0))*'Raw demand'!$AJ77</f>
        <v>0</v>
      </c>
      <c r="P77" s="21">
        <f>INDEX('Growing &amp; falling'!P$44:P$69,MATCH($B77,'Growing &amp; falling'!$B$44:$B$69,0))*'Raw demand'!$AJ77</f>
        <v>0</v>
      </c>
      <c r="Q77"/>
      <c r="R77" s="73">
        <f>IFERROR(IF('Smoothed demand'!$F77&lt;MAX('Smoothed demand'!$G77:$P77),(MAX('Smoothed demand'!$G77:$P77)/'Smoothed demand'!$F77)^(1/10)-1,('Smoothed demand'!$P77/'Smoothed demand'!$F77)^(1/10)-1),0)</f>
        <v>0</v>
      </c>
    </row>
    <row r="78" spans="2:18" s="1" customFormat="1">
      <c r="B78" s="2" t="str">
        <f t="shared" si="1"/>
        <v>Port Stephens</v>
      </c>
      <c r="C78" s="35" t="str" cm="1">
        <f t="array" ref="C78">INDEX(network_levels,COUNTIFS($B$10:$B78,$B$10))</f>
        <v>ST</v>
      </c>
      <c r="D78" s="35" t="str">
        <f>INDEX('Growing &amp; falling'!$D$14:$D$39,MATCH($B78,'Growing &amp; falling'!$B$14:$B$39,0))</f>
        <v>Decline</v>
      </c>
      <c r="E78" s="35" t="s">
        <v>80</v>
      </c>
      <c r="F78" s="21">
        <f>INDEX('Growing &amp; falling'!F$44:F$69,MATCH($B78,'Growing &amp; falling'!$B$44:$B$69,0))*'Raw demand'!$AJ78</f>
        <v>6.4353577464772789</v>
      </c>
      <c r="G78" s="21">
        <f>INDEX('Growing &amp; falling'!G$44:G$69,MATCH($B78,'Growing &amp; falling'!$B$44:$B$69,0))*'Raw demand'!$AJ78</f>
        <v>6.4247345984788842</v>
      </c>
      <c r="H78" s="21">
        <f>INDEX('Growing &amp; falling'!H$44:H$69,MATCH($B78,'Growing &amp; falling'!$B$44:$B$69,0))*'Raw demand'!$AJ78</f>
        <v>6.4141289866110096</v>
      </c>
      <c r="I78" s="21">
        <f>INDEX('Growing &amp; falling'!I$44:I$69,MATCH($B78,'Growing &amp; falling'!$B$44:$B$69,0))*'Raw demand'!$AJ78</f>
        <v>6.4035408819259425</v>
      </c>
      <c r="J78" s="21">
        <f>INDEX('Growing &amp; falling'!J$44:J$69,MATCH($B78,'Growing &amp; falling'!$B$44:$B$69,0))*'Raw demand'!$AJ78</f>
        <v>6.3929702555237489</v>
      </c>
      <c r="K78" s="21">
        <f>INDEX('Growing &amp; falling'!K$44:K$69,MATCH($B78,'Growing &amp; falling'!$B$44:$B$69,0))*'Raw demand'!$AJ78</f>
        <v>6.382417078552205</v>
      </c>
      <c r="L78" s="21">
        <f>INDEX('Growing &amp; falling'!L$44:L$69,MATCH($B78,'Growing &amp; falling'!$B$44:$B$69,0))*'Raw demand'!$AJ78</f>
        <v>6.3718813222067148</v>
      </c>
      <c r="M78" s="21">
        <f>INDEX('Growing &amp; falling'!M$44:M$69,MATCH($B78,'Growing &amp; falling'!$B$44:$B$69,0))*'Raw demand'!$AJ78</f>
        <v>6.3613629577302317</v>
      </c>
      <c r="N78" s="21">
        <f>INDEX('Growing &amp; falling'!N$44:N$69,MATCH($B78,'Growing &amp; falling'!$B$44:$B$69,0))*'Raw demand'!$AJ78</f>
        <v>6.3508619564131763</v>
      </c>
      <c r="O78" s="21">
        <f>INDEX('Growing &amp; falling'!O$44:O$69,MATCH($B78,'Growing &amp; falling'!$B$44:$B$69,0))*'Raw demand'!$AJ78</f>
        <v>6.3403782895933656</v>
      </c>
      <c r="P78" s="21">
        <f>INDEX('Growing &amp; falling'!P$44:P$69,MATCH($B78,'Growing &amp; falling'!$B$44:$B$69,0))*'Raw demand'!$AJ78</f>
        <v>6.3299119286559282</v>
      </c>
      <c r="Q78"/>
      <c r="R78" s="73">
        <f>IFERROR(IF('Smoothed demand'!$F78&lt;MAX('Smoothed demand'!$G78:$P78),(MAX('Smoothed demand'!$G78:$P78)/'Smoothed demand'!$F78)^(1/10)-1,('Smoothed demand'!$P78/'Smoothed demand'!$F78)^(1/10)-1),0)</f>
        <v>-1.6507470783905243E-3</v>
      </c>
    </row>
    <row r="79" spans="2:18" s="1" customFormat="1">
      <c r="B79" s="2" t="str">
        <f t="shared" si="1"/>
        <v>Singleton</v>
      </c>
      <c r="C79" s="35" t="str" cm="1">
        <f t="array" ref="C79">INDEX(network_levels,COUNTIFS($B$10:$B79,$B$10))</f>
        <v>ST</v>
      </c>
      <c r="D79" s="35" t="str">
        <f>INDEX('Growing &amp; falling'!$D$14:$D$39,MATCH($B79,'Growing &amp; falling'!$B$14:$B$39,0))</f>
        <v>Decline</v>
      </c>
      <c r="E79" s="35" t="s">
        <v>80</v>
      </c>
      <c r="F79" s="21">
        <f>INDEX('Growing &amp; falling'!F$44:F$69,MATCH($B79,'Growing &amp; falling'!$B$44:$B$69,0))*'Raw demand'!$AJ79</f>
        <v>77.138172642894361</v>
      </c>
      <c r="G79" s="21">
        <f>INDEX('Growing &amp; falling'!G$44:G$69,MATCH($B79,'Growing &amp; falling'!$B$44:$B$69,0))*'Raw demand'!$AJ79</f>
        <v>77.089843218449033</v>
      </c>
      <c r="H79" s="21">
        <f>INDEX('Growing &amp; falling'!H$44:H$69,MATCH($B79,'Growing &amp; falling'!$B$44:$B$69,0))*'Raw demand'!$AJ79</f>
        <v>77.041544073866262</v>
      </c>
      <c r="I79" s="21">
        <f>INDEX('Growing &amp; falling'!I$44:I$69,MATCH($B79,'Growing &amp; falling'!$B$44:$B$69,0))*'Raw demand'!$AJ79</f>
        <v>76.993275190174828</v>
      </c>
      <c r="J79" s="21">
        <f>INDEX('Growing &amp; falling'!J$44:J$69,MATCH($B79,'Growing &amp; falling'!$B$44:$B$69,0))*'Raw demand'!$AJ79</f>
        <v>76.945036548415331</v>
      </c>
      <c r="K79" s="21">
        <f>INDEX('Growing &amp; falling'!K$44:K$69,MATCH($B79,'Growing &amp; falling'!$B$44:$B$69,0))*'Raw demand'!$AJ79</f>
        <v>76.896828129640284</v>
      </c>
      <c r="L79" s="21">
        <f>INDEX('Growing &amp; falling'!L$44:L$69,MATCH($B79,'Growing &amp; falling'!$B$44:$B$69,0))*'Raw demand'!$AJ79</f>
        <v>76.848649914914063</v>
      </c>
      <c r="M79" s="21">
        <f>INDEX('Growing &amp; falling'!M$44:M$69,MATCH($B79,'Growing &amp; falling'!$B$44:$B$69,0))*'Raw demand'!$AJ79</f>
        <v>76.800501885312912</v>
      </c>
      <c r="N79" s="21">
        <f>INDEX('Growing &amp; falling'!N$44:N$69,MATCH($B79,'Growing &amp; falling'!$B$44:$B$69,0))*'Raw demand'!$AJ79</f>
        <v>76.752384021924925</v>
      </c>
      <c r="O79" s="21">
        <f>INDEX('Growing &amp; falling'!O$44:O$69,MATCH($B79,'Growing &amp; falling'!$B$44:$B$69,0))*'Raw demand'!$AJ79</f>
        <v>76.704296305850036</v>
      </c>
      <c r="P79" s="21">
        <f>INDEX('Growing &amp; falling'!P$44:P$69,MATCH($B79,'Growing &amp; falling'!$B$44:$B$69,0))*'Raw demand'!$AJ79</f>
        <v>76.656238718200044</v>
      </c>
      <c r="Q79"/>
      <c r="R79" s="73">
        <f>IFERROR(IF('Smoothed demand'!$F79&lt;MAX('Smoothed demand'!$G79:$P79),(MAX('Smoothed demand'!$G79:$P79)/'Smoothed demand'!$F79)^(1/10)-1,('Smoothed demand'!$P79/'Smoothed demand'!$F79)^(1/10)-1),0)</f>
        <v>-6.2653058517569971E-4</v>
      </c>
    </row>
    <row r="80" spans="2:18" s="1" customFormat="1">
      <c r="B80" s="2" t="str">
        <f t="shared" si="1"/>
        <v>St George</v>
      </c>
      <c r="C80" s="35" t="str" cm="1">
        <f t="array" ref="C80">INDEX(network_levels,COUNTIFS($B$10:$B80,$B$10))</f>
        <v>ST</v>
      </c>
      <c r="D80" s="35" t="str">
        <f>INDEX('Growing &amp; falling'!$D$14:$D$39,MATCH($B80,'Growing &amp; falling'!$B$14:$B$39,0))</f>
        <v>Decline</v>
      </c>
      <c r="E80" s="35" t="s">
        <v>80</v>
      </c>
      <c r="F80" s="21">
        <f>INDEX('Growing &amp; falling'!F$44:F$69,MATCH($B80,'Growing &amp; falling'!$B$44:$B$69,0))*'Raw demand'!$AJ80</f>
        <v>0</v>
      </c>
      <c r="G80" s="21">
        <f>INDEX('Growing &amp; falling'!G$44:G$69,MATCH($B80,'Growing &amp; falling'!$B$44:$B$69,0))*'Raw demand'!$AJ80</f>
        <v>0</v>
      </c>
      <c r="H80" s="21">
        <f>INDEX('Growing &amp; falling'!H$44:H$69,MATCH($B80,'Growing &amp; falling'!$B$44:$B$69,0))*'Raw demand'!$AJ80</f>
        <v>0</v>
      </c>
      <c r="I80" s="21">
        <f>INDEX('Growing &amp; falling'!I$44:I$69,MATCH($B80,'Growing &amp; falling'!$B$44:$B$69,0))*'Raw demand'!$AJ80</f>
        <v>0</v>
      </c>
      <c r="J80" s="21">
        <f>INDEX('Growing &amp; falling'!J$44:J$69,MATCH($B80,'Growing &amp; falling'!$B$44:$B$69,0))*'Raw demand'!$AJ80</f>
        <v>0</v>
      </c>
      <c r="K80" s="21">
        <f>INDEX('Growing &amp; falling'!K$44:K$69,MATCH($B80,'Growing &amp; falling'!$B$44:$B$69,0))*'Raw demand'!$AJ80</f>
        <v>0</v>
      </c>
      <c r="L80" s="21">
        <f>INDEX('Growing &amp; falling'!L$44:L$69,MATCH($B80,'Growing &amp; falling'!$B$44:$B$69,0))*'Raw demand'!$AJ80</f>
        <v>0</v>
      </c>
      <c r="M80" s="21">
        <f>INDEX('Growing &amp; falling'!M$44:M$69,MATCH($B80,'Growing &amp; falling'!$B$44:$B$69,0))*'Raw demand'!$AJ80</f>
        <v>0</v>
      </c>
      <c r="N80" s="21">
        <f>INDEX('Growing &amp; falling'!N$44:N$69,MATCH($B80,'Growing &amp; falling'!$B$44:$B$69,0))*'Raw demand'!$AJ80</f>
        <v>0</v>
      </c>
      <c r="O80" s="21">
        <f>INDEX('Growing &amp; falling'!O$44:O$69,MATCH($B80,'Growing &amp; falling'!$B$44:$B$69,0))*'Raw demand'!$AJ80</f>
        <v>0</v>
      </c>
      <c r="P80" s="21">
        <f>INDEX('Growing &amp; falling'!P$44:P$69,MATCH($B80,'Growing &amp; falling'!$B$44:$B$69,0))*'Raw demand'!$AJ80</f>
        <v>0</v>
      </c>
      <c r="Q80"/>
      <c r="R80" s="73">
        <f>IFERROR(IF('Smoothed demand'!$F80&lt;MAX('Smoothed demand'!$G80:$P80),(MAX('Smoothed demand'!$G80:$P80)/'Smoothed demand'!$F80)^(1/10)-1,('Smoothed demand'!$P80/'Smoothed demand'!$F80)^(1/10)-1),0)</f>
        <v>0</v>
      </c>
    </row>
    <row r="81" spans="2:18" s="1" customFormat="1">
      <c r="B81" s="2" t="str">
        <f t="shared" si="1"/>
        <v>Sutherland</v>
      </c>
      <c r="C81" s="35" t="str" cm="1">
        <f t="array" ref="C81">INDEX(network_levels,COUNTIFS($B$10:$B81,$B$10))</f>
        <v>ST</v>
      </c>
      <c r="D81" s="35" t="str">
        <f>INDEX('Growing &amp; falling'!$D$14:$D$39,MATCH($B81,'Growing &amp; falling'!$B$14:$B$39,0))</f>
        <v>Decline</v>
      </c>
      <c r="E81" s="35" t="s">
        <v>80</v>
      </c>
      <c r="F81" s="21">
        <f>INDEX('Growing &amp; falling'!F$44:F$69,MATCH($B81,'Growing &amp; falling'!$B$44:$B$69,0))*'Raw demand'!$AJ81</f>
        <v>0.52257128083598714</v>
      </c>
      <c r="G81" s="21">
        <f>INDEX('Growing &amp; falling'!G$44:G$69,MATCH($B81,'Growing &amp; falling'!$B$44:$B$69,0))*'Raw demand'!$AJ81</f>
        <v>0.52072783245036192</v>
      </c>
      <c r="H81" s="21">
        <f>INDEX('Growing &amp; falling'!H$44:H$69,MATCH($B81,'Growing &amp; falling'!$B$44:$B$69,0))*'Raw demand'!$AJ81</f>
        <v>0.51889088710475251</v>
      </c>
      <c r="I81" s="21">
        <f>INDEX('Growing &amp; falling'!I$44:I$69,MATCH($B81,'Growing &amp; falling'!$B$44:$B$69,0))*'Raw demand'!$AJ81</f>
        <v>0.51706042185871237</v>
      </c>
      <c r="J81" s="21">
        <f>INDEX('Growing &amp; falling'!J$44:J$69,MATCH($B81,'Growing &amp; falling'!$B$44:$B$69,0))*'Raw demand'!$AJ81</f>
        <v>0.51523641385272057</v>
      </c>
      <c r="K81" s="21">
        <f>INDEX('Growing &amp; falling'!K$44:K$69,MATCH($B81,'Growing &amp; falling'!$B$44:$B$69,0))*'Raw demand'!$AJ81</f>
        <v>0.51341884030789686</v>
      </c>
      <c r="L81" s="21">
        <f>INDEX('Growing &amp; falling'!L$44:L$69,MATCH($B81,'Growing &amp; falling'!$B$44:$B$69,0))*'Raw demand'!$AJ81</f>
        <v>0.51160767852571631</v>
      </c>
      <c r="M81" s="21">
        <f>INDEX('Growing &amp; falling'!M$44:M$69,MATCH($B81,'Growing &amp; falling'!$B$44:$B$69,0))*'Raw demand'!$AJ81</f>
        <v>0.50980290588772725</v>
      </c>
      <c r="N81" s="21">
        <f>INDEX('Growing &amp; falling'!N$44:N$69,MATCH($B81,'Growing &amp; falling'!$B$44:$B$69,0))*'Raw demand'!$AJ81</f>
        <v>0.50800449985526708</v>
      </c>
      <c r="O81" s="21">
        <f>INDEX('Growing &amp; falling'!O$44:O$69,MATCH($B81,'Growing &amp; falling'!$B$44:$B$69,0))*'Raw demand'!$AJ81</f>
        <v>0.50621243796918247</v>
      </c>
      <c r="P81" s="21">
        <f>INDEX('Growing &amp; falling'!P$44:P$69,MATCH($B81,'Growing &amp; falling'!$B$44:$B$69,0))*'Raw demand'!$AJ81</f>
        <v>0.50442669784954763</v>
      </c>
      <c r="Q81"/>
      <c r="R81" s="73">
        <f>IFERROR(IF('Smoothed demand'!$F81&lt;MAX('Smoothed demand'!$G81:$P81),(MAX('Smoothed demand'!$G81:$P81)/'Smoothed demand'!$F81)^(1/10)-1,('Smoothed demand'!$P81/'Smoothed demand'!$F81)^(1/10)-1),0)</f>
        <v>-3.5276496302595328E-3</v>
      </c>
    </row>
    <row r="82" spans="2:18" s="1" customFormat="1">
      <c r="B82" s="2" t="str">
        <f t="shared" si="1"/>
        <v>Sydney CBD</v>
      </c>
      <c r="C82" s="35" t="str" cm="1">
        <f t="array" ref="C82">INDEX(network_levels,COUNTIFS($B$10:$B82,$B$10))</f>
        <v>ST</v>
      </c>
      <c r="D82" s="35" t="str">
        <f>INDEX('Growing &amp; falling'!$D$14:$D$39,MATCH($B82,'Growing &amp; falling'!$B$14:$B$39,0))</f>
        <v>Growth</v>
      </c>
      <c r="E82" s="35" t="s">
        <v>80</v>
      </c>
      <c r="F82" s="21">
        <f>INDEX('Growing &amp; falling'!F$44:F$69,MATCH($B82,'Growing &amp; falling'!$B$44:$B$69,0))*'Raw demand'!$AJ82</f>
        <v>0</v>
      </c>
      <c r="G82" s="21">
        <f>INDEX('Growing &amp; falling'!G$44:G$69,MATCH($B82,'Growing &amp; falling'!$B$44:$B$69,0))*'Raw demand'!$AJ82</f>
        <v>0</v>
      </c>
      <c r="H82" s="21">
        <f>INDEX('Growing &amp; falling'!H$44:H$69,MATCH($B82,'Growing &amp; falling'!$B$44:$B$69,0))*'Raw demand'!$AJ82</f>
        <v>0</v>
      </c>
      <c r="I82" s="21">
        <f>INDEX('Growing &amp; falling'!I$44:I$69,MATCH($B82,'Growing &amp; falling'!$B$44:$B$69,0))*'Raw demand'!$AJ82</f>
        <v>0</v>
      </c>
      <c r="J82" s="21">
        <f>INDEX('Growing &amp; falling'!J$44:J$69,MATCH($B82,'Growing &amp; falling'!$B$44:$B$69,0))*'Raw demand'!$AJ82</f>
        <v>0</v>
      </c>
      <c r="K82" s="21">
        <f>INDEX('Growing &amp; falling'!K$44:K$69,MATCH($B82,'Growing &amp; falling'!$B$44:$B$69,0))*'Raw demand'!$AJ82</f>
        <v>0</v>
      </c>
      <c r="L82" s="21">
        <f>INDEX('Growing &amp; falling'!L$44:L$69,MATCH($B82,'Growing &amp; falling'!$B$44:$B$69,0))*'Raw demand'!$AJ82</f>
        <v>0</v>
      </c>
      <c r="M82" s="21">
        <f>INDEX('Growing &amp; falling'!M$44:M$69,MATCH($B82,'Growing &amp; falling'!$B$44:$B$69,0))*'Raw demand'!$AJ82</f>
        <v>0</v>
      </c>
      <c r="N82" s="21">
        <f>INDEX('Growing &amp; falling'!N$44:N$69,MATCH($B82,'Growing &amp; falling'!$B$44:$B$69,0))*'Raw demand'!$AJ82</f>
        <v>0</v>
      </c>
      <c r="O82" s="21">
        <f>INDEX('Growing &amp; falling'!O$44:O$69,MATCH($B82,'Growing &amp; falling'!$B$44:$B$69,0))*'Raw demand'!$AJ82</f>
        <v>0</v>
      </c>
      <c r="P82" s="21">
        <f>INDEX('Growing &amp; falling'!P$44:P$69,MATCH($B82,'Growing &amp; falling'!$B$44:$B$69,0))*'Raw demand'!$AJ82</f>
        <v>0</v>
      </c>
      <c r="Q82"/>
      <c r="R82" s="73">
        <f>IFERROR(IF('Smoothed demand'!$F82&lt;MAX('Smoothed demand'!$G82:$P82),(MAX('Smoothed demand'!$G82:$P82)/'Smoothed demand'!$F82)^(1/10)-1,('Smoothed demand'!$P82/'Smoothed demand'!$F82)^(1/10)-1),0)</f>
        <v>0</v>
      </c>
    </row>
    <row r="83" spans="2:18" s="1" customFormat="1">
      <c r="B83" s="2" t="str">
        <f t="shared" si="1"/>
        <v>Upper Central Coast</v>
      </c>
      <c r="C83" s="35" t="str" cm="1">
        <f t="array" ref="C83">INDEX(network_levels,COUNTIFS($B$10:$B83,$B$10))</f>
        <v>ST</v>
      </c>
      <c r="D83" s="35" t="str">
        <f>INDEX('Growing &amp; falling'!$D$14:$D$39,MATCH($B83,'Growing &amp; falling'!$B$14:$B$39,0))</f>
        <v>Growth</v>
      </c>
      <c r="E83" s="35" t="s">
        <v>80</v>
      </c>
      <c r="F83" s="21">
        <f>INDEX('Growing &amp; falling'!F$44:F$69,MATCH($B83,'Growing &amp; falling'!$B$44:$B$69,0))*'Raw demand'!$AJ83</f>
        <v>-7.8767422144594272</v>
      </c>
      <c r="G83" s="21">
        <f>INDEX('Growing &amp; falling'!G$44:G$69,MATCH($B83,'Growing &amp; falling'!$B$44:$B$69,0))*'Raw demand'!$AJ83</f>
        <v>-7.9078503140246497</v>
      </c>
      <c r="H83" s="21">
        <f>INDEX('Growing &amp; falling'!H$44:H$69,MATCH($B83,'Growing &amp; falling'!$B$44:$B$69,0))*'Raw demand'!$AJ83</f>
        <v>-7.9390812707092504</v>
      </c>
      <c r="I83" s="21">
        <f>INDEX('Growing &amp; falling'!I$44:I$69,MATCH($B83,'Growing &amp; falling'!$B$44:$B$69,0))*'Raw demand'!$AJ83</f>
        <v>-7.9704355697203617</v>
      </c>
      <c r="J83" s="21">
        <f>INDEX('Growing &amp; falling'!J$44:J$69,MATCH($B83,'Growing &amp; falling'!$B$44:$B$69,0))*'Raw demand'!$AJ83</f>
        <v>-8.0019136981813759</v>
      </c>
      <c r="K83" s="21">
        <f>INDEX('Growing &amp; falling'!K$44:K$69,MATCH($B83,'Growing &amp; falling'!$B$44:$B$69,0))*'Raw demand'!$AJ83</f>
        <v>-8.0335161451395081</v>
      </c>
      <c r="L83" s="21">
        <f>INDEX('Growing &amp; falling'!L$44:L$69,MATCH($B83,'Growing &amp; falling'!$B$44:$B$69,0))*'Raw demand'!$AJ83</f>
        <v>-8.0652434015734009</v>
      </c>
      <c r="M83" s="21">
        <f>INDEX('Growing &amp; falling'!M$44:M$69,MATCH($B83,'Growing &amp; falling'!$B$44:$B$69,0))*'Raw demand'!$AJ83</f>
        <v>-8.0970959604007451</v>
      </c>
      <c r="N83" s="21">
        <f>INDEX('Growing &amp; falling'!N$44:N$69,MATCH($B83,'Growing &amp; falling'!$B$44:$B$69,0))*'Raw demand'!$AJ83</f>
        <v>-8.1290743164859443</v>
      </c>
      <c r="O83" s="21">
        <f>INDEX('Growing &amp; falling'!O$44:O$69,MATCH($B83,'Growing &amp; falling'!$B$44:$B$69,0))*'Raw demand'!$AJ83</f>
        <v>-8.1611789666477996</v>
      </c>
      <c r="P83" s="21">
        <f>INDEX('Growing &amp; falling'!P$44:P$69,MATCH($B83,'Growing &amp; falling'!$B$44:$B$69,0))*'Raw demand'!$AJ83</f>
        <v>-8.1934104096672264</v>
      </c>
      <c r="Q83"/>
      <c r="R83" s="73">
        <f>IFERROR(IF('Smoothed demand'!$F83&lt;MAX('Smoothed demand'!$G83:$P83),(MAX('Smoothed demand'!$G83:$P83)/'Smoothed demand'!$F83)^(1/10)-1,('Smoothed demand'!$P83/'Smoothed demand'!$F83)^(1/10)-1),0)</f>
        <v>3.9493611341141488E-3</v>
      </c>
    </row>
    <row r="84" spans="2:18" s="1" customFormat="1">
      <c r="B84" s="2" t="str">
        <f t="shared" si="1"/>
        <v>Upper Hunter</v>
      </c>
      <c r="C84" s="35" t="str" cm="1">
        <f t="array" ref="C84">INDEX(network_levels,COUNTIFS($B$10:$B84,$B$10))</f>
        <v>ST</v>
      </c>
      <c r="D84" s="35" t="str">
        <f>INDEX('Growing &amp; falling'!$D$14:$D$39,MATCH($B84,'Growing &amp; falling'!$B$14:$B$39,0))</f>
        <v>Decline</v>
      </c>
      <c r="E84" s="35" t="s">
        <v>80</v>
      </c>
      <c r="F84" s="21">
        <f>INDEX('Growing &amp; falling'!F$44:F$69,MATCH($B84,'Growing &amp; falling'!$B$44:$B$69,0))*'Raw demand'!$AJ84</f>
        <v>15.650658027126157</v>
      </c>
      <c r="G84" s="21">
        <f>INDEX('Growing &amp; falling'!G$44:G$69,MATCH($B84,'Growing &amp; falling'!$B$44:$B$69,0))*'Raw demand'!$AJ84</f>
        <v>15.62551442571713</v>
      </c>
      <c r="H84" s="21">
        <f>INDEX('Growing &amp; falling'!H$44:H$69,MATCH($B84,'Growing &amp; falling'!$B$44:$B$69,0))*'Raw demand'!$AJ84</f>
        <v>15.600411218819998</v>
      </c>
      <c r="I84" s="21">
        <f>INDEX('Growing &amp; falling'!I$44:I$69,MATCH($B84,'Growing &amp; falling'!$B$44:$B$69,0))*'Raw demand'!$AJ84</f>
        <v>15.575348341538858</v>
      </c>
      <c r="J84" s="21">
        <f>INDEX('Growing &amp; falling'!J$44:J$69,MATCH($B84,'Growing &amp; falling'!$B$44:$B$69,0))*'Raw demand'!$AJ84</f>
        <v>15.550325729082077</v>
      </c>
      <c r="K84" s="21">
        <f>INDEX('Growing &amp; falling'!K$44:K$69,MATCH($B84,'Growing &amp; falling'!$B$44:$B$69,0))*'Raw demand'!$AJ84</f>
        <v>15.525343316762106</v>
      </c>
      <c r="L84" s="21">
        <f>INDEX('Growing &amp; falling'!L$44:L$69,MATCH($B84,'Growing &amp; falling'!$B$44:$B$69,0))*'Raw demand'!$AJ84</f>
        <v>15.500401039995316</v>
      </c>
      <c r="M84" s="21">
        <f>INDEX('Growing &amp; falling'!M$44:M$69,MATCH($B84,'Growing &amp; falling'!$B$44:$B$69,0))*'Raw demand'!$AJ84</f>
        <v>15.475498834301844</v>
      </c>
      <c r="N84" s="21">
        <f>INDEX('Growing &amp; falling'!N$44:N$69,MATCH($B84,'Growing &amp; falling'!$B$44:$B$69,0))*'Raw demand'!$AJ84</f>
        <v>15.450636635305408</v>
      </c>
      <c r="O84" s="21">
        <f>INDEX('Growing &amp; falling'!O$44:O$69,MATCH($B84,'Growing &amp; falling'!$B$44:$B$69,0))*'Raw demand'!$AJ84</f>
        <v>15.425814378733161</v>
      </c>
      <c r="P84" s="21">
        <f>INDEX('Growing &amp; falling'!P$44:P$69,MATCH($B84,'Growing &amp; falling'!$B$44:$B$69,0))*'Raw demand'!$AJ84</f>
        <v>15.401032000415505</v>
      </c>
      <c r="Q84"/>
      <c r="R84" s="73">
        <f>IFERROR(IF('Smoothed demand'!$F84&lt;MAX('Smoothed demand'!$G84:$P84),(MAX('Smoothed demand'!$G84:$P84)/'Smoothed demand'!$F84)^(1/10)-1,('Smoothed demand'!$P84/'Smoothed demand'!$F84)^(1/10)-1),0)</f>
        <v>-1.6065523484984912E-3</v>
      </c>
    </row>
    <row r="85" spans="2:18" s="1" customFormat="1">
      <c r="B85" s="2" t="str">
        <f t="shared" si="1"/>
        <v>Upper North Shore</v>
      </c>
      <c r="C85" s="35" t="str" cm="1">
        <f t="array" ref="C85">INDEX(network_levels,COUNTIFS($B$10:$B85,$B$10))</f>
        <v>ST</v>
      </c>
      <c r="D85" s="35" t="str">
        <f>INDEX('Growing &amp; falling'!$D$14:$D$39,MATCH($B85,'Growing &amp; falling'!$B$14:$B$39,0))</f>
        <v>Decline</v>
      </c>
      <c r="E85" s="35" t="s">
        <v>80</v>
      </c>
      <c r="F85" s="21">
        <f>INDEX('Growing &amp; falling'!F$44:F$69,MATCH($B85,'Growing &amp; falling'!$B$44:$B$69,0))*'Raw demand'!$AJ85</f>
        <v>0</v>
      </c>
      <c r="G85" s="21">
        <f>INDEX('Growing &amp; falling'!G$44:G$69,MATCH($B85,'Growing &amp; falling'!$B$44:$B$69,0))*'Raw demand'!$AJ85</f>
        <v>0</v>
      </c>
      <c r="H85" s="21">
        <f>INDEX('Growing &amp; falling'!H$44:H$69,MATCH($B85,'Growing &amp; falling'!$B$44:$B$69,0))*'Raw demand'!$AJ85</f>
        <v>0</v>
      </c>
      <c r="I85" s="21">
        <f>INDEX('Growing &amp; falling'!I$44:I$69,MATCH($B85,'Growing &amp; falling'!$B$44:$B$69,0))*'Raw demand'!$AJ85</f>
        <v>0</v>
      </c>
      <c r="J85" s="21">
        <f>INDEX('Growing &amp; falling'!J$44:J$69,MATCH($B85,'Growing &amp; falling'!$B$44:$B$69,0))*'Raw demand'!$AJ85</f>
        <v>0</v>
      </c>
      <c r="K85" s="21">
        <f>INDEX('Growing &amp; falling'!K$44:K$69,MATCH($B85,'Growing &amp; falling'!$B$44:$B$69,0))*'Raw demand'!$AJ85</f>
        <v>0</v>
      </c>
      <c r="L85" s="21">
        <f>INDEX('Growing &amp; falling'!L$44:L$69,MATCH($B85,'Growing &amp; falling'!$B$44:$B$69,0))*'Raw demand'!$AJ85</f>
        <v>0</v>
      </c>
      <c r="M85" s="21">
        <f>INDEX('Growing &amp; falling'!M$44:M$69,MATCH($B85,'Growing &amp; falling'!$B$44:$B$69,0))*'Raw demand'!$AJ85</f>
        <v>0</v>
      </c>
      <c r="N85" s="21">
        <f>INDEX('Growing &amp; falling'!N$44:N$69,MATCH($B85,'Growing &amp; falling'!$B$44:$B$69,0))*'Raw demand'!$AJ85</f>
        <v>0</v>
      </c>
      <c r="O85" s="21">
        <f>INDEX('Growing &amp; falling'!O$44:O$69,MATCH($B85,'Growing &amp; falling'!$B$44:$B$69,0))*'Raw demand'!$AJ85</f>
        <v>0</v>
      </c>
      <c r="P85" s="21">
        <f>INDEX('Growing &amp; falling'!P$44:P$69,MATCH($B85,'Growing &amp; falling'!$B$44:$B$69,0))*'Raw demand'!$AJ85</f>
        <v>0</v>
      </c>
      <c r="Q85"/>
      <c r="R85" s="73">
        <f>IFERROR(IF('Smoothed demand'!$F85&lt;MAX('Smoothed demand'!$G85:$P85),(MAX('Smoothed demand'!$G85:$P85)/'Smoothed demand'!$F85)^(1/10)-1,('Smoothed demand'!$P85/'Smoothed demand'!$F85)^(1/10)-1),0)</f>
        <v>0</v>
      </c>
    </row>
    <row r="86" spans="2:18" s="1" customFormat="1">
      <c r="B86" s="2" t="str">
        <f t="shared" si="1"/>
        <v>West Lake Macquarie</v>
      </c>
      <c r="C86" s="35" t="str" cm="1">
        <f t="array" ref="C86">INDEX(network_levels,COUNTIFS($B$10:$B86,$B$10))</f>
        <v>ST</v>
      </c>
      <c r="D86" s="35" t="str">
        <f>INDEX('Growing &amp; falling'!$D$14:$D$39,MATCH($B86,'Growing &amp; falling'!$B$14:$B$39,0))</f>
        <v>Decline</v>
      </c>
      <c r="E86" s="35" t="s">
        <v>80</v>
      </c>
      <c r="F86" s="21">
        <f>INDEX('Growing &amp; falling'!F$44:F$69,MATCH($B86,'Growing &amp; falling'!$B$44:$B$69,0))*'Raw demand'!$AJ86</f>
        <v>28.222990157519117</v>
      </c>
      <c r="G86" s="21">
        <f>INDEX('Growing &amp; falling'!G$44:G$69,MATCH($B86,'Growing &amp; falling'!$B$44:$B$69,0))*'Raw demand'!$AJ86</f>
        <v>28.190739427239176</v>
      </c>
      <c r="H86" s="21">
        <f>INDEX('Growing &amp; falling'!H$44:H$69,MATCH($B86,'Growing &amp; falling'!$B$44:$B$69,0))*'Raw demand'!$AJ86</f>
        <v>28.158525550233737</v>
      </c>
      <c r="I86" s="21">
        <f>INDEX('Growing &amp; falling'!I$44:I$69,MATCH($B86,'Growing &amp; falling'!$B$44:$B$69,0))*'Raw demand'!$AJ86</f>
        <v>28.126348484390149</v>
      </c>
      <c r="J86" s="21">
        <f>INDEX('Growing &amp; falling'!J$44:J$69,MATCH($B86,'Growing &amp; falling'!$B$44:$B$69,0))*'Raw demand'!$AJ86</f>
        <v>28.094208187643879</v>
      </c>
      <c r="K86" s="21">
        <f>INDEX('Growing &amp; falling'!K$44:K$69,MATCH($B86,'Growing &amp; falling'!$B$44:$B$69,0))*'Raw demand'!$AJ86</f>
        <v>28.062104617978463</v>
      </c>
      <c r="L86" s="21">
        <f>INDEX('Growing &amp; falling'!L$44:L$69,MATCH($B86,'Growing &amp; falling'!$B$44:$B$69,0))*'Raw demand'!$AJ86</f>
        <v>28.030037733425452</v>
      </c>
      <c r="M86" s="21">
        <f>INDEX('Growing &amp; falling'!M$44:M$69,MATCH($B86,'Growing &amp; falling'!$B$44:$B$69,0))*'Raw demand'!$AJ86</f>
        <v>27.998007492064357</v>
      </c>
      <c r="N86" s="21">
        <f>INDEX('Growing &amp; falling'!N$44:N$69,MATCH($B86,'Growing &amp; falling'!$B$44:$B$69,0))*'Raw demand'!$AJ86</f>
        <v>27.966013852022577</v>
      </c>
      <c r="O86" s="21">
        <f>INDEX('Growing &amp; falling'!O$44:O$69,MATCH($B86,'Growing &amp; falling'!$B$44:$B$69,0))*'Raw demand'!$AJ86</f>
        <v>27.934056771475369</v>
      </c>
      <c r="P86" s="21">
        <f>INDEX('Growing &amp; falling'!P$44:P$69,MATCH($B86,'Growing &amp; falling'!$B$44:$B$69,0))*'Raw demand'!$AJ86</f>
        <v>27.902136208645803</v>
      </c>
      <c r="Q86"/>
      <c r="R86" s="73">
        <f>IFERROR(IF('Smoothed demand'!$F86&lt;MAX('Smoothed demand'!$G86:$P86),(MAX('Smoothed demand'!$G86:$P86)/'Smoothed demand'!$F86)^(1/10)-1,('Smoothed demand'!$P86/'Smoothed demand'!$F86)^(1/10)-1),0)</f>
        <v>-1.1427113179696136E-3</v>
      </c>
    </row>
    <row r="87" spans="2:18" s="1" customFormat="1">
      <c r="B87" s="2" t="str">
        <f t="shared" si="1"/>
        <v>System wide</v>
      </c>
      <c r="C87" s="35" t="str" cm="1">
        <f t="array" ref="C87">INDEX(network_levels,COUNTIFS($B$10:$B87,$B$10))</f>
        <v>ST</v>
      </c>
      <c r="D87" s="35" t="str">
        <f>INDEX('Growing &amp; falling'!$D$14:$D$39,MATCH($B87,'Growing &amp; falling'!$B$14:$B$39,0))</f>
        <v>System wide</v>
      </c>
      <c r="E87" s="35" t="s">
        <v>80</v>
      </c>
      <c r="F87" s="21">
        <f>INDEX('Growing &amp; falling'!F$44:F$69,MATCH($B87,'Growing &amp; falling'!$B$44:$B$69,0))*'Raw demand'!$AJ87</f>
        <v>0</v>
      </c>
      <c r="G87" s="21">
        <f>INDEX('Growing &amp; falling'!G$44:G$69,MATCH($B87,'Growing &amp; falling'!$B$44:$B$69,0))*'Raw demand'!$AJ87</f>
        <v>0</v>
      </c>
      <c r="H87" s="21">
        <f>INDEX('Growing &amp; falling'!H$44:H$69,MATCH($B87,'Growing &amp; falling'!$B$44:$B$69,0))*'Raw demand'!$AJ87</f>
        <v>0</v>
      </c>
      <c r="I87" s="21">
        <f>INDEX('Growing &amp; falling'!I$44:I$69,MATCH($B87,'Growing &amp; falling'!$B$44:$B$69,0))*'Raw demand'!$AJ87</f>
        <v>0</v>
      </c>
      <c r="J87" s="21">
        <f>INDEX('Growing &amp; falling'!J$44:J$69,MATCH($B87,'Growing &amp; falling'!$B$44:$B$69,0))*'Raw demand'!$AJ87</f>
        <v>0</v>
      </c>
      <c r="K87" s="21">
        <f>INDEX('Growing &amp; falling'!K$44:K$69,MATCH($B87,'Growing &amp; falling'!$B$44:$B$69,0))*'Raw demand'!$AJ87</f>
        <v>0</v>
      </c>
      <c r="L87" s="21">
        <f>INDEX('Growing &amp; falling'!L$44:L$69,MATCH($B87,'Growing &amp; falling'!$B$44:$B$69,0))*'Raw demand'!$AJ87</f>
        <v>0</v>
      </c>
      <c r="M87" s="21">
        <f>INDEX('Growing &amp; falling'!M$44:M$69,MATCH($B87,'Growing &amp; falling'!$B$44:$B$69,0))*'Raw demand'!$AJ87</f>
        <v>0</v>
      </c>
      <c r="N87" s="21">
        <f>INDEX('Growing &amp; falling'!N$44:N$69,MATCH($B87,'Growing &amp; falling'!$B$44:$B$69,0))*'Raw demand'!$AJ87</f>
        <v>0</v>
      </c>
      <c r="O87" s="21">
        <f>INDEX('Growing &amp; falling'!O$44:O$69,MATCH($B87,'Growing &amp; falling'!$B$44:$B$69,0))*'Raw demand'!$AJ87</f>
        <v>0</v>
      </c>
      <c r="P87" s="21">
        <f>INDEX('Growing &amp; falling'!P$44:P$69,MATCH($B87,'Growing &amp; falling'!$B$44:$B$69,0))*'Raw demand'!$AJ87</f>
        <v>0</v>
      </c>
      <c r="Q87"/>
      <c r="R87" s="73">
        <f>IFERROR(IF('Smoothed demand'!$F87&lt;MAX('Smoothed demand'!$G87:$P87),(MAX('Smoothed demand'!$G87:$P87)/'Smoothed demand'!$F87)^(1/10)-1,('Smoothed demand'!$P87/'Smoothed demand'!$F87)^(1/10)-1),0)</f>
        <v>0</v>
      </c>
    </row>
    <row r="89" spans="2:18"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0">
    <tabColor rgb="FF9EC0DB"/>
  </sheetPr>
  <dimension ref="A1:S128"/>
  <sheetViews>
    <sheetView showGridLines="0" zoomScale="70" zoomScaleNormal="70" workbookViewId="0"/>
  </sheetViews>
  <sheetFormatPr defaultColWidth="8.84375" defaultRowHeight="14"/>
  <cols>
    <col min="1" max="1" width="22" style="1" bestFit="1" customWidth="1"/>
    <col min="2" max="2" width="27.69140625" style="1" customWidth="1"/>
    <col min="3" max="3" width="12.84375" style="19" customWidth="1"/>
    <col min="4" max="17" width="12.84375" style="1" customWidth="1"/>
    <col min="18" max="19" width="11.3046875" style="1" customWidth="1"/>
    <col min="20" max="16384" width="8.84375" style="1"/>
  </cols>
  <sheetData>
    <row r="1" spans="1:17" ht="18">
      <c r="A1" s="49" t="str">
        <f ca="1">MID(CELL("filename",A2),FIND("]",CELL("filename",A2))+1,256)</f>
        <v>Coincident demand</v>
      </c>
    </row>
    <row r="2" spans="1:17" ht="15.5">
      <c r="A2"/>
    </row>
    <row r="3" spans="1:17" ht="21">
      <c r="B3" s="6" t="s">
        <v>116</v>
      </c>
      <c r="C3" s="3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5" spans="1:17" ht="15.5">
      <c r="B5" s="75" t="s">
        <v>117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ht="14.5" thickBot="1"/>
    <row r="7" spans="1:17" ht="15.5">
      <c r="B7" s="85" t="s">
        <v>118</v>
      </c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7"/>
    </row>
    <row r="8" spans="1:17">
      <c r="B8" s="88"/>
      <c r="Q8" s="89"/>
    </row>
    <row r="9" spans="1:17" ht="15.5">
      <c r="B9" s="90" t="s">
        <v>119</v>
      </c>
      <c r="C9" s="18" t="s">
        <v>68</v>
      </c>
      <c r="D9" s="18" t="s">
        <v>88</v>
      </c>
      <c r="E9" s="18"/>
      <c r="F9" s="42" cm="1">
        <f t="array" ref="F9:O9">TRANSPOSE(years)</f>
        <v>2025</v>
      </c>
      <c r="G9" s="42">
        <v>2026</v>
      </c>
      <c r="H9" s="42">
        <v>2027</v>
      </c>
      <c r="I9" s="42">
        <v>2028</v>
      </c>
      <c r="J9" s="42">
        <v>2029</v>
      </c>
      <c r="K9" s="42">
        <v>2030</v>
      </c>
      <c r="L9" s="42">
        <v>2031</v>
      </c>
      <c r="M9" s="42">
        <v>2032</v>
      </c>
      <c r="N9" s="42">
        <v>2033</v>
      </c>
      <c r="O9" s="42">
        <v>2034</v>
      </c>
      <c r="Q9" s="91" t="s">
        <v>99</v>
      </c>
    </row>
    <row r="10" spans="1:17" ht="15.5">
      <c r="B10" s="67" t="s">
        <v>99</v>
      </c>
      <c r="C10" s="35" t="str" cm="1">
        <f t="array" ref="C10:C12">network_levels</f>
        <v>LV</v>
      </c>
      <c r="D10" s="35" t="s">
        <v>120</v>
      </c>
      <c r="E10" s="35"/>
      <c r="F10" s="79">
        <f>SUMIFS('Raw demand'!G$10:G$87,'Raw demand'!$C$10:$C$87,$C10)/SUM('Raw demand'!G$10:G$87)</f>
        <v>0.84373751998493485</v>
      </c>
      <c r="G10" s="79">
        <f>SUMIFS('Raw demand'!H$10:H$87,'Raw demand'!$C$10:$C$87,$C10)/SUM('Raw demand'!H$10:H$87)</f>
        <v>0.83478149524951262</v>
      </c>
      <c r="H10" s="79">
        <f>SUMIFS('Raw demand'!I$10:I$87,'Raw demand'!$C$10:$C$87,$C10)/SUM('Raw demand'!I$10:I$87)</f>
        <v>0.82760418015185111</v>
      </c>
      <c r="I10" s="79">
        <f>SUMIFS('Raw demand'!J$10:J$87,'Raw demand'!$C$10:$C$87,$C10)/SUM('Raw demand'!J$10:J$87)</f>
        <v>0.82087253964998241</v>
      </c>
      <c r="J10" s="79">
        <f>SUMIFS('Raw demand'!K$10:K$87,'Raw demand'!$C$10:$C$87,$C10)/SUM('Raw demand'!K$10:K$87)</f>
        <v>0.81362415231823471</v>
      </c>
      <c r="K10" s="79">
        <f>SUMIFS('Raw demand'!L$10:L$87,'Raw demand'!$C$10:$C$87,$C10)/SUM('Raw demand'!L$10:L$87)</f>
        <v>0.81033000089350038</v>
      </c>
      <c r="L10" s="79">
        <f>SUMIFS('Raw demand'!M$10:M$87,'Raw demand'!$C$10:$C$87,$C10)/SUM('Raw demand'!M$10:M$87)</f>
        <v>0.80774667835888803</v>
      </c>
      <c r="M10" s="79">
        <f>SUMIFS('Raw demand'!N$10:N$87,'Raw demand'!$C$10:$C$87,$C10)/SUM('Raw demand'!N$10:N$87)</f>
        <v>0.80784678044246505</v>
      </c>
      <c r="N10" s="79">
        <f>SUMIFS('Raw demand'!O$10:O$87,'Raw demand'!$C$10:$C$87,$C10)/SUM('Raw demand'!O$10:O$87)</f>
        <v>0.80784505906733051</v>
      </c>
      <c r="O10" s="79">
        <f>SUMIFS('Raw demand'!P$10:P$87,'Raw demand'!$C$10:$C$87,$C10)/SUM('Raw demand'!P$10:P$87)</f>
        <v>0.80801696692476765</v>
      </c>
      <c r="Q10" s="93">
        <f>AVERAGE(F10:O10)</f>
        <v>0.81824053730414692</v>
      </c>
    </row>
    <row r="11" spans="1:17" ht="15.5">
      <c r="B11" s="67" t="str">
        <f>B10</f>
        <v>Average</v>
      </c>
      <c r="C11" s="35" t="str">
        <v>HV</v>
      </c>
      <c r="D11" s="35" t="str">
        <f>D10</f>
        <v>Network wide</v>
      </c>
      <c r="E11" s="35"/>
      <c r="F11" s="79">
        <f>SUMIFS('Raw demand'!G$10:G$87,'Raw demand'!$C$10:$C$87,$C11)/SUM('Raw demand'!G$10:G$87)</f>
        <v>3.4961017046876708E-2</v>
      </c>
      <c r="G11" s="79">
        <f>SUMIFS('Raw demand'!H$10:H$87,'Raw demand'!$C$10:$C$87,$C11)/SUM('Raw demand'!H$10:H$87)</f>
        <v>3.4234486116858844E-2</v>
      </c>
      <c r="H11" s="79">
        <f>SUMIFS('Raw demand'!I$10:I$87,'Raw demand'!$C$10:$C$87,$C11)/SUM('Raw demand'!I$10:I$87)</f>
        <v>3.3907243782339211E-2</v>
      </c>
      <c r="I11" s="79">
        <f>SUMIFS('Raw demand'!J$10:J$87,'Raw demand'!$C$10:$C$87,$C11)/SUM('Raw demand'!J$10:J$87)</f>
        <v>3.3600827595562988E-2</v>
      </c>
      <c r="J11" s="79">
        <f>SUMIFS('Raw demand'!K$10:K$87,'Raw demand'!$C$10:$C$87,$C11)/SUM('Raw demand'!K$10:K$87)</f>
        <v>3.3281469134709217E-2</v>
      </c>
      <c r="K11" s="79">
        <f>SUMIFS('Raw demand'!L$10:L$87,'Raw demand'!$C$10:$C$87,$C11)/SUM('Raw demand'!L$10:L$87)</f>
        <v>3.3114425234530967E-2</v>
      </c>
      <c r="L11" s="79">
        <f>SUMIFS('Raw demand'!M$10:M$87,'Raw demand'!$C$10:$C$87,$C11)/SUM('Raw demand'!M$10:M$87)</f>
        <v>3.2945752061535487E-2</v>
      </c>
      <c r="M11" s="79">
        <f>SUMIFS('Raw demand'!N$10:N$87,'Raw demand'!$C$10:$C$87,$C11)/SUM('Raw demand'!N$10:N$87)</f>
        <v>3.2888096106338291E-2</v>
      </c>
      <c r="N11" s="79">
        <f>SUMIFS('Raw demand'!O$10:O$87,'Raw demand'!$C$10:$C$87,$C11)/SUM('Raw demand'!O$10:O$87)</f>
        <v>3.28340421859456E-2</v>
      </c>
      <c r="O11" s="79">
        <f>SUMIFS('Raw demand'!P$10:P$87,'Raw demand'!$C$10:$C$87,$C11)/SUM('Raw demand'!P$10:P$87)</f>
        <v>3.2785959778729841E-2</v>
      </c>
      <c r="Q11" s="93">
        <f>AVERAGE(F11:O11)</f>
        <v>3.3455331904342717E-2</v>
      </c>
    </row>
    <row r="12" spans="1:17" ht="16" thickBot="1">
      <c r="B12" s="69" t="str">
        <f>B11</f>
        <v>Average</v>
      </c>
      <c r="C12" s="150" t="str">
        <v>ST</v>
      </c>
      <c r="D12" s="150" t="str">
        <f>D11</f>
        <v>Network wide</v>
      </c>
      <c r="E12" s="150"/>
      <c r="F12" s="151">
        <f>SUMIFS('Raw demand'!G$10:G$87,'Raw demand'!$C$10:$C$87,$C12)/SUM('Raw demand'!G$10:G$87)</f>
        <v>0.12130146296818783</v>
      </c>
      <c r="G12" s="151">
        <f>SUMIFS('Raw demand'!H$10:H$87,'Raw demand'!$C$10:$C$87,$C12)/SUM('Raw demand'!H$10:H$87)</f>
        <v>0.13098401863362769</v>
      </c>
      <c r="H12" s="151">
        <f>SUMIFS('Raw demand'!I$10:I$87,'Raw demand'!$C$10:$C$87,$C12)/SUM('Raw demand'!I$10:I$87)</f>
        <v>0.13848857606580953</v>
      </c>
      <c r="I12" s="151">
        <f>SUMIFS('Raw demand'!J$10:J$87,'Raw demand'!$C$10:$C$87,$C12)/SUM('Raw demand'!J$10:J$87)</f>
        <v>0.14552663275445443</v>
      </c>
      <c r="J12" s="151">
        <f>SUMIFS('Raw demand'!K$10:K$87,'Raw demand'!$C$10:$C$87,$C12)/SUM('Raw demand'!K$10:K$87)</f>
        <v>0.15309437854705563</v>
      </c>
      <c r="K12" s="151">
        <f>SUMIFS('Raw demand'!L$10:L$87,'Raw demand'!$C$10:$C$87,$C12)/SUM('Raw demand'!L$10:L$87)</f>
        <v>0.15655557387196817</v>
      </c>
      <c r="L12" s="151">
        <f>SUMIFS('Raw demand'!M$10:M$87,'Raw demand'!$C$10:$C$87,$C12)/SUM('Raw demand'!M$10:M$87)</f>
        <v>0.15930756957957609</v>
      </c>
      <c r="M12" s="151">
        <f>SUMIFS('Raw demand'!N$10:N$87,'Raw demand'!$C$10:$C$87,$C12)/SUM('Raw demand'!N$10:N$87)</f>
        <v>0.15926512345119595</v>
      </c>
      <c r="N12" s="151">
        <f>SUMIFS('Raw demand'!O$10:O$87,'Raw demand'!$C$10:$C$87,$C12)/SUM('Raw demand'!O$10:O$87)</f>
        <v>0.1593208987467237</v>
      </c>
      <c r="O12" s="151">
        <f>SUMIFS('Raw demand'!P$10:P$87,'Raw demand'!$C$10:$C$87,$C12)/SUM('Raw demand'!P$10:P$87)</f>
        <v>0.15919707329650223</v>
      </c>
      <c r="P12" s="152"/>
      <c r="Q12" s="94">
        <f>AVERAGE(F12:O12)</f>
        <v>0.14830413079151011</v>
      </c>
    </row>
    <row r="13" spans="1:17">
      <c r="D13" s="19"/>
      <c r="E13" s="19"/>
      <c r="F13" s="43"/>
      <c r="G13" s="43"/>
      <c r="H13" s="43"/>
      <c r="I13" s="43"/>
      <c r="J13" s="43"/>
      <c r="K13" s="43"/>
      <c r="L13" s="43"/>
      <c r="M13" s="43"/>
      <c r="N13" s="43"/>
      <c r="O13" s="43"/>
    </row>
    <row r="14" spans="1:17" ht="15.5">
      <c r="B14" s="2" t="s">
        <v>121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</row>
    <row r="16" spans="1:17" ht="15.5">
      <c r="B16" s="14" t="str">
        <f t="shared" ref="B16:D19" si="0">B9</f>
        <v>Area</v>
      </c>
      <c r="C16" s="18" t="str">
        <f t="shared" si="0"/>
        <v>Network level</v>
      </c>
      <c r="D16" s="18" t="str">
        <f t="shared" si="0"/>
        <v>Classification</v>
      </c>
      <c r="E16" s="18"/>
      <c r="F16" s="42">
        <f t="shared" ref="F16:O16" si="1">F9</f>
        <v>2025</v>
      </c>
      <c r="G16" s="42">
        <f t="shared" si="1"/>
        <v>2026</v>
      </c>
      <c r="H16" s="42">
        <f t="shared" si="1"/>
        <v>2027</v>
      </c>
      <c r="I16" s="42">
        <f t="shared" si="1"/>
        <v>2028</v>
      </c>
      <c r="J16" s="42">
        <f t="shared" si="1"/>
        <v>2029</v>
      </c>
      <c r="K16" s="42">
        <f t="shared" si="1"/>
        <v>2030</v>
      </c>
      <c r="L16" s="42">
        <f t="shared" si="1"/>
        <v>2031</v>
      </c>
      <c r="M16" s="42">
        <f t="shared" si="1"/>
        <v>2032</v>
      </c>
      <c r="N16" s="42">
        <f t="shared" si="1"/>
        <v>2033</v>
      </c>
      <c r="O16" s="42">
        <f t="shared" si="1"/>
        <v>2034</v>
      </c>
      <c r="Q16" s="42" t="str">
        <f>Q9</f>
        <v>Average</v>
      </c>
    </row>
    <row r="17" spans="2:19" ht="15.5">
      <c r="B17" s="2" t="str">
        <f t="shared" si="0"/>
        <v>Average</v>
      </c>
      <c r="C17" s="35" t="str">
        <f t="shared" si="0"/>
        <v>LV</v>
      </c>
      <c r="D17" s="35" t="str">
        <f t="shared" si="0"/>
        <v>Network wide</v>
      </c>
      <c r="E17" s="35"/>
      <c r="F17" s="60">
        <f>SUMIFS('Smoothed demand'!G$10:G$87,'Smoothed demand'!$C$10:$C$87,$C17)/SUM('Smoothed demand'!G$10:G$87)</f>
        <v>0.82795087902233777</v>
      </c>
      <c r="G17" s="60">
        <f>SUMIFS('Smoothed demand'!H$10:H$87,'Smoothed demand'!$C$10:$C$87,$C17)/SUM('Smoothed demand'!H$10:H$87)</f>
        <v>0.82702433453987068</v>
      </c>
      <c r="H17" s="60">
        <f>SUMIFS('Smoothed demand'!I$10:I$87,'Smoothed demand'!$C$10:$C$87,$C17)/SUM('Smoothed demand'!I$10:I$87)</f>
        <v>0.82607084010875187</v>
      </c>
      <c r="I17" s="60">
        <f>SUMIFS('Smoothed demand'!J$10:J$87,'Smoothed demand'!$C$10:$C$87,$C17)/SUM('Smoothed demand'!J$10:J$87)</f>
        <v>0.82508968411427175</v>
      </c>
      <c r="J17" s="60">
        <f>SUMIFS('Smoothed demand'!K$10:K$87,'Smoothed demand'!$C$10:$C$87,$C17)/SUM('Smoothed demand'!K$10:K$87)</f>
        <v>0.82408015139648905</v>
      </c>
      <c r="K17" s="60">
        <f>SUMIFS('Smoothed demand'!L$10:L$87,'Smoothed demand'!$C$10:$C$87,$C17)/SUM('Smoothed demand'!L$10:L$87)</f>
        <v>0.82304152455787305</v>
      </c>
      <c r="L17" s="60">
        <f>SUMIFS('Smoothed demand'!M$10:M$87,'Smoothed demand'!$C$10:$C$87,$C17)/SUM('Smoothed demand'!M$10:M$87)</f>
        <v>0.82197308537906588</v>
      </c>
      <c r="M17" s="60">
        <f>SUMIFS('Smoothed demand'!N$10:N$87,'Smoothed demand'!$C$10:$C$87,$C17)/SUM('Smoothed demand'!N$10:N$87)</f>
        <v>0.82087411634596907</v>
      </c>
      <c r="N17" s="60">
        <f>SUMIFS('Smoothed demand'!O$10:O$87,'Smoothed demand'!$C$10:$C$87,$C17)/SUM('Smoothed demand'!O$10:O$87)</f>
        <v>0.81974390229100003</v>
      </c>
      <c r="O17" s="60">
        <f>SUMIFS('Smoothed demand'!P$10:P$87,'Smoothed demand'!$C$10:$C$87,$C17)/SUM('Smoothed demand'!P$10:P$87)</f>
        <v>0.81858173215095054</v>
      </c>
      <c r="Q17" s="60">
        <f>AVERAGE(F17:O17)</f>
        <v>0.82344302499065802</v>
      </c>
    </row>
    <row r="18" spans="2:19" ht="15.5">
      <c r="B18" s="2" t="str">
        <f t="shared" si="0"/>
        <v>Average</v>
      </c>
      <c r="C18" s="35" t="str">
        <f t="shared" si="0"/>
        <v>HV</v>
      </c>
      <c r="D18" s="35" t="str">
        <f t="shared" si="0"/>
        <v>Network wide</v>
      </c>
      <c r="E18" s="35"/>
      <c r="F18" s="60">
        <f>SUMIFS('Smoothed demand'!G$10:G$87,'Smoothed demand'!$C$10:$C$87,$C18)/SUM('Smoothed demand'!G$10:G$87)</f>
        <v>3.2977332470511871E-2</v>
      </c>
      <c r="G18" s="60">
        <f>SUMIFS('Smoothed demand'!H$10:H$87,'Smoothed demand'!$C$10:$C$87,$C18)/SUM('Smoothed demand'!H$10:H$87)</f>
        <v>3.3101172520375956E-2</v>
      </c>
      <c r="H18" s="60">
        <f>SUMIFS('Smoothed demand'!I$10:I$87,'Smoothed demand'!$C$10:$C$87,$C18)/SUM('Smoothed demand'!I$10:I$87)</f>
        <v>3.3229174407301838E-2</v>
      </c>
      <c r="I18" s="60">
        <f>SUMIFS('Smoothed demand'!J$10:J$87,'Smoothed demand'!$C$10:$C$87,$C18)/SUM('Smoothed demand'!J$10:J$87)</f>
        <v>3.3361453915610101E-2</v>
      </c>
      <c r="J18" s="60">
        <f>SUMIFS('Smoothed demand'!K$10:K$87,'Smoothed demand'!$C$10:$C$87,$C18)/SUM('Smoothed demand'!K$10:K$87)</f>
        <v>3.3498127650137169E-2</v>
      </c>
      <c r="K18" s="60">
        <f>SUMIFS('Smoothed demand'!L$10:L$87,'Smoothed demand'!$C$10:$C$87,$C18)/SUM('Smoothed demand'!L$10:L$87)</f>
        <v>3.3639312839665529E-2</v>
      </c>
      <c r="L18" s="60">
        <f>SUMIFS('Smoothed demand'!M$10:M$87,'Smoothed demand'!$C$10:$C$87,$C18)/SUM('Smoothed demand'!M$10:M$87)</f>
        <v>3.3785127123189873E-2</v>
      </c>
      <c r="M18" s="60">
        <f>SUMIFS('Smoothed demand'!N$10:N$87,'Smoothed demand'!$C$10:$C$87,$C18)/SUM('Smoothed demand'!N$10:N$87)</f>
        <v>3.3935688318460208E-2</v>
      </c>
      <c r="N18" s="60">
        <f>SUMIFS('Smoothed demand'!O$10:O$87,'Smoothed demand'!$C$10:$C$87,$C18)/SUM('Smoothed demand'!O$10:O$87)</f>
        <v>3.409111417229363E-2</v>
      </c>
      <c r="O18" s="60">
        <f>SUMIFS('Smoothed demand'!P$10:P$87,'Smoothed demand'!$C$10:$C$87,$C18)/SUM('Smoothed demand'!P$10:P$87)</f>
        <v>3.425152209220992E-2</v>
      </c>
      <c r="Q18" s="60">
        <f>AVERAGE(F18:O18)</f>
        <v>3.358700255097561E-2</v>
      </c>
    </row>
    <row r="19" spans="2:19" ht="15.5">
      <c r="B19" s="2" t="str">
        <f t="shared" si="0"/>
        <v>Average</v>
      </c>
      <c r="C19" s="35" t="str">
        <f t="shared" si="0"/>
        <v>ST</v>
      </c>
      <c r="D19" s="35" t="str">
        <f t="shared" si="0"/>
        <v>Network wide</v>
      </c>
      <c r="E19" s="35"/>
      <c r="F19" s="60">
        <f>SUMIFS('Smoothed demand'!G$10:G$87,'Smoothed demand'!$C$10:$C$87,$C19)/SUM('Smoothed demand'!G$10:G$87)</f>
        <v>0.13907178850715021</v>
      </c>
      <c r="G19" s="60">
        <f>SUMIFS('Smoothed demand'!H$10:H$87,'Smoothed demand'!$C$10:$C$87,$C19)/SUM('Smoothed demand'!H$10:H$87)</f>
        <v>0.13987449293975285</v>
      </c>
      <c r="H19" s="60">
        <f>SUMIFS('Smoothed demand'!I$10:I$87,'Smoothed demand'!$C$10:$C$87,$C19)/SUM('Smoothed demand'!I$10:I$87)</f>
        <v>0.1406999854839463</v>
      </c>
      <c r="I19" s="60">
        <f>SUMIFS('Smoothed demand'!J$10:J$87,'Smoothed demand'!$C$10:$C$87,$C19)/SUM('Smoothed demand'!J$10:J$87)</f>
        <v>0.14154886197011821</v>
      </c>
      <c r="J19" s="60">
        <f>SUMIFS('Smoothed demand'!K$10:K$87,'Smoothed demand'!$C$10:$C$87,$C19)/SUM('Smoothed demand'!K$10:K$87)</f>
        <v>0.14242172095337363</v>
      </c>
      <c r="K19" s="60">
        <f>SUMIFS('Smoothed demand'!L$10:L$87,'Smoothed demand'!$C$10:$C$87,$C19)/SUM('Smoothed demand'!L$10:L$87)</f>
        <v>0.14331916260246133</v>
      </c>
      <c r="L19" s="60">
        <f>SUMIFS('Smoothed demand'!M$10:M$87,'Smoothed demand'!$C$10:$C$87,$C19)/SUM('Smoothed demand'!M$10:M$87)</f>
        <v>0.14424178749774436</v>
      </c>
      <c r="M19" s="60">
        <f>SUMIFS('Smoothed demand'!N$10:N$87,'Smoothed demand'!$C$10:$C$87,$C19)/SUM('Smoothed demand'!N$10:N$87)</f>
        <v>0.14519019533557123</v>
      </c>
      <c r="N19" s="60">
        <f>SUMIFS('Smoothed demand'!O$10:O$87,'Smoothed demand'!$C$10:$C$87,$C19)/SUM('Smoothed demand'!O$10:O$87)</f>
        <v>0.1461649835367059</v>
      </c>
      <c r="O19" s="60">
        <f>SUMIFS('Smoothed demand'!P$10:P$87,'Smoothed demand'!$C$10:$C$87,$C19)/SUM('Smoothed demand'!P$10:P$87)</f>
        <v>0.14716674575683975</v>
      </c>
      <c r="Q19" s="60">
        <f>AVERAGE(F19:O19)</f>
        <v>0.14296997245836635</v>
      </c>
    </row>
    <row r="20" spans="2:19">
      <c r="D20" s="19"/>
      <c r="E20" s="19"/>
      <c r="F20" s="43"/>
      <c r="G20" s="43"/>
      <c r="H20" s="43"/>
      <c r="I20" s="43"/>
      <c r="J20" s="43"/>
      <c r="K20" s="43"/>
      <c r="L20" s="43"/>
      <c r="M20" s="43"/>
      <c r="N20" s="43"/>
      <c r="O20" s="43"/>
    </row>
    <row r="21" spans="2:19">
      <c r="D21" s="19"/>
      <c r="E21" s="19"/>
      <c r="F21" s="43"/>
      <c r="G21" s="43"/>
      <c r="H21" s="43"/>
      <c r="I21" s="43"/>
      <c r="J21" s="43"/>
      <c r="K21" s="43"/>
      <c r="L21" s="43"/>
      <c r="M21" s="43"/>
      <c r="N21" s="43"/>
      <c r="O21" s="43"/>
    </row>
    <row r="22" spans="2:19" ht="15.5">
      <c r="B22" s="75" t="s">
        <v>122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</row>
    <row r="23" spans="2:19">
      <c r="D23" s="19"/>
      <c r="E23" s="19"/>
      <c r="F23" s="43"/>
      <c r="G23" s="43"/>
      <c r="H23" s="43"/>
      <c r="I23" s="43"/>
      <c r="J23" s="43"/>
      <c r="K23" s="43"/>
      <c r="L23" s="43"/>
      <c r="M23" s="43"/>
      <c r="N23" s="43"/>
      <c r="O23" s="43"/>
    </row>
    <row r="24" spans="2:19" ht="15.5">
      <c r="B24" s="2" t="str">
        <f>B7</f>
        <v>Raw demand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2:19">
      <c r="D25" s="19"/>
      <c r="E25" s="19"/>
      <c r="F25" s="43"/>
      <c r="G25" s="43"/>
      <c r="H25" s="43"/>
      <c r="I25" s="43"/>
      <c r="J25" s="43"/>
      <c r="K25" s="43"/>
      <c r="L25" s="43"/>
      <c r="M25" s="43"/>
      <c r="N25" s="43"/>
      <c r="O25" s="43"/>
    </row>
    <row r="26" spans="2:19" ht="15.5">
      <c r="B26" s="14" t="str">
        <f>B9</f>
        <v>Area</v>
      </c>
      <c r="C26" s="14" t="str">
        <f>C9</f>
        <v>Network level</v>
      </c>
      <c r="D26" s="14" t="str">
        <f>D9</f>
        <v>Classification</v>
      </c>
      <c r="E26" s="14"/>
      <c r="F26" s="14">
        <f t="shared" ref="F26:O26" si="2">F9</f>
        <v>2025</v>
      </c>
      <c r="G26" s="14">
        <f t="shared" si="2"/>
        <v>2026</v>
      </c>
      <c r="H26" s="14">
        <f t="shared" si="2"/>
        <v>2027</v>
      </c>
      <c r="I26" s="14">
        <f t="shared" si="2"/>
        <v>2028</v>
      </c>
      <c r="J26" s="14">
        <f t="shared" si="2"/>
        <v>2029</v>
      </c>
      <c r="K26" s="14">
        <f t="shared" si="2"/>
        <v>2030</v>
      </c>
      <c r="L26" s="14">
        <f t="shared" si="2"/>
        <v>2031</v>
      </c>
      <c r="M26" s="14">
        <f t="shared" si="2"/>
        <v>2032</v>
      </c>
      <c r="N26" s="14">
        <f t="shared" si="2"/>
        <v>2033</v>
      </c>
      <c r="O26" s="14">
        <f t="shared" si="2"/>
        <v>2034</v>
      </c>
      <c r="Q26" s="14" t="s">
        <v>99</v>
      </c>
    </row>
    <row r="27" spans="2:19" ht="15.5">
      <c r="B27" s="2" t="str">
        <f t="shared" ref="B27:C29" si="3">B10</f>
        <v>Average</v>
      </c>
      <c r="C27" s="35" t="str">
        <f t="shared" si="3"/>
        <v>LV</v>
      </c>
      <c r="D27" s="35" t="s">
        <v>91</v>
      </c>
      <c r="E27" s="35"/>
      <c r="F27" s="60">
        <f>SUMIFS('Raw demand'!G$10:G$87,'Raw demand'!$C$10:$C$87,$C27,'Smoothed demand'!$D$10:$D$87,$D27)/SUMIFS('Raw demand'!G$10:G$87,'Smoothed demand'!$D$10:$D$87,$D27)</f>
        <v>0.82625258453852601</v>
      </c>
      <c r="G27" s="60">
        <f>SUMIFS('Raw demand'!H$10:H$87,'Raw demand'!$C$10:$C$87,$C27,'Smoothed demand'!$D$10:$D$87,$D27)/SUMIFS('Raw demand'!H$10:H$87,'Smoothed demand'!$D$10:$D$87,$D27)</f>
        <v>0.81445479855179925</v>
      </c>
      <c r="H27" s="60">
        <f>SUMIFS('Raw demand'!I$10:I$87,'Raw demand'!$C$10:$C$87,$C27,'Smoothed demand'!$D$10:$D$87,$D27)/SUMIFS('Raw demand'!I$10:I$87,'Smoothed demand'!$D$10:$D$87,$D27)</f>
        <v>0.80509924165637936</v>
      </c>
      <c r="I27" s="60">
        <f>SUMIFS('Raw demand'!J$10:J$87,'Raw demand'!$C$10:$C$87,$C27,'Smoothed demand'!$D$10:$D$87,$D27)/SUMIFS('Raw demand'!J$10:J$87,'Smoothed demand'!$D$10:$D$87,$D27)</f>
        <v>0.79642882204376508</v>
      </c>
      <c r="J27" s="60">
        <f>SUMIFS('Raw demand'!K$10:K$87,'Raw demand'!$C$10:$C$87,$C27,'Smoothed demand'!$D$10:$D$87,$D27)/SUMIFS('Raw demand'!K$10:K$87,'Smoothed demand'!$D$10:$D$87,$D27)</f>
        <v>0.78717712677948348</v>
      </c>
      <c r="K27" s="60">
        <f>SUMIFS('Raw demand'!L$10:L$87,'Raw demand'!$C$10:$C$87,$C27,'Smoothed demand'!$D$10:$D$87,$D27)/SUMIFS('Raw demand'!L$10:L$87,'Smoothed demand'!$D$10:$D$87,$D27)</f>
        <v>0.78318844926515874</v>
      </c>
      <c r="L27" s="60">
        <f>SUMIFS('Raw demand'!M$10:M$87,'Raw demand'!$C$10:$C$87,$C27,'Smoothed demand'!$D$10:$D$87,$D27)/SUMIFS('Raw demand'!M$10:M$87,'Smoothed demand'!$D$10:$D$87,$D27)</f>
        <v>0.77999345391695751</v>
      </c>
      <c r="M27" s="60">
        <f>SUMIFS('Raw demand'!N$10:N$87,'Raw demand'!$C$10:$C$87,$C27,'Smoothed demand'!$D$10:$D$87,$D27)/SUMIFS('Raw demand'!N$10:N$87,'Smoothed demand'!$D$10:$D$87,$D27)</f>
        <v>0.78026338402675421</v>
      </c>
      <c r="N27" s="60">
        <f>SUMIFS('Raw demand'!O$10:O$87,'Raw demand'!$C$10:$C$87,$C27,'Smoothed demand'!$D$10:$D$87,$D27)/SUMIFS('Raw demand'!O$10:O$87,'Smoothed demand'!$D$10:$D$87,$D27)</f>
        <v>0.78040767057779181</v>
      </c>
      <c r="O27" s="60">
        <f>SUMIFS('Raw demand'!P$10:P$87,'Raw demand'!$C$10:$C$87,$C27,'Smoothed demand'!$D$10:$D$87,$D27)/SUMIFS('Raw demand'!P$10:P$87,'Smoothed demand'!$D$10:$D$87,$D27)</f>
        <v>0.78076535534725389</v>
      </c>
      <c r="Q27" s="60">
        <f>AVERAGE(F27:O27)</f>
        <v>0.79340308867038689</v>
      </c>
      <c r="R27"/>
      <c r="S27"/>
    </row>
    <row r="28" spans="2:19" ht="15.5">
      <c r="B28" s="2" t="str">
        <f t="shared" si="3"/>
        <v>Average</v>
      </c>
      <c r="C28" s="35" t="str">
        <f t="shared" si="3"/>
        <v>HV</v>
      </c>
      <c r="D28" s="35" t="str">
        <f>D27</f>
        <v>Growth</v>
      </c>
      <c r="E28" s="35"/>
      <c r="F28" s="60">
        <f>SUMIFS('Raw demand'!G$10:G$87,'Raw demand'!$C$10:$C$87,$C28,'Smoothed demand'!$D$10:$D$87,$D28)/SUMIFS('Raw demand'!G$10:G$87,'Smoothed demand'!$D$10:$D$87,$D28)</f>
        <v>4.0025924848426736E-2</v>
      </c>
      <c r="G28" s="60">
        <f>SUMIFS('Raw demand'!H$10:H$87,'Raw demand'!$C$10:$C$87,$C28,'Smoothed demand'!$D$10:$D$87,$D28)/SUMIFS('Raw demand'!H$10:H$87,'Smoothed demand'!$D$10:$D$87,$D28)</f>
        <v>3.8979273426464858E-2</v>
      </c>
      <c r="H28" s="60">
        <f>SUMIFS('Raw demand'!I$10:I$87,'Raw demand'!$C$10:$C$87,$C28,'Smoothed demand'!$D$10:$D$87,$D28)/SUMIFS('Raw demand'!I$10:I$87,'Smoothed demand'!$D$10:$D$87,$D28)</f>
        <v>3.8467449504364357E-2</v>
      </c>
      <c r="I28" s="60">
        <f>SUMIFS('Raw demand'!J$10:J$87,'Raw demand'!$C$10:$C$87,$C28,'Smoothed demand'!$D$10:$D$87,$D28)/SUMIFS('Raw demand'!J$10:J$87,'Smoothed demand'!$D$10:$D$87,$D28)</f>
        <v>3.7990528931178019E-2</v>
      </c>
      <c r="J28" s="60">
        <f>SUMIFS('Raw demand'!K$10:K$87,'Raw demand'!$C$10:$C$87,$C28,'Smoothed demand'!$D$10:$D$87,$D28)/SUMIFS('Raw demand'!K$10:K$87,'Smoothed demand'!$D$10:$D$87,$D28)</f>
        <v>3.7492981890998707E-2</v>
      </c>
      <c r="K28" s="60">
        <f>SUMIFS('Raw demand'!L$10:L$87,'Raw demand'!$C$10:$C$87,$C28,'Smoothed demand'!$D$10:$D$87,$D28)/SUMIFS('Raw demand'!L$10:L$87,'Smoothed demand'!$D$10:$D$87,$D28)</f>
        <v>3.7216251608411535E-2</v>
      </c>
      <c r="L28" s="60">
        <f>SUMIFS('Raw demand'!M$10:M$87,'Raw demand'!$C$10:$C$87,$C28,'Smoothed demand'!$D$10:$D$87,$D28)/SUMIFS('Raw demand'!M$10:M$87,'Smoothed demand'!$D$10:$D$87,$D28)</f>
        <v>3.6950554244142481E-2</v>
      </c>
      <c r="M28" s="60">
        <f>SUMIFS('Raw demand'!N$10:N$87,'Raw demand'!$C$10:$C$87,$C28,'Smoothed demand'!$D$10:$D$87,$D28)/SUMIFS('Raw demand'!N$10:N$87,'Smoothed demand'!$D$10:$D$87,$D28)</f>
        <v>3.6851802982875118E-2</v>
      </c>
      <c r="N28" s="60">
        <f>SUMIFS('Raw demand'!O$10:O$87,'Raw demand'!$C$10:$C$87,$C28,'Smoothed demand'!$D$10:$D$87,$D28)/SUMIFS('Raw demand'!O$10:O$87,'Smoothed demand'!$D$10:$D$87,$D28)</f>
        <v>3.6759054701669659E-2</v>
      </c>
      <c r="O28" s="60">
        <f>SUMIFS('Raw demand'!P$10:P$87,'Raw demand'!$C$10:$C$87,$C28,'Smoothed demand'!$D$10:$D$87,$D28)/SUMIFS('Raw demand'!P$10:P$87,'Smoothed demand'!$D$10:$D$87,$D28)</f>
        <v>3.6674142936430232E-2</v>
      </c>
      <c r="Q28" s="60">
        <f>AVERAGE(F28:O28)</f>
        <v>3.7740796507496163E-2</v>
      </c>
      <c r="R28"/>
      <c r="S28"/>
    </row>
    <row r="29" spans="2:19" ht="15.5">
      <c r="B29" s="2" t="str">
        <f t="shared" si="3"/>
        <v>Average</v>
      </c>
      <c r="C29" s="35" t="str">
        <f t="shared" si="3"/>
        <v>ST</v>
      </c>
      <c r="D29" s="35" t="str">
        <f>D28</f>
        <v>Growth</v>
      </c>
      <c r="E29" s="35"/>
      <c r="F29" s="60">
        <f>SUMIFS('Raw demand'!G$10:G$87,'Raw demand'!$C$10:$C$87,$C29,'Smoothed demand'!$D$10:$D$87,$D29)/SUMIFS('Raw demand'!G$10:G$87,'Smoothed demand'!$D$10:$D$87,$D29)</f>
        <v>0.13372149061304714</v>
      </c>
      <c r="G29" s="60">
        <f>SUMIFS('Raw demand'!H$10:H$87,'Raw demand'!$C$10:$C$87,$C29,'Smoothed demand'!$D$10:$D$87,$D29)/SUMIFS('Raw demand'!H$10:H$87,'Smoothed demand'!$D$10:$D$87,$D29)</f>
        <v>0.14656592802173585</v>
      </c>
      <c r="H29" s="60">
        <f>SUMIFS('Raw demand'!I$10:I$87,'Raw demand'!$C$10:$C$87,$C29,'Smoothed demand'!$D$10:$D$87,$D29)/SUMIFS('Raw demand'!I$10:I$87,'Smoothed demand'!$D$10:$D$87,$D29)</f>
        <v>0.15643330883925596</v>
      </c>
      <c r="I29" s="60">
        <f>SUMIFS('Raw demand'!J$10:J$87,'Raw demand'!$C$10:$C$87,$C29,'Smoothed demand'!$D$10:$D$87,$D29)/SUMIFS('Raw demand'!J$10:J$87,'Smoothed demand'!$D$10:$D$87,$D29)</f>
        <v>0.16558064902505681</v>
      </c>
      <c r="J29" s="60">
        <f>SUMIFS('Raw demand'!K$10:K$87,'Raw demand'!$C$10:$C$87,$C29,'Smoothed demand'!$D$10:$D$87,$D29)/SUMIFS('Raw demand'!K$10:K$87,'Smoothed demand'!$D$10:$D$87,$D29)</f>
        <v>0.17532989132951765</v>
      </c>
      <c r="K29" s="60">
        <f>SUMIFS('Raw demand'!L$10:L$87,'Raw demand'!$C$10:$C$87,$C29,'Smoothed demand'!$D$10:$D$87,$D29)/SUMIFS('Raw demand'!L$10:L$87,'Smoothed demand'!$D$10:$D$87,$D29)</f>
        <v>0.17959529912642941</v>
      </c>
      <c r="L29" s="60">
        <f>SUMIFS('Raw demand'!M$10:M$87,'Raw demand'!$C$10:$C$87,$C29,'Smoothed demand'!$D$10:$D$87,$D29)/SUMIFS('Raw demand'!M$10:M$87,'Smoothed demand'!$D$10:$D$87,$D29)</f>
        <v>0.18305599183889967</v>
      </c>
      <c r="M29" s="60">
        <f>SUMIFS('Raw demand'!N$10:N$87,'Raw demand'!$C$10:$C$87,$C29,'Smoothed demand'!$D$10:$D$87,$D29)/SUMIFS('Raw demand'!N$10:N$87,'Smoothed demand'!$D$10:$D$87,$D29)</f>
        <v>0.18288481299037057</v>
      </c>
      <c r="N29" s="60">
        <f>SUMIFS('Raw demand'!O$10:O$87,'Raw demand'!$C$10:$C$87,$C29,'Smoothed demand'!$D$10:$D$87,$D29)/SUMIFS('Raw demand'!O$10:O$87,'Smoothed demand'!$D$10:$D$87,$D29)</f>
        <v>0.18283327472053854</v>
      </c>
      <c r="O29" s="60">
        <f>SUMIFS('Raw demand'!P$10:P$87,'Raw demand'!$C$10:$C$87,$C29,'Smoothed demand'!$D$10:$D$87,$D29)/SUMIFS('Raw demand'!P$10:P$87,'Smoothed demand'!$D$10:$D$87,$D29)</f>
        <v>0.1825605017163158</v>
      </c>
      <c r="Q29" s="60">
        <f>AVERAGE(F29:O29)</f>
        <v>0.16885611482211677</v>
      </c>
      <c r="R29"/>
      <c r="S29"/>
    </row>
    <row r="30" spans="2:19" ht="16" thickBot="1">
      <c r="F30" s="43"/>
      <c r="G30" s="43"/>
      <c r="H30" s="43"/>
      <c r="I30" s="43"/>
      <c r="J30" s="43"/>
      <c r="K30" s="43"/>
      <c r="L30" s="43"/>
      <c r="M30" s="43"/>
      <c r="N30" s="43"/>
      <c r="O30" s="43"/>
      <c r="R30"/>
      <c r="S30"/>
    </row>
    <row r="31" spans="2:19" ht="15.5">
      <c r="B31" s="85" t="str">
        <f>B14</f>
        <v>Smoothed</v>
      </c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7"/>
      <c r="R31"/>
      <c r="S31"/>
    </row>
    <row r="32" spans="2:19" ht="15.5">
      <c r="B32" s="88"/>
      <c r="D32" s="19"/>
      <c r="E32" s="19"/>
      <c r="F32" s="43"/>
      <c r="G32" s="43"/>
      <c r="H32" s="43"/>
      <c r="I32" s="43"/>
      <c r="J32" s="43"/>
      <c r="K32" s="43"/>
      <c r="L32" s="43"/>
      <c r="M32" s="43"/>
      <c r="N32" s="43"/>
      <c r="O32" s="43"/>
      <c r="Q32" s="89"/>
      <c r="R32"/>
      <c r="S32"/>
    </row>
    <row r="33" spans="1:19" ht="15.5">
      <c r="B33" s="90" t="str">
        <f t="shared" ref="B33:D36" si="4">B26</f>
        <v>Area</v>
      </c>
      <c r="C33" s="18" t="str">
        <f t="shared" si="4"/>
        <v>Network level</v>
      </c>
      <c r="D33" s="18" t="str">
        <f t="shared" si="4"/>
        <v>Classification</v>
      </c>
      <c r="E33" s="18"/>
      <c r="F33" s="14">
        <f t="shared" ref="F33:O33" si="5">F16</f>
        <v>2025</v>
      </c>
      <c r="G33" s="14">
        <f t="shared" si="5"/>
        <v>2026</v>
      </c>
      <c r="H33" s="14">
        <f t="shared" si="5"/>
        <v>2027</v>
      </c>
      <c r="I33" s="14">
        <f t="shared" si="5"/>
        <v>2028</v>
      </c>
      <c r="J33" s="14">
        <f t="shared" si="5"/>
        <v>2029</v>
      </c>
      <c r="K33" s="14">
        <f t="shared" si="5"/>
        <v>2030</v>
      </c>
      <c r="L33" s="14">
        <f t="shared" si="5"/>
        <v>2031</v>
      </c>
      <c r="M33" s="14">
        <f t="shared" si="5"/>
        <v>2032</v>
      </c>
      <c r="N33" s="14">
        <f t="shared" si="5"/>
        <v>2033</v>
      </c>
      <c r="O33" s="14">
        <f t="shared" si="5"/>
        <v>2034</v>
      </c>
      <c r="Q33" s="91" t="str">
        <f>Q16</f>
        <v>Average</v>
      </c>
      <c r="R33"/>
      <c r="S33"/>
    </row>
    <row r="34" spans="1:19" ht="15.5">
      <c r="B34" s="67" t="str">
        <f t="shared" si="4"/>
        <v>Average</v>
      </c>
      <c r="C34" s="35" t="str">
        <f t="shared" si="4"/>
        <v>LV</v>
      </c>
      <c r="D34" s="35" t="str">
        <f t="shared" si="4"/>
        <v>Growth</v>
      </c>
      <c r="E34" s="35"/>
      <c r="F34" s="79">
        <f>SUMIFS('Smoothed demand'!G$10:G$87,'Smoothed demand'!$C$10:$C$87,$C34,'Smoothed demand'!$D$10:$D$87,$D34)/SUMIFS('Smoothed demand'!G$10:G$87,'Smoothed demand'!$D$10:$D$87,$D34)</f>
        <v>0.80482250820551771</v>
      </c>
      <c r="G34" s="79">
        <f>SUMIFS('Smoothed demand'!H$10:H$87,'Smoothed demand'!$C$10:$C$87,$C34,'Smoothed demand'!$D$10:$D$87,$D34)/SUMIFS('Smoothed demand'!H$10:H$87,'Smoothed demand'!$D$10:$D$87,$D34)</f>
        <v>0.8038291922430667</v>
      </c>
      <c r="H34" s="79">
        <f>SUMIFS('Smoothed demand'!I$10:I$87,'Smoothed demand'!$C$10:$C$87,$C34,'Smoothed demand'!$D$10:$D$87,$D34)/SUMIFS('Smoothed demand'!I$10:I$87,'Smoothed demand'!$D$10:$D$87,$D34)</f>
        <v>0.802806253699617</v>
      </c>
      <c r="I34" s="79">
        <f>SUMIFS('Smoothed demand'!J$10:J$87,'Smoothed demand'!$C$10:$C$87,$C34,'Smoothed demand'!$D$10:$D$87,$D34)/SUMIFS('Smoothed demand'!J$10:J$87,'Smoothed demand'!$D$10:$D$87,$D34)</f>
        <v>0.80175307962733877</v>
      </c>
      <c r="J34" s="79">
        <f>SUMIFS('Smoothed demand'!K$10:K$87,'Smoothed demand'!$C$10:$C$87,$C34,'Smoothed demand'!$D$10:$D$87,$D34)/SUMIFS('Smoothed demand'!K$10:K$87,'Smoothed demand'!$D$10:$D$87,$D34)</f>
        <v>0.80066906479125877</v>
      </c>
      <c r="K34" s="79">
        <f>SUMIFS('Smoothed demand'!L$10:L$87,'Smoothed demand'!$C$10:$C$87,$C34,'Smoothed demand'!$D$10:$D$87,$D34)/SUMIFS('Smoothed demand'!L$10:L$87,'Smoothed demand'!$D$10:$D$87,$D34)</f>
        <v>0.79955361345408926</v>
      </c>
      <c r="L34" s="79">
        <f>SUMIFS('Smoothed demand'!M$10:M$87,'Smoothed demand'!$C$10:$C$87,$C34,'Smoothed demand'!$D$10:$D$87,$D34)/SUMIFS('Smoothed demand'!M$10:M$87,'Smoothed demand'!$D$10:$D$87,$D34)</f>
        <v>0.79840614125610843</v>
      </c>
      <c r="M34" s="79">
        <f>SUMIFS('Smoothed demand'!N$10:N$87,'Smoothed demand'!$C$10:$C$87,$C34,'Smoothed demand'!$D$10:$D$87,$D34)/SUMIFS('Smoothed demand'!N$10:N$87,'Smoothed demand'!$D$10:$D$87,$D34)</f>
        <v>0.79722607718912664</v>
      </c>
      <c r="N34" s="79">
        <f>SUMIFS('Smoothed demand'!O$10:O$87,'Smoothed demand'!$C$10:$C$87,$C34,'Smoothed demand'!$D$10:$D$87,$D34)/SUMIFS('Smoothed demand'!O$10:O$87,'Smoothed demand'!$D$10:$D$87,$D34)</f>
        <v>0.79601286566289753</v>
      </c>
      <c r="O34" s="79">
        <f>SUMIFS('Smoothed demand'!P$10:P$87,'Smoothed demand'!$C$10:$C$87,$C34,'Smoothed demand'!$D$10:$D$87,$D34)/SUMIFS('Smoothed demand'!P$10:P$87,'Smoothed demand'!$D$10:$D$87,$D34)</f>
        <v>0.79476596866160032</v>
      </c>
      <c r="P34" s="92"/>
      <c r="Q34" s="93">
        <f>AVERAGE(F34:O34)</f>
        <v>0.79998447647906212</v>
      </c>
      <c r="R34"/>
      <c r="S34"/>
    </row>
    <row r="35" spans="1:19" ht="15.5">
      <c r="B35" s="67" t="str">
        <f t="shared" si="4"/>
        <v>Average</v>
      </c>
      <c r="C35" s="35" t="str">
        <f t="shared" si="4"/>
        <v>HV</v>
      </c>
      <c r="D35" s="35" t="str">
        <f t="shared" si="4"/>
        <v>Growth</v>
      </c>
      <c r="E35" s="35"/>
      <c r="F35" s="79">
        <f>SUMIFS('Smoothed demand'!G$10:G$87,'Smoothed demand'!$C$10:$C$87,$C35,'Smoothed demand'!$D$10:$D$87,$D35)/SUMIFS('Smoothed demand'!G$10:G$87,'Smoothed demand'!$D$10:$D$87,$D35)</f>
        <v>3.7313470261247941E-2</v>
      </c>
      <c r="G35" s="79">
        <f>SUMIFS('Smoothed demand'!H$10:H$87,'Smoothed demand'!$C$10:$C$87,$C35,'Smoothed demand'!$D$10:$D$87,$D35)/SUMIFS('Smoothed demand'!H$10:H$87,'Smoothed demand'!$D$10:$D$87,$D35)</f>
        <v>3.7438429390927647E-2</v>
      </c>
      <c r="H35" s="79">
        <f>SUMIFS('Smoothed demand'!I$10:I$87,'Smoothed demand'!$C$10:$C$87,$C35,'Smoothed demand'!$D$10:$D$87,$D35)/SUMIFS('Smoothed demand'!I$10:I$87,'Smoothed demand'!$D$10:$D$87,$D35)</f>
        <v>3.7567963216006285E-2</v>
      </c>
      <c r="I35" s="79">
        <f>SUMIFS('Smoothed demand'!J$10:J$87,'Smoothed demand'!$C$10:$C$87,$C35,'Smoothed demand'!$D$10:$D$87,$D35)/SUMIFS('Smoothed demand'!J$10:J$87,'Smoothed demand'!$D$10:$D$87,$D35)</f>
        <v>3.7702173885339724E-2</v>
      </c>
      <c r="J35" s="79">
        <f>SUMIFS('Smoothed demand'!K$10:K$87,'Smoothed demand'!$C$10:$C$87,$C35,'Smoothed demand'!$D$10:$D$87,$D35)/SUMIFS('Smoothed demand'!K$10:K$87,'Smoothed demand'!$D$10:$D$87,$D35)</f>
        <v>3.7841162700597501E-2</v>
      </c>
      <c r="K35" s="79">
        <f>SUMIFS('Smoothed demand'!L$10:L$87,'Smoothed demand'!$C$10:$C$87,$C35,'Smoothed demand'!$D$10:$D$87,$D35)/SUMIFS('Smoothed demand'!L$10:L$87,'Smoothed demand'!$D$10:$D$87,$D35)</f>
        <v>3.7985029845496246E-2</v>
      </c>
      <c r="L35" s="79">
        <f>SUMIFS('Smoothed demand'!M$10:M$87,'Smoothed demand'!$C$10:$C$87,$C35,'Smoothed demand'!$D$10:$D$87,$D35)/SUMIFS('Smoothed demand'!M$10:M$87,'Smoothed demand'!$D$10:$D$87,$D35)</f>
        <v>3.8133874099560483E-2</v>
      </c>
      <c r="M35" s="79">
        <f>SUMIFS('Smoothed demand'!N$10:N$87,'Smoothed demand'!$C$10:$C$87,$C35,'Smoothed demand'!$D$10:$D$87,$D35)/SUMIFS('Smoothed demand'!N$10:N$87,'Smoothed demand'!$D$10:$D$87,$D35)</f>
        <v>3.8287792536474172E-2</v>
      </c>
      <c r="N35" s="79">
        <f>SUMIFS('Smoothed demand'!O$10:O$87,'Smoothed demand'!$C$10:$C$87,$C35,'Smoothed demand'!$D$10:$D$87,$D35)/SUMIFS('Smoothed demand'!O$10:O$87,'Smoothed demand'!$D$10:$D$87,$D35)</f>
        <v>3.8446880207188235E-2</v>
      </c>
      <c r="O35" s="79">
        <f>SUMIFS('Smoothed demand'!P$10:P$87,'Smoothed demand'!$C$10:$C$87,$C35,'Smoothed demand'!$D$10:$D$87,$D35)/SUMIFS('Smoothed demand'!P$10:P$87,'Smoothed demand'!$D$10:$D$87,$D35)</f>
        <v>3.8611229808063322E-2</v>
      </c>
      <c r="P35" s="92"/>
      <c r="Q35" s="93">
        <f>AVERAGE(F35:O35)</f>
        <v>3.7932800595090153E-2</v>
      </c>
      <c r="R35"/>
      <c r="S35"/>
    </row>
    <row r="36" spans="1:19" ht="16" thickBot="1">
      <c r="B36" s="69" t="str">
        <f t="shared" si="4"/>
        <v>Average</v>
      </c>
      <c r="C36" s="150" t="str">
        <f t="shared" si="4"/>
        <v>ST</v>
      </c>
      <c r="D36" s="150" t="str">
        <f t="shared" si="4"/>
        <v>Growth</v>
      </c>
      <c r="E36" s="150"/>
      <c r="F36" s="151">
        <f>SUMIFS('Smoothed demand'!G$10:G$87,'Smoothed demand'!$C$10:$C$87,$C36,'Smoothed demand'!$D$10:$D$87,$D36)/SUMIFS('Smoothed demand'!G$10:G$87,'Smoothed demand'!$D$10:$D$87,$D36)</f>
        <v>0.15786402153323439</v>
      </c>
      <c r="G36" s="151">
        <f>SUMIFS('Smoothed demand'!H$10:H$87,'Smoothed demand'!$C$10:$C$87,$C36,'Smoothed demand'!$D$10:$D$87,$D36)/SUMIFS('Smoothed demand'!H$10:H$87,'Smoothed demand'!$D$10:$D$87,$D36)</f>
        <v>0.15873237836600573</v>
      </c>
      <c r="H36" s="151">
        <f>SUMIFS('Smoothed demand'!I$10:I$87,'Smoothed demand'!$C$10:$C$87,$C36,'Smoothed demand'!$D$10:$D$87,$D36)/SUMIFS('Smoothed demand'!I$10:I$87,'Smoothed demand'!$D$10:$D$87,$D36)</f>
        <v>0.15962578308437675</v>
      </c>
      <c r="I36" s="151">
        <f>SUMIFS('Smoothed demand'!J$10:J$87,'Smoothed demand'!$C$10:$C$87,$C36,'Smoothed demand'!$D$10:$D$87,$D36)/SUMIFS('Smoothed demand'!J$10:J$87,'Smoothed demand'!$D$10:$D$87,$D36)</f>
        <v>0.1605447464873212</v>
      </c>
      <c r="J36" s="151">
        <f>SUMIFS('Smoothed demand'!K$10:K$87,'Smoothed demand'!$C$10:$C$87,$C36,'Smoothed demand'!$D$10:$D$87,$D36)/SUMIFS('Smoothed demand'!K$10:K$87,'Smoothed demand'!$D$10:$D$87,$D36)</f>
        <v>0.1614897725081437</v>
      </c>
      <c r="K36" s="151">
        <f>SUMIFS('Smoothed demand'!L$10:L$87,'Smoothed demand'!$C$10:$C$87,$C36,'Smoothed demand'!$D$10:$D$87,$D36)/SUMIFS('Smoothed demand'!L$10:L$87,'Smoothed demand'!$D$10:$D$87,$D36)</f>
        <v>0.16246135670041464</v>
      </c>
      <c r="L36" s="151">
        <f>SUMIFS('Smoothed demand'!M$10:M$87,'Smoothed demand'!$C$10:$C$87,$C36,'Smoothed demand'!$D$10:$D$87,$D36)/SUMIFS('Smoothed demand'!M$10:M$87,'Smoothed demand'!$D$10:$D$87,$D36)</f>
        <v>0.16345998464433092</v>
      </c>
      <c r="M36" s="151">
        <f>SUMIFS('Smoothed demand'!N$10:N$87,'Smoothed demand'!$C$10:$C$87,$C36,'Smoothed demand'!$D$10:$D$87,$D36)/SUMIFS('Smoothed demand'!N$10:N$87,'Smoothed demand'!$D$10:$D$87,$D36)</f>
        <v>0.16448613027439923</v>
      </c>
      <c r="N36" s="151">
        <f>SUMIFS('Smoothed demand'!O$10:O$87,'Smoothed demand'!$C$10:$C$87,$C36,'Smoothed demand'!$D$10:$D$87,$D36)/SUMIFS('Smoothed demand'!O$10:O$87,'Smoothed demand'!$D$10:$D$87,$D36)</f>
        <v>0.16554025412991394</v>
      </c>
      <c r="O36" s="151">
        <f>SUMIFS('Smoothed demand'!P$10:P$87,'Smoothed demand'!$C$10:$C$87,$C36,'Smoothed demand'!$D$10:$D$87,$D36)/SUMIFS('Smoothed demand'!P$10:P$87,'Smoothed demand'!$D$10:$D$87,$D36)</f>
        <v>0.16662280153033648</v>
      </c>
      <c r="P36" s="152"/>
      <c r="Q36" s="94">
        <f>AVERAGE(F36:O36)</f>
        <v>0.16208272292584769</v>
      </c>
      <c r="R36"/>
      <c r="S36"/>
    </row>
    <row r="37" spans="1:19">
      <c r="F37" s="43"/>
      <c r="G37" s="43"/>
      <c r="H37" s="43"/>
      <c r="I37" s="43"/>
      <c r="J37" s="43"/>
      <c r="K37" s="43"/>
      <c r="L37" s="43"/>
      <c r="M37" s="43"/>
      <c r="N37" s="43"/>
      <c r="O37" s="43"/>
    </row>
    <row r="38" spans="1:19">
      <c r="F38" s="43"/>
      <c r="G38" s="43"/>
      <c r="H38" s="43"/>
      <c r="I38" s="43"/>
      <c r="J38" s="43"/>
      <c r="K38" s="43"/>
      <c r="L38" s="43"/>
      <c r="M38" s="43"/>
      <c r="N38" s="43"/>
      <c r="O38" s="43"/>
    </row>
    <row r="39" spans="1:19" ht="15.5">
      <c r="B39" s="75" t="s">
        <v>123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</row>
    <row r="40" spans="1:19">
      <c r="D40" s="19"/>
      <c r="E40" s="19"/>
      <c r="F40" s="43"/>
      <c r="G40" s="43"/>
      <c r="H40" s="43"/>
      <c r="I40" s="43"/>
      <c r="J40" s="43"/>
      <c r="K40" s="43"/>
      <c r="L40" s="43"/>
      <c r="M40" s="43"/>
      <c r="N40" s="43"/>
      <c r="O40" s="43"/>
    </row>
    <row r="41" spans="1:19" ht="15.5">
      <c r="B41" s="2" t="str">
        <f>B24</f>
        <v>Raw demand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</row>
    <row r="42" spans="1:19">
      <c r="D42" s="19"/>
      <c r="E42" s="19"/>
      <c r="F42" s="43"/>
      <c r="G42" s="43"/>
      <c r="H42" s="43"/>
      <c r="I42" s="43"/>
      <c r="J42" s="43"/>
      <c r="K42" s="43"/>
      <c r="L42" s="43"/>
      <c r="M42" s="43"/>
      <c r="N42" s="43"/>
      <c r="O42" s="43"/>
    </row>
    <row r="43" spans="1:19" ht="15.5">
      <c r="B43" s="14" t="str">
        <f>B26</f>
        <v>Area</v>
      </c>
      <c r="C43" s="14" t="str">
        <f>C26</f>
        <v>Network level</v>
      </c>
      <c r="D43" s="14" t="str">
        <f>D26</f>
        <v>Classification</v>
      </c>
      <c r="E43" s="14"/>
      <c r="F43" s="14">
        <f t="shared" ref="F43:O43" si="6">F26</f>
        <v>2025</v>
      </c>
      <c r="G43" s="14">
        <f t="shared" si="6"/>
        <v>2026</v>
      </c>
      <c r="H43" s="14">
        <f t="shared" si="6"/>
        <v>2027</v>
      </c>
      <c r="I43" s="14">
        <f t="shared" si="6"/>
        <v>2028</v>
      </c>
      <c r="J43" s="14">
        <f t="shared" si="6"/>
        <v>2029</v>
      </c>
      <c r="K43" s="14">
        <f t="shared" si="6"/>
        <v>2030</v>
      </c>
      <c r="L43" s="14">
        <f t="shared" si="6"/>
        <v>2031</v>
      </c>
      <c r="M43" s="14">
        <f t="shared" si="6"/>
        <v>2032</v>
      </c>
      <c r="N43" s="14">
        <f t="shared" si="6"/>
        <v>2033</v>
      </c>
      <c r="O43" s="14">
        <f t="shared" si="6"/>
        <v>2034</v>
      </c>
      <c r="Q43" s="14" t="s">
        <v>99</v>
      </c>
    </row>
    <row r="44" spans="1:19" ht="15.5">
      <c r="B44" s="2" t="str">
        <f t="shared" ref="B44:C46" si="7">B27</f>
        <v>Average</v>
      </c>
      <c r="C44" s="35" t="str">
        <f t="shared" si="7"/>
        <v>LV</v>
      </c>
      <c r="D44" s="35" t="s">
        <v>92</v>
      </c>
      <c r="E44" s="35"/>
      <c r="F44" s="60">
        <f>SUMIFS('Raw demand'!G$10:G$87,'Raw demand'!$C$10:$C$87,$C44,'Smoothed demand'!$D$10:$D$87,$D44)/SUMIFS('Raw demand'!G$10:G$87,'Smoothed demand'!$D$10:$D$87,$D44)</f>
        <v>0.89215524046394035</v>
      </c>
      <c r="G44" s="60">
        <f>SUMIFS('Raw demand'!H$10:H$87,'Raw demand'!$C$10:$C$87,$C44,'Smoothed demand'!$D$10:$D$87,$D44)/SUMIFS('Raw demand'!H$10:H$87,'Smoothed demand'!$D$10:$D$87,$D44)</f>
        <v>0.89169726238056013</v>
      </c>
      <c r="H44" s="60">
        <f>SUMIFS('Raw demand'!I$10:I$87,'Raw demand'!$C$10:$C$87,$C44,'Smoothed demand'!$D$10:$D$87,$D44)/SUMIFS('Raw demand'!I$10:I$87,'Smoothed demand'!$D$10:$D$87,$D44)</f>
        <v>0.89153761760147876</v>
      </c>
      <c r="I44" s="60">
        <f>SUMIFS('Raw demand'!J$10:J$87,'Raw demand'!$C$10:$C$87,$C44,'Smoothed demand'!$D$10:$D$87,$D44)/SUMIFS('Raw demand'!J$10:J$87,'Smoothed demand'!$D$10:$D$87,$D44)</f>
        <v>0.89125522220252817</v>
      </c>
      <c r="J44" s="60">
        <f>SUMIFS('Raw demand'!K$10:K$87,'Raw demand'!$C$10:$C$87,$C44,'Smoothed demand'!$D$10:$D$87,$D44)/SUMIFS('Raw demand'!K$10:K$87,'Smoothed demand'!$D$10:$D$87,$D44)</f>
        <v>0.89092714201732726</v>
      </c>
      <c r="K44" s="60">
        <f>SUMIFS('Raw demand'!L$10:L$87,'Raw demand'!$C$10:$C$87,$C44,'Smoothed demand'!$D$10:$D$87,$D44)/SUMIFS('Raw demand'!L$10:L$87,'Smoothed demand'!$D$10:$D$87,$D44)</f>
        <v>0.89051811273670933</v>
      </c>
      <c r="L44" s="60">
        <f>SUMIFS('Raw demand'!M$10:M$87,'Raw demand'!$C$10:$C$87,$C44,'Smoothed demand'!$D$10:$D$87,$D44)/SUMIFS('Raw demand'!M$10:M$87,'Smoothed demand'!$D$10:$D$87,$D44)</f>
        <v>0.89058713998886763</v>
      </c>
      <c r="M44" s="60">
        <f>SUMIFS('Raw demand'!N$10:N$87,'Raw demand'!$C$10:$C$87,$C44,'Smoothed demand'!$D$10:$D$87,$D44)/SUMIFS('Raw demand'!N$10:N$87,'Smoothed demand'!$D$10:$D$87,$D44)</f>
        <v>0.89065240938208079</v>
      </c>
      <c r="N44" s="60">
        <f>SUMIFS('Raw demand'!O$10:O$87,'Raw demand'!$C$10:$C$87,$C44,'Smoothed demand'!$D$10:$D$87,$D44)/SUMIFS('Raw demand'!O$10:O$87,'Smoothed demand'!$D$10:$D$87,$D44)</f>
        <v>0.89067176998854714</v>
      </c>
      <c r="O44" s="60">
        <f>SUMIFS('Raw demand'!P$10:P$87,'Raw demand'!$C$10:$C$87,$C44,'Smoothed demand'!$D$10:$D$87,$D44)/SUMIFS('Raw demand'!P$10:P$87,'Smoothed demand'!$D$10:$D$87,$D44)</f>
        <v>0.89076898147017058</v>
      </c>
      <c r="Q44" s="60">
        <f>AVERAGE(F44:O44)</f>
        <v>0.89107708982322098</v>
      </c>
      <c r="R44"/>
      <c r="S44"/>
    </row>
    <row r="45" spans="1:19" ht="15.5">
      <c r="B45" s="2" t="str">
        <f t="shared" si="7"/>
        <v>Average</v>
      </c>
      <c r="C45" s="35" t="str">
        <f t="shared" si="7"/>
        <v>HV</v>
      </c>
      <c r="D45" s="35" t="str">
        <f>D44</f>
        <v>Decline</v>
      </c>
      <c r="E45" s="35"/>
      <c r="F45" s="60">
        <f>SUMIFS('Raw demand'!G$10:G$87,'Raw demand'!$C$10:$C$87,$C45,'Smoothed demand'!$D$10:$D$87,$D45)/SUMIFS('Raw demand'!G$10:G$87,'Smoothed demand'!$D$10:$D$87,$D45)</f>
        <v>2.0935727051439972E-2</v>
      </c>
      <c r="G45" s="60">
        <f>SUMIFS('Raw demand'!H$10:H$87,'Raw demand'!$C$10:$C$87,$C45,'Smoothed demand'!$D$10:$D$87,$D45)/SUMIFS('Raw demand'!H$10:H$87,'Smoothed demand'!$D$10:$D$87,$D45)</f>
        <v>2.0948844400649678E-2</v>
      </c>
      <c r="H45" s="60">
        <f>SUMIFS('Raw demand'!I$10:I$87,'Raw demand'!$C$10:$C$87,$C45,'Smoothed demand'!$D$10:$D$87,$D45)/SUMIFS('Raw demand'!I$10:I$87,'Smoothed demand'!$D$10:$D$87,$D45)</f>
        <v>2.0952326027500932E-2</v>
      </c>
      <c r="I45" s="60">
        <f>SUMIFS('Raw demand'!J$10:J$87,'Raw demand'!$C$10:$C$87,$C45,'Smoothed demand'!$D$10:$D$87,$D45)/SUMIFS('Raw demand'!J$10:J$87,'Smoothed demand'!$D$10:$D$87,$D45)</f>
        <v>2.0961221763817778E-2</v>
      </c>
      <c r="J45" s="60">
        <f>SUMIFS('Raw demand'!K$10:K$87,'Raw demand'!$C$10:$C$87,$C45,'Smoothed demand'!$D$10:$D$87,$D45)/SUMIFS('Raw demand'!K$10:K$87,'Smoothed demand'!$D$10:$D$87,$D45)</f>
        <v>2.0971482639630157E-2</v>
      </c>
      <c r="K45" s="60">
        <f>SUMIFS('Raw demand'!L$10:L$87,'Raw demand'!$C$10:$C$87,$C45,'Smoothed demand'!$D$10:$D$87,$D45)/SUMIFS('Raw demand'!L$10:L$87,'Smoothed demand'!$D$10:$D$87,$D45)</f>
        <v>2.0995821385564016E-2</v>
      </c>
      <c r="L45" s="60">
        <f>SUMIFS('Raw demand'!M$10:M$87,'Raw demand'!$C$10:$C$87,$C45,'Smoothed demand'!$D$10:$D$87,$D45)/SUMIFS('Raw demand'!M$10:M$87,'Smoothed demand'!$D$10:$D$87,$D45)</f>
        <v>2.0991837941103521E-2</v>
      </c>
      <c r="M45" s="60">
        <f>SUMIFS('Raw demand'!N$10:N$87,'Raw demand'!$C$10:$C$87,$C45,'Smoothed demand'!$D$10:$D$87,$D45)/SUMIFS('Raw demand'!N$10:N$87,'Smoothed demand'!$D$10:$D$87,$D45)</f>
        <v>2.098900884756412E-2</v>
      </c>
      <c r="N45" s="60">
        <f>SUMIFS('Raw demand'!O$10:O$87,'Raw demand'!$C$10:$C$87,$C45,'Smoothed demand'!$D$10:$D$87,$D45)/SUMIFS('Raw demand'!O$10:O$87,'Smoothed demand'!$D$10:$D$87,$D45)</f>
        <v>2.0985397147224662E-2</v>
      </c>
      <c r="O45" s="60">
        <f>SUMIFS('Raw demand'!P$10:P$87,'Raw demand'!$C$10:$C$87,$C45,'Smoothed demand'!$D$10:$D$87,$D45)/SUMIFS('Raw demand'!P$10:P$87,'Smoothed demand'!$D$10:$D$87,$D45)</f>
        <v>2.0979135499511713E-2</v>
      </c>
      <c r="Q45" s="60">
        <f>AVERAGE(F45:O45)</f>
        <v>2.0971080270400656E-2</v>
      </c>
      <c r="R45"/>
      <c r="S45"/>
    </row>
    <row r="46" spans="1:19" ht="15.5">
      <c r="B46" s="2" t="str">
        <f t="shared" si="7"/>
        <v>Average</v>
      </c>
      <c r="C46" s="35" t="str">
        <f t="shared" si="7"/>
        <v>ST</v>
      </c>
      <c r="D46" s="35" t="str">
        <f>D45</f>
        <v>Decline</v>
      </c>
      <c r="E46" s="35"/>
      <c r="F46" s="60">
        <f>SUMIFS('Raw demand'!G$10:G$87,'Raw demand'!$C$10:$C$87,$C46,'Smoothed demand'!$D$10:$D$87,$D46)/SUMIFS('Raw demand'!G$10:G$87,'Smoothed demand'!$D$10:$D$87,$D46)</f>
        <v>8.6909032484619522E-2</v>
      </c>
      <c r="G46" s="60">
        <f>SUMIFS('Raw demand'!H$10:H$87,'Raw demand'!$C$10:$C$87,$C46,'Smoothed demand'!$D$10:$D$87,$D46)/SUMIFS('Raw demand'!H$10:H$87,'Smoothed demand'!$D$10:$D$87,$D46)</f>
        <v>8.7353893218790085E-2</v>
      </c>
      <c r="H46" s="60">
        <f>SUMIFS('Raw demand'!I$10:I$87,'Raw demand'!$C$10:$C$87,$C46,'Smoothed demand'!$D$10:$D$87,$D46)/SUMIFS('Raw demand'!I$10:I$87,'Smoothed demand'!$D$10:$D$87,$D46)</f>
        <v>8.7510056371020245E-2</v>
      </c>
      <c r="I46" s="60">
        <f>SUMIFS('Raw demand'!J$10:J$87,'Raw demand'!$C$10:$C$87,$C46,'Smoothed demand'!$D$10:$D$87,$D46)/SUMIFS('Raw demand'!J$10:J$87,'Smoothed demand'!$D$10:$D$87,$D46)</f>
        <v>8.7783556033653898E-2</v>
      </c>
      <c r="J46" s="60">
        <f>SUMIFS('Raw demand'!K$10:K$87,'Raw demand'!$C$10:$C$87,$C46,'Smoothed demand'!$D$10:$D$87,$D46)/SUMIFS('Raw demand'!K$10:K$87,'Smoothed demand'!$D$10:$D$87,$D46)</f>
        <v>8.8101375343042521E-2</v>
      </c>
      <c r="K46" s="60">
        <f>SUMIFS('Raw demand'!L$10:L$87,'Raw demand'!$C$10:$C$87,$C46,'Smoothed demand'!$D$10:$D$87,$D46)/SUMIFS('Raw demand'!L$10:L$87,'Smoothed demand'!$D$10:$D$87,$D46)</f>
        <v>8.848606587772663E-2</v>
      </c>
      <c r="L46" s="60">
        <f>SUMIFS('Raw demand'!M$10:M$87,'Raw demand'!$C$10:$C$87,$C46,'Smoothed demand'!$D$10:$D$87,$D46)/SUMIFS('Raw demand'!M$10:M$87,'Smoothed demand'!$D$10:$D$87,$D46)</f>
        <v>8.842102207002861E-2</v>
      </c>
      <c r="M46" s="60">
        <f>SUMIFS('Raw demand'!N$10:N$87,'Raw demand'!$C$10:$C$87,$C46,'Smoothed demand'!$D$10:$D$87,$D46)/SUMIFS('Raw demand'!N$10:N$87,'Smoothed demand'!$D$10:$D$87,$D46)</f>
        <v>8.8358581770355007E-2</v>
      </c>
      <c r="N46" s="60">
        <f>SUMIFS('Raw demand'!O$10:O$87,'Raw demand'!$C$10:$C$87,$C46,'Smoothed demand'!$D$10:$D$87,$D46)/SUMIFS('Raw demand'!O$10:O$87,'Smoothed demand'!$D$10:$D$87,$D46)</f>
        <v>8.8342832864227977E-2</v>
      </c>
      <c r="O46" s="60">
        <f>SUMIFS('Raw demand'!P$10:P$87,'Raw demand'!$C$10:$C$87,$C46,'Smoothed demand'!$D$10:$D$87,$D46)/SUMIFS('Raw demand'!P$10:P$87,'Smoothed demand'!$D$10:$D$87,$D46)</f>
        <v>8.8251883030317543E-2</v>
      </c>
      <c r="Q46" s="60">
        <f>AVERAGE(F46:O46)</f>
        <v>8.7951829906378204E-2</v>
      </c>
      <c r="R46"/>
      <c r="S46"/>
    </row>
    <row r="47" spans="1:19" ht="15.5">
      <c r="F47" s="43"/>
      <c r="G47" s="43"/>
      <c r="H47" s="43"/>
      <c r="I47" s="43"/>
      <c r="J47" s="43"/>
      <c r="K47" s="43"/>
      <c r="L47" s="43"/>
      <c r="M47" s="43"/>
      <c r="N47" s="43"/>
      <c r="O47" s="43"/>
      <c r="R47"/>
      <c r="S47"/>
    </row>
    <row r="48" spans="1:19" customFormat="1" ht="15.5">
      <c r="A48" s="1"/>
      <c r="B48" s="2" t="str">
        <f>B31</f>
        <v>Smoothed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1:19" customFormat="1" ht="15.5">
      <c r="A49" s="82"/>
      <c r="B49" s="1"/>
      <c r="C49" s="19"/>
      <c r="D49" s="19"/>
      <c r="E49" s="19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1"/>
      <c r="Q49" s="1"/>
    </row>
    <row r="50" spans="1:19" customFormat="1" ht="15.5">
      <c r="B50" s="14" t="str">
        <f t="shared" ref="B50:D53" si="8">B43</f>
        <v>Area</v>
      </c>
      <c r="C50" s="18" t="str">
        <f t="shared" si="8"/>
        <v>Network level</v>
      </c>
      <c r="D50" s="18" t="str">
        <f t="shared" si="8"/>
        <v>Classification</v>
      </c>
      <c r="E50" s="18"/>
      <c r="F50" s="14">
        <f t="shared" ref="F50:O50" si="9">F33</f>
        <v>2025</v>
      </c>
      <c r="G50" s="14">
        <f t="shared" si="9"/>
        <v>2026</v>
      </c>
      <c r="H50" s="14">
        <f t="shared" si="9"/>
        <v>2027</v>
      </c>
      <c r="I50" s="14">
        <f t="shared" si="9"/>
        <v>2028</v>
      </c>
      <c r="J50" s="14">
        <f t="shared" si="9"/>
        <v>2029</v>
      </c>
      <c r="K50" s="14">
        <f t="shared" si="9"/>
        <v>2030</v>
      </c>
      <c r="L50" s="14">
        <f t="shared" si="9"/>
        <v>2031</v>
      </c>
      <c r="M50" s="14">
        <f t="shared" si="9"/>
        <v>2032</v>
      </c>
      <c r="N50" s="14">
        <f t="shared" si="9"/>
        <v>2033</v>
      </c>
      <c r="O50" s="14">
        <f t="shared" si="9"/>
        <v>2034</v>
      </c>
      <c r="P50" s="1"/>
      <c r="Q50" s="14" t="str">
        <f>Q33</f>
        <v>Average</v>
      </c>
    </row>
    <row r="51" spans="1:19" customFormat="1" ht="15.5">
      <c r="B51" s="2" t="str">
        <f t="shared" si="8"/>
        <v>Average</v>
      </c>
      <c r="C51" s="35" t="str">
        <f t="shared" si="8"/>
        <v>LV</v>
      </c>
      <c r="D51" s="35" t="str">
        <f t="shared" si="8"/>
        <v>Decline</v>
      </c>
      <c r="E51" s="35"/>
      <c r="F51" s="60">
        <f>SUMIFS('Smoothed demand'!G$10:G$87,'Smoothed demand'!$C$10:$C$87,$C51,'Smoothed demand'!$D$10:$D$87,$D51)/SUMIFS('Smoothed demand'!G$10:G$87,'Smoothed demand'!$D$10:$D$87,$D51)</f>
        <v>0.89201571493476561</v>
      </c>
      <c r="G51" s="60">
        <f>SUMIFS('Smoothed demand'!H$10:H$87,'Smoothed demand'!$C$10:$C$87,$C51,'Smoothed demand'!$D$10:$D$87,$D51)/SUMIFS('Smoothed demand'!H$10:H$87,'Smoothed demand'!$D$10:$D$87,$D51)</f>
        <v>0.89189216374820002</v>
      </c>
      <c r="H51" s="60">
        <f>SUMIFS('Smoothed demand'!I$10:I$87,'Smoothed demand'!$C$10:$C$87,$C51,'Smoothed demand'!$D$10:$D$87,$D51)/SUMIFS('Smoothed demand'!I$10:I$87,'Smoothed demand'!$D$10:$D$87,$D51)</f>
        <v>0.89176852138032869</v>
      </c>
      <c r="I51" s="60">
        <f>SUMIFS('Smoothed demand'!J$10:J$87,'Smoothed demand'!$C$10:$C$87,$C51,'Smoothed demand'!$D$10:$D$87,$D51)/SUMIFS('Smoothed demand'!J$10:J$87,'Smoothed demand'!$D$10:$D$87,$D51)</f>
        <v>0.89164478792071156</v>
      </c>
      <c r="J51" s="60">
        <f>SUMIFS('Smoothed demand'!K$10:K$87,'Smoothed demand'!$C$10:$C$87,$C51,'Smoothed demand'!$D$10:$D$87,$D51)/SUMIFS('Smoothed demand'!K$10:K$87,'Smoothed demand'!$D$10:$D$87,$D51)</f>
        <v>0.89152096345917897</v>
      </c>
      <c r="K51" s="60">
        <f>SUMIFS('Smoothed demand'!L$10:L$87,'Smoothed demand'!$C$10:$C$87,$C51,'Smoothed demand'!$D$10:$D$87,$D51)/SUMIFS('Smoothed demand'!L$10:L$87,'Smoothed demand'!$D$10:$D$87,$D51)</f>
        <v>0.89139704808582465</v>
      </c>
      <c r="L51" s="60">
        <f>SUMIFS('Smoothed demand'!M$10:M$87,'Smoothed demand'!$C$10:$C$87,$C51,'Smoothed demand'!$D$10:$D$87,$D51)/SUMIFS('Smoothed demand'!M$10:M$87,'Smoothed demand'!$D$10:$D$87,$D51)</f>
        <v>0.89127304189101064</v>
      </c>
      <c r="M51" s="60">
        <f>SUMIFS('Smoothed demand'!N$10:N$87,'Smoothed demand'!$C$10:$C$87,$C51,'Smoothed demand'!$D$10:$D$87,$D51)/SUMIFS('Smoothed demand'!N$10:N$87,'Smoothed demand'!$D$10:$D$87,$D51)</f>
        <v>0.89114894496536334</v>
      </c>
      <c r="N51" s="60">
        <f>SUMIFS('Smoothed demand'!O$10:O$87,'Smoothed demand'!$C$10:$C$87,$C51,'Smoothed demand'!$D$10:$D$87,$D51)/SUMIFS('Smoothed demand'!O$10:O$87,'Smoothed demand'!$D$10:$D$87,$D51)</f>
        <v>0.89102475739977616</v>
      </c>
      <c r="O51" s="60">
        <f>SUMIFS('Smoothed demand'!P$10:P$87,'Smoothed demand'!$C$10:$C$87,$C51,'Smoothed demand'!$D$10:$D$87,$D51)/SUMIFS('Smoothed demand'!P$10:P$87,'Smoothed demand'!$D$10:$D$87,$D51)</f>
        <v>0.89090047928540439</v>
      </c>
      <c r="P51" s="80"/>
      <c r="Q51" s="60">
        <f>AVERAGE(F51:O51)</f>
        <v>0.89145864230705629</v>
      </c>
    </row>
    <row r="52" spans="1:19" customFormat="1" ht="15.5">
      <c r="B52" s="2" t="str">
        <f t="shared" si="8"/>
        <v>Average</v>
      </c>
      <c r="C52" s="35" t="str">
        <f t="shared" si="8"/>
        <v>HV</v>
      </c>
      <c r="D52" s="35" t="str">
        <f t="shared" si="8"/>
        <v>Decline</v>
      </c>
      <c r="E52" s="35"/>
      <c r="F52" s="60">
        <f>SUMIFS('Smoothed demand'!G$10:G$87,'Smoothed demand'!$C$10:$C$87,$C52,'Smoothed demand'!$D$10:$D$87,$D52)/SUMIFS('Smoothed demand'!G$10:G$87,'Smoothed demand'!$D$10:$D$87,$D52)</f>
        <v>2.0966371635555148E-2</v>
      </c>
      <c r="G52" s="60">
        <f>SUMIFS('Smoothed demand'!H$10:H$87,'Smoothed demand'!$C$10:$C$87,$C52,'Smoothed demand'!$D$10:$D$87,$D52)/SUMIFS('Smoothed demand'!H$10:H$87,'Smoothed demand'!$D$10:$D$87,$D52)</f>
        <v>2.0971544932346049E-2</v>
      </c>
      <c r="H52" s="60">
        <f>SUMIFS('Smoothed demand'!I$10:I$87,'Smoothed demand'!$C$10:$C$87,$C52,'Smoothed demand'!$D$10:$D$87,$D52)/SUMIFS('Smoothed demand'!I$10:I$87,'Smoothed demand'!$D$10:$D$87,$D52)</f>
        <v>2.0976716562316314E-2</v>
      </c>
      <c r="I52" s="60">
        <f>SUMIFS('Smoothed demand'!J$10:J$87,'Smoothed demand'!$C$10:$C$87,$C52,'Smoothed demand'!$D$10:$D$87,$D52)/SUMIFS('Smoothed demand'!J$10:J$87,'Smoothed demand'!$D$10:$D$87,$D52)</f>
        <v>2.0981886513599609E-2</v>
      </c>
      <c r="J52" s="60">
        <f>SUMIFS('Smoothed demand'!K$10:K$87,'Smoothed demand'!$C$10:$C$87,$C52,'Smoothed demand'!$D$10:$D$87,$D52)/SUMIFS('Smoothed demand'!K$10:K$87,'Smoothed demand'!$D$10:$D$87,$D52)</f>
        <v>2.0987054774334372E-2</v>
      </c>
      <c r="K52" s="60">
        <f>SUMIFS('Smoothed demand'!L$10:L$87,'Smoothed demand'!$C$10:$C$87,$C52,'Smoothed demand'!$D$10:$D$87,$D52)/SUMIFS('Smoothed demand'!L$10:L$87,'Smoothed demand'!$D$10:$D$87,$D52)</f>
        <v>2.0992221332663749E-2</v>
      </c>
      <c r="L52" s="60">
        <f>SUMIFS('Smoothed demand'!M$10:M$87,'Smoothed demand'!$C$10:$C$87,$C52,'Smoothed demand'!$D$10:$D$87,$D52)/SUMIFS('Smoothed demand'!M$10:M$87,'Smoothed demand'!$D$10:$D$87,$D52)</f>
        <v>2.0997386176735824E-2</v>
      </c>
      <c r="M52" s="60">
        <f>SUMIFS('Smoothed demand'!N$10:N$87,'Smoothed demand'!$C$10:$C$87,$C52,'Smoothed demand'!$D$10:$D$87,$D52)/SUMIFS('Smoothed demand'!N$10:N$87,'Smoothed demand'!$D$10:$D$87,$D52)</f>
        <v>2.1002549294703559E-2</v>
      </c>
      <c r="N52" s="60">
        <f>SUMIFS('Smoothed demand'!O$10:O$87,'Smoothed demand'!$C$10:$C$87,$C52,'Smoothed demand'!$D$10:$D$87,$D52)/SUMIFS('Smoothed demand'!O$10:O$87,'Smoothed demand'!$D$10:$D$87,$D52)</f>
        <v>2.1007710674724997E-2</v>
      </c>
      <c r="O52" s="60">
        <f>SUMIFS('Smoothed demand'!P$10:P$87,'Smoothed demand'!$C$10:$C$87,$C52,'Smoothed demand'!$D$10:$D$87,$D52)/SUMIFS('Smoothed demand'!P$10:P$87,'Smoothed demand'!$D$10:$D$87,$D52)</f>
        <v>2.1012870304963224E-2</v>
      </c>
      <c r="P52" s="80"/>
      <c r="Q52" s="60">
        <f>AVERAGE(F52:O52)</f>
        <v>2.0989631220194288E-2</v>
      </c>
    </row>
    <row r="53" spans="1:19" customFormat="1" ht="15.5">
      <c r="B53" s="2" t="str">
        <f t="shared" si="8"/>
        <v>Average</v>
      </c>
      <c r="C53" s="35" t="str">
        <f t="shared" si="8"/>
        <v>ST</v>
      </c>
      <c r="D53" s="35" t="str">
        <f t="shared" si="8"/>
        <v>Decline</v>
      </c>
      <c r="E53" s="35"/>
      <c r="F53" s="60">
        <f>SUMIFS('Smoothed demand'!G$10:G$87,'Smoothed demand'!$C$10:$C$87,$C53,'Smoothed demand'!$D$10:$D$87,$D53)/SUMIFS('Smoothed demand'!G$10:G$87,'Smoothed demand'!$D$10:$D$87,$D53)</f>
        <v>8.701791342967935E-2</v>
      </c>
      <c r="G53" s="60">
        <f>SUMIFS('Smoothed demand'!H$10:H$87,'Smoothed demand'!$C$10:$C$87,$C53,'Smoothed demand'!$D$10:$D$87,$D53)/SUMIFS('Smoothed demand'!H$10:H$87,'Smoothed demand'!$D$10:$D$87,$D53)</f>
        <v>8.7136291319453718E-2</v>
      </c>
      <c r="H53" s="60">
        <f>SUMIFS('Smoothed demand'!I$10:I$87,'Smoothed demand'!$C$10:$C$87,$C53,'Smoothed demand'!$D$10:$D$87,$D53)/SUMIFS('Smoothed demand'!I$10:I$87,'Smoothed demand'!$D$10:$D$87,$D53)</f>
        <v>8.7254762057355231E-2</v>
      </c>
      <c r="I53" s="60">
        <f>SUMIFS('Smoothed demand'!J$10:J$87,'Smoothed demand'!$C$10:$C$87,$C53,'Smoothed demand'!$D$10:$D$87,$D53)/SUMIFS('Smoothed demand'!J$10:J$87,'Smoothed demand'!$D$10:$D$87,$D53)</f>
        <v>8.7373325565688567E-2</v>
      </c>
      <c r="J53" s="60">
        <f>SUMIFS('Smoothed demand'!K$10:K$87,'Smoothed demand'!$C$10:$C$87,$C53,'Smoothed demand'!$D$10:$D$87,$D53)/SUMIFS('Smoothed demand'!K$10:K$87,'Smoothed demand'!$D$10:$D$87,$D53)</f>
        <v>8.7491981766486954E-2</v>
      </c>
      <c r="K53" s="60">
        <f>SUMIFS('Smoothed demand'!L$10:L$87,'Smoothed demand'!$C$10:$C$87,$C53,'Smoothed demand'!$D$10:$D$87,$D53)/SUMIFS('Smoothed demand'!L$10:L$87,'Smoothed demand'!$D$10:$D$87,$D53)</f>
        <v>8.7610730581511781E-2</v>
      </c>
      <c r="L53" s="60">
        <f>SUMIFS('Smoothed demand'!M$10:M$87,'Smoothed demand'!$C$10:$C$87,$C53,'Smoothed demand'!$D$10:$D$87,$D53)/SUMIFS('Smoothed demand'!M$10:M$87,'Smoothed demand'!$D$10:$D$87,$D53)</f>
        <v>8.7729571932253766E-2</v>
      </c>
      <c r="M53" s="60">
        <f>SUMIFS('Smoothed demand'!N$10:N$87,'Smoothed demand'!$C$10:$C$87,$C53,'Smoothed demand'!$D$10:$D$87,$D53)/SUMIFS('Smoothed demand'!N$10:N$87,'Smoothed demand'!$D$10:$D$87,$D53)</f>
        <v>8.7848505739932803E-2</v>
      </c>
      <c r="N53" s="60">
        <f>SUMIFS('Smoothed demand'!O$10:O$87,'Smoothed demand'!$C$10:$C$87,$C53,'Smoothed demand'!$D$10:$D$87,$D53)/SUMIFS('Smoothed demand'!O$10:O$87,'Smoothed demand'!$D$10:$D$87,$D53)</f>
        <v>8.7967531925499012E-2</v>
      </c>
      <c r="O53" s="60">
        <f>SUMIFS('Smoothed demand'!P$10:P$87,'Smoothed demand'!$C$10:$C$87,$C53,'Smoothed demand'!$D$10:$D$87,$D53)/SUMIFS('Smoothed demand'!P$10:P$87,'Smoothed demand'!$D$10:$D$87,$D53)</f>
        <v>8.8086650409632553E-2</v>
      </c>
      <c r="P53" s="1"/>
      <c r="Q53" s="60">
        <f>AVERAGE(F53:O53)</f>
        <v>8.7551726472749378E-2</v>
      </c>
    </row>
    <row r="54" spans="1:19" customFormat="1" ht="15.5">
      <c r="B54" s="1"/>
      <c r="C54" s="19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9" customFormat="1" ht="15.5">
      <c r="B55" s="1"/>
      <c r="C55" s="19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9" ht="15.5">
      <c r="A56"/>
      <c r="C56" s="1"/>
      <c r="S56"/>
    </row>
    <row r="57" spans="1:19" ht="15.5">
      <c r="C57" s="1"/>
      <c r="S57"/>
    </row>
    <row r="58" spans="1:19" customFormat="1" ht="15.5">
      <c r="A58" s="1"/>
      <c r="B58" s="1"/>
      <c r="C58" s="19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9" customFormat="1" ht="15.5">
      <c r="B59" s="1"/>
      <c r="C59" s="1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9" customFormat="1" ht="15.5">
      <c r="B60" s="1"/>
      <c r="C60" s="1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9" customFormat="1" ht="15.5">
      <c r="B61" s="1"/>
      <c r="C61" s="19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9" customFormat="1" ht="15.5">
      <c r="B62" s="1"/>
      <c r="C62" s="19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9" customFormat="1" ht="15.5">
      <c r="B63" s="1"/>
      <c r="C63" s="1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1:19" customFormat="1" ht="15.5">
      <c r="B64" s="1"/>
      <c r="C64" s="1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1:19" customFormat="1" ht="15.5">
      <c r="B65" s="1"/>
      <c r="C65" s="1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9" customFormat="1" ht="15.5">
      <c r="B66" s="1"/>
      <c r="C66" s="19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9" customFormat="1" ht="15.5">
      <c r="B67" s="1"/>
      <c r="C67" s="19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19" customFormat="1" ht="15.5">
      <c r="B68" s="1"/>
      <c r="C68" s="19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9" customFormat="1" ht="15.5">
      <c r="B69" s="1"/>
      <c r="C69" s="19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9" ht="15.5">
      <c r="A70"/>
      <c r="C70" s="1"/>
      <c r="S70"/>
    </row>
    <row r="71" spans="1:19" ht="15.5">
      <c r="C71" s="1"/>
      <c r="S71"/>
    </row>
    <row r="72" spans="1:19" ht="15.5">
      <c r="C72" s="1"/>
      <c r="S72"/>
    </row>
    <row r="73" spans="1:19" ht="15.5">
      <c r="C73" s="1"/>
      <c r="S73"/>
    </row>
    <row r="74" spans="1:19" ht="15.5">
      <c r="C74" s="1"/>
      <c r="S74"/>
    </row>
    <row r="75" spans="1:19">
      <c r="C75" s="1"/>
    </row>
    <row r="76" spans="1:19">
      <c r="C76" s="1"/>
    </row>
    <row r="77" spans="1:19">
      <c r="C77" s="1"/>
    </row>
    <row r="78" spans="1:19">
      <c r="C78" s="1"/>
    </row>
    <row r="79" spans="1:19">
      <c r="C79" s="1"/>
    </row>
    <row r="80" spans="1:19">
      <c r="C80" s="1"/>
    </row>
    <row r="81" spans="3:3">
      <c r="C81" s="1"/>
    </row>
    <row r="82" spans="3:3">
      <c r="C82" s="1"/>
    </row>
    <row r="83" spans="3:3">
      <c r="C83" s="1"/>
    </row>
    <row r="84" spans="3:3">
      <c r="C84" s="1"/>
    </row>
    <row r="85" spans="3:3">
      <c r="C85" s="1"/>
    </row>
    <row r="86" spans="3:3">
      <c r="C86" s="1"/>
    </row>
    <row r="87" spans="3:3">
      <c r="C87" s="1"/>
    </row>
    <row r="88" spans="3:3">
      <c r="C88" s="1"/>
    </row>
    <row r="89" spans="3:3">
      <c r="C89" s="1"/>
    </row>
    <row r="90" spans="3:3">
      <c r="C90" s="1"/>
    </row>
    <row r="91" spans="3:3">
      <c r="C91" s="1"/>
    </row>
    <row r="92" spans="3:3">
      <c r="C92" s="1"/>
    </row>
    <row r="93" spans="3:3">
      <c r="C93" s="1"/>
    </row>
    <row r="94" spans="3:3">
      <c r="C94" s="1"/>
    </row>
    <row r="95" spans="3:3">
      <c r="C95" s="1"/>
    </row>
    <row r="96" spans="3:3">
      <c r="C96" s="1"/>
    </row>
    <row r="97" spans="3:3">
      <c r="C97" s="1"/>
    </row>
    <row r="98" spans="3:3">
      <c r="C98" s="1"/>
    </row>
    <row r="99" spans="3:3">
      <c r="C99" s="1"/>
    </row>
    <row r="100" spans="3:3">
      <c r="C100" s="1"/>
    </row>
    <row r="101" spans="3:3">
      <c r="C101" s="1"/>
    </row>
    <row r="102" spans="3:3">
      <c r="C102" s="1"/>
    </row>
    <row r="103" spans="3:3">
      <c r="C103" s="1"/>
    </row>
    <row r="104" spans="3:3">
      <c r="C104" s="1"/>
    </row>
    <row r="105" spans="3:3">
      <c r="C105" s="1"/>
    </row>
    <row r="106" spans="3:3">
      <c r="C106" s="1"/>
    </row>
    <row r="107" spans="3:3">
      <c r="C107" s="1"/>
    </row>
    <row r="108" spans="3:3">
      <c r="C108" s="1"/>
    </row>
    <row r="109" spans="3:3">
      <c r="C109" s="1"/>
    </row>
    <row r="110" spans="3:3">
      <c r="C110" s="1"/>
    </row>
    <row r="111" spans="3:3">
      <c r="C111" s="1"/>
    </row>
    <row r="112" spans="3:3">
      <c r="C112" s="1"/>
    </row>
    <row r="113" spans="2:15">
      <c r="C113" s="1"/>
    </row>
    <row r="114" spans="2:15">
      <c r="C114" s="1"/>
    </row>
    <row r="115" spans="2:15">
      <c r="C115" s="1"/>
    </row>
    <row r="116" spans="2:15">
      <c r="C116" s="1"/>
    </row>
    <row r="117" spans="2:15">
      <c r="C117" s="1"/>
    </row>
    <row r="118" spans="2:15">
      <c r="C118" s="1"/>
    </row>
    <row r="119" spans="2:15">
      <c r="C119" s="1"/>
    </row>
    <row r="120" spans="2:15">
      <c r="C120" s="1"/>
    </row>
    <row r="121" spans="2:15">
      <c r="C121" s="1"/>
    </row>
    <row r="122" spans="2:15">
      <c r="C122" s="1"/>
    </row>
    <row r="123" spans="2:15">
      <c r="C123" s="1"/>
    </row>
    <row r="124" spans="2:15">
      <c r="C124" s="1"/>
    </row>
    <row r="125" spans="2:15">
      <c r="C125" s="1"/>
    </row>
    <row r="126" spans="2:15">
      <c r="C126" s="1"/>
    </row>
    <row r="127" spans="2:15" ht="15.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2:15" ht="15.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8908B-E19B-4885-861A-24F5F2746DF8}">
  <sheetPr codeName="Sheet18">
    <tabColor rgb="FF9EC0DB"/>
  </sheetPr>
  <dimension ref="A1:R15"/>
  <sheetViews>
    <sheetView showGridLines="0" zoomScale="70" zoomScaleNormal="70" workbookViewId="0"/>
  </sheetViews>
  <sheetFormatPr defaultColWidth="8.84375" defaultRowHeight="15.5"/>
  <cols>
    <col min="1" max="1" width="23.07421875" bestFit="1" customWidth="1"/>
    <col min="2" max="2" width="26" customWidth="1"/>
    <col min="3" max="3" width="13.4609375" bestFit="1" customWidth="1"/>
    <col min="4" max="4" width="13.84375" bestFit="1" customWidth="1"/>
    <col min="5" max="5" width="5.4609375" bestFit="1" customWidth="1"/>
    <col min="6" max="6" width="9.84375" customWidth="1"/>
    <col min="7" max="16" width="8.07421875" bestFit="1" customWidth="1"/>
    <col min="18" max="18" width="9.53515625" bestFit="1" customWidth="1"/>
    <col min="33" max="33" width="8.53515625" customWidth="1"/>
  </cols>
  <sheetData>
    <row r="1" spans="1:18" ht="18">
      <c r="A1" s="49" t="str">
        <f ca="1">MID(CELL("filename",A2),FIND("]",CELL("filename",A2))+1,256)</f>
        <v>Aggregated demand</v>
      </c>
      <c r="B1" s="1"/>
      <c r="C1" s="19"/>
      <c r="D1" s="19"/>
      <c r="E1" s="19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8">
      <c r="B2" s="1"/>
      <c r="C2" s="19"/>
      <c r="D2" s="19"/>
      <c r="E2" s="19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8" ht="21">
      <c r="A3" s="1"/>
      <c r="B3" s="6" t="s">
        <v>124</v>
      </c>
      <c r="C3" s="38"/>
      <c r="D3" s="38"/>
      <c r="E3" s="38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>
      <c r="A4" s="1"/>
      <c r="B4" s="1"/>
      <c r="C4" s="19"/>
      <c r="D4" s="19"/>
      <c r="E4" s="19"/>
      <c r="F4" s="1"/>
      <c r="G4" s="1"/>
      <c r="H4" s="1"/>
      <c r="I4" s="1"/>
      <c r="J4" s="1"/>
      <c r="K4" s="1"/>
      <c r="L4" s="1"/>
      <c r="M4" s="1"/>
      <c r="N4" s="1"/>
      <c r="O4" s="7"/>
      <c r="P4" s="1"/>
      <c r="Q4" s="1"/>
      <c r="R4" s="1"/>
    </row>
    <row r="5" spans="1:18">
      <c r="A5" s="1"/>
      <c r="B5" s="5" t="s">
        <v>125</v>
      </c>
      <c r="C5" s="39"/>
      <c r="D5" s="39"/>
      <c r="E5" s="39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18">
      <c r="A6" s="1"/>
      <c r="B6" s="1"/>
      <c r="C6" s="19"/>
      <c r="D6" s="19"/>
      <c r="E6" s="19"/>
      <c r="F6" s="1"/>
      <c r="G6" s="1"/>
      <c r="H6" s="1"/>
      <c r="I6" s="1"/>
      <c r="J6" s="1"/>
      <c r="K6" s="1"/>
      <c r="L6" s="1"/>
      <c r="M6" s="1"/>
      <c r="N6" s="1"/>
      <c r="O6" s="7"/>
      <c r="P6" s="1"/>
      <c r="Q6" s="1"/>
      <c r="R6" s="1"/>
    </row>
    <row r="7" spans="1:18">
      <c r="A7" s="1"/>
      <c r="B7" s="2" t="s">
        <v>97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>
      <c r="A8" s="1"/>
      <c r="B8" s="1"/>
      <c r="C8" s="19"/>
      <c r="D8" s="19"/>
      <c r="E8" s="19"/>
      <c r="F8" s="1"/>
      <c r="G8" s="1"/>
      <c r="H8" s="1"/>
      <c r="I8" s="1"/>
      <c r="J8" s="1"/>
      <c r="K8" s="1"/>
      <c r="L8" s="1"/>
      <c r="M8" s="1"/>
      <c r="N8" s="1"/>
      <c r="O8" s="7"/>
      <c r="P8" s="1"/>
    </row>
    <row r="9" spans="1:18">
      <c r="A9" s="1"/>
      <c r="B9" s="14"/>
      <c r="C9" s="18" t="s">
        <v>88</v>
      </c>
      <c r="D9" s="18" t="s">
        <v>68</v>
      </c>
      <c r="E9" s="18" t="s">
        <v>69</v>
      </c>
      <c r="F9" s="14">
        <f>G9-1</f>
        <v>2024</v>
      </c>
      <c r="G9" s="14" cm="1">
        <f t="array" ref="G9:P9">TRANSPOSE(years)</f>
        <v>2025</v>
      </c>
      <c r="H9" s="14">
        <v>2026</v>
      </c>
      <c r="I9" s="14">
        <v>2027</v>
      </c>
      <c r="J9" s="14">
        <v>2028</v>
      </c>
      <c r="K9" s="14">
        <v>2029</v>
      </c>
      <c r="L9" s="14">
        <v>2030</v>
      </c>
      <c r="M9" s="14">
        <v>2031</v>
      </c>
      <c r="N9" s="14">
        <v>2032</v>
      </c>
      <c r="O9" s="14">
        <v>2033</v>
      </c>
      <c r="P9" s="14">
        <v>2034</v>
      </c>
      <c r="R9" s="14" t="s">
        <v>73</v>
      </c>
    </row>
    <row r="10" spans="1:18">
      <c r="A10" s="1"/>
      <c r="B10" s="2"/>
      <c r="C10" s="35" t="s">
        <v>91</v>
      </c>
      <c r="D10" s="35" t="str" cm="1">
        <f t="array" ref="D10:D12">network_levels</f>
        <v>LV</v>
      </c>
      <c r="E10" s="35" t="s">
        <v>80</v>
      </c>
      <c r="F10" s="40">
        <f>SUMIFS('Smoothed demand'!F$10:F$87,'Smoothed demand'!$C$10:$C$87,$D10,'Smoothed demand'!$D$10:$D$87,$C10)</f>
        <v>3256.7653090306376</v>
      </c>
      <c r="G10" s="40">
        <f>SUMIFS('Smoothed demand'!G$10:G$87,'Smoothed demand'!$C$10:$C$87,$D10,'Smoothed demand'!$D$10:$D$87,$C10)</f>
        <v>3276.1895390566333</v>
      </c>
      <c r="H10" s="40">
        <f>SUMIFS('Smoothed demand'!H$10:H$87,'Smoothed demand'!$C$10:$C$87,$D10,'Smoothed demand'!$D$10:$D$87,$C10)</f>
        <v>3296.0864652820742</v>
      </c>
      <c r="I10" s="40">
        <f>SUMIFS('Smoothed demand'!I$10:I$87,'Smoothed demand'!$C$10:$C$87,$D10,'Smoothed demand'!$D$10:$D$87,$C10)</f>
        <v>3316.4742952044649</v>
      </c>
      <c r="J10" s="40">
        <f>SUMIFS('Smoothed demand'!J$10:J$87,'Smoothed demand'!$C$10:$C$87,$D10,'Smoothed demand'!$D$10:$D$87,$C10)</f>
        <v>3337.3720122009786</v>
      </c>
      <c r="K10" s="40">
        <f>SUMIFS('Smoothed demand'!K$10:K$87,'Smoothed demand'!$C$10:$C$87,$D10,'Smoothed demand'!$D$10:$D$87,$C10)</f>
        <v>3358.7994093055904</v>
      </c>
      <c r="L10" s="40">
        <f>SUMIFS('Smoothed demand'!L$10:L$87,'Smoothed demand'!$C$10:$C$87,$D10,'Smoothed demand'!$D$10:$D$87,$C10)</f>
        <v>3380.7771244635755</v>
      </c>
      <c r="M10" s="40">
        <f>SUMIFS('Smoothed demand'!M$10:M$87,'Smoothed demand'!$C$10:$C$87,$D10,'Smoothed demand'!$D$10:$D$87,$C10)</f>
        <v>3403.3266773280538</v>
      </c>
      <c r="N10" s="40">
        <f>SUMIFS('Smoothed demand'!N$10:N$87,'Smoothed demand'!$C$10:$C$87,$D10,'Smoothed demand'!$D$10:$D$87,$C10)</f>
        <v>3426.4705076660975</v>
      </c>
      <c r="O10" s="40">
        <f>SUMIFS('Smoothed demand'!O$10:O$87,'Smoothed demand'!$C$10:$C$87,$D10,'Smoothed demand'!$D$10:$D$87,$C10)</f>
        <v>3450.2320154448953</v>
      </c>
      <c r="P10" s="40">
        <f>SUMIFS('Smoothed demand'!P$10:P$87,'Smoothed demand'!$C$10:$C$87,$D10,'Smoothed demand'!$D$10:$D$87,$C10)</f>
        <v>3474.6356026715075</v>
      </c>
      <c r="R10" s="21">
        <f t="shared" ref="R10:R15" si="0">SUM(F10:P10)</f>
        <v>36977.12895765451</v>
      </c>
    </row>
    <row r="11" spans="1:18">
      <c r="A11" s="1"/>
      <c r="B11" s="2"/>
      <c r="C11" s="35" t="str">
        <f>C10</f>
        <v>Growth</v>
      </c>
      <c r="D11" s="35" t="str">
        <v>HV</v>
      </c>
      <c r="E11" s="35" t="str">
        <f>E10</f>
        <v>MW</v>
      </c>
      <c r="F11" s="40">
        <f>SUMIFS('Smoothed demand'!F$10:F$87,'Smoothed demand'!$C$10:$C$87,$D11,'Smoothed demand'!$D$10:$D$87,$C11)</f>
        <v>150.323651323489</v>
      </c>
      <c r="G11" s="40">
        <f>SUMIFS('Smoothed demand'!G$10:G$87,'Smoothed demand'!$C$10:$C$87,$D11,'Smoothed demand'!$D$10:$D$87,$C11)</f>
        <v>151.89187639442213</v>
      </c>
      <c r="H11" s="40">
        <f>SUMIFS('Smoothed demand'!H$10:H$87,'Smoothed demand'!$C$10:$C$87,$D11,'Smoothed demand'!$D$10:$D$87,$C11)</f>
        <v>153.51557468634542</v>
      </c>
      <c r="I11" s="40">
        <f>SUMIFS('Smoothed demand'!I$10:I$87,'Smoothed demand'!$C$10:$C$87,$D11,'Smoothed demand'!$D$10:$D$87,$C11)</f>
        <v>155.19707744540099</v>
      </c>
      <c r="J11" s="40">
        <f>SUMIFS('Smoothed demand'!J$10:J$87,'Smoothed demand'!$C$10:$C$87,$D11,'Smoothed demand'!$D$10:$D$87,$C11)</f>
        <v>156.93881710133553</v>
      </c>
      <c r="K11" s="40">
        <f>SUMIFS('Smoothed demand'!K$10:K$87,'Smoothed demand'!$C$10:$C$87,$D11,'Smoothed demand'!$D$10:$D$87,$C11)</f>
        <v>158.7433316901533</v>
      </c>
      <c r="L11" s="40">
        <f>SUMIFS('Smoothed demand'!L$10:L$87,'Smoothed demand'!$C$10:$C$87,$D11,'Smoothed demand'!$D$10:$D$87,$C11)</f>
        <v>160.61326947038276</v>
      </c>
      <c r="M11" s="40">
        <f>SUMIFS('Smoothed demand'!M$10:M$87,'Smoothed demand'!$C$10:$C$87,$D11,'Smoothed demand'!$D$10:$D$87,$C11)</f>
        <v>162.55139374143758</v>
      </c>
      <c r="N11" s="40">
        <f>SUMIFS('Smoothed demand'!N$10:N$87,'Smoothed demand'!$C$10:$C$87,$D11,'Smoothed demand'!$D$10:$D$87,$C11)</f>
        <v>164.56058787292289</v>
      </c>
      <c r="O11" s="40">
        <f>SUMIFS('Smoothed demand'!O$10:O$87,'Smoothed demand'!$C$10:$C$87,$D11,'Smoothed demand'!$D$10:$D$87,$C11)</f>
        <v>166.64386055412274</v>
      </c>
      <c r="P11" s="40">
        <f>SUMIFS('Smoothed demand'!P$10:P$87,'Smoothed demand'!$C$10:$C$87,$D11,'Smoothed demand'!$D$10:$D$87,$C11)</f>
        <v>168.80435127331367</v>
      </c>
      <c r="R11" s="21">
        <f t="shared" si="0"/>
        <v>1749.783791553326</v>
      </c>
    </row>
    <row r="12" spans="1:18">
      <c r="A12" s="1"/>
      <c r="B12" s="2"/>
      <c r="C12" s="35" t="str">
        <f>C11</f>
        <v>Growth</v>
      </c>
      <c r="D12" s="35" t="str">
        <v>ST</v>
      </c>
      <c r="E12" s="35" t="str">
        <f>E11</f>
        <v>MW</v>
      </c>
      <c r="F12" s="40">
        <f>SUMIFS('Smoothed demand'!F$10:F$87,'Smoothed demand'!$C$10:$C$87,$D12,'Smoothed demand'!$D$10:$D$87,$C12)</f>
        <v>634.6317850590325</v>
      </c>
      <c r="G12" s="40">
        <f>SUMIFS('Smoothed demand'!G$10:G$87,'Smoothed demand'!$C$10:$C$87,$D12,'Smoothed demand'!$D$10:$D$87,$C12)</f>
        <v>642.61678900327729</v>
      </c>
      <c r="H12" s="40">
        <f>SUMIFS('Smoothed demand'!H$10:H$87,'Smoothed demand'!$C$10:$C$87,$D12,'Smoothed demand'!$D$10:$D$87,$C12)</f>
        <v>650.87912828129481</v>
      </c>
      <c r="I12" s="40">
        <f>SUMIFS('Smoothed demand'!I$10:I$87,'Smoothed demand'!$C$10:$C$87,$D12,'Smoothed demand'!$D$10:$D$87,$C12)</f>
        <v>659.43034700038697</v>
      </c>
      <c r="J12" s="40">
        <f>SUMIFS('Smoothed demand'!J$10:J$87,'Smoothed demand'!$C$10:$C$87,$D12,'Smoothed demand'!$D$10:$D$87,$C12)</f>
        <v>668.28248901984898</v>
      </c>
      <c r="K12" s="40">
        <f>SUMIFS('Smoothed demand'!K$10:K$87,'Smoothed demand'!$C$10:$C$87,$D12,'Smoothed demand'!$D$10:$D$87,$C12)</f>
        <v>677.448119780497</v>
      </c>
      <c r="L12" s="40">
        <f>SUMIFS('Smoothed demand'!L$10:L$87,'Smoothed demand'!$C$10:$C$87,$D12,'Smoothed demand'!$D$10:$D$87,$C12)</f>
        <v>686.94034908969491</v>
      </c>
      <c r="M12" s="40">
        <f>SUMIFS('Smoothed demand'!M$10:M$87,'Smoothed demand'!$C$10:$C$87,$D12,'Smoothed demand'!$D$10:$D$87,$C12)</f>
        <v>696.77285490372515</v>
      </c>
      <c r="N12" s="40">
        <f>SUMIFS('Smoothed demand'!N$10:N$87,'Smoothed demand'!$C$10:$C$87,$D12,'Smoothed demand'!$D$10:$D$87,$C12)</f>
        <v>706.95990815118262</v>
      </c>
      <c r="O12" s="40">
        <f>SUMIFS('Smoothed demand'!O$10:O$87,'Smoothed demand'!$C$10:$C$87,$D12,'Smoothed demand'!$D$10:$D$87,$C12)</f>
        <v>717.51639864297078</v>
      </c>
      <c r="P12" s="40">
        <f>SUMIFS('Smoothed demand'!P$10:P$87,'Smoothed demand'!$C$10:$C$87,$D12,'Smoothed demand'!$D$10:$D$87,$C12)</f>
        <v>728.45786211649636</v>
      </c>
      <c r="R12" s="21">
        <f t="shared" si="0"/>
        <v>7469.936031048408</v>
      </c>
    </row>
    <row r="13" spans="1:18">
      <c r="A13" s="1"/>
      <c r="B13" s="2"/>
      <c r="C13" s="35" t="s">
        <v>92</v>
      </c>
      <c r="D13" s="35" t="str">
        <f>D10</f>
        <v>LV</v>
      </c>
      <c r="E13" s="35" t="str">
        <f>E12</f>
        <v>MW</v>
      </c>
      <c r="F13" s="40">
        <f>SUMIFS('Smoothed demand'!F$10:F$87,'Smoothed demand'!$C$10:$C$87,$D13,'Smoothed demand'!$D$10:$D$87,$C13)</f>
        <v>1314.0714687648751</v>
      </c>
      <c r="G13" s="40">
        <f>SUMIFS('Smoothed demand'!G$10:G$87,'Smoothed demand'!$C$10:$C$87,$D13,'Smoothed demand'!$D$10:$D$87,$C13)</f>
        <v>1310.891461801586</v>
      </c>
      <c r="H13" s="40">
        <f>SUMIFS('Smoothed demand'!H$10:H$87,'Smoothed demand'!$C$10:$C$87,$D13,'Smoothed demand'!$D$10:$D$87,$C13)</f>
        <v>1307.7202429366191</v>
      </c>
      <c r="I13" s="40">
        <f>SUMIFS('Smoothed demand'!I$10:I$87,'Smoothed demand'!$C$10:$C$87,$D13,'Smoothed demand'!$D$10:$D$87,$C13)</f>
        <v>1304.5577858127424</v>
      </c>
      <c r="J13" s="40">
        <f>SUMIFS('Smoothed demand'!J$10:J$87,'Smoothed demand'!$C$10:$C$87,$D13,'Smoothed demand'!$D$10:$D$87,$C13)</f>
        <v>1301.4040641556769</v>
      </c>
      <c r="K13" s="40">
        <f>SUMIFS('Smoothed demand'!K$10:K$87,'Smoothed demand'!$C$10:$C$87,$D13,'Smoothed demand'!$D$10:$D$87,$C13)</f>
        <v>1298.2590517738254</v>
      </c>
      <c r="L13" s="40">
        <f>SUMIFS('Smoothed demand'!L$10:L$87,'Smoothed demand'!$C$10:$C$87,$D13,'Smoothed demand'!$D$10:$D$87,$C13)</f>
        <v>1295.1227225580058</v>
      </c>
      <c r="M13" s="40">
        <f>SUMIFS('Smoothed demand'!M$10:M$87,'Smoothed demand'!$C$10:$C$87,$D13,'Smoothed demand'!$D$10:$D$87,$C13)</f>
        <v>1291.9950504811836</v>
      </c>
      <c r="N13" s="40">
        <f>SUMIFS('Smoothed demand'!N$10:N$87,'Smoothed demand'!$C$10:$C$87,$D13,'Smoothed demand'!$D$10:$D$87,$C13)</f>
        <v>1288.8760095982079</v>
      </c>
      <c r="O13" s="40">
        <f>SUMIFS('Smoothed demand'!O$10:O$87,'Smoothed demand'!$C$10:$C$87,$D13,'Smoothed demand'!$D$10:$D$87,$C13)</f>
        <v>1285.7655740455446</v>
      </c>
      <c r="P13" s="40">
        <f>SUMIFS('Smoothed demand'!P$10:P$87,'Smoothed demand'!$C$10:$C$87,$D13,'Smoothed demand'!$D$10:$D$87,$C13)</f>
        <v>1282.6637180410132</v>
      </c>
      <c r="R13" s="21">
        <f t="shared" si="0"/>
        <v>14281.32714996928</v>
      </c>
    </row>
    <row r="14" spans="1:18">
      <c r="A14" s="1"/>
      <c r="B14" s="2"/>
      <c r="C14" s="35" t="str">
        <f>C13</f>
        <v>Decline</v>
      </c>
      <c r="D14" s="35" t="str">
        <f>D11</f>
        <v>HV</v>
      </c>
      <c r="E14" s="35" t="str">
        <f>E13</f>
        <v>MW</v>
      </c>
      <c r="F14" s="40">
        <f>SUMIFS('Smoothed demand'!F$10:F$87,'Smoothed demand'!$C$10:$C$87,$D14,'Smoothed demand'!$D$10:$D$87,$C14)</f>
        <v>30.874678850391437</v>
      </c>
      <c r="G14" s="40">
        <f>SUMIFS('Smoothed demand'!G$10:G$87,'Smoothed demand'!$C$10:$C$87,$D14,'Smoothed demand'!$D$10:$D$87,$C14)</f>
        <v>30.811831116695281</v>
      </c>
      <c r="H14" s="40">
        <f>SUMIFS('Smoothed demand'!H$10:H$87,'Smoothed demand'!$C$10:$C$87,$D14,'Smoothed demand'!$D$10:$D$87,$C14)</f>
        <v>30.749136440923401</v>
      </c>
      <c r="I14" s="40">
        <f>SUMIFS('Smoothed demand'!I$10:I$87,'Smoothed demand'!$C$10:$C$87,$D14,'Smoothed demand'!$D$10:$D$87,$C14)</f>
        <v>30.686594397612588</v>
      </c>
      <c r="J14" s="40">
        <f>SUMIFS('Smoothed demand'!J$10:J$87,'Smoothed demand'!$C$10:$C$87,$D14,'Smoothed demand'!$D$10:$D$87,$C14)</f>
        <v>30.624204562590752</v>
      </c>
      <c r="K14" s="40">
        <f>SUMIFS('Smoothed demand'!K$10:K$87,'Smoothed demand'!$C$10:$C$87,$D14,'Smoothed demand'!$D$10:$D$87,$C14)</f>
        <v>30.561966512972806</v>
      </c>
      <c r="L14" s="40">
        <f>SUMIFS('Smoothed demand'!L$10:L$87,'Smoothed demand'!$C$10:$C$87,$D14,'Smoothed demand'!$D$10:$D$87,$C14)</f>
        <v>30.49987982715653</v>
      </c>
      <c r="M14" s="40">
        <f>SUMIFS('Smoothed demand'!M$10:M$87,'Smoothed demand'!$C$10:$C$87,$D14,'Smoothed demand'!$D$10:$D$87,$C14)</f>
        <v>30.437944084818536</v>
      </c>
      <c r="N14" s="40">
        <f>SUMIFS('Smoothed demand'!N$10:N$87,'Smoothed demand'!$C$10:$C$87,$D14,'Smoothed demand'!$D$10:$D$87,$C14)</f>
        <v>30.376158866910075</v>
      </c>
      <c r="O14" s="40">
        <f>SUMIFS('Smoothed demand'!O$10:O$87,'Smoothed demand'!$C$10:$C$87,$D14,'Smoothed demand'!$D$10:$D$87,$C14)</f>
        <v>30.314523755653042</v>
      </c>
      <c r="P14" s="40">
        <f>SUMIFS('Smoothed demand'!P$10:P$87,'Smoothed demand'!$C$10:$C$87,$D14,'Smoothed demand'!$D$10:$D$87,$C14)</f>
        <v>30.253038334535884</v>
      </c>
      <c r="R14" s="21">
        <f t="shared" si="0"/>
        <v>336.18995675026031</v>
      </c>
    </row>
    <row r="15" spans="1:18">
      <c r="A15" s="1"/>
      <c r="B15" s="2"/>
      <c r="C15" s="35" t="str">
        <f>C14</f>
        <v>Decline</v>
      </c>
      <c r="D15" s="35" t="str">
        <f>D12</f>
        <v>ST</v>
      </c>
      <c r="E15" s="35" t="str">
        <f>E14</f>
        <v>MW</v>
      </c>
      <c r="F15" s="40">
        <f>SUMIFS('Smoothed demand'!F$10:F$87,'Smoothed demand'!$C$10:$C$87,$D15,'Smoothed demand'!$D$10:$D$87,$C15)</f>
        <v>127.99832765087154</v>
      </c>
      <c r="G15" s="40">
        <f>SUMIFS('Smoothed demand'!G$10:G$87,'Smoothed demand'!$C$10:$C$87,$D15,'Smoothed demand'!$D$10:$D$87,$C15)</f>
        <v>127.88007860051928</v>
      </c>
      <c r="H15" s="40">
        <f>SUMIFS('Smoothed demand'!H$10:H$87,'Smoothed demand'!$C$10:$C$87,$D15,'Smoothed demand'!$D$10:$D$87,$C15)</f>
        <v>127.76196123754988</v>
      </c>
      <c r="I15" s="40">
        <f>SUMIFS('Smoothed demand'!I$10:I$87,'Smoothed demand'!$C$10:$C$87,$D15,'Smoothed demand'!$D$10:$D$87,$C15)</f>
        <v>127.6439753838478</v>
      </c>
      <c r="J15" s="40">
        <f>SUMIFS('Smoothed demand'!J$10:J$87,'Smoothed demand'!$C$10:$C$87,$D15,'Smoothed demand'!$D$10:$D$87,$C15)</f>
        <v>127.52612086159087</v>
      </c>
      <c r="K15" s="40">
        <f>SUMIFS('Smoothed demand'!K$10:K$87,'Smoothed demand'!$C$10:$C$87,$D15,'Smoothed demand'!$D$10:$D$87,$C15)</f>
        <v>127.40839749324988</v>
      </c>
      <c r="L15" s="40">
        <f>SUMIFS('Smoothed demand'!L$10:L$87,'Smoothed demand'!$C$10:$C$87,$D15,'Smoothed demand'!$D$10:$D$87,$C15)</f>
        <v>127.29080510158789</v>
      </c>
      <c r="M15" s="40">
        <f>SUMIFS('Smoothed demand'!M$10:M$87,'Smoothed demand'!$C$10:$C$87,$D15,'Smoothed demand'!$D$10:$D$87,$C15)</f>
        <v>127.17334350965972</v>
      </c>
      <c r="N15" s="40">
        <f>SUMIFS('Smoothed demand'!N$10:N$87,'Smoothed demand'!$C$10:$C$87,$D15,'Smoothed demand'!$D$10:$D$87,$C15)</f>
        <v>127.05601254081117</v>
      </c>
      <c r="O15" s="40">
        <f>SUMIFS('Smoothed demand'!O$10:O$87,'Smoothed demand'!$C$10:$C$87,$D15,'Smoothed demand'!$D$10:$D$87,$C15)</f>
        <v>126.93881201867875</v>
      </c>
      <c r="P15" s="40">
        <f>SUMIFS('Smoothed demand'!P$10:P$87,'Smoothed demand'!$C$10:$C$87,$D15,'Smoothed demand'!$D$10:$D$87,$C15)</f>
        <v>126.82174176718874</v>
      </c>
      <c r="R15" s="21">
        <f t="shared" si="0"/>
        <v>1401.4995761655557</v>
      </c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A1C4D-C50E-46D5-8A36-3588D6217933}">
  <sheetPr>
    <tabColor theme="1"/>
  </sheetPr>
  <dimension ref="A1:A33"/>
  <sheetViews>
    <sheetView showGridLines="0" zoomScale="70" zoomScaleNormal="70" workbookViewId="0"/>
  </sheetViews>
  <sheetFormatPr defaultColWidth="8.84375" defaultRowHeight="14"/>
  <cols>
    <col min="1" max="1" width="15.3046875" style="1" bestFit="1" customWidth="1"/>
    <col min="2" max="16384" width="8.84375" style="1"/>
  </cols>
  <sheetData>
    <row r="1" spans="1:1" ht="18">
      <c r="A1" s="49" t="str">
        <f ca="1">MID(CELL("filename",A2),FIND("]",CELL("filename",A2))+1,256)</f>
        <v>Case studies -&gt;</v>
      </c>
    </row>
    <row r="2" spans="1:1" ht="15.5">
      <c r="A2"/>
    </row>
    <row r="12" spans="1:1" customFormat="1" ht="15.5"/>
    <row r="13" spans="1:1" customFormat="1" ht="15.5"/>
    <row r="14" spans="1:1" customFormat="1" ht="15.5"/>
    <row r="15" spans="1:1" customFormat="1" ht="15.5"/>
    <row r="16" spans="1:1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47696-D6B3-401C-A40A-CA1BBBC01B43}">
  <sheetPr>
    <tabColor rgb="FF9EC0DB"/>
  </sheetPr>
  <dimension ref="A1:Z121"/>
  <sheetViews>
    <sheetView showGridLines="0" zoomScale="70" zoomScaleNormal="70" workbookViewId="0"/>
  </sheetViews>
  <sheetFormatPr defaultColWidth="8.84375" defaultRowHeight="14"/>
  <cols>
    <col min="1" max="1" width="26.07421875" style="1" bestFit="1" customWidth="1"/>
    <col min="2" max="2" width="14.84375" style="1" bestFit="1" customWidth="1"/>
    <col min="3" max="3" width="8.69140625" style="1" bestFit="1" customWidth="1"/>
    <col min="4" max="4" width="9.4609375" style="1" bestFit="1" customWidth="1"/>
    <col min="5" max="5" width="12.765625" style="1" bestFit="1" customWidth="1"/>
    <col min="6" max="9" width="5.4609375" style="1" bestFit="1" customWidth="1"/>
    <col min="10" max="10" width="10.84375" style="1" bestFit="1" customWidth="1"/>
    <col min="11" max="11" width="10" style="1" bestFit="1" customWidth="1"/>
    <col min="12" max="12" width="10.84375" style="1" bestFit="1" customWidth="1"/>
    <col min="13" max="13" width="5.4609375" style="1" bestFit="1" customWidth="1"/>
    <col min="14" max="16" width="10.84375" style="1" bestFit="1" customWidth="1"/>
    <col min="17" max="17" width="6.4609375" style="1" bestFit="1" customWidth="1"/>
    <col min="18" max="19" width="10.84375" style="1" bestFit="1" customWidth="1"/>
    <col min="20" max="25" width="6.4609375" style="1" bestFit="1" customWidth="1"/>
    <col min="26" max="16384" width="8.84375" style="1"/>
  </cols>
  <sheetData>
    <row r="1" spans="1:26" ht="18">
      <c r="A1" s="49" t="str">
        <f ca="1">MID(CELL("filename",A2),FIND("]",CELL("filename",A2))+1,256)</f>
        <v>Case study calculations</v>
      </c>
    </row>
    <row r="2" spans="1:26" ht="15.5">
      <c r="A2"/>
    </row>
    <row r="3" spans="1:26" ht="21">
      <c r="B3" s="6" t="str" cm="1">
        <f t="array" ref="B3">INDEX(_xlfn._xlws.SORT(_xlfn.UNIQUE('Case study demand'!$B$10:$B$27)),1)</f>
        <v>Botany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5" spans="1:26" ht="15.5">
      <c r="B5" s="5" t="s">
        <v>324</v>
      </c>
      <c r="C5" s="39"/>
      <c r="D5" s="39"/>
      <c r="E5" s="39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6">
      <c r="C6" s="19"/>
      <c r="D6" s="19"/>
      <c r="E6" s="19"/>
    </row>
    <row r="7" spans="1:26" ht="15.5">
      <c r="B7" s="2" t="s">
        <v>97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6">
      <c r="C8" s="19"/>
      <c r="D8" s="19"/>
      <c r="E8" s="19"/>
    </row>
    <row r="9" spans="1:26" ht="15.5">
      <c r="B9" s="14" t="s">
        <v>308</v>
      </c>
      <c r="C9" s="18" t="s">
        <v>309</v>
      </c>
      <c r="D9" s="18" t="s">
        <v>69</v>
      </c>
      <c r="E9" s="18" t="s">
        <v>326</v>
      </c>
      <c r="F9" s="165">
        <f>'Financial inputs'!G$27</f>
        <v>2025</v>
      </c>
      <c r="G9" s="165">
        <f>'Financial inputs'!H$27</f>
        <v>2026</v>
      </c>
      <c r="H9" s="165">
        <f>'Financial inputs'!I$27</f>
        <v>2027</v>
      </c>
      <c r="I9" s="165">
        <f>'Financial inputs'!J$27</f>
        <v>2028</v>
      </c>
      <c r="J9" s="165">
        <f>'Financial inputs'!K$27</f>
        <v>2029</v>
      </c>
      <c r="K9" s="165">
        <f>'Financial inputs'!L$27</f>
        <v>2030</v>
      </c>
      <c r="L9" s="165">
        <f>'Financial inputs'!M$27</f>
        <v>2031</v>
      </c>
      <c r="M9" s="165">
        <f>'Financial inputs'!N$27</f>
        <v>2032</v>
      </c>
      <c r="N9" s="165">
        <f>'Financial inputs'!O$27</f>
        <v>2033</v>
      </c>
      <c r="O9" s="165">
        <f>'Financial inputs'!P$27</f>
        <v>2034</v>
      </c>
      <c r="P9" s="165">
        <f>'Financial inputs'!Q$27</f>
        <v>2035</v>
      </c>
      <c r="Q9" s="165">
        <f>'Financial inputs'!R$27</f>
        <v>2036</v>
      </c>
      <c r="R9" s="165">
        <f>'Financial inputs'!S$27</f>
        <v>2037</v>
      </c>
      <c r="S9" s="165">
        <f>'Financial inputs'!T$27</f>
        <v>2038</v>
      </c>
      <c r="T9" s="165">
        <f>'Financial inputs'!U$27</f>
        <v>2039</v>
      </c>
      <c r="U9" s="165">
        <f>'Financial inputs'!V$27</f>
        <v>2040</v>
      </c>
      <c r="V9" s="165">
        <f>'Financial inputs'!W$27</f>
        <v>2041</v>
      </c>
      <c r="W9" s="165">
        <f>'Financial inputs'!X$27</f>
        <v>2042</v>
      </c>
      <c r="X9" s="165">
        <f>'Financial inputs'!Y$27</f>
        <v>2043</v>
      </c>
      <c r="Y9" s="165">
        <f>'Financial inputs'!Z$27</f>
        <v>2044</v>
      </c>
      <c r="Z9"/>
    </row>
    <row r="10" spans="1:26" ht="15.5">
      <c r="B10" s="2" t="str">
        <f>B3</f>
        <v>Botany</v>
      </c>
      <c r="C10" s="2" t="str" cm="1">
        <f t="array" ref="C10:C12">_xlfn.UNIQUE('Case study demand'!$C$10:$C$27)</f>
        <v>Low</v>
      </c>
      <c r="D10" s="35" t="s">
        <v>80</v>
      </c>
      <c r="E10" s="170">
        <f>SUMPRODUCT($F10:$Y10,'Financial inputs'!$G$28:$Z$28)</f>
        <v>93.159497841669506</v>
      </c>
      <c r="F10" s="171">
        <f>SUMIFS('Case study demand'!E$10:E$27,'Case study demand'!$B$10:$B$27,$B10,'Case study demand'!$C$10:$C$27,$C10)</f>
        <v>5.6765208000000005</v>
      </c>
      <c r="G10" s="171">
        <f>SUMIFS('Case study demand'!F$10:F$27,'Case study demand'!$B$10:$B$27,$B10,'Case study demand'!$C$10:$C$27,$C10)</f>
        <v>5.6993903999999995</v>
      </c>
      <c r="H10" s="171">
        <f>SUMIFS('Case study demand'!G$10:G$27,'Case study demand'!$B$10:$B$27,$B10,'Case study demand'!$C$10:$C$27,$C10)</f>
        <v>5.7243816000000001</v>
      </c>
      <c r="I10" s="171">
        <f>SUMIFS('Case study demand'!H$10:H$27,'Case study demand'!$B$10:$B$27,$B10,'Case study demand'!$C$10:$C$27,$C10)</f>
        <v>5.7708263999999998</v>
      </c>
      <c r="J10" s="171">
        <f>SUMIFS('Case study demand'!I$10:I$27,'Case study demand'!$B$10:$B$27,$B10,'Case study demand'!$C$10:$C$27,$C10)</f>
        <v>5.8357320000000001</v>
      </c>
      <c r="K10" s="171">
        <f>SUMIFS('Case study demand'!J$10:J$27,'Case study demand'!$B$10:$B$27,$B10,'Case study demand'!$C$10:$C$27,$C10)</f>
        <v>5.9144879999999995</v>
      </c>
      <c r="L10" s="171">
        <f>SUMIFS('Case study demand'!K$10:K$27,'Case study demand'!$B$10:$B$27,$B10,'Case study demand'!$C$10:$C$27,$C10)</f>
        <v>6.0217367999999993</v>
      </c>
      <c r="M10" s="171">
        <f>SUMIFS('Case study demand'!L$10:L$27,'Case study demand'!$B$10:$B$27,$B10,'Case study demand'!$C$10:$C$27,$C10)</f>
        <v>6.117324</v>
      </c>
      <c r="N10" s="171">
        <f>SUMIFS('Case study demand'!M$10:M$27,'Case study demand'!$B$10:$B$27,$B10,'Case study demand'!$C$10:$C$27,$C10)</f>
        <v>6.2056512000000001</v>
      </c>
      <c r="O10" s="171">
        <f>SUMIFS('Case study demand'!N$10:N$27,'Case study demand'!$B$10:$B$27,$B10,'Case study demand'!$C$10:$C$27,$C10)</f>
        <v>6.2935319999999999</v>
      </c>
      <c r="P10" s="171">
        <f>SUMIFS('Case study demand'!O$10:O$27,'Case study demand'!$B$10:$B$27,$B10,'Case study demand'!$C$10:$C$27,$C10)</f>
        <v>6.3500495999999993</v>
      </c>
      <c r="Q10" s="171">
        <f>SUMIFS('Case study demand'!P$10:P$27,'Case study demand'!$B$10:$B$27,$B10,'Case study demand'!$C$10:$C$27,$C10)</f>
        <v>6.3712343999999996</v>
      </c>
      <c r="R10" s="171">
        <f>SUMIFS('Case study demand'!Q$10:Q$27,'Case study demand'!$B$10:$B$27,$B10,'Case study demand'!$C$10:$C$27,$C10)</f>
        <v>6.4383527999999997</v>
      </c>
      <c r="S10" s="171">
        <f>SUMIFS('Case study demand'!R$10:R$27,'Case study demand'!$B$10:$B$27,$B10,'Case study demand'!$C$10:$C$27,$C10)</f>
        <v>6.5018519999999995</v>
      </c>
      <c r="T10" s="171">
        <f>SUMIFS('Case study demand'!S$10:S$27,'Case study demand'!$B$10:$B$27,$B10,'Case study demand'!$C$10:$C$27,$C10)</f>
        <v>6.5562575999999995</v>
      </c>
      <c r="U10" s="171">
        <f>SUMIFS('Case study demand'!T$10:T$27,'Case study demand'!$B$10:$B$27,$B10,'Case study demand'!$C$10:$C$27,$C10)</f>
        <v>6.5950967999999994</v>
      </c>
      <c r="V10" s="171">
        <f>SUMIFS('Case study demand'!U$10:U$27,'Case study demand'!$B$10:$B$27,$B10,'Case study demand'!$C$10:$C$27,$C10)</f>
        <v>6.6205055999999995</v>
      </c>
      <c r="W10" s="171">
        <f>SUMIFS('Case study demand'!V$10:V$27,'Case study demand'!$B$10:$B$27,$B10,'Case study demand'!$C$10:$C$27,$C10)</f>
        <v>6.6697199999999999</v>
      </c>
      <c r="X10" s="171">
        <f>SUMIFS('Case study demand'!W$10:W$27,'Case study demand'!$B$10:$B$27,$B10,'Case study demand'!$C$10:$C$27,$C10)</f>
        <v>6.7463664000000003</v>
      </c>
      <c r="Y10" s="171">
        <f>SUMIFS('Case study demand'!X$10:X$27,'Case study demand'!$B$10:$B$27,$B10,'Case study demand'!$C$10:$C$27,$C10)</f>
        <v>6.8276088000000001</v>
      </c>
    </row>
    <row r="11" spans="1:26" ht="15.5">
      <c r="B11" s="2" t="str">
        <f>B10</f>
        <v>Botany</v>
      </c>
      <c r="C11" s="2" t="str">
        <v>Base</v>
      </c>
      <c r="D11" s="35" t="str">
        <f>D10</f>
        <v>MW</v>
      </c>
      <c r="E11" s="170">
        <f>SUMPRODUCT($F11:$Y11,'Financial inputs'!$G$28:$Z$28)</f>
        <v>96.599475801892368</v>
      </c>
      <c r="F11" s="171">
        <f>SUMIFS('Case study demand'!E$10:E$27,'Case study demand'!$B$10:$B$27,$B11,'Case study demand'!$C$10:$C$27,$C11)</f>
        <v>5.8677431999999996</v>
      </c>
      <c r="G11" s="171">
        <f>SUMIFS('Case study demand'!F$10:F$27,'Case study demand'!$B$10:$B$27,$B11,'Case study demand'!$C$10:$C$27,$C11)</f>
        <v>5.8895303999999999</v>
      </c>
      <c r="H11" s="171">
        <f>SUMIFS('Case study demand'!G$10:G$27,'Case study demand'!$B$10:$B$27,$B11,'Case study demand'!$C$10:$C$27,$C11)</f>
        <v>5.9145192</v>
      </c>
      <c r="I11" s="171">
        <f>SUMIFS('Case study demand'!H$10:H$27,'Case study demand'!$B$10:$B$27,$B11,'Case study demand'!$C$10:$C$27,$C11)</f>
        <v>5.9609664000000002</v>
      </c>
      <c r="J11" s="171">
        <f>SUMIFS('Case study demand'!I$10:I$27,'Case study demand'!$B$10:$B$27,$B11,'Case study demand'!$C$10:$C$27,$C11)</f>
        <v>6.0258719999999997</v>
      </c>
      <c r="K11" s="171">
        <f>SUMIFS('Case study demand'!J$10:J$27,'Case study demand'!$B$10:$B$27,$B11,'Case study demand'!$C$10:$C$27,$C11)</f>
        <v>6.1046255999999994</v>
      </c>
      <c r="L11" s="171">
        <f>SUMIFS('Case study demand'!K$10:K$27,'Case study demand'!$B$10:$B$27,$B11,'Case study demand'!$C$10:$C$27,$C11)</f>
        <v>6.2118767999999998</v>
      </c>
      <c r="M11" s="171">
        <f>SUMIFS('Case study demand'!L$10:L$27,'Case study demand'!$B$10:$B$27,$B11,'Case study demand'!$C$10:$C$27,$C11)</f>
        <v>6.3074615999999999</v>
      </c>
      <c r="N11" s="171">
        <f>SUMIFS('Case study demand'!M$10:M$27,'Case study demand'!$B$10:$B$27,$B11,'Case study demand'!$C$10:$C$27,$C11)</f>
        <v>6.3957911999999997</v>
      </c>
      <c r="O11" s="171">
        <f>SUMIFS('Case study demand'!N$10:N$27,'Case study demand'!$B$10:$B$27,$B11,'Case study demand'!$C$10:$C$27,$C11)</f>
        <v>6.4836719999999994</v>
      </c>
      <c r="P11" s="171">
        <f>SUMIFS('Case study demand'!O$10:O$27,'Case study demand'!$B$10:$B$27,$B11,'Case study demand'!$C$10:$C$27,$C11)</f>
        <v>6.5401895999999997</v>
      </c>
      <c r="Q11" s="171">
        <f>SUMIFS('Case study demand'!P$10:P$27,'Case study demand'!$B$10:$B$27,$B11,'Case study demand'!$C$10:$C$27,$C11)</f>
        <v>6.5613719999999995</v>
      </c>
      <c r="R11" s="171">
        <f>SUMIFS('Case study demand'!Q$10:Q$27,'Case study demand'!$B$10:$B$27,$B11,'Case study demand'!$C$10:$C$27,$C11)</f>
        <v>6.6437423999999998</v>
      </c>
      <c r="S11" s="171">
        <f>SUMIFS('Case study demand'!R$10:R$27,'Case study demand'!$B$10:$B$27,$B11,'Case study demand'!$C$10:$C$27,$C11)</f>
        <v>6.7346088000000002</v>
      </c>
      <c r="T11" s="171">
        <f>SUMIFS('Case study demand'!S$10:S$27,'Case study demand'!$B$10:$B$27,$B11,'Case study demand'!$C$10:$C$27,$C11)</f>
        <v>6.8201231999999994</v>
      </c>
      <c r="U11" s="171">
        <f>SUMIFS('Case study demand'!T$10:T$27,'Case study demand'!$B$10:$B$27,$B11,'Case study demand'!$C$10:$C$27,$C11)</f>
        <v>6.8945639999999999</v>
      </c>
      <c r="V11" s="171">
        <f>SUMIFS('Case study demand'!U$10:U$27,'Case study demand'!$B$10:$B$27,$B11,'Case study demand'!$C$10:$C$27,$C11)</f>
        <v>6.9702647999999998</v>
      </c>
      <c r="W11" s="171">
        <f>SUMIFS('Case study demand'!V$10:V$27,'Case study demand'!$B$10:$B$27,$B11,'Case study demand'!$C$10:$C$27,$C11)</f>
        <v>7.0490567999999998</v>
      </c>
      <c r="X11" s="171">
        <f>SUMIFS('Case study demand'!W$10:W$27,'Case study demand'!$B$10:$B$27,$B11,'Case study demand'!$C$10:$C$27,$C11)</f>
        <v>7.1257031999999993</v>
      </c>
      <c r="Y11" s="171">
        <f>SUMIFS('Case study demand'!X$10:X$27,'Case study demand'!$B$10:$B$27,$B11,'Case study demand'!$C$10:$C$27,$C11)</f>
        <v>7.2069431999999995</v>
      </c>
    </row>
    <row r="12" spans="1:26" customFormat="1" ht="15.5">
      <c r="B12" s="2" t="str">
        <f>B11</f>
        <v>Botany</v>
      </c>
      <c r="C12" s="2" t="str">
        <v>High</v>
      </c>
      <c r="D12" s="35" t="str">
        <f t="shared" ref="D12" si="0">D11</f>
        <v>MW</v>
      </c>
      <c r="E12" s="170">
        <f>SUMPRODUCT($F12:$Y12,'Financial inputs'!$G$28:$Z$28)</f>
        <v>103.58436444376149</v>
      </c>
      <c r="F12" s="171">
        <f>SUMIFS('Case study demand'!E$10:E$27,'Case study demand'!$B$10:$B$27,$B12,'Case study demand'!$C$10:$C$27,$C12)</f>
        <v>6.3364080000000005</v>
      </c>
      <c r="G12" s="171">
        <f>SUMIFS('Case study demand'!F$10:F$27,'Case study demand'!$B$10:$B$27,$B12,'Case study demand'!$C$10:$C$27,$C12)</f>
        <v>6.3188519999999997</v>
      </c>
      <c r="H12" s="171">
        <f>SUMIFS('Case study demand'!G$10:G$27,'Case study demand'!$B$10:$B$27,$B12,'Case study demand'!$C$10:$C$27,$C12)</f>
        <v>6.3299447999999998</v>
      </c>
      <c r="I12" s="171">
        <f>SUMIFS('Case study demand'!H$10:H$27,'Case study demand'!$B$10:$B$27,$B12,'Case study demand'!$C$10:$C$27,$C12)</f>
        <v>6.3689640000000001</v>
      </c>
      <c r="J12" s="171">
        <f>SUMIFS('Case study demand'!I$10:I$27,'Case study demand'!$B$10:$B$27,$B12,'Case study demand'!$C$10:$C$27,$C12)</f>
        <v>6.4359840000000004</v>
      </c>
      <c r="K12" s="171">
        <f>SUMIFS('Case study demand'!J$10:J$27,'Case study demand'!$B$10:$B$27,$B12,'Case study demand'!$C$10:$C$27,$C12)</f>
        <v>6.4957895999999993</v>
      </c>
      <c r="L12" s="171">
        <f>SUMIFS('Case study demand'!K$10:K$27,'Case study demand'!$B$10:$B$27,$B12,'Case study demand'!$C$10:$C$27,$C12)</f>
        <v>6.644872799999999</v>
      </c>
      <c r="M12" s="171">
        <f>SUMIFS('Case study demand'!L$10:L$27,'Case study demand'!$B$10:$B$27,$B12,'Case study demand'!$C$10:$C$27,$C12)</f>
        <v>6.7615008000000003</v>
      </c>
      <c r="N12" s="171">
        <f>SUMIFS('Case study demand'!M$10:M$27,'Case study demand'!$B$10:$B$27,$B12,'Case study demand'!$C$10:$C$27,$C12)</f>
        <v>6.8570400000000005</v>
      </c>
      <c r="O12" s="171">
        <f>SUMIFS('Case study demand'!N$10:N$27,'Case study demand'!$B$10:$B$27,$B12,'Case study demand'!$C$10:$C$27,$C12)</f>
        <v>6.9450383999999996</v>
      </c>
      <c r="P12" s="171">
        <f>SUMIFS('Case study demand'!O$10:O$27,'Case study demand'!$B$10:$B$27,$B12,'Case study demand'!$C$10:$C$27,$C12)</f>
        <v>7.0185312</v>
      </c>
      <c r="Q12" s="171">
        <f>SUMIFS('Case study demand'!P$10:P$27,'Case study demand'!$B$10:$B$27,$B12,'Case study demand'!$C$10:$C$27,$C12)</f>
        <v>7.0633607999999999</v>
      </c>
      <c r="R12" s="171">
        <f>SUMIFS('Case study demand'!Q$10:Q$27,'Case study demand'!$B$10:$B$27,$B12,'Case study demand'!$C$10:$C$27,$C12)</f>
        <v>7.1537616000000002</v>
      </c>
      <c r="S12" s="171">
        <f>SUMIFS('Case study demand'!R$10:R$27,'Case study demand'!$B$10:$B$27,$B12,'Case study demand'!$C$10:$C$27,$C12)</f>
        <v>7.2446255999999991</v>
      </c>
      <c r="T12" s="171">
        <f>SUMIFS('Case study demand'!S$10:S$27,'Case study demand'!$B$10:$B$27,$B12,'Case study demand'!$C$10:$C$27,$C12)</f>
        <v>7.3301375999999996</v>
      </c>
      <c r="U12" s="171">
        <f>SUMIFS('Case study demand'!T$10:T$27,'Case study demand'!$B$10:$B$27,$B12,'Case study demand'!$C$10:$C$27,$C12)</f>
        <v>7.4045736</v>
      </c>
      <c r="V12" s="171">
        <f>SUMIFS('Case study demand'!U$10:U$27,'Case study demand'!$B$10:$B$27,$B12,'Case study demand'!$C$10:$C$27,$C12)</f>
        <v>7.4802719999999994</v>
      </c>
      <c r="W12" s="171">
        <f>SUMIFS('Case study demand'!V$10:V$27,'Case study demand'!$B$10:$B$27,$B12,'Case study demand'!$C$10:$C$27,$C12)</f>
        <v>7.5590615999999997</v>
      </c>
      <c r="X12" s="171">
        <f>SUMIFS('Case study demand'!W$10:W$27,'Case study demand'!$B$10:$B$27,$B12,'Case study demand'!$C$10:$C$27,$C12)</f>
        <v>7.6357031999999991</v>
      </c>
      <c r="Y12" s="171">
        <f>SUMIFS('Case study demand'!X$10:X$27,'Case study demand'!$B$10:$B$27,$B12,'Case study demand'!$C$10:$C$27,$C12)</f>
        <v>7.7169432000000002</v>
      </c>
    </row>
    <row r="13" spans="1:26" customFormat="1" ht="15.5"/>
    <row r="14" spans="1:26" customFormat="1" ht="15.5">
      <c r="B14" s="5" t="s">
        <v>129</v>
      </c>
      <c r="C14" s="39"/>
      <c r="D14" s="39"/>
      <c r="E14" s="39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6" customFormat="1" ht="15.5">
      <c r="B15" s="1"/>
      <c r="C15" s="19"/>
      <c r="D15" s="19"/>
      <c r="E15" s="1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6" customFormat="1" ht="15.5">
      <c r="B16" s="2" t="str">
        <f>"Units: $" &amp; base_year &amp; " real"</f>
        <v>Units: $2024 real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2:25" customFormat="1" ht="15.5">
      <c r="B17" s="1"/>
      <c r="C17" s="19"/>
      <c r="D17" s="19"/>
      <c r="E17" s="19"/>
      <c r="F17" s="1"/>
      <c r="G17" s="1"/>
      <c r="H17" s="1"/>
      <c r="I17" s="1"/>
      <c r="J17" s="1"/>
      <c r="K17" s="17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2:25" customFormat="1" ht="15.5">
      <c r="B18" s="14" t="str">
        <f>B$9</f>
        <v>Location</v>
      </c>
      <c r="C18" s="18" t="str">
        <f t="shared" ref="C18:Y18" si="1">C$9</f>
        <v>Scenario</v>
      </c>
      <c r="D18" s="18" t="str">
        <f t="shared" si="1"/>
        <v>Units</v>
      </c>
      <c r="E18" s="18" t="str">
        <f t="shared" si="1"/>
        <v>Present value</v>
      </c>
      <c r="F18" s="165">
        <f t="shared" si="1"/>
        <v>2025</v>
      </c>
      <c r="G18" s="165">
        <f t="shared" si="1"/>
        <v>2026</v>
      </c>
      <c r="H18" s="165">
        <f t="shared" si="1"/>
        <v>2027</v>
      </c>
      <c r="I18" s="165">
        <f t="shared" si="1"/>
        <v>2028</v>
      </c>
      <c r="J18" s="165">
        <f t="shared" si="1"/>
        <v>2029</v>
      </c>
      <c r="K18" s="165">
        <f t="shared" si="1"/>
        <v>2030</v>
      </c>
      <c r="L18" s="165">
        <f t="shared" si="1"/>
        <v>2031</v>
      </c>
      <c r="M18" s="165">
        <f t="shared" si="1"/>
        <v>2032</v>
      </c>
      <c r="N18" s="165">
        <f t="shared" si="1"/>
        <v>2033</v>
      </c>
      <c r="O18" s="165">
        <f t="shared" si="1"/>
        <v>2034</v>
      </c>
      <c r="P18" s="165">
        <f t="shared" si="1"/>
        <v>2035</v>
      </c>
      <c r="Q18" s="165">
        <f t="shared" si="1"/>
        <v>2036</v>
      </c>
      <c r="R18" s="165">
        <f t="shared" si="1"/>
        <v>2037</v>
      </c>
      <c r="S18" s="165">
        <f t="shared" si="1"/>
        <v>2038</v>
      </c>
      <c r="T18" s="165">
        <f t="shared" si="1"/>
        <v>2039</v>
      </c>
      <c r="U18" s="165">
        <f t="shared" si="1"/>
        <v>2040</v>
      </c>
      <c r="V18" s="165">
        <f t="shared" si="1"/>
        <v>2041</v>
      </c>
      <c r="W18" s="165">
        <f t="shared" si="1"/>
        <v>2042</v>
      </c>
      <c r="X18" s="165">
        <f t="shared" si="1"/>
        <v>2043</v>
      </c>
      <c r="Y18" s="165">
        <f t="shared" si="1"/>
        <v>2044</v>
      </c>
    </row>
    <row r="19" spans="2:25" customFormat="1" ht="15.5">
      <c r="B19" s="2" t="str">
        <f>B10</f>
        <v>Botany</v>
      </c>
      <c r="C19" s="2" t="str">
        <f t="shared" ref="C19:C21" si="2">C10</f>
        <v>Low</v>
      </c>
      <c r="D19" s="35" t="str">
        <f>"$" &amp; base_year &amp; " real"</f>
        <v>$2024 real</v>
      </c>
      <c r="E19" s="174">
        <f>SUMPRODUCT($F19:$Y19,'Financial inputs'!$G$28:$Z$28)</f>
        <v>6059530.5524866292</v>
      </c>
      <c r="F19" s="172">
        <f>IF(F$18=SUMIFS('Case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G19" s="172">
        <f>IF(G$18=SUMIFS('Case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H19" s="172">
        <f>IF(H$18=SUMIFS('Case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I19" s="172">
        <f>IF(I$18=SUMIFS('Case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J19" s="172">
        <f>IF(J$18=SUMIFS('Case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K19" s="172">
        <f>IF(K$18=SUMIFS('Case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7093122.5934290411</v>
      </c>
      <c r="L19" s="172">
        <f>IF(L$18=SUMIFS('Case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M19" s="172">
        <f>IF(M$18=SUMIFS('Case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N19" s="172">
        <f>IF(N$18=SUMIFS('Case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O19" s="172">
        <f>IF(O$18=SUMIFS('Case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P19" s="172">
        <f>IF(P$18=SUMIFS('Case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Q19" s="172">
        <f>IF(Q$18=SUMIFS('Case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R19" s="172">
        <f>IF(R$18=SUMIFS('Case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S19" s="172">
        <f>IF(S$18=SUMIFS('Case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T19" s="172">
        <f>IF(T$18=SUMIFS('Case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U19" s="172">
        <f>IF(U$18=SUMIFS('Case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V19" s="172">
        <f>IF(V$18=SUMIFS('Case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W19" s="172">
        <f>IF(W$18=SUMIFS('Case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X19" s="172">
        <f>IF(X$18=SUMIFS('Case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  <c r="Y19" s="172">
        <f>IF(Y$18=SUMIFS('Case study expenditure'!$E$10:$E$27,'Case study expenditure'!$B$10:$B$27,$B19,'Case study expenditure'!$C$10:$C$27,$C19),SUMIFS('Case study expenditure'!$F$10:$F$27,'Case study expenditure'!$B$10:$B$27,$B19,'Case study expenditure'!$C$10:$C$27,$C19),0)*'Financial inputs'!$D$13</f>
        <v>0</v>
      </c>
    </row>
    <row r="20" spans="2:25" ht="15.5">
      <c r="B20" s="2" t="str">
        <f t="shared" ref="B20" si="3">B11</f>
        <v>Botany</v>
      </c>
      <c r="C20" s="2" t="str">
        <f t="shared" si="2"/>
        <v>Base</v>
      </c>
      <c r="D20" s="35" t="str">
        <f>D19</f>
        <v>$2024 real</v>
      </c>
      <c r="E20" s="174">
        <f>SUMPRODUCT($F20:$Y20,'Financial inputs'!$G$28:$Z$28)</f>
        <v>6059530.5524866292</v>
      </c>
      <c r="F20" s="172">
        <f>IF(F$18=SUMIFS('Case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G20" s="172">
        <f>IF(G$18=SUMIFS('Case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H20" s="172">
        <f>IF(H$18=SUMIFS('Case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I20" s="172">
        <f>IF(I$18=SUMIFS('Case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J20" s="172">
        <f>IF(J$18=SUMIFS('Case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K20" s="172">
        <f>IF(K$18=SUMIFS('Case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7093122.5934290411</v>
      </c>
      <c r="L20" s="172">
        <f>IF(L$18=SUMIFS('Case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M20" s="172">
        <f>IF(M$18=SUMIFS('Case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N20" s="172">
        <f>IF(N$18=SUMIFS('Case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O20" s="172">
        <f>IF(O$18=SUMIFS('Case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P20" s="172">
        <f>IF(P$18=SUMIFS('Case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Q20" s="172">
        <f>IF(Q$18=SUMIFS('Case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R20" s="172">
        <f>IF(R$18=SUMIFS('Case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S20" s="172">
        <f>IF(S$18=SUMIFS('Case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T20" s="172">
        <f>IF(T$18=SUMIFS('Case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U20" s="172">
        <f>IF(U$18=SUMIFS('Case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V20" s="172">
        <f>IF(V$18=SUMIFS('Case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W20" s="172">
        <f>IF(W$18=SUMIFS('Case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X20" s="172">
        <f>IF(X$18=SUMIFS('Case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  <c r="Y20" s="172">
        <f>IF(Y$18=SUMIFS('Case study expenditure'!$E$10:$E$27,'Case study expenditure'!$B$10:$B$27,$B20,'Case study expenditure'!$C$10:$C$27,$C20),SUMIFS('Case study expenditure'!$F$10:$F$27,'Case study expenditure'!$B$10:$B$27,$B20,'Case study expenditure'!$C$10:$C$27,$C20),0)*'Financial inputs'!$D$13</f>
        <v>0</v>
      </c>
    </row>
    <row r="21" spans="2:25" ht="15.5">
      <c r="B21" s="2" t="str">
        <f t="shared" ref="B21" si="4">B12</f>
        <v>Botany</v>
      </c>
      <c r="C21" s="2" t="str">
        <f t="shared" si="2"/>
        <v>High</v>
      </c>
      <c r="D21" s="35" t="str">
        <f t="shared" ref="D21" si="5">D20</f>
        <v>$2024 real</v>
      </c>
      <c r="E21" s="174">
        <f>SUMPRODUCT($F21:$Y21,'Financial inputs'!$G$28:$Z$28)</f>
        <v>6253435.5301662022</v>
      </c>
      <c r="F21" s="172">
        <f>IF(F$18=SUMIFS('Case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G21" s="172">
        <f>IF(G$18=SUMIFS('Case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H21" s="172">
        <f>IF(H$18=SUMIFS('Case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I21" s="172">
        <f>IF(I$18=SUMIFS('Case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J21" s="172">
        <f>IF(J$18=SUMIFS('Case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7093122.5934290411</v>
      </c>
      <c r="K21" s="172">
        <f>IF(K$18=SUMIFS('Case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L21" s="172">
        <f>IF(L$18=SUMIFS('Case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M21" s="172">
        <f>IF(M$18=SUMIFS('Case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N21" s="172">
        <f>IF(N$18=SUMIFS('Case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O21" s="172">
        <f>IF(O$18=SUMIFS('Case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P21" s="172">
        <f>IF(P$18=SUMIFS('Case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Q21" s="172">
        <f>IF(Q$18=SUMIFS('Case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R21" s="172">
        <f>IF(R$18=SUMIFS('Case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S21" s="172">
        <f>IF(S$18=SUMIFS('Case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T21" s="172">
        <f>IF(T$18=SUMIFS('Case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U21" s="172">
        <f>IF(U$18=SUMIFS('Case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V21" s="172">
        <f>IF(V$18=SUMIFS('Case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W21" s="172">
        <f>IF(W$18=SUMIFS('Case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X21" s="172">
        <f>IF(X$18=SUMIFS('Case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  <c r="Y21" s="172">
        <f>IF(Y$18=SUMIFS('Case study expenditure'!$E$10:$E$27,'Case study expenditure'!$B$10:$B$27,$B21,'Case study expenditure'!$C$10:$C$27,$C21),SUMIFS('Case study expenditure'!$F$10:$F$27,'Case study expenditure'!$B$10:$B$27,$B21,'Case study expenditure'!$C$10:$C$27,$C21),0)*'Financial inputs'!$D$13</f>
        <v>0</v>
      </c>
    </row>
    <row r="22" spans="2:25" customFormat="1" ht="15.5"/>
    <row r="23" spans="2:25" customFormat="1" ht="21">
      <c r="B23" s="6" t="str" cm="1">
        <f t="array" ref="B23">INDEX(_xlfn._xlws.SORT(_xlfn.UNIQUE('Case study demand'!$B$10:$B$27)),2)</f>
        <v>Campsie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2:25" customFormat="1" ht="15.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2:25" customFormat="1" ht="15.5">
      <c r="B25" s="5" t="str">
        <f>B5</f>
        <v>Demand</v>
      </c>
      <c r="C25" s="39"/>
      <c r="D25" s="39"/>
      <c r="E25" s="39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2:25" customFormat="1" ht="15.5">
      <c r="B26" s="1"/>
      <c r="C26" s="19"/>
      <c r="D26" s="19"/>
      <c r="E26" s="1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2:25" customFormat="1" ht="15.5">
      <c r="B27" s="2" t="str">
        <f>B7</f>
        <v>Units: MW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customFormat="1" ht="15.5">
      <c r="B28" s="1"/>
      <c r="C28" s="19"/>
      <c r="D28" s="19"/>
      <c r="E28" s="19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2:25" customFormat="1" ht="15.5">
      <c r="B29" s="14" t="str">
        <f t="shared" ref="B29:Y29" si="6">B9</f>
        <v>Location</v>
      </c>
      <c r="C29" s="18" t="str">
        <f t="shared" si="6"/>
        <v>Scenario</v>
      </c>
      <c r="D29" s="18" t="str">
        <f t="shared" si="6"/>
        <v>Units</v>
      </c>
      <c r="E29" s="18" t="str">
        <f t="shared" si="6"/>
        <v>Present value</v>
      </c>
      <c r="F29" s="165">
        <f t="shared" si="6"/>
        <v>2025</v>
      </c>
      <c r="G29" s="165">
        <f t="shared" si="6"/>
        <v>2026</v>
      </c>
      <c r="H29" s="165">
        <f t="shared" si="6"/>
        <v>2027</v>
      </c>
      <c r="I29" s="165">
        <f t="shared" si="6"/>
        <v>2028</v>
      </c>
      <c r="J29" s="165">
        <f t="shared" si="6"/>
        <v>2029</v>
      </c>
      <c r="K29" s="165">
        <f t="shared" si="6"/>
        <v>2030</v>
      </c>
      <c r="L29" s="165">
        <f t="shared" si="6"/>
        <v>2031</v>
      </c>
      <c r="M29" s="165">
        <f t="shared" si="6"/>
        <v>2032</v>
      </c>
      <c r="N29" s="165">
        <f t="shared" si="6"/>
        <v>2033</v>
      </c>
      <c r="O29" s="165">
        <f t="shared" si="6"/>
        <v>2034</v>
      </c>
      <c r="P29" s="165">
        <f t="shared" si="6"/>
        <v>2035</v>
      </c>
      <c r="Q29" s="165">
        <f t="shared" si="6"/>
        <v>2036</v>
      </c>
      <c r="R29" s="165">
        <f t="shared" si="6"/>
        <v>2037</v>
      </c>
      <c r="S29" s="165">
        <f t="shared" si="6"/>
        <v>2038</v>
      </c>
      <c r="T29" s="165">
        <f t="shared" si="6"/>
        <v>2039</v>
      </c>
      <c r="U29" s="165">
        <f t="shared" si="6"/>
        <v>2040</v>
      </c>
      <c r="V29" s="165">
        <f t="shared" si="6"/>
        <v>2041</v>
      </c>
      <c r="W29" s="165">
        <f t="shared" si="6"/>
        <v>2042</v>
      </c>
      <c r="X29" s="165">
        <f t="shared" si="6"/>
        <v>2043</v>
      </c>
      <c r="Y29" s="165">
        <f t="shared" si="6"/>
        <v>2044</v>
      </c>
    </row>
    <row r="30" spans="2:25" customFormat="1" ht="15.5">
      <c r="B30" s="2" t="str">
        <f>B23</f>
        <v>Campsie</v>
      </c>
      <c r="C30" s="2" t="str">
        <f t="shared" ref="C30:D30" si="7">C10</f>
        <v>Low</v>
      </c>
      <c r="D30" s="35" t="str">
        <f t="shared" si="7"/>
        <v>MW</v>
      </c>
      <c r="E30" s="170">
        <f>SUMPRODUCT($F30:$Y30,'Financial inputs'!$G$28:$Z$28)</f>
        <v>1223.3591981851957</v>
      </c>
      <c r="F30" s="171">
        <f>SUMIFS('Case study demand'!E$10:E$27,'Case study demand'!$B$10:$B$27,$B30,'Case study demand'!$C$10:$C$27,$C30)</f>
        <v>68.891829999999999</v>
      </c>
      <c r="G30" s="171">
        <f>SUMIFS('Case study demand'!F$10:F$27,'Case study demand'!$B$10:$B$27,$B30,'Case study demand'!$C$10:$C$27,$C30)</f>
        <v>69.817610000000002</v>
      </c>
      <c r="H30" s="171">
        <f>SUMIFS('Case study demand'!G$10:G$27,'Case study demand'!$B$10:$B$27,$B30,'Case study demand'!$C$10:$C$27,$C30)</f>
        <v>69.990030000000004</v>
      </c>
      <c r="I30" s="171">
        <f>SUMIFS('Case study demand'!H$10:H$27,'Case study demand'!$B$10:$B$27,$B30,'Case study demand'!$C$10:$C$27,$C30)</f>
        <v>71.683689999999999</v>
      </c>
      <c r="J30" s="171">
        <f>SUMIFS('Case study demand'!I$10:I$27,'Case study demand'!$B$10:$B$27,$B30,'Case study demand'!$C$10:$C$27,$C30)</f>
        <v>73.8108</v>
      </c>
      <c r="K30" s="171">
        <f>SUMIFS('Case study demand'!J$10:J$27,'Case study demand'!$B$10:$B$27,$B30,'Case study demand'!$C$10:$C$27,$C30)</f>
        <v>75.941130000000001</v>
      </c>
      <c r="L30" s="171">
        <f>SUMIFS('Case study demand'!K$10:K$27,'Case study demand'!$B$10:$B$27,$B30,'Case study demand'!$C$10:$C$27,$C30)</f>
        <v>78.308210000000003</v>
      </c>
      <c r="M30" s="171">
        <f>SUMIFS('Case study demand'!L$10:L$27,'Case study demand'!$B$10:$B$27,$B30,'Case study demand'!$C$10:$C$27,$C30)</f>
        <v>80.174480000000003</v>
      </c>
      <c r="N30" s="171">
        <f>SUMIFS('Case study demand'!M$10:M$27,'Case study demand'!$B$10:$B$27,$B30,'Case study demand'!$C$10:$C$27,$C30)</f>
        <v>81.733649999999997</v>
      </c>
      <c r="O30" s="171">
        <f>SUMIFS('Case study demand'!N$10:N$27,'Case study demand'!$B$10:$B$27,$B30,'Case study demand'!$C$10:$C$27,$C30)</f>
        <v>83.129189999999994</v>
      </c>
      <c r="P30" s="171">
        <f>SUMIFS('Case study demand'!O$10:O$27,'Case study demand'!$B$10:$B$27,$B30,'Case study demand'!$C$10:$C$27,$C30)</f>
        <v>84.231250000000003</v>
      </c>
      <c r="Q30" s="171">
        <f>SUMIFS('Case study demand'!P$10:P$27,'Case study demand'!$B$10:$B$27,$B30,'Case study demand'!$C$10:$C$27,$C30)</f>
        <v>85.010949999999994</v>
      </c>
      <c r="R30" s="171">
        <f>SUMIFS('Case study demand'!Q$10:Q$27,'Case study demand'!$B$10:$B$27,$B30,'Case study demand'!$C$10:$C$27,$C30)</f>
        <v>86.452269999999999</v>
      </c>
      <c r="S30" s="171">
        <f>SUMIFS('Case study demand'!R$10:R$27,'Case study demand'!$B$10:$B$27,$B30,'Case study demand'!$C$10:$C$27,$C30)</f>
        <v>87.932569999999998</v>
      </c>
      <c r="T30" s="171">
        <f>SUMIFS('Case study demand'!S$10:S$27,'Case study demand'!$B$10:$B$27,$B30,'Case study demand'!$C$10:$C$27,$C30)</f>
        <v>89.360680000000002</v>
      </c>
      <c r="U30" s="171">
        <f>SUMIFS('Case study demand'!T$10:T$27,'Case study demand'!$B$10:$B$27,$B30,'Case study demand'!$C$10:$C$27,$C30)</f>
        <v>90.769019999999998</v>
      </c>
      <c r="V30" s="171">
        <f>SUMIFS('Case study demand'!U$10:U$27,'Case study demand'!$B$10:$B$27,$B30,'Case study demand'!$C$10:$C$27,$C30)</f>
        <v>92.141350000000003</v>
      </c>
      <c r="W30" s="171">
        <f>SUMIFS('Case study demand'!V$10:V$27,'Case study demand'!$B$10:$B$27,$B30,'Case study demand'!$C$10:$C$27,$C30)</f>
        <v>93.57208</v>
      </c>
      <c r="X30" s="171">
        <f>SUMIFS('Case study demand'!W$10:W$27,'Case study demand'!$B$10:$B$27,$B30,'Case study demand'!$C$10:$C$27,$C30)</f>
        <v>94.980310000000003</v>
      </c>
      <c r="Y30" s="171">
        <f>SUMIFS('Case study demand'!X$10:X$27,'Case study demand'!$B$10:$B$27,$B30,'Case study demand'!$C$10:$C$27,$C30)</f>
        <v>96.499529999999993</v>
      </c>
    </row>
    <row r="31" spans="2:25" customFormat="1" ht="15.5">
      <c r="B31" s="2" t="str">
        <f>B30</f>
        <v>Campsie</v>
      </c>
      <c r="C31" s="2" t="str">
        <f t="shared" ref="C31:D31" si="8">C11</f>
        <v>Base</v>
      </c>
      <c r="D31" s="35" t="str">
        <f t="shared" si="8"/>
        <v>MW</v>
      </c>
      <c r="E31" s="170">
        <f>SUMPRODUCT($F31:$Y31,'Financial inputs'!$G$28:$Z$28)</f>
        <v>1346.7594825546616</v>
      </c>
      <c r="F31" s="171">
        <f>SUMIFS('Case study demand'!E$10:E$27,'Case study demand'!$B$10:$B$27,$B31,'Case study demand'!$C$10:$C$27,$C31)</f>
        <v>77.027789999999996</v>
      </c>
      <c r="G31" s="171">
        <f>SUMIFS('Case study demand'!F$10:F$27,'Case study demand'!$B$10:$B$27,$B31,'Case study demand'!$C$10:$C$27,$C31)</f>
        <v>78.007810000000006</v>
      </c>
      <c r="H31" s="171">
        <f>SUMIFS('Case study demand'!G$10:G$27,'Case study demand'!$B$10:$B$27,$B31,'Case study demand'!$C$10:$C$27,$C31)</f>
        <v>78.180229999999995</v>
      </c>
      <c r="I31" s="171">
        <f>SUMIFS('Case study demand'!H$10:H$27,'Case study demand'!$B$10:$B$27,$B31,'Case study demand'!$C$10:$C$27,$C31)</f>
        <v>79.873890000000003</v>
      </c>
      <c r="J31" s="171">
        <f>SUMIFS('Case study demand'!I$10:I$27,'Case study demand'!$B$10:$B$27,$B31,'Case study demand'!$C$10:$C$27,$C31)</f>
        <v>82.001000000000005</v>
      </c>
      <c r="K31" s="171">
        <f>SUMIFS('Case study demand'!J$10:J$27,'Case study demand'!$B$10:$B$27,$B31,'Case study demand'!$C$10:$C$27,$C31)</f>
        <v>84.131330000000005</v>
      </c>
      <c r="L31" s="171">
        <f>SUMIFS('Case study demand'!K$10:K$27,'Case study demand'!$B$10:$B$27,$B31,'Case study demand'!$C$10:$C$27,$C31)</f>
        <v>86.498410000000007</v>
      </c>
      <c r="M31" s="171">
        <f>SUMIFS('Case study demand'!L$10:L$27,'Case study demand'!$B$10:$B$27,$B31,'Case study demand'!$C$10:$C$27,$C31)</f>
        <v>88.364680000000007</v>
      </c>
      <c r="N31" s="171">
        <f>SUMIFS('Case study demand'!M$10:M$27,'Case study demand'!$B$10:$B$27,$B31,'Case study demand'!$C$10:$C$27,$C31)</f>
        <v>89.923850000000002</v>
      </c>
      <c r="O31" s="171">
        <f>SUMIFS('Case study demand'!N$10:N$27,'Case study demand'!$B$10:$B$27,$B31,'Case study demand'!$C$10:$C$27,$C31)</f>
        <v>91.319389999999999</v>
      </c>
      <c r="P31" s="171">
        <f>SUMIFS('Case study demand'!O$10:O$27,'Case study demand'!$B$10:$B$27,$B31,'Case study demand'!$C$10:$C$27,$C31)</f>
        <v>92.421449999999993</v>
      </c>
      <c r="Q31" s="171">
        <f>SUMIFS('Case study demand'!P$10:P$27,'Case study demand'!$B$10:$B$27,$B31,'Case study demand'!$C$10:$C$27,$C31)</f>
        <v>93.201149999999998</v>
      </c>
      <c r="R31" s="171">
        <f>SUMIFS('Case study demand'!Q$10:Q$27,'Case study demand'!$B$10:$B$27,$B31,'Case study demand'!$C$10:$C$27,$C31)</f>
        <v>94.642470000000003</v>
      </c>
      <c r="S31" s="171">
        <f>SUMIFS('Case study demand'!R$10:R$27,'Case study demand'!$B$10:$B$27,$B31,'Case study demand'!$C$10:$C$27,$C31)</f>
        <v>96.122770000000003</v>
      </c>
      <c r="T31" s="171">
        <f>SUMIFS('Case study demand'!S$10:S$27,'Case study demand'!$B$10:$B$27,$B31,'Case study demand'!$C$10:$C$27,$C31)</f>
        <v>97.550880000000006</v>
      </c>
      <c r="U31" s="171">
        <f>SUMIFS('Case study demand'!T$10:T$27,'Case study demand'!$B$10:$B$27,$B31,'Case study demand'!$C$10:$C$27,$C31)</f>
        <v>98.959220000000002</v>
      </c>
      <c r="V31" s="171">
        <f>SUMIFS('Case study demand'!U$10:U$27,'Case study demand'!$B$10:$B$27,$B31,'Case study demand'!$C$10:$C$27,$C31)</f>
        <v>100.33150000000001</v>
      </c>
      <c r="W31" s="171">
        <f>SUMIFS('Case study demand'!V$10:V$27,'Case study demand'!$B$10:$B$27,$B31,'Case study demand'!$C$10:$C$27,$C31)</f>
        <v>101.76220000000001</v>
      </c>
      <c r="X31" s="171">
        <f>SUMIFS('Case study demand'!W$10:W$27,'Case study demand'!$B$10:$B$27,$B31,'Case study demand'!$C$10:$C$27,$C31)</f>
        <v>103.1705</v>
      </c>
      <c r="Y31" s="171">
        <f>SUMIFS('Case study demand'!X$10:X$27,'Case study demand'!$B$10:$B$27,$B31,'Case study demand'!$C$10:$C$27,$C31)</f>
        <v>104.6897</v>
      </c>
    </row>
    <row r="32" spans="2:25" customFormat="1" ht="15.5">
      <c r="B32" s="2" t="str">
        <f>B31</f>
        <v>Campsie</v>
      </c>
      <c r="C32" s="2" t="str">
        <f t="shared" ref="C32:D32" si="9">C12</f>
        <v>High</v>
      </c>
      <c r="D32" s="35" t="str">
        <f t="shared" si="9"/>
        <v>MW</v>
      </c>
      <c r="E32" s="170">
        <f>SUMPRODUCT($F32:$Y32,'Financial inputs'!$G$28:$Z$28)</f>
        <v>1510.2054409547029</v>
      </c>
      <c r="F32" s="171">
        <f>SUMIFS('Case study demand'!E$10:E$27,'Case study demand'!$B$10:$B$27,$B32,'Case study demand'!$C$10:$C$27,$C32)</f>
        <v>87.804019999999994</v>
      </c>
      <c r="G32" s="171">
        <f>SUMIFS('Case study demand'!F$10:F$27,'Case study demand'!$B$10:$B$27,$B32,'Case study demand'!$C$10:$C$27,$C32)</f>
        <v>88.855879999999999</v>
      </c>
      <c r="H32" s="171">
        <f>SUMIFS('Case study demand'!G$10:G$27,'Case study demand'!$B$10:$B$27,$B32,'Case study demand'!$C$10:$C$27,$C32)</f>
        <v>89.028310000000005</v>
      </c>
      <c r="I32" s="171">
        <f>SUMIFS('Case study demand'!H$10:H$27,'Case study demand'!$B$10:$B$27,$B32,'Case study demand'!$C$10:$C$27,$C32)</f>
        <v>90.721969999999999</v>
      </c>
      <c r="J32" s="171">
        <f>SUMIFS('Case study demand'!I$10:I$27,'Case study demand'!$B$10:$B$27,$B32,'Case study demand'!$C$10:$C$27,$C32)</f>
        <v>92.849080000000001</v>
      </c>
      <c r="K32" s="171">
        <f>SUMIFS('Case study demand'!J$10:J$27,'Case study demand'!$B$10:$B$27,$B32,'Case study demand'!$C$10:$C$27,$C32)</f>
        <v>94.979410000000001</v>
      </c>
      <c r="L32" s="171">
        <f>SUMIFS('Case study demand'!K$10:K$27,'Case study demand'!$B$10:$B$27,$B32,'Case study demand'!$C$10:$C$27,$C32)</f>
        <v>97.34648</v>
      </c>
      <c r="M32" s="171">
        <f>SUMIFS('Case study demand'!L$10:L$27,'Case study demand'!$B$10:$B$27,$B32,'Case study demand'!$C$10:$C$27,$C32)</f>
        <v>99.212760000000003</v>
      </c>
      <c r="N32" s="171">
        <f>SUMIFS('Case study demand'!M$10:M$27,'Case study demand'!$B$10:$B$27,$B32,'Case study demand'!$C$10:$C$27,$C32)</f>
        <v>100.7719</v>
      </c>
      <c r="O32" s="171">
        <f>SUMIFS('Case study demand'!N$10:N$27,'Case study demand'!$B$10:$B$27,$B32,'Case study demand'!$C$10:$C$27,$C32)</f>
        <v>102.1674</v>
      </c>
      <c r="P32" s="171">
        <f>SUMIFS('Case study demand'!O$10:O$27,'Case study demand'!$B$10:$B$27,$B32,'Case study demand'!$C$10:$C$27,$C32)</f>
        <v>103.26949999999999</v>
      </c>
      <c r="Q32" s="171">
        <f>SUMIFS('Case study demand'!P$10:P$27,'Case study demand'!$B$10:$B$27,$B32,'Case study demand'!$C$10:$C$27,$C32)</f>
        <v>104.0492</v>
      </c>
      <c r="R32" s="171">
        <f>SUMIFS('Case study demand'!Q$10:Q$27,'Case study demand'!$B$10:$B$27,$B32,'Case study demand'!$C$10:$C$27,$C32)</f>
        <v>105.4905</v>
      </c>
      <c r="S32" s="171">
        <f>SUMIFS('Case study demand'!R$10:R$27,'Case study demand'!$B$10:$B$27,$B32,'Case study demand'!$C$10:$C$27,$C32)</f>
        <v>106.9708</v>
      </c>
      <c r="T32" s="171">
        <f>SUMIFS('Case study demand'!S$10:S$27,'Case study demand'!$B$10:$B$27,$B32,'Case study demand'!$C$10:$C$27,$C32)</f>
        <v>108.3989</v>
      </c>
      <c r="U32" s="171">
        <f>SUMIFS('Case study demand'!T$10:T$27,'Case study demand'!$B$10:$B$27,$B32,'Case study demand'!$C$10:$C$27,$C32)</f>
        <v>109.8073</v>
      </c>
      <c r="V32" s="171">
        <f>SUMIFS('Case study demand'!U$10:U$27,'Case study demand'!$B$10:$B$27,$B32,'Case study demand'!$C$10:$C$27,$C32)</f>
        <v>111.17959999999999</v>
      </c>
      <c r="W32" s="171">
        <f>SUMIFS('Case study demand'!V$10:V$27,'Case study demand'!$B$10:$B$27,$B32,'Case study demand'!$C$10:$C$27,$C32)</f>
        <v>112.6103</v>
      </c>
      <c r="X32" s="171">
        <f>SUMIFS('Case study demand'!W$10:W$27,'Case study demand'!$B$10:$B$27,$B32,'Case study demand'!$C$10:$C$27,$C32)</f>
        <v>114.0185</v>
      </c>
      <c r="Y32" s="171">
        <f>SUMIFS('Case study demand'!X$10:X$27,'Case study demand'!$B$10:$B$27,$B32,'Case study demand'!$C$10:$C$27,$C32)</f>
        <v>115.5378</v>
      </c>
    </row>
    <row r="33" spans="2:25" customFormat="1" ht="15.5"/>
    <row r="34" spans="2:25" ht="15.5">
      <c r="B34" s="5" t="str">
        <f>B14</f>
        <v>Expenditure</v>
      </c>
      <c r="C34" s="39"/>
      <c r="D34" s="39"/>
      <c r="E34" s="39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2:25">
      <c r="C35" s="19"/>
      <c r="D35" s="19"/>
      <c r="E35" s="19"/>
    </row>
    <row r="36" spans="2:25" ht="15.5">
      <c r="B36" s="2" t="str">
        <f>B16</f>
        <v>Units: $2024 real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>
      <c r="C37" s="19"/>
      <c r="D37" s="19"/>
      <c r="E37" s="19"/>
      <c r="K37" s="173"/>
    </row>
    <row r="38" spans="2:25" ht="15.5">
      <c r="B38" s="14" t="str">
        <f t="shared" ref="B38:Y38" si="10">B18</f>
        <v>Location</v>
      </c>
      <c r="C38" s="18" t="str">
        <f t="shared" si="10"/>
        <v>Scenario</v>
      </c>
      <c r="D38" s="18" t="str">
        <f t="shared" si="10"/>
        <v>Units</v>
      </c>
      <c r="E38" s="18" t="str">
        <f t="shared" si="10"/>
        <v>Present value</v>
      </c>
      <c r="F38" s="165">
        <f t="shared" si="10"/>
        <v>2025</v>
      </c>
      <c r="G38" s="165">
        <f t="shared" si="10"/>
        <v>2026</v>
      </c>
      <c r="H38" s="165">
        <f t="shared" si="10"/>
        <v>2027</v>
      </c>
      <c r="I38" s="165">
        <f t="shared" si="10"/>
        <v>2028</v>
      </c>
      <c r="J38" s="165">
        <f t="shared" si="10"/>
        <v>2029</v>
      </c>
      <c r="K38" s="165">
        <f t="shared" si="10"/>
        <v>2030</v>
      </c>
      <c r="L38" s="165">
        <f t="shared" si="10"/>
        <v>2031</v>
      </c>
      <c r="M38" s="165">
        <f t="shared" si="10"/>
        <v>2032</v>
      </c>
      <c r="N38" s="165">
        <f t="shared" si="10"/>
        <v>2033</v>
      </c>
      <c r="O38" s="165">
        <f t="shared" si="10"/>
        <v>2034</v>
      </c>
      <c r="P38" s="165">
        <f t="shared" si="10"/>
        <v>2035</v>
      </c>
      <c r="Q38" s="165">
        <f t="shared" si="10"/>
        <v>2036</v>
      </c>
      <c r="R38" s="165">
        <f t="shared" si="10"/>
        <v>2037</v>
      </c>
      <c r="S38" s="165">
        <f t="shared" si="10"/>
        <v>2038</v>
      </c>
      <c r="T38" s="165">
        <f t="shared" si="10"/>
        <v>2039</v>
      </c>
      <c r="U38" s="165">
        <f t="shared" si="10"/>
        <v>2040</v>
      </c>
      <c r="V38" s="165">
        <f t="shared" si="10"/>
        <v>2041</v>
      </c>
      <c r="W38" s="165">
        <f t="shared" si="10"/>
        <v>2042</v>
      </c>
      <c r="X38" s="165">
        <f t="shared" si="10"/>
        <v>2043</v>
      </c>
      <c r="Y38" s="165">
        <f t="shared" si="10"/>
        <v>2044</v>
      </c>
    </row>
    <row r="39" spans="2:25" ht="15.5">
      <c r="B39" s="2" t="str">
        <f>B30</f>
        <v>Campsie</v>
      </c>
      <c r="C39" s="2" t="str">
        <f t="shared" ref="C39:D39" si="11">C19</f>
        <v>Low</v>
      </c>
      <c r="D39" s="35" t="str">
        <f t="shared" si="11"/>
        <v>$2024 real</v>
      </c>
      <c r="E39" s="174">
        <f>SUMPRODUCT($F39:$Y39,'Financial inputs'!$G$28:$Z$28)</f>
        <v>26953223.08451543</v>
      </c>
      <c r="F39" s="172">
        <f>IF(F$38=SUMIFS('Case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G39" s="172">
        <f>IF(G$38=SUMIFS('Case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H39" s="172">
        <f>IF(H$38=SUMIFS('Case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I39" s="172">
        <f>IF(I$38=SUMIFS('Case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J39" s="172">
        <f>IF(J$38=SUMIFS('Case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K39" s="172">
        <f>IF(K$38=SUMIFS('Case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L39" s="172">
        <f>IF(L$38=SUMIFS('Case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M39" s="172">
        <f>IF(M$38=SUMIFS('Case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N39" s="172">
        <f>IF(N$38=SUMIFS('Case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O39" s="172">
        <f>IF(O$38=SUMIFS('Case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P39" s="172">
        <f>IF(P$38=SUMIFS('Case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Q39" s="172">
        <f>IF(Q$38=SUMIFS('Case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R39" s="172">
        <f>IF(R$38=SUMIFS('Case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39333905.798440851</v>
      </c>
      <c r="S39" s="172">
        <f>IF(S$38=SUMIFS('Case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T39" s="172">
        <f>IF(T$38=SUMIFS('Case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U39" s="172">
        <f>IF(U$38=SUMIFS('Case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V39" s="172">
        <f>IF(V$38=SUMIFS('Case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W39" s="172">
        <f>IF(W$38=SUMIFS('Case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X39" s="172">
        <f>IF(X$38=SUMIFS('Case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  <c r="Y39" s="172">
        <f>IF(Y$38=SUMIFS('Case study expenditure'!$E$10:$E$27,'Case study expenditure'!$B$10:$B$27,$B39,'Case study expenditure'!$C$10:$C$27,$C39),SUMIFS('Case study expenditure'!$F$10:$F$27,'Case study expenditure'!$B$10:$B$27,$B39,'Case study expenditure'!$C$10:$C$27,$C39),0)*'Financial inputs'!$D$13</f>
        <v>0</v>
      </c>
    </row>
    <row r="40" spans="2:25" ht="15.5">
      <c r="B40" s="2" t="str">
        <f t="shared" ref="B40" si="12">B31</f>
        <v>Campsie</v>
      </c>
      <c r="C40" s="2" t="str">
        <f t="shared" ref="C40:D40" si="13">C20</f>
        <v>Base</v>
      </c>
      <c r="D40" s="35" t="str">
        <f t="shared" si="13"/>
        <v>$2024 real</v>
      </c>
      <c r="E40" s="174">
        <f>SUMPRODUCT($F40:$Y40,'Financial inputs'!$G$28:$Z$28)</f>
        <v>30572397.317323647</v>
      </c>
      <c r="F40" s="172">
        <f>IF(F$38=SUMIFS('Case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G40" s="172">
        <f>IF(G$38=SUMIFS('Case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H40" s="172">
        <f>IF(H$38=SUMIFS('Case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I40" s="172">
        <f>IF(I$38=SUMIFS('Case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J40" s="172">
        <f>IF(J$38=SUMIFS('Case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K40" s="172">
        <f>IF(K$38=SUMIFS('Case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L40" s="172">
        <f>IF(L$38=SUMIFS('Case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M40" s="172">
        <f>IF(M$38=SUMIFS('Case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N40" s="172">
        <f>IF(N$38=SUMIFS('Case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39333905.798440851</v>
      </c>
      <c r="O40" s="172">
        <f>IF(O$38=SUMIFS('Case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P40" s="172">
        <f>IF(P$38=SUMIFS('Case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Q40" s="172">
        <f>IF(Q$38=SUMIFS('Case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R40" s="172">
        <f>IF(R$38=SUMIFS('Case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S40" s="172">
        <f>IF(S$38=SUMIFS('Case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T40" s="172">
        <f>IF(T$38=SUMIFS('Case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U40" s="172">
        <f>IF(U$38=SUMIFS('Case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V40" s="172">
        <f>IF(V$38=SUMIFS('Case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W40" s="172">
        <f>IF(W$38=SUMIFS('Case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X40" s="172">
        <f>IF(X$38=SUMIFS('Case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  <c r="Y40" s="172">
        <f>IF(Y$38=SUMIFS('Case study expenditure'!$E$10:$E$27,'Case study expenditure'!$B$10:$B$27,$B40,'Case study expenditure'!$C$10:$C$27,$C40),SUMIFS('Case study expenditure'!$F$10:$F$27,'Case study expenditure'!$B$10:$B$27,$B40,'Case study expenditure'!$C$10:$C$27,$C40),0)*'Financial inputs'!$D$13</f>
        <v>0</v>
      </c>
    </row>
    <row r="41" spans="2:25" ht="15.5">
      <c r="B41" s="2" t="str">
        <f t="shared" ref="B41" si="14">B32</f>
        <v>Campsie</v>
      </c>
      <c r="C41" s="2" t="str">
        <f t="shared" ref="C41:D41" si="15">C21</f>
        <v>High</v>
      </c>
      <c r="D41" s="35" t="str">
        <f t="shared" si="15"/>
        <v>$2024 real</v>
      </c>
      <c r="E41" s="174">
        <f>SUMPRODUCT($F41:$Y41,'Financial inputs'!$G$28:$Z$28)</f>
        <v>34677540.225801975</v>
      </c>
      <c r="F41" s="172">
        <f>IF(F$38=SUMIFS('Case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G41" s="172">
        <f>IF(G$38=SUMIFS('Case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H41" s="172">
        <f>IF(H$38=SUMIFS('Case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I41" s="172">
        <f>IF(I$38=SUMIFS('Case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J41" s="172">
        <f>IF(J$38=SUMIFS('Case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39333905.798440851</v>
      </c>
      <c r="K41" s="172">
        <f>IF(K$38=SUMIFS('Case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L41" s="172">
        <f>IF(L$38=SUMIFS('Case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M41" s="172">
        <f>IF(M$38=SUMIFS('Case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N41" s="172">
        <f>IF(N$38=SUMIFS('Case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O41" s="172">
        <f>IF(O$38=SUMIFS('Case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P41" s="172">
        <f>IF(P$38=SUMIFS('Case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Q41" s="172">
        <f>IF(Q$38=SUMIFS('Case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R41" s="172">
        <f>IF(R$38=SUMIFS('Case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S41" s="172">
        <f>IF(S$38=SUMIFS('Case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T41" s="172">
        <f>IF(T$38=SUMIFS('Case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U41" s="172">
        <f>IF(U$38=SUMIFS('Case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V41" s="172">
        <f>IF(V$38=SUMIFS('Case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W41" s="172">
        <f>IF(W$38=SUMIFS('Case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X41" s="172">
        <f>IF(X$38=SUMIFS('Case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  <c r="Y41" s="172">
        <f>IF(Y$38=SUMIFS('Case study expenditure'!$E$10:$E$27,'Case study expenditure'!$B$10:$B$27,$B41,'Case study expenditure'!$C$10:$C$27,$C41),SUMIFS('Case study expenditure'!$F$10:$F$27,'Case study expenditure'!$B$10:$B$27,$B41,'Case study expenditure'!$C$10:$C$27,$C41),0)*'Financial inputs'!$D$13</f>
        <v>0</v>
      </c>
    </row>
    <row r="43" spans="2:25" ht="21">
      <c r="B43" s="6" t="str" cm="1">
        <f t="array" ref="B43">INDEX(_xlfn._xlws.SORT(_xlfn.UNIQUE('Case study demand'!$B$10:$B$27)),3)</f>
        <v>Leightonfield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5" spans="2:25" ht="15.5">
      <c r="B45" s="5" t="str">
        <f>B25</f>
        <v>Demand</v>
      </c>
      <c r="C45" s="39"/>
      <c r="D45" s="39"/>
      <c r="E45" s="39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2:25">
      <c r="C46" s="19"/>
      <c r="D46" s="19"/>
      <c r="E46" s="19"/>
    </row>
    <row r="47" spans="2:25" ht="15.5">
      <c r="B47" s="2" t="str">
        <f>B27</f>
        <v>Units: MW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>
      <c r="C48" s="19"/>
      <c r="D48" s="19"/>
      <c r="E48" s="19"/>
    </row>
    <row r="49" spans="2:25" ht="15.5">
      <c r="B49" s="14" t="str">
        <f t="shared" ref="B49:Y49" si="16">B29</f>
        <v>Location</v>
      </c>
      <c r="C49" s="18" t="str">
        <f t="shared" si="16"/>
        <v>Scenario</v>
      </c>
      <c r="D49" s="18" t="str">
        <f t="shared" si="16"/>
        <v>Units</v>
      </c>
      <c r="E49" s="18" t="str">
        <f t="shared" si="16"/>
        <v>Present value</v>
      </c>
      <c r="F49" s="165">
        <f t="shared" si="16"/>
        <v>2025</v>
      </c>
      <c r="G49" s="165">
        <f t="shared" si="16"/>
        <v>2026</v>
      </c>
      <c r="H49" s="165">
        <f t="shared" si="16"/>
        <v>2027</v>
      </c>
      <c r="I49" s="165">
        <f t="shared" si="16"/>
        <v>2028</v>
      </c>
      <c r="J49" s="165">
        <f t="shared" si="16"/>
        <v>2029</v>
      </c>
      <c r="K49" s="165">
        <f t="shared" si="16"/>
        <v>2030</v>
      </c>
      <c r="L49" s="165">
        <f t="shared" si="16"/>
        <v>2031</v>
      </c>
      <c r="M49" s="165">
        <f t="shared" si="16"/>
        <v>2032</v>
      </c>
      <c r="N49" s="165">
        <f t="shared" si="16"/>
        <v>2033</v>
      </c>
      <c r="O49" s="165">
        <f t="shared" si="16"/>
        <v>2034</v>
      </c>
      <c r="P49" s="165">
        <f t="shared" si="16"/>
        <v>2035</v>
      </c>
      <c r="Q49" s="165">
        <f t="shared" si="16"/>
        <v>2036</v>
      </c>
      <c r="R49" s="165">
        <f t="shared" si="16"/>
        <v>2037</v>
      </c>
      <c r="S49" s="165">
        <f t="shared" si="16"/>
        <v>2038</v>
      </c>
      <c r="T49" s="165">
        <f t="shared" si="16"/>
        <v>2039</v>
      </c>
      <c r="U49" s="165">
        <f t="shared" si="16"/>
        <v>2040</v>
      </c>
      <c r="V49" s="165">
        <f t="shared" si="16"/>
        <v>2041</v>
      </c>
      <c r="W49" s="165">
        <f t="shared" si="16"/>
        <v>2042</v>
      </c>
      <c r="X49" s="165">
        <f t="shared" si="16"/>
        <v>2043</v>
      </c>
      <c r="Y49" s="165">
        <f t="shared" si="16"/>
        <v>2044</v>
      </c>
    </row>
    <row r="50" spans="2:25" ht="15.5">
      <c r="B50" s="2" t="str">
        <f>B43</f>
        <v>Leightonfield</v>
      </c>
      <c r="C50" s="2" t="str">
        <f t="shared" ref="C50:D50" si="17">C30</f>
        <v>Low</v>
      </c>
      <c r="D50" s="35" t="str">
        <f t="shared" si="17"/>
        <v>MW</v>
      </c>
      <c r="E50" s="170">
        <f>SUMPRODUCT($F50:$Y50,'Financial inputs'!$G$28:$Z$28)</f>
        <v>351.88444015313752</v>
      </c>
      <c r="F50" s="171">
        <f>SUMIFS('Case study demand'!E$10:E$27,'Case study demand'!$B$10:$B$27,$B50,'Case study demand'!$C$10:$C$27,$C50)</f>
        <v>21.107569999999999</v>
      </c>
      <c r="G50" s="171">
        <f>SUMIFS('Case study demand'!F$10:F$27,'Case study demand'!$B$10:$B$27,$B50,'Case study demand'!$C$10:$C$27,$C50)</f>
        <v>20.654589999999999</v>
      </c>
      <c r="H50" s="171">
        <f>SUMIFS('Case study demand'!G$10:G$27,'Case study demand'!$B$10:$B$27,$B50,'Case study demand'!$C$10:$C$27,$C50)</f>
        <v>20.4176</v>
      </c>
      <c r="I50" s="171">
        <f>SUMIFS('Case study demand'!H$10:H$27,'Case study demand'!$B$10:$B$27,$B50,'Case study demand'!$C$10:$C$27,$C50)</f>
        <v>20.655370000000001</v>
      </c>
      <c r="J50" s="171">
        <f>SUMIFS('Case study demand'!I$10:I$27,'Case study demand'!$B$10:$B$27,$B50,'Case study demand'!$C$10:$C$27,$C50)</f>
        <v>21.05273</v>
      </c>
      <c r="K50" s="171">
        <f>SUMIFS('Case study demand'!J$10:J$27,'Case study demand'!$B$10:$B$27,$B50,'Case study demand'!$C$10:$C$27,$C50)</f>
        <v>21.88965</v>
      </c>
      <c r="L50" s="171">
        <f>SUMIFS('Case study demand'!K$10:K$27,'Case study demand'!$B$10:$B$27,$B50,'Case study demand'!$C$10:$C$27,$C50)</f>
        <v>22.65898</v>
      </c>
      <c r="M50" s="171">
        <f>SUMIFS('Case study demand'!L$10:L$27,'Case study demand'!$B$10:$B$27,$B50,'Case study demand'!$C$10:$C$27,$C50)</f>
        <v>23.26538</v>
      </c>
      <c r="N50" s="171">
        <f>SUMIFS('Case study demand'!M$10:M$27,'Case study demand'!$B$10:$B$27,$B50,'Case study demand'!$C$10:$C$27,$C50)</f>
        <v>23.753689999999999</v>
      </c>
      <c r="O50" s="171">
        <f>SUMIFS('Case study demand'!N$10:N$27,'Case study demand'!$B$10:$B$27,$B50,'Case study demand'!$C$10:$C$27,$C50)</f>
        <v>24.167490000000001</v>
      </c>
      <c r="P50" s="171">
        <f>SUMIFS('Case study demand'!O$10:O$27,'Case study demand'!$B$10:$B$27,$B50,'Case study demand'!$C$10:$C$27,$C50)</f>
        <v>24.458349999999999</v>
      </c>
      <c r="Q50" s="171">
        <f>SUMIFS('Case study demand'!P$10:P$27,'Case study demand'!$B$10:$B$27,$B50,'Case study demand'!$C$10:$C$27,$C50)</f>
        <v>24.63175</v>
      </c>
      <c r="R50" s="171">
        <f>SUMIFS('Case study demand'!Q$10:Q$27,'Case study demand'!$B$10:$B$27,$B50,'Case study demand'!$C$10:$C$27,$C50)</f>
        <v>24.947839999999999</v>
      </c>
      <c r="S50" s="171">
        <f>SUMIFS('Case study demand'!R$10:R$27,'Case study demand'!$B$10:$B$27,$B50,'Case study demand'!$C$10:$C$27,$C50)</f>
        <v>25.24653</v>
      </c>
      <c r="T50" s="171">
        <f>SUMIFS('Case study demand'!S$10:S$27,'Case study demand'!$B$10:$B$27,$B50,'Case study demand'!$C$10:$C$27,$C50)</f>
        <v>25.51979</v>
      </c>
      <c r="U50" s="171">
        <f>SUMIFS('Case study demand'!T$10:T$27,'Case study demand'!$B$10:$B$27,$B50,'Case study demand'!$C$10:$C$27,$C50)</f>
        <v>25.720050000000001</v>
      </c>
      <c r="V50" s="171">
        <f>SUMIFS('Case study demand'!U$10:U$27,'Case study demand'!$B$10:$B$27,$B50,'Case study demand'!$C$10:$C$27,$C50)</f>
        <v>25.873329999999999</v>
      </c>
      <c r="W50" s="171">
        <f>SUMIFS('Case study demand'!V$10:V$27,'Case study demand'!$B$10:$B$27,$B50,'Case study demand'!$C$10:$C$27,$C50)</f>
        <v>25.95861</v>
      </c>
      <c r="X50" s="171">
        <f>SUMIFS('Case study demand'!W$10:W$27,'Case study demand'!$B$10:$B$27,$B50,'Case study demand'!$C$10:$C$27,$C50)</f>
        <v>26.00826</v>
      </c>
      <c r="Y50" s="171">
        <f>SUMIFS('Case study demand'!X$10:X$27,'Case study demand'!$B$10:$B$27,$B50,'Case study demand'!$C$10:$C$27,$C50)</f>
        <v>26.00506</v>
      </c>
    </row>
    <row r="51" spans="2:25" ht="15.5">
      <c r="B51" s="2" t="str">
        <f>B50</f>
        <v>Leightonfield</v>
      </c>
      <c r="C51" s="2" t="str">
        <f t="shared" ref="C51:D51" si="18">C31</f>
        <v>Base</v>
      </c>
      <c r="D51" s="35" t="str">
        <f t="shared" si="18"/>
        <v>MW</v>
      </c>
      <c r="E51" s="170">
        <f>SUMPRODUCT($F51:$Y51,'Financial inputs'!$G$28:$Z$28)</f>
        <v>369.07277038754262</v>
      </c>
      <c r="F51" s="171">
        <f>SUMIFS('Case study demand'!E$10:E$27,'Case study demand'!$B$10:$B$27,$B51,'Case study demand'!$C$10:$C$27,$C51)</f>
        <v>22.769680000000001</v>
      </c>
      <c r="G51" s="171">
        <f>SUMIFS('Case study demand'!F$10:F$27,'Case study demand'!$B$10:$B$27,$B51,'Case study demand'!$C$10:$C$27,$C51)</f>
        <v>22.31061</v>
      </c>
      <c r="H51" s="171">
        <f>SUMIFS('Case study demand'!G$10:G$27,'Case study demand'!$B$10:$B$27,$B51,'Case study demand'!$C$10:$C$27,$C51)</f>
        <v>22.073609999999999</v>
      </c>
      <c r="I51" s="171">
        <f>SUMIFS('Case study demand'!H$10:H$27,'Case study demand'!$B$10:$B$27,$B51,'Case study demand'!$C$10:$C$27,$C51)</f>
        <v>22.311389999999999</v>
      </c>
      <c r="J51" s="171">
        <f>SUMIFS('Case study demand'!I$10:I$27,'Case study demand'!$B$10:$B$27,$B51,'Case study demand'!$C$10:$C$27,$C51)</f>
        <v>22.683700000000002</v>
      </c>
      <c r="K51" s="171">
        <f>SUMIFS('Case study demand'!J$10:J$27,'Case study demand'!$B$10:$B$27,$B51,'Case study demand'!$C$10:$C$27,$C51)</f>
        <v>23.24878</v>
      </c>
      <c r="L51" s="171">
        <f>SUMIFS('Case study demand'!K$10:K$27,'Case study demand'!$B$10:$B$27,$B51,'Case study demand'!$C$10:$C$27,$C51)</f>
        <v>23.827960000000001</v>
      </c>
      <c r="M51" s="171">
        <f>SUMIFS('Case study demand'!L$10:L$27,'Case study demand'!$B$10:$B$27,$B51,'Case study demand'!$C$10:$C$27,$C51)</f>
        <v>24.295069999999999</v>
      </c>
      <c r="N51" s="171">
        <f>SUMIFS('Case study demand'!M$10:M$27,'Case study demand'!$B$10:$B$27,$B51,'Case study demand'!$C$10:$C$27,$C51)</f>
        <v>24.661429999999999</v>
      </c>
      <c r="O51" s="171">
        <f>SUMIFS('Case study demand'!N$10:N$27,'Case study demand'!$B$10:$B$27,$B51,'Case study demand'!$C$10:$C$27,$C51)</f>
        <v>24.725529999999999</v>
      </c>
      <c r="P51" s="171">
        <f>SUMIFS('Case study demand'!O$10:O$27,'Case study demand'!$B$10:$B$27,$B51,'Case study demand'!$C$10:$C$27,$C51)</f>
        <v>25.012630000000001</v>
      </c>
      <c r="Q51" s="171">
        <f>SUMIFS('Case study demand'!P$10:P$27,'Case study demand'!$B$10:$B$27,$B51,'Case study demand'!$C$10:$C$27,$C51)</f>
        <v>25.22607</v>
      </c>
      <c r="R51" s="171">
        <f>SUMIFS('Case study demand'!Q$10:Q$27,'Case study demand'!$B$10:$B$27,$B51,'Case study demand'!$C$10:$C$27,$C51)</f>
        <v>25.574280000000002</v>
      </c>
      <c r="S51" s="171">
        <f>SUMIFS('Case study demand'!R$10:R$27,'Case study demand'!$B$10:$B$27,$B51,'Case study demand'!$C$10:$C$27,$C51)</f>
        <v>25.921250000000001</v>
      </c>
      <c r="T51" s="171">
        <f>SUMIFS('Case study demand'!S$10:S$27,'Case study demand'!$B$10:$B$27,$B51,'Case study demand'!$C$10:$C$27,$C51)</f>
        <v>26.246189999999999</v>
      </c>
      <c r="U51" s="171">
        <f>SUMIFS('Case study demand'!T$10:T$27,'Case study demand'!$B$10:$B$27,$B51,'Case study demand'!$C$10:$C$27,$C51)</f>
        <v>26.472049999999999</v>
      </c>
      <c r="V51" s="171">
        <f>SUMIFS('Case study demand'!U$10:U$27,'Case study demand'!$B$10:$B$27,$B51,'Case study demand'!$C$10:$C$27,$C51)</f>
        <v>26.752099999999999</v>
      </c>
      <c r="W51" s="171">
        <f>SUMIFS('Case study demand'!V$10:V$27,'Case study demand'!$B$10:$B$27,$B51,'Case study demand'!$C$10:$C$27,$C51)</f>
        <v>27.00084</v>
      </c>
      <c r="X51" s="171">
        <f>SUMIFS('Case study demand'!W$10:W$27,'Case study demand'!$B$10:$B$27,$B51,'Case study demand'!$C$10:$C$27,$C51)</f>
        <v>27.269210000000001</v>
      </c>
      <c r="Y51" s="171">
        <f>SUMIFS('Case study demand'!X$10:X$27,'Case study demand'!$B$10:$B$27,$B51,'Case study demand'!$C$10:$C$27,$C51)</f>
        <v>27.546029999999998</v>
      </c>
    </row>
    <row r="52" spans="2:25" ht="15.5">
      <c r="B52" s="2" t="str">
        <f>B51</f>
        <v>Leightonfield</v>
      </c>
      <c r="C52" s="2" t="str">
        <f t="shared" ref="C52:D52" si="19">C32</f>
        <v>High</v>
      </c>
      <c r="D52" s="35" t="str">
        <f t="shared" si="19"/>
        <v>MW</v>
      </c>
      <c r="E52" s="170">
        <f>SUMPRODUCT($F52:$Y52,'Financial inputs'!$G$28:$Z$28)</f>
        <v>399.01654057420882</v>
      </c>
      <c r="F52" s="171">
        <f>SUMIFS('Case study demand'!E$10:E$27,'Case study demand'!$B$10:$B$27,$B52,'Case study demand'!$C$10:$C$27,$C52)</f>
        <v>24.764220000000002</v>
      </c>
      <c r="G52" s="171">
        <f>SUMIFS('Case study demand'!F$10:F$27,'Case study demand'!$B$10:$B$27,$B52,'Case study demand'!$C$10:$C$27,$C52)</f>
        <v>24.297820000000002</v>
      </c>
      <c r="H52" s="171">
        <f>SUMIFS('Case study demand'!G$10:G$27,'Case study demand'!$B$10:$B$27,$B52,'Case study demand'!$C$10:$C$27,$C52)</f>
        <v>24.060829999999999</v>
      </c>
      <c r="I52" s="171">
        <f>SUMIFS('Case study demand'!H$10:H$27,'Case study demand'!$B$10:$B$27,$B52,'Case study demand'!$C$10:$C$27,$C52)</f>
        <v>24.29861</v>
      </c>
      <c r="J52" s="171">
        <f>SUMIFS('Case study demand'!I$10:I$27,'Case study demand'!$B$10:$B$27,$B52,'Case study demand'!$C$10:$C$27,$C52)</f>
        <v>24.670919999999999</v>
      </c>
      <c r="K52" s="171">
        <f>SUMIFS('Case study demand'!J$10:J$27,'Case study demand'!$B$10:$B$27,$B52,'Case study demand'!$C$10:$C$27,$C52)</f>
        <v>25.236000000000001</v>
      </c>
      <c r="L52" s="171">
        <f>SUMIFS('Case study demand'!K$10:K$27,'Case study demand'!$B$10:$B$27,$B52,'Case study demand'!$C$10:$C$27,$C52)</f>
        <v>25.815180000000002</v>
      </c>
      <c r="M52" s="171">
        <f>SUMIFS('Case study demand'!L$10:L$27,'Case study demand'!$B$10:$B$27,$B52,'Case study demand'!$C$10:$C$27,$C52)</f>
        <v>26.28229</v>
      </c>
      <c r="N52" s="171">
        <f>SUMIFS('Case study demand'!M$10:M$27,'Case study demand'!$B$10:$B$27,$B52,'Case study demand'!$C$10:$C$27,$C52)</f>
        <v>26.64865</v>
      </c>
      <c r="O52" s="171">
        <f>SUMIFS('Case study demand'!N$10:N$27,'Case study demand'!$B$10:$B$27,$B52,'Case study demand'!$C$10:$C$27,$C52)</f>
        <v>26.71275</v>
      </c>
      <c r="P52" s="171">
        <f>SUMIFS('Case study demand'!O$10:O$27,'Case study demand'!$B$10:$B$27,$B52,'Case study demand'!$C$10:$C$27,$C52)</f>
        <v>26.975439999999999</v>
      </c>
      <c r="Q52" s="171">
        <f>SUMIFS('Case study demand'!P$10:P$27,'Case study demand'!$B$10:$B$27,$B52,'Case study demand'!$C$10:$C$27,$C52)</f>
        <v>27.213290000000001</v>
      </c>
      <c r="R52" s="171">
        <f>SUMIFS('Case study demand'!Q$10:Q$27,'Case study demand'!$B$10:$B$27,$B52,'Case study demand'!$C$10:$C$27,$C52)</f>
        <v>27.561499999999999</v>
      </c>
      <c r="S52" s="171">
        <f>SUMIFS('Case study demand'!R$10:R$27,'Case study demand'!$B$10:$B$27,$B52,'Case study demand'!$C$10:$C$27,$C52)</f>
        <v>27.908470000000001</v>
      </c>
      <c r="T52" s="171">
        <f>SUMIFS('Case study demand'!S$10:S$27,'Case study demand'!$B$10:$B$27,$B52,'Case study demand'!$C$10:$C$27,$C52)</f>
        <v>28.233409999999999</v>
      </c>
      <c r="U52" s="171">
        <f>SUMIFS('Case study demand'!T$10:T$27,'Case study demand'!$B$10:$B$27,$B52,'Case study demand'!$C$10:$C$27,$C52)</f>
        <v>28.45927</v>
      </c>
      <c r="V52" s="171">
        <f>SUMIFS('Case study demand'!U$10:U$27,'Case study demand'!$B$10:$B$27,$B52,'Case study demand'!$C$10:$C$27,$C52)</f>
        <v>28.739319999999999</v>
      </c>
      <c r="W52" s="171">
        <f>SUMIFS('Case study demand'!V$10:V$27,'Case study demand'!$B$10:$B$27,$B52,'Case study demand'!$C$10:$C$27,$C52)</f>
        <v>28.988060000000001</v>
      </c>
      <c r="X52" s="171">
        <f>SUMIFS('Case study demand'!W$10:W$27,'Case study demand'!$B$10:$B$27,$B52,'Case study demand'!$C$10:$C$27,$C52)</f>
        <v>29.256430000000002</v>
      </c>
      <c r="Y52" s="171">
        <f>SUMIFS('Case study demand'!X$10:X$27,'Case study demand'!$B$10:$B$27,$B52,'Case study demand'!$C$10:$C$27,$C52)</f>
        <v>29.533249999999999</v>
      </c>
    </row>
    <row r="53" spans="2:25" ht="15.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2:25" ht="15.5">
      <c r="B54" s="5" t="str">
        <f>B34</f>
        <v>Expenditure</v>
      </c>
      <c r="C54" s="39"/>
      <c r="D54" s="39"/>
      <c r="E54" s="39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2:25">
      <c r="C55" s="19"/>
      <c r="D55" s="19"/>
      <c r="E55" s="19"/>
    </row>
    <row r="56" spans="2:25" ht="15.5">
      <c r="B56" s="2" t="str">
        <f>B36</f>
        <v>Units: $2024 real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2:25">
      <c r="C57" s="19"/>
      <c r="D57" s="19"/>
      <c r="E57" s="19"/>
      <c r="K57" s="173"/>
    </row>
    <row r="58" spans="2:25" ht="15.5">
      <c r="B58" s="14" t="str">
        <f t="shared" ref="B58:Y58" si="20">B38</f>
        <v>Location</v>
      </c>
      <c r="C58" s="18" t="str">
        <f t="shared" si="20"/>
        <v>Scenario</v>
      </c>
      <c r="D58" s="18" t="str">
        <f t="shared" si="20"/>
        <v>Units</v>
      </c>
      <c r="E58" s="18" t="str">
        <f t="shared" si="20"/>
        <v>Present value</v>
      </c>
      <c r="F58" s="165">
        <f t="shared" si="20"/>
        <v>2025</v>
      </c>
      <c r="G58" s="165">
        <f t="shared" si="20"/>
        <v>2026</v>
      </c>
      <c r="H58" s="165">
        <f t="shared" si="20"/>
        <v>2027</v>
      </c>
      <c r="I58" s="165">
        <f t="shared" si="20"/>
        <v>2028</v>
      </c>
      <c r="J58" s="165">
        <f t="shared" si="20"/>
        <v>2029</v>
      </c>
      <c r="K58" s="165">
        <f t="shared" si="20"/>
        <v>2030</v>
      </c>
      <c r="L58" s="165">
        <f t="shared" si="20"/>
        <v>2031</v>
      </c>
      <c r="M58" s="165">
        <f t="shared" si="20"/>
        <v>2032</v>
      </c>
      <c r="N58" s="165">
        <f t="shared" si="20"/>
        <v>2033</v>
      </c>
      <c r="O58" s="165">
        <f t="shared" si="20"/>
        <v>2034</v>
      </c>
      <c r="P58" s="165">
        <f t="shared" si="20"/>
        <v>2035</v>
      </c>
      <c r="Q58" s="165">
        <f t="shared" si="20"/>
        <v>2036</v>
      </c>
      <c r="R58" s="165">
        <f t="shared" si="20"/>
        <v>2037</v>
      </c>
      <c r="S58" s="165">
        <f t="shared" si="20"/>
        <v>2038</v>
      </c>
      <c r="T58" s="165">
        <f t="shared" si="20"/>
        <v>2039</v>
      </c>
      <c r="U58" s="165">
        <f t="shared" si="20"/>
        <v>2040</v>
      </c>
      <c r="V58" s="165">
        <f t="shared" si="20"/>
        <v>2041</v>
      </c>
      <c r="W58" s="165">
        <f t="shared" si="20"/>
        <v>2042</v>
      </c>
      <c r="X58" s="165">
        <f t="shared" si="20"/>
        <v>2043</v>
      </c>
      <c r="Y58" s="165">
        <f t="shared" si="20"/>
        <v>2044</v>
      </c>
    </row>
    <row r="59" spans="2:25" ht="15.5">
      <c r="B59" s="2" t="str">
        <f>B50</f>
        <v>Leightonfield</v>
      </c>
      <c r="C59" s="2" t="str">
        <f t="shared" ref="C59:D59" si="21">C39</f>
        <v>Low</v>
      </c>
      <c r="D59" s="35" t="str">
        <f t="shared" si="21"/>
        <v>$2024 real</v>
      </c>
      <c r="E59" s="174">
        <f>SUMPRODUCT($F59:$Y59,'Financial inputs'!$G$28:$Z$28)</f>
        <v>5342200.5828788159</v>
      </c>
      <c r="F59" s="172">
        <f>IF(F$58=SUMIFS('Case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G59" s="172">
        <f>IF(G$58=SUMIFS('Case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H59" s="172">
        <f>IF(H$58=SUMIFS('Case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I59" s="172">
        <f>IF(I$58=SUMIFS('Case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J59" s="172">
        <f>IF(J$58=SUMIFS('Case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K59" s="172">
        <f>IF(K$58=SUMIFS('Case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L59" s="172">
        <f>IF(L$58=SUMIFS('Case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M59" s="172">
        <f>IF(M$58=SUMIFS('Case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N59" s="172">
        <f>IF(N$58=SUMIFS('Case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O59" s="172">
        <f>IF(O$58=SUMIFS('Case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7093122.5934290411</v>
      </c>
      <c r="P59" s="172">
        <f>IF(P$58=SUMIFS('Case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Q59" s="172">
        <f>IF(Q$58=SUMIFS('Case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R59" s="172">
        <f>IF(R$58=SUMIFS('Case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S59" s="172">
        <f>IF(S$58=SUMIFS('Case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T59" s="172">
        <f>IF(T$58=SUMIFS('Case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U59" s="172">
        <f>IF(U$58=SUMIFS('Case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V59" s="172">
        <f>IF(V$58=SUMIFS('Case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W59" s="172">
        <f>IF(W$58=SUMIFS('Case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X59" s="172">
        <f>IF(X$58=SUMIFS('Case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  <c r="Y59" s="172">
        <f>IF(Y$58=SUMIFS('Case study expenditure'!$E$10:$E$27,'Case study expenditure'!$B$10:$B$27,$B59,'Case study expenditure'!$C$10:$C$27,$C59),SUMIFS('Case study expenditure'!$F$10:$F$27,'Case study expenditure'!$B$10:$B$27,$B59,'Case study expenditure'!$C$10:$C$27,$C59),0)*'Financial inputs'!$D$13</f>
        <v>0</v>
      </c>
    </row>
    <row r="60" spans="2:25" ht="15.5">
      <c r="B60" s="2" t="str">
        <f t="shared" ref="B60" si="22">B51</f>
        <v>Leightonfield</v>
      </c>
      <c r="C60" s="2" t="str">
        <f t="shared" ref="C60:D60" si="23">C40</f>
        <v>Base</v>
      </c>
      <c r="D60" s="35" t="str">
        <f t="shared" si="23"/>
        <v>$2024 real</v>
      </c>
      <c r="E60" s="174">
        <f>SUMPRODUCT($F60:$Y60,'Financial inputs'!$G$28:$Z$28)</f>
        <v>5513151.0015309388</v>
      </c>
      <c r="F60" s="172">
        <f>IF(F$58=SUMIFS('Case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G60" s="172">
        <f>IF(G$58=SUMIFS('Case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H60" s="172">
        <f>IF(H$58=SUMIFS('Case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I60" s="172">
        <f>IF(I$58=SUMIFS('Case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J60" s="172">
        <f>IF(J$58=SUMIFS('Case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K60" s="172">
        <f>IF(K$58=SUMIFS('Case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L60" s="172">
        <f>IF(L$58=SUMIFS('Case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M60" s="172">
        <f>IF(M$58=SUMIFS('Case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N60" s="172">
        <f>IF(N$58=SUMIFS('Case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7093122.5934290411</v>
      </c>
      <c r="O60" s="172">
        <f>IF(O$58=SUMIFS('Case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P60" s="172">
        <f>IF(P$58=SUMIFS('Case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Q60" s="172">
        <f>IF(Q$58=SUMIFS('Case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R60" s="172">
        <f>IF(R$58=SUMIFS('Case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S60" s="172">
        <f>IF(S$58=SUMIFS('Case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T60" s="172">
        <f>IF(T$58=SUMIFS('Case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U60" s="172">
        <f>IF(U$58=SUMIFS('Case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V60" s="172">
        <f>IF(V$58=SUMIFS('Case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W60" s="172">
        <f>IF(W$58=SUMIFS('Case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X60" s="172">
        <f>IF(X$58=SUMIFS('Case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  <c r="Y60" s="172">
        <f>IF(Y$58=SUMIFS('Case study expenditure'!$E$10:$E$27,'Case study expenditure'!$B$10:$B$27,$B60,'Case study expenditure'!$C$10:$C$27,$C60),SUMIFS('Case study expenditure'!$F$10:$F$27,'Case study expenditure'!$B$10:$B$27,$B60,'Case study expenditure'!$C$10:$C$27,$C60),0)*'Financial inputs'!$D$13</f>
        <v>0</v>
      </c>
    </row>
    <row r="61" spans="2:25" ht="15.5">
      <c r="B61" s="2" t="str">
        <f t="shared" ref="B61" si="24">B52</f>
        <v>Leightonfield</v>
      </c>
      <c r="C61" s="2" t="str">
        <f t="shared" ref="C61:D61" si="25">C41</f>
        <v>High</v>
      </c>
      <c r="D61" s="35" t="str">
        <f t="shared" si="25"/>
        <v>$2024 real</v>
      </c>
      <c r="E61" s="174">
        <f>SUMPRODUCT($F61:$Y61,'Financial inputs'!$G$28:$Z$28)</f>
        <v>5871638.132254486</v>
      </c>
      <c r="F61" s="172">
        <f>IF(F$58=SUMIFS('Case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G61" s="172">
        <f>IF(G$58=SUMIFS('Case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H61" s="172">
        <f>IF(H$58=SUMIFS('Case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I61" s="172">
        <f>IF(I$58=SUMIFS('Case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J61" s="172">
        <f>IF(J$58=SUMIFS('Case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K61" s="172">
        <f>IF(K$58=SUMIFS('Case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L61" s="172">
        <f>IF(L$58=SUMIFS('Case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7093122.5934290411</v>
      </c>
      <c r="M61" s="172">
        <f>IF(M$58=SUMIFS('Case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N61" s="172">
        <f>IF(N$58=SUMIFS('Case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O61" s="172">
        <f>IF(O$58=SUMIFS('Case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P61" s="172">
        <f>IF(P$58=SUMIFS('Case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Q61" s="172">
        <f>IF(Q$58=SUMIFS('Case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R61" s="172">
        <f>IF(R$58=SUMIFS('Case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S61" s="172">
        <f>IF(S$58=SUMIFS('Case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T61" s="172">
        <f>IF(T$58=SUMIFS('Case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U61" s="172">
        <f>IF(U$58=SUMIFS('Case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V61" s="172">
        <f>IF(V$58=SUMIFS('Case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W61" s="172">
        <f>IF(W$58=SUMIFS('Case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X61" s="172">
        <f>IF(X$58=SUMIFS('Case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  <c r="Y61" s="172">
        <f>IF(Y$58=SUMIFS('Case study expenditure'!$E$10:$E$27,'Case study expenditure'!$B$10:$B$27,$B61,'Case study expenditure'!$C$10:$C$27,$C61),SUMIFS('Case study expenditure'!$F$10:$F$27,'Case study expenditure'!$B$10:$B$27,$B61,'Case study expenditure'!$C$10:$C$27,$C61),0)*'Financial inputs'!$D$13</f>
        <v>0</v>
      </c>
    </row>
    <row r="63" spans="2:25" ht="21">
      <c r="B63" s="6" t="str" cm="1">
        <f t="array" ref="B63">INDEX(_xlfn._xlws.SORT(_xlfn.UNIQUE('Case study demand'!$B$10:$B$27)),4)</f>
        <v>Lidcombe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5" spans="2:25" ht="15.5">
      <c r="B65" s="5" t="str">
        <f>B45</f>
        <v>Demand</v>
      </c>
      <c r="C65" s="39"/>
      <c r="D65" s="39"/>
      <c r="E65" s="39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2:25">
      <c r="C66" s="19"/>
      <c r="D66" s="19"/>
      <c r="E66" s="19"/>
    </row>
    <row r="67" spans="2:25" ht="15.5">
      <c r="B67" s="2" t="str">
        <f>B47</f>
        <v>Units: MW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2:25">
      <c r="C68" s="19"/>
      <c r="D68" s="19"/>
      <c r="E68" s="19"/>
    </row>
    <row r="69" spans="2:25" ht="15.5">
      <c r="B69" s="14" t="str">
        <f t="shared" ref="B69:Y69" si="26">B49</f>
        <v>Location</v>
      </c>
      <c r="C69" s="18" t="str">
        <f t="shared" si="26"/>
        <v>Scenario</v>
      </c>
      <c r="D69" s="18" t="str">
        <f t="shared" si="26"/>
        <v>Units</v>
      </c>
      <c r="E69" s="18" t="str">
        <f t="shared" si="26"/>
        <v>Present value</v>
      </c>
      <c r="F69" s="165">
        <f t="shared" si="26"/>
        <v>2025</v>
      </c>
      <c r="G69" s="165">
        <f t="shared" si="26"/>
        <v>2026</v>
      </c>
      <c r="H69" s="165">
        <f t="shared" si="26"/>
        <v>2027</v>
      </c>
      <c r="I69" s="165">
        <f t="shared" si="26"/>
        <v>2028</v>
      </c>
      <c r="J69" s="165">
        <f t="shared" si="26"/>
        <v>2029</v>
      </c>
      <c r="K69" s="165">
        <f t="shared" si="26"/>
        <v>2030</v>
      </c>
      <c r="L69" s="165">
        <f t="shared" si="26"/>
        <v>2031</v>
      </c>
      <c r="M69" s="165">
        <f t="shared" si="26"/>
        <v>2032</v>
      </c>
      <c r="N69" s="165">
        <f t="shared" si="26"/>
        <v>2033</v>
      </c>
      <c r="O69" s="165">
        <f t="shared" si="26"/>
        <v>2034</v>
      </c>
      <c r="P69" s="165">
        <f t="shared" si="26"/>
        <v>2035</v>
      </c>
      <c r="Q69" s="165">
        <f t="shared" si="26"/>
        <v>2036</v>
      </c>
      <c r="R69" s="165">
        <f t="shared" si="26"/>
        <v>2037</v>
      </c>
      <c r="S69" s="165">
        <f t="shared" si="26"/>
        <v>2038</v>
      </c>
      <c r="T69" s="165">
        <f t="shared" si="26"/>
        <v>2039</v>
      </c>
      <c r="U69" s="165">
        <f t="shared" si="26"/>
        <v>2040</v>
      </c>
      <c r="V69" s="165">
        <f t="shared" si="26"/>
        <v>2041</v>
      </c>
      <c r="W69" s="165">
        <f t="shared" si="26"/>
        <v>2042</v>
      </c>
      <c r="X69" s="165">
        <f t="shared" si="26"/>
        <v>2043</v>
      </c>
      <c r="Y69" s="165">
        <f t="shared" si="26"/>
        <v>2044</v>
      </c>
    </row>
    <row r="70" spans="2:25" ht="15.5">
      <c r="B70" s="2" t="str">
        <f>B63</f>
        <v>Lidcombe</v>
      </c>
      <c r="C70" s="2" t="str">
        <f t="shared" ref="C70:D70" si="27">C50</f>
        <v>Low</v>
      </c>
      <c r="D70" s="35" t="str">
        <f t="shared" si="27"/>
        <v>MW</v>
      </c>
      <c r="E70" s="170">
        <f>SUMPRODUCT($F70:$Y70,'Financial inputs'!$G$28:$Z$28)</f>
        <v>339.2927329084182</v>
      </c>
      <c r="F70" s="171">
        <f>SUMIFS('Case study demand'!E$10:E$27,'Case study demand'!$B$10:$B$27,$B70,'Case study demand'!$C$10:$C$27,$C70)</f>
        <v>19.656649999999999</v>
      </c>
      <c r="G70" s="171">
        <f>SUMIFS('Case study demand'!F$10:F$27,'Case study demand'!$B$10:$B$27,$B70,'Case study demand'!$C$10:$C$27,$C70)</f>
        <v>20.198830000000001</v>
      </c>
      <c r="H70" s="171">
        <f>SUMIFS('Case study demand'!G$10:G$27,'Case study demand'!$B$10:$B$27,$B70,'Case study demand'!$C$10:$C$27,$C70)</f>
        <v>20.195450000000001</v>
      </c>
      <c r="I70" s="171">
        <f>SUMIFS('Case study demand'!H$10:H$27,'Case study demand'!$B$10:$B$27,$B70,'Case study demand'!$C$10:$C$27,$C70)</f>
        <v>20.54336</v>
      </c>
      <c r="J70" s="171">
        <f>SUMIFS('Case study demand'!I$10:I$27,'Case study demand'!$B$10:$B$27,$B70,'Case study demand'!$C$10:$C$27,$C70)</f>
        <v>20.96519</v>
      </c>
      <c r="K70" s="171">
        <f>SUMIFS('Case study demand'!J$10:J$27,'Case study demand'!$B$10:$B$27,$B70,'Case study demand'!$C$10:$C$27,$C70)</f>
        <v>21.342960000000001</v>
      </c>
      <c r="L70" s="171">
        <f>SUMIFS('Case study demand'!K$10:K$27,'Case study demand'!$B$10:$B$27,$B70,'Case study demand'!$C$10:$C$27,$C70)</f>
        <v>21.79635</v>
      </c>
      <c r="M70" s="171">
        <f>SUMIFS('Case study demand'!L$10:L$27,'Case study demand'!$B$10:$B$27,$B70,'Case study demand'!$C$10:$C$27,$C70)</f>
        <v>22.10726</v>
      </c>
      <c r="N70" s="171">
        <f>SUMIFS('Case study demand'!M$10:M$27,'Case study demand'!$B$10:$B$27,$B70,'Case study demand'!$C$10:$C$27,$C70)</f>
        <v>22.456410000000002</v>
      </c>
      <c r="O70" s="171">
        <f>SUMIFS('Case study demand'!N$10:N$27,'Case study demand'!$B$10:$B$27,$B70,'Case study demand'!$C$10:$C$27,$C70)</f>
        <v>22.755369999999999</v>
      </c>
      <c r="P70" s="171">
        <f>SUMIFS('Case study demand'!O$10:O$27,'Case study demand'!$B$10:$B$27,$B70,'Case study demand'!$C$10:$C$27,$C70)</f>
        <v>23.06259</v>
      </c>
      <c r="Q70" s="171">
        <f>SUMIFS('Case study demand'!P$10:P$27,'Case study demand'!$B$10:$B$27,$B70,'Case study demand'!$C$10:$C$27,$C70)</f>
        <v>23.318570000000001</v>
      </c>
      <c r="R70" s="171">
        <f>SUMIFS('Case study demand'!Q$10:Q$27,'Case study demand'!$B$10:$B$27,$B70,'Case study demand'!$C$10:$C$27,$C70)</f>
        <v>23.68357</v>
      </c>
      <c r="S70" s="171">
        <f>SUMIFS('Case study demand'!R$10:R$27,'Case study demand'!$B$10:$B$27,$B70,'Case study demand'!$C$10:$C$27,$C70)</f>
        <v>24.045300000000001</v>
      </c>
      <c r="T70" s="171">
        <f>SUMIFS('Case study demand'!S$10:S$27,'Case study demand'!$B$10:$B$27,$B70,'Case study demand'!$C$10:$C$27,$C70)</f>
        <v>24.386379999999999</v>
      </c>
      <c r="U70" s="171">
        <f>SUMIFS('Case study demand'!T$10:T$27,'Case study demand'!$B$10:$B$27,$B70,'Case study demand'!$C$10:$C$27,$C70)</f>
        <v>24.690770000000001</v>
      </c>
      <c r="V70" s="171">
        <f>SUMIFS('Case study demand'!U$10:U$27,'Case study demand'!$B$10:$B$27,$B70,'Case study demand'!$C$10:$C$27,$C70)</f>
        <v>25.00235</v>
      </c>
      <c r="W70" s="171">
        <f>SUMIFS('Case study demand'!V$10:V$27,'Case study demand'!$B$10:$B$27,$B70,'Case study demand'!$C$10:$C$27,$C70)</f>
        <v>25.32272</v>
      </c>
      <c r="X70" s="171">
        <f>SUMIFS('Case study demand'!W$10:W$27,'Case study demand'!$B$10:$B$27,$B70,'Case study demand'!$C$10:$C$27,$C70)</f>
        <v>25.630849999999999</v>
      </c>
      <c r="Y70" s="171">
        <f>SUMIFS('Case study demand'!X$10:X$27,'Case study demand'!$B$10:$B$27,$B70,'Case study demand'!$C$10:$C$27,$C70)</f>
        <v>25.941549999999999</v>
      </c>
    </row>
    <row r="71" spans="2:25" ht="15.5">
      <c r="B71" s="2" t="str">
        <f>B70</f>
        <v>Lidcombe</v>
      </c>
      <c r="C71" s="2" t="str">
        <f t="shared" ref="C71:D71" si="28">C51</f>
        <v>Base</v>
      </c>
      <c r="D71" s="35" t="str">
        <f t="shared" si="28"/>
        <v>MW</v>
      </c>
      <c r="E71" s="170">
        <f>SUMPRODUCT($F71:$Y71,'Financial inputs'!$G$28:$Z$28)</f>
        <v>361.78640184873097</v>
      </c>
      <c r="F71" s="171">
        <f>SUMIFS('Case study demand'!E$10:E$27,'Case study demand'!$B$10:$B$27,$B71,'Case study demand'!$C$10:$C$27,$C71)</f>
        <v>21.214929999999999</v>
      </c>
      <c r="G71" s="171">
        <f>SUMIFS('Case study demand'!F$10:F$27,'Case study demand'!$B$10:$B$27,$B71,'Case study demand'!$C$10:$C$27,$C71)</f>
        <v>21.74361</v>
      </c>
      <c r="H71" s="171">
        <f>SUMIFS('Case study demand'!G$10:G$27,'Case study demand'!$B$10:$B$27,$B71,'Case study demand'!$C$10:$C$27,$C71)</f>
        <v>21.608460000000001</v>
      </c>
      <c r="I71" s="171">
        <f>SUMIFS('Case study demand'!H$10:H$27,'Case study demand'!$B$10:$B$27,$B71,'Case study demand'!$C$10:$C$27,$C71)</f>
        <v>21.85669</v>
      </c>
      <c r="J71" s="171">
        <f>SUMIFS('Case study demand'!I$10:I$27,'Case study demand'!$B$10:$B$27,$B71,'Case study demand'!$C$10:$C$27,$C71)</f>
        <v>22.243279999999999</v>
      </c>
      <c r="K71" s="171">
        <f>SUMIFS('Case study demand'!J$10:J$27,'Case study demand'!$B$10:$B$27,$B71,'Case study demand'!$C$10:$C$27,$C71)</f>
        <v>22.719650000000001</v>
      </c>
      <c r="L71" s="171">
        <f>SUMIFS('Case study demand'!K$10:K$27,'Case study demand'!$B$10:$B$27,$B71,'Case study demand'!$C$10:$C$27,$C71)</f>
        <v>23.23001</v>
      </c>
      <c r="M71" s="171">
        <f>SUMIFS('Case study demand'!L$10:L$27,'Case study demand'!$B$10:$B$27,$B71,'Case study demand'!$C$10:$C$27,$C71)</f>
        <v>23.65204</v>
      </c>
      <c r="N71" s="171">
        <f>SUMIFS('Case study demand'!M$10:M$27,'Case study demand'!$B$10:$B$27,$B71,'Case study demand'!$C$10:$C$27,$C71)</f>
        <v>24.001190000000001</v>
      </c>
      <c r="O71" s="171">
        <f>SUMIFS('Case study demand'!N$10:N$27,'Case study demand'!$B$10:$B$27,$B71,'Case study demand'!$C$10:$C$27,$C71)</f>
        <v>24.300149999999999</v>
      </c>
      <c r="P71" s="171">
        <f>SUMIFS('Case study demand'!O$10:O$27,'Case study demand'!$B$10:$B$27,$B71,'Case study demand'!$C$10:$C$27,$C71)</f>
        <v>24.60737</v>
      </c>
      <c r="Q71" s="171">
        <f>SUMIFS('Case study demand'!P$10:P$27,'Case study demand'!$B$10:$B$27,$B71,'Case study demand'!$C$10:$C$27,$C71)</f>
        <v>24.863350000000001</v>
      </c>
      <c r="R71" s="171">
        <f>SUMIFS('Case study demand'!Q$10:Q$27,'Case study demand'!$B$10:$B$27,$B71,'Case study demand'!$C$10:$C$27,$C71)</f>
        <v>25.228349999999999</v>
      </c>
      <c r="S71" s="171">
        <f>SUMIFS('Case study demand'!R$10:R$27,'Case study demand'!$B$10:$B$27,$B71,'Case study demand'!$C$10:$C$27,$C71)</f>
        <v>25.59008</v>
      </c>
      <c r="T71" s="171">
        <f>SUMIFS('Case study demand'!S$10:S$27,'Case study demand'!$B$10:$B$27,$B71,'Case study demand'!$C$10:$C$27,$C71)</f>
        <v>25.931159999999998</v>
      </c>
      <c r="U71" s="171">
        <f>SUMIFS('Case study demand'!T$10:T$27,'Case study demand'!$B$10:$B$27,$B71,'Case study demand'!$C$10:$C$27,$C71)</f>
        <v>26.23555</v>
      </c>
      <c r="V71" s="171">
        <f>SUMIFS('Case study demand'!U$10:U$27,'Case study demand'!$B$10:$B$27,$B71,'Case study demand'!$C$10:$C$27,$C71)</f>
        <v>26.547129999999999</v>
      </c>
      <c r="W71" s="171">
        <f>SUMIFS('Case study demand'!V$10:V$27,'Case study demand'!$B$10:$B$27,$B71,'Case study demand'!$C$10:$C$27,$C71)</f>
        <v>26.8675</v>
      </c>
      <c r="X71" s="171">
        <f>SUMIFS('Case study demand'!W$10:W$27,'Case study demand'!$B$10:$B$27,$B71,'Case study demand'!$C$10:$C$27,$C71)</f>
        <v>27.175630000000002</v>
      </c>
      <c r="Y71" s="171">
        <f>SUMIFS('Case study demand'!X$10:X$27,'Case study demand'!$B$10:$B$27,$B71,'Case study demand'!$C$10:$C$27,$C71)</f>
        <v>27.486329999999999</v>
      </c>
    </row>
    <row r="72" spans="2:25" ht="15.5">
      <c r="B72" s="2" t="str">
        <f>B71</f>
        <v>Lidcombe</v>
      </c>
      <c r="C72" s="2" t="str">
        <f t="shared" ref="C72:D72" si="29">C52</f>
        <v>High</v>
      </c>
      <c r="D72" s="35" t="str">
        <f t="shared" si="29"/>
        <v>MW</v>
      </c>
      <c r="E72" s="170">
        <f>SUMPRODUCT($F72:$Y72,'Financial inputs'!$G$28:$Z$28)</f>
        <v>394.45258778208097</v>
      </c>
      <c r="F72" s="171">
        <f>SUMIFS('Case study demand'!E$10:E$27,'Case study demand'!$B$10:$B$27,$B72,'Case study demand'!$C$10:$C$27,$C72)</f>
        <v>23.399750000000001</v>
      </c>
      <c r="G72" s="171">
        <f>SUMIFS('Case study demand'!F$10:F$27,'Case study demand'!$B$10:$B$27,$B72,'Case study demand'!$C$10:$C$27,$C72)</f>
        <v>23.909490000000002</v>
      </c>
      <c r="H72" s="171">
        <f>SUMIFS('Case study demand'!G$10:G$27,'Case study demand'!$B$10:$B$27,$B72,'Case study demand'!$C$10:$C$27,$C72)</f>
        <v>23.774329999999999</v>
      </c>
      <c r="I72" s="171">
        <f>SUMIFS('Case study demand'!H$10:H$27,'Case study demand'!$B$10:$B$27,$B72,'Case study demand'!$C$10:$C$27,$C72)</f>
        <v>24.022570000000002</v>
      </c>
      <c r="J72" s="171">
        <f>SUMIFS('Case study demand'!I$10:I$27,'Case study demand'!$B$10:$B$27,$B72,'Case study demand'!$C$10:$C$27,$C72)</f>
        <v>24.40916</v>
      </c>
      <c r="K72" s="171">
        <f>SUMIFS('Case study demand'!J$10:J$27,'Case study demand'!$B$10:$B$27,$B72,'Case study demand'!$C$10:$C$27,$C72)</f>
        <v>24.88552</v>
      </c>
      <c r="L72" s="171">
        <f>SUMIFS('Case study demand'!K$10:K$27,'Case study demand'!$B$10:$B$27,$B72,'Case study demand'!$C$10:$C$27,$C72)</f>
        <v>25.395890000000001</v>
      </c>
      <c r="M72" s="171">
        <f>SUMIFS('Case study demand'!L$10:L$27,'Case study demand'!$B$10:$B$27,$B72,'Case study demand'!$C$10:$C$27,$C72)</f>
        <v>25.817910000000001</v>
      </c>
      <c r="N72" s="171">
        <f>SUMIFS('Case study demand'!M$10:M$27,'Case study demand'!$B$10:$B$27,$B72,'Case study demand'!$C$10:$C$27,$C72)</f>
        <v>26.167069999999999</v>
      </c>
      <c r="O72" s="171">
        <f>SUMIFS('Case study demand'!N$10:N$27,'Case study demand'!$B$10:$B$27,$B72,'Case study demand'!$C$10:$C$27,$C72)</f>
        <v>26.46602</v>
      </c>
      <c r="P72" s="171">
        <f>SUMIFS('Case study demand'!O$10:O$27,'Case study demand'!$B$10:$B$27,$B72,'Case study demand'!$C$10:$C$27,$C72)</f>
        <v>26.773250000000001</v>
      </c>
      <c r="Q72" s="171">
        <f>SUMIFS('Case study demand'!P$10:P$27,'Case study demand'!$B$10:$B$27,$B72,'Case study demand'!$C$10:$C$27,$C72)</f>
        <v>27.029229999999998</v>
      </c>
      <c r="R72" s="171">
        <f>SUMIFS('Case study demand'!Q$10:Q$27,'Case study demand'!$B$10:$B$27,$B72,'Case study demand'!$C$10:$C$27,$C72)</f>
        <v>27.394220000000001</v>
      </c>
      <c r="S72" s="171">
        <f>SUMIFS('Case study demand'!R$10:R$27,'Case study demand'!$B$10:$B$27,$B72,'Case study demand'!$C$10:$C$27,$C72)</f>
        <v>27.755960000000002</v>
      </c>
      <c r="T72" s="171">
        <f>SUMIFS('Case study demand'!S$10:S$27,'Case study demand'!$B$10:$B$27,$B72,'Case study demand'!$C$10:$C$27,$C72)</f>
        <v>28.09704</v>
      </c>
      <c r="U72" s="171">
        <f>SUMIFS('Case study demand'!T$10:T$27,'Case study demand'!$B$10:$B$27,$B72,'Case study demand'!$C$10:$C$27,$C72)</f>
        <v>28.401420000000002</v>
      </c>
      <c r="V72" s="171">
        <f>SUMIFS('Case study demand'!U$10:U$27,'Case study demand'!$B$10:$B$27,$B72,'Case study demand'!$C$10:$C$27,$C72)</f>
        <v>28.713010000000001</v>
      </c>
      <c r="W72" s="171">
        <f>SUMIFS('Case study demand'!V$10:V$27,'Case study demand'!$B$10:$B$27,$B72,'Case study demand'!$C$10:$C$27,$C72)</f>
        <v>29.033380000000001</v>
      </c>
      <c r="X72" s="171">
        <f>SUMIFS('Case study demand'!W$10:W$27,'Case study demand'!$B$10:$B$27,$B72,'Case study demand'!$C$10:$C$27,$C72)</f>
        <v>29.34151</v>
      </c>
      <c r="Y72" s="171">
        <f>SUMIFS('Case study demand'!X$10:X$27,'Case study demand'!$B$10:$B$27,$B72,'Case study demand'!$C$10:$C$27,$C72)</f>
        <v>29.652200000000001</v>
      </c>
    </row>
    <row r="73" spans="2:25" ht="15.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2:25" ht="15.5">
      <c r="B74" s="5" t="str">
        <f>B54</f>
        <v>Expenditure</v>
      </c>
      <c r="C74" s="39"/>
      <c r="D74" s="39"/>
      <c r="E74" s="39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2:25">
      <c r="C75" s="19"/>
      <c r="D75" s="19"/>
      <c r="E75" s="19"/>
    </row>
    <row r="76" spans="2:25" ht="15.5">
      <c r="B76" s="2" t="str">
        <f>B56</f>
        <v>Units: $2024 real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2:25">
      <c r="C77" s="19"/>
      <c r="D77" s="19"/>
      <c r="E77" s="19"/>
      <c r="K77" s="173"/>
    </row>
    <row r="78" spans="2:25" ht="15.5">
      <c r="B78" s="14" t="str">
        <f t="shared" ref="B78:Y78" si="30">B58</f>
        <v>Location</v>
      </c>
      <c r="C78" s="18" t="str">
        <f t="shared" si="30"/>
        <v>Scenario</v>
      </c>
      <c r="D78" s="18" t="str">
        <f t="shared" si="30"/>
        <v>Units</v>
      </c>
      <c r="E78" s="18" t="str">
        <f t="shared" si="30"/>
        <v>Present value</v>
      </c>
      <c r="F78" s="165">
        <f t="shared" si="30"/>
        <v>2025</v>
      </c>
      <c r="G78" s="165">
        <f t="shared" si="30"/>
        <v>2026</v>
      </c>
      <c r="H78" s="165">
        <f t="shared" si="30"/>
        <v>2027</v>
      </c>
      <c r="I78" s="165">
        <f t="shared" si="30"/>
        <v>2028</v>
      </c>
      <c r="J78" s="165">
        <f t="shared" si="30"/>
        <v>2029</v>
      </c>
      <c r="K78" s="165">
        <f t="shared" si="30"/>
        <v>2030</v>
      </c>
      <c r="L78" s="165">
        <f t="shared" si="30"/>
        <v>2031</v>
      </c>
      <c r="M78" s="165">
        <f t="shared" si="30"/>
        <v>2032</v>
      </c>
      <c r="N78" s="165">
        <f t="shared" si="30"/>
        <v>2033</v>
      </c>
      <c r="O78" s="165">
        <f t="shared" si="30"/>
        <v>2034</v>
      </c>
      <c r="P78" s="165">
        <f t="shared" si="30"/>
        <v>2035</v>
      </c>
      <c r="Q78" s="165">
        <f t="shared" si="30"/>
        <v>2036</v>
      </c>
      <c r="R78" s="165">
        <f t="shared" si="30"/>
        <v>2037</v>
      </c>
      <c r="S78" s="165">
        <f t="shared" si="30"/>
        <v>2038</v>
      </c>
      <c r="T78" s="165">
        <f t="shared" si="30"/>
        <v>2039</v>
      </c>
      <c r="U78" s="165">
        <f t="shared" si="30"/>
        <v>2040</v>
      </c>
      <c r="V78" s="165">
        <f t="shared" si="30"/>
        <v>2041</v>
      </c>
      <c r="W78" s="165">
        <f t="shared" si="30"/>
        <v>2042</v>
      </c>
      <c r="X78" s="165">
        <f t="shared" si="30"/>
        <v>2043</v>
      </c>
      <c r="Y78" s="165">
        <f t="shared" si="30"/>
        <v>2044</v>
      </c>
    </row>
    <row r="79" spans="2:25" ht="15.5">
      <c r="B79" s="2" t="str">
        <f>B70</f>
        <v>Lidcombe</v>
      </c>
      <c r="C79" s="2" t="str">
        <f t="shared" ref="C79:D79" si="31">C59</f>
        <v>Low</v>
      </c>
      <c r="D79" s="35" t="str">
        <f t="shared" si="31"/>
        <v>$2024 real</v>
      </c>
      <c r="E79" s="174">
        <f>SUMPRODUCT($F79:$Y79,'Financial inputs'!$G$28:$Z$28)</f>
        <v>11587453.96549914</v>
      </c>
      <c r="F79" s="172">
        <f>IF(F$78=SUMIFS('Case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G79" s="172">
        <f>IF(G$78=SUMIFS('Case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H79" s="172">
        <f>IF(H$78=SUMIFS('Case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I79" s="172">
        <f>IF(I$78=SUMIFS('Case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J79" s="172">
        <f>IF(J$78=SUMIFS('Case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K79" s="172">
        <f>IF(K$78=SUMIFS('Case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L79" s="172">
        <f>IF(L$78=SUMIFS('Case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M79" s="172">
        <f>IF(M$78=SUMIFS('Case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N79" s="172">
        <f>IF(N$78=SUMIFS('Case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14908213.379277537</v>
      </c>
      <c r="O79" s="172">
        <f>IF(O$78=SUMIFS('Case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P79" s="172">
        <f>IF(P$78=SUMIFS('Case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Q79" s="172">
        <f>IF(Q$78=SUMIFS('Case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R79" s="172">
        <f>IF(R$78=SUMIFS('Case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S79" s="172">
        <f>IF(S$78=SUMIFS('Case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T79" s="172">
        <f>IF(T$78=SUMIFS('Case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U79" s="172">
        <f>IF(U$78=SUMIFS('Case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V79" s="172">
        <f>IF(V$78=SUMIFS('Case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W79" s="172">
        <f>IF(W$78=SUMIFS('Case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X79" s="172">
        <f>IF(X$78=SUMIFS('Case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  <c r="Y79" s="172">
        <f>IF(Y$78=SUMIFS('Case study expenditure'!$E$10:$E$27,'Case study expenditure'!$B$10:$B$27,$B79,'Case study expenditure'!$C$10:$C$27,$C79),SUMIFS('Case study expenditure'!$F$10:$F$27,'Case study expenditure'!$B$10:$B$27,$B79,'Case study expenditure'!$C$10:$C$27,$C79),0)*'Financial inputs'!$D$13</f>
        <v>0</v>
      </c>
    </row>
    <row r="80" spans="2:25" ht="15.5">
      <c r="B80" s="2" t="str">
        <f t="shared" ref="B80" si="32">B71</f>
        <v>Lidcombe</v>
      </c>
      <c r="C80" s="2" t="str">
        <f t="shared" ref="C80:D80" si="33">C60</f>
        <v>Base</v>
      </c>
      <c r="D80" s="35" t="str">
        <f t="shared" si="33"/>
        <v>$2024 real</v>
      </c>
      <c r="E80" s="174">
        <f>SUMPRODUCT($F80:$Y80,'Financial inputs'!$G$28:$Z$28)</f>
        <v>12340916.572151756</v>
      </c>
      <c r="F80" s="172">
        <f>IF(F$78=SUMIFS('Case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G80" s="172">
        <f>IF(G$78=SUMIFS('Case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H80" s="172">
        <f>IF(H$78=SUMIFS('Case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I80" s="172">
        <f>IF(I$78=SUMIFS('Case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J80" s="172">
        <f>IF(J$78=SUMIFS('Case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K80" s="172">
        <f>IF(K$78=SUMIFS('Case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L80" s="172">
        <f>IF(L$78=SUMIFS('Case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14908213.379277537</v>
      </c>
      <c r="M80" s="172">
        <f>IF(M$78=SUMIFS('Case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N80" s="172">
        <f>IF(N$78=SUMIFS('Case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O80" s="172">
        <f>IF(O$78=SUMIFS('Case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P80" s="172">
        <f>IF(P$78=SUMIFS('Case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Q80" s="172">
        <f>IF(Q$78=SUMIFS('Case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R80" s="172">
        <f>IF(R$78=SUMIFS('Case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S80" s="172">
        <f>IF(S$78=SUMIFS('Case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T80" s="172">
        <f>IF(T$78=SUMIFS('Case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U80" s="172">
        <f>IF(U$78=SUMIFS('Case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V80" s="172">
        <f>IF(V$78=SUMIFS('Case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W80" s="172">
        <f>IF(W$78=SUMIFS('Case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X80" s="172">
        <f>IF(X$78=SUMIFS('Case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  <c r="Y80" s="172">
        <f>IF(Y$78=SUMIFS('Case study expenditure'!$E$10:$E$27,'Case study expenditure'!$B$10:$B$27,$B80,'Case study expenditure'!$C$10:$C$27,$C80),SUMIFS('Case study expenditure'!$F$10:$F$27,'Case study expenditure'!$B$10:$B$27,$B80,'Case study expenditure'!$C$10:$C$27,$C80),0)*'Financial inputs'!$D$13</f>
        <v>0</v>
      </c>
    </row>
    <row r="81" spans="2:25" ht="15.5">
      <c r="B81" s="2" t="str">
        <f t="shared" ref="B81" si="34">B72</f>
        <v>Lidcombe</v>
      </c>
      <c r="C81" s="2" t="str">
        <f t="shared" ref="C81:D81" si="35">C61</f>
        <v>High</v>
      </c>
      <c r="D81" s="35" t="str">
        <f t="shared" si="35"/>
        <v>$2024 real</v>
      </c>
      <c r="E81" s="174">
        <f>SUMPRODUCT($F81:$Y81,'Financial inputs'!$G$28:$Z$28)</f>
        <v>13143372.331339352</v>
      </c>
      <c r="F81" s="172">
        <f>IF(F$78=SUMIFS('Case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G81" s="172">
        <f>IF(G$78=SUMIFS('Case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H81" s="172">
        <f>IF(H$78=SUMIFS('Case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I81" s="172">
        <f>IF(I$78=SUMIFS('Case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J81" s="172">
        <f>IF(J$78=SUMIFS('Case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14908213.379277537</v>
      </c>
      <c r="K81" s="172">
        <f>IF(K$78=SUMIFS('Case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L81" s="172">
        <f>IF(L$78=SUMIFS('Case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M81" s="172">
        <f>IF(M$78=SUMIFS('Case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N81" s="172">
        <f>IF(N$78=SUMIFS('Case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O81" s="172">
        <f>IF(O$78=SUMIFS('Case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P81" s="172">
        <f>IF(P$78=SUMIFS('Case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Q81" s="172">
        <f>IF(Q$78=SUMIFS('Case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R81" s="172">
        <f>IF(R$78=SUMIFS('Case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S81" s="172">
        <f>IF(S$78=SUMIFS('Case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T81" s="172">
        <f>IF(T$78=SUMIFS('Case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U81" s="172">
        <f>IF(U$78=SUMIFS('Case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V81" s="172">
        <f>IF(V$78=SUMIFS('Case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W81" s="172">
        <f>IF(W$78=SUMIFS('Case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X81" s="172">
        <f>IF(X$78=SUMIFS('Case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  <c r="Y81" s="172">
        <f>IF(Y$78=SUMIFS('Case study expenditure'!$E$10:$E$27,'Case study expenditure'!$B$10:$B$27,$B81,'Case study expenditure'!$C$10:$C$27,$C81),SUMIFS('Case study expenditure'!$F$10:$F$27,'Case study expenditure'!$B$10:$B$27,$B81,'Case study expenditure'!$C$10:$C$27,$C81),0)*'Financial inputs'!$D$13</f>
        <v>0</v>
      </c>
    </row>
    <row r="83" spans="2:25" ht="21">
      <c r="B83" s="6" t="str" cm="1">
        <f t="array" ref="B83">INDEX(_xlfn._xlws.SORT(_xlfn.UNIQUE('Case study demand'!$B$10:$B$27)),5)</f>
        <v>Miranda</v>
      </c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5" spans="2:25" ht="15.5">
      <c r="B85" s="5" t="str">
        <f>B65</f>
        <v>Demand</v>
      </c>
      <c r="C85" s="39"/>
      <c r="D85" s="39"/>
      <c r="E85" s="39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2:25">
      <c r="C86" s="19"/>
      <c r="D86" s="19"/>
      <c r="E86" s="19"/>
    </row>
    <row r="87" spans="2:25" ht="15.5">
      <c r="B87" s="2" t="str">
        <f>B67</f>
        <v>Units: MW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2:25">
      <c r="C88" s="19"/>
      <c r="D88" s="19"/>
      <c r="E88" s="19"/>
    </row>
    <row r="89" spans="2:25" ht="15.5">
      <c r="B89" s="14" t="str">
        <f t="shared" ref="B89:Y89" si="36">B69</f>
        <v>Location</v>
      </c>
      <c r="C89" s="18" t="str">
        <f t="shared" si="36"/>
        <v>Scenario</v>
      </c>
      <c r="D89" s="18" t="str">
        <f t="shared" si="36"/>
        <v>Units</v>
      </c>
      <c r="E89" s="18" t="str">
        <f t="shared" si="36"/>
        <v>Present value</v>
      </c>
      <c r="F89" s="165">
        <f t="shared" si="36"/>
        <v>2025</v>
      </c>
      <c r="G89" s="165">
        <f t="shared" si="36"/>
        <v>2026</v>
      </c>
      <c r="H89" s="165">
        <f t="shared" si="36"/>
        <v>2027</v>
      </c>
      <c r="I89" s="165">
        <f t="shared" si="36"/>
        <v>2028</v>
      </c>
      <c r="J89" s="165">
        <f t="shared" si="36"/>
        <v>2029</v>
      </c>
      <c r="K89" s="165">
        <f t="shared" si="36"/>
        <v>2030</v>
      </c>
      <c r="L89" s="165">
        <f t="shared" si="36"/>
        <v>2031</v>
      </c>
      <c r="M89" s="165">
        <f t="shared" si="36"/>
        <v>2032</v>
      </c>
      <c r="N89" s="165">
        <f t="shared" si="36"/>
        <v>2033</v>
      </c>
      <c r="O89" s="165">
        <f t="shared" si="36"/>
        <v>2034</v>
      </c>
      <c r="P89" s="165">
        <f t="shared" si="36"/>
        <v>2035</v>
      </c>
      <c r="Q89" s="165">
        <f t="shared" si="36"/>
        <v>2036</v>
      </c>
      <c r="R89" s="165">
        <f t="shared" si="36"/>
        <v>2037</v>
      </c>
      <c r="S89" s="165">
        <f t="shared" si="36"/>
        <v>2038</v>
      </c>
      <c r="T89" s="165">
        <f t="shared" si="36"/>
        <v>2039</v>
      </c>
      <c r="U89" s="165">
        <f t="shared" si="36"/>
        <v>2040</v>
      </c>
      <c r="V89" s="165">
        <f t="shared" si="36"/>
        <v>2041</v>
      </c>
      <c r="W89" s="165">
        <f t="shared" si="36"/>
        <v>2042</v>
      </c>
      <c r="X89" s="165">
        <f t="shared" si="36"/>
        <v>2043</v>
      </c>
      <c r="Y89" s="165">
        <f t="shared" si="36"/>
        <v>2044</v>
      </c>
    </row>
    <row r="90" spans="2:25" ht="15.5">
      <c r="B90" s="2" t="str">
        <f>B83</f>
        <v>Miranda</v>
      </c>
      <c r="C90" s="2" t="str">
        <f t="shared" ref="C90:D90" si="37">C70</f>
        <v>Low</v>
      </c>
      <c r="D90" s="35" t="str">
        <f t="shared" si="37"/>
        <v>MW</v>
      </c>
      <c r="E90" s="170">
        <f>SUMPRODUCT($F90:$Y90,'Financial inputs'!$G$28:$Z$28)</f>
        <v>419.57358817191266</v>
      </c>
      <c r="F90" s="171">
        <f>SUMIFS('Case study demand'!E$10:E$27,'Case study demand'!$B$10:$B$27,$B90,'Case study demand'!$C$10:$C$27,$C90)</f>
        <v>27.231300000000001</v>
      </c>
      <c r="G90" s="171">
        <f>SUMIFS('Case study demand'!F$10:F$27,'Case study demand'!$B$10:$B$27,$B90,'Case study demand'!$C$10:$C$27,$C90)</f>
        <v>27.45581</v>
      </c>
      <c r="H90" s="171">
        <f>SUMIFS('Case study demand'!G$10:G$27,'Case study demand'!$B$10:$B$27,$B90,'Case study demand'!$C$10:$C$27,$C90)</f>
        <v>27.545670000000001</v>
      </c>
      <c r="I90" s="171">
        <f>SUMIFS('Case study demand'!H$10:H$27,'Case study demand'!$B$10:$B$27,$B90,'Case study demand'!$C$10:$C$27,$C90)</f>
        <v>27.71754</v>
      </c>
      <c r="J90" s="171">
        <f>SUMIFS('Case study demand'!I$10:I$27,'Case study demand'!$B$10:$B$27,$B90,'Case study demand'!$C$10:$C$27,$C90)</f>
        <v>27.971499999999999</v>
      </c>
      <c r="K90" s="171">
        <f>SUMIFS('Case study demand'!J$10:J$27,'Case study demand'!$B$10:$B$27,$B90,'Case study demand'!$C$10:$C$27,$C90)</f>
        <v>28.207550000000001</v>
      </c>
      <c r="L90" s="171">
        <f>SUMIFS('Case study demand'!K$10:K$27,'Case study demand'!$B$10:$B$27,$B90,'Case study demand'!$C$10:$C$27,$C90)</f>
        <v>28.51802</v>
      </c>
      <c r="M90" s="171">
        <f>SUMIFS('Case study demand'!L$10:L$27,'Case study demand'!$B$10:$B$27,$B90,'Case study demand'!$C$10:$C$27,$C90)</f>
        <v>28.625520000000002</v>
      </c>
      <c r="N90" s="171">
        <f>SUMIFS('Case study demand'!M$10:M$27,'Case study demand'!$B$10:$B$27,$B90,'Case study demand'!$C$10:$C$27,$C90)</f>
        <v>28.580220000000001</v>
      </c>
      <c r="O90" s="171">
        <f>SUMIFS('Case study demand'!N$10:N$27,'Case study demand'!$B$10:$B$27,$B90,'Case study demand'!$C$10:$C$27,$C90)</f>
        <v>28.346489999999999</v>
      </c>
      <c r="P90" s="171">
        <f>SUMIFS('Case study demand'!O$10:O$27,'Case study demand'!$B$10:$B$27,$B90,'Case study demand'!$C$10:$C$27,$C90)</f>
        <v>27.786909999999999</v>
      </c>
      <c r="Q90" s="171">
        <f>SUMIFS('Case study demand'!P$10:P$27,'Case study demand'!$B$10:$B$27,$B90,'Case study demand'!$C$10:$C$27,$C90)</f>
        <v>27.477450000000001</v>
      </c>
      <c r="R90" s="171">
        <f>SUMIFS('Case study demand'!Q$10:Q$27,'Case study demand'!$B$10:$B$27,$B90,'Case study demand'!$C$10:$C$27,$C90)</f>
        <v>27.415990000000001</v>
      </c>
      <c r="S90" s="171">
        <f>SUMIFS('Case study demand'!R$10:R$27,'Case study demand'!$B$10:$B$27,$B90,'Case study demand'!$C$10:$C$27,$C90)</f>
        <v>27.48321</v>
      </c>
      <c r="T90" s="171">
        <f>SUMIFS('Case study demand'!S$10:S$27,'Case study demand'!$B$10:$B$27,$B90,'Case study demand'!$C$10:$C$27,$C90)</f>
        <v>27.561060000000001</v>
      </c>
      <c r="U90" s="171">
        <f>SUMIFS('Case study demand'!T$10:T$27,'Case study demand'!$B$10:$B$27,$B90,'Case study demand'!$C$10:$C$27,$C90)</f>
        <v>27.568269999999998</v>
      </c>
      <c r="V90" s="171">
        <f>SUMIFS('Case study demand'!U$10:U$27,'Case study demand'!$B$10:$B$27,$B90,'Case study demand'!$C$10:$C$27,$C90)</f>
        <v>27.618500000000001</v>
      </c>
      <c r="W90" s="171">
        <f>SUMIFS('Case study demand'!V$10:V$27,'Case study demand'!$B$10:$B$27,$B90,'Case study demand'!$C$10:$C$27,$C90)</f>
        <v>27.6982</v>
      </c>
      <c r="X90" s="171">
        <f>SUMIFS('Case study demand'!W$10:W$27,'Case study demand'!$B$10:$B$27,$B90,'Case study demand'!$C$10:$C$27,$C90)</f>
        <v>27.83793</v>
      </c>
      <c r="Y90" s="171">
        <f>SUMIFS('Case study demand'!X$10:X$27,'Case study demand'!$B$10:$B$27,$B90,'Case study demand'!$C$10:$C$27,$C90)</f>
        <v>28.037769999999998</v>
      </c>
    </row>
    <row r="91" spans="2:25" ht="15.5">
      <c r="B91" s="2" t="str">
        <f>B90</f>
        <v>Miranda</v>
      </c>
      <c r="C91" s="2" t="str">
        <f t="shared" ref="C91:D91" si="38">C71</f>
        <v>Base</v>
      </c>
      <c r="D91" s="35" t="str">
        <f t="shared" si="38"/>
        <v>MW</v>
      </c>
      <c r="E91" s="170">
        <f>SUMPRODUCT($F91:$Y91,'Financial inputs'!$G$28:$Z$28)</f>
        <v>441.82112842532877</v>
      </c>
      <c r="F91" s="171">
        <f>SUMIFS('Case study demand'!E$10:E$27,'Case study demand'!$B$10:$B$27,$B91,'Case study demand'!$C$10:$C$27,$C91)</f>
        <v>28.491119999999999</v>
      </c>
      <c r="G91" s="171">
        <f>SUMIFS('Case study demand'!F$10:F$27,'Case study demand'!$B$10:$B$27,$B91,'Case study demand'!$C$10:$C$27,$C91)</f>
        <v>28.646850000000001</v>
      </c>
      <c r="H91" s="171">
        <f>SUMIFS('Case study demand'!G$10:G$27,'Case study demand'!$B$10:$B$27,$B91,'Case study demand'!$C$10:$C$27,$C91)</f>
        <v>28.736709999999999</v>
      </c>
      <c r="I91" s="171">
        <f>SUMIFS('Case study demand'!H$10:H$27,'Case study demand'!$B$10:$B$27,$B91,'Case study demand'!$C$10:$C$27,$C91)</f>
        <v>28.908580000000001</v>
      </c>
      <c r="J91" s="171">
        <f>SUMIFS('Case study demand'!I$10:I$27,'Case study demand'!$B$10:$B$27,$B91,'Case study demand'!$C$10:$C$27,$C91)</f>
        <v>29.16254</v>
      </c>
      <c r="K91" s="171">
        <f>SUMIFS('Case study demand'!J$10:J$27,'Case study demand'!$B$10:$B$27,$B91,'Case study demand'!$C$10:$C$27,$C91)</f>
        <v>29.398589999999999</v>
      </c>
      <c r="L91" s="171">
        <f>SUMIFS('Case study demand'!K$10:K$27,'Case study demand'!$B$10:$B$27,$B91,'Case study demand'!$C$10:$C$27,$C91)</f>
        <v>29.709060000000001</v>
      </c>
      <c r="M91" s="171">
        <f>SUMIFS('Case study demand'!L$10:L$27,'Case study demand'!$B$10:$B$27,$B91,'Case study demand'!$C$10:$C$27,$C91)</f>
        <v>29.816559999999999</v>
      </c>
      <c r="N91" s="171">
        <f>SUMIFS('Case study demand'!M$10:M$27,'Case study demand'!$B$10:$B$27,$B91,'Case study demand'!$C$10:$C$27,$C91)</f>
        <v>29.771260000000002</v>
      </c>
      <c r="O91" s="171">
        <f>SUMIFS('Case study demand'!N$10:N$27,'Case study demand'!$B$10:$B$27,$B91,'Case study demand'!$C$10:$C$27,$C91)</f>
        <v>29.53754</v>
      </c>
      <c r="P91" s="171">
        <f>SUMIFS('Case study demand'!O$10:O$27,'Case study demand'!$B$10:$B$27,$B91,'Case study demand'!$C$10:$C$27,$C91)</f>
        <v>28.977959999999999</v>
      </c>
      <c r="Q91" s="171">
        <f>SUMIFS('Case study demand'!P$10:P$27,'Case study demand'!$B$10:$B$27,$B91,'Case study demand'!$C$10:$C$27,$C91)</f>
        <v>28.668489999999998</v>
      </c>
      <c r="R91" s="171">
        <f>SUMIFS('Case study demand'!Q$10:Q$27,'Case study demand'!$B$10:$B$27,$B91,'Case study demand'!$C$10:$C$27,$C91)</f>
        <v>28.818349999999999</v>
      </c>
      <c r="S91" s="171">
        <f>SUMIFS('Case study demand'!R$10:R$27,'Case study demand'!$B$10:$B$27,$B91,'Case study demand'!$C$10:$C$27,$C91)</f>
        <v>29.110050000000001</v>
      </c>
      <c r="T91" s="171">
        <f>SUMIFS('Case study demand'!S$10:S$27,'Case study demand'!$B$10:$B$27,$B91,'Case study demand'!$C$10:$C$27,$C91)</f>
        <v>29.389469999999999</v>
      </c>
      <c r="U91" s="171">
        <f>SUMIFS('Case study demand'!T$10:T$27,'Case study demand'!$B$10:$B$27,$B91,'Case study demand'!$C$10:$C$27,$C91)</f>
        <v>29.59412</v>
      </c>
      <c r="V91" s="171">
        <f>SUMIFS('Case study demand'!U$10:U$27,'Case study demand'!$B$10:$B$27,$B91,'Case study demand'!$C$10:$C$27,$C91)</f>
        <v>29.83146</v>
      </c>
      <c r="W91" s="171">
        <f>SUMIFS('Case study demand'!V$10:V$27,'Case study demand'!$B$10:$B$27,$B91,'Case study demand'!$C$10:$C$27,$C91)</f>
        <v>30.078250000000001</v>
      </c>
      <c r="X91" s="171">
        <f>SUMIFS('Case study demand'!W$10:W$27,'Case study demand'!$B$10:$B$27,$B91,'Case study demand'!$C$10:$C$27,$C91)</f>
        <v>30.363240000000001</v>
      </c>
      <c r="Y91" s="171">
        <f>SUMIFS('Case study demand'!X$10:X$27,'Case study demand'!$B$10:$B$27,$B91,'Case study demand'!$C$10:$C$27,$C91)</f>
        <v>30.66733</v>
      </c>
    </row>
    <row r="92" spans="2:25" ht="15.5">
      <c r="B92" s="2" t="str">
        <f>B91</f>
        <v>Miranda</v>
      </c>
      <c r="C92" s="2" t="str">
        <f t="shared" ref="C92:D92" si="39">C72</f>
        <v>High</v>
      </c>
      <c r="D92" s="35" t="str">
        <f t="shared" si="39"/>
        <v>MW</v>
      </c>
      <c r="E92" s="170">
        <f>SUMPRODUCT($F92:$Y92,'Financial inputs'!$G$28:$Z$28)</f>
        <v>488.10410954876352</v>
      </c>
      <c r="F92" s="171">
        <f>SUMIFS('Case study demand'!E$10:E$27,'Case study demand'!$B$10:$B$27,$B92,'Case study demand'!$C$10:$C$27,$C92)</f>
        <v>32.08043</v>
      </c>
      <c r="G92" s="171">
        <f>SUMIFS('Case study demand'!F$10:F$27,'Case study demand'!$B$10:$B$27,$B92,'Case study demand'!$C$10:$C$27,$C92)</f>
        <v>31.871880000000001</v>
      </c>
      <c r="H92" s="171">
        <f>SUMIFS('Case study demand'!G$10:G$27,'Case study demand'!$B$10:$B$27,$B92,'Case study demand'!$C$10:$C$27,$C92)</f>
        <v>31.67699</v>
      </c>
      <c r="I92" s="171">
        <f>SUMIFS('Case study demand'!H$10:H$27,'Case study demand'!$B$10:$B$27,$B92,'Case study demand'!$C$10:$C$27,$C92)</f>
        <v>31.70682</v>
      </c>
      <c r="J92" s="171">
        <f>SUMIFS('Case study demand'!I$10:I$27,'Case study demand'!$B$10:$B$27,$B92,'Case study demand'!$C$10:$C$27,$C92)</f>
        <v>31.802969999999998</v>
      </c>
      <c r="K92" s="171">
        <f>SUMIFS('Case study demand'!J$10:J$27,'Case study demand'!$B$10:$B$27,$B92,'Case study demand'!$C$10:$C$27,$C92)</f>
        <v>31.851559999999999</v>
      </c>
      <c r="L92" s="171">
        <f>SUMIFS('Case study demand'!K$10:K$27,'Case study demand'!$B$10:$B$27,$B92,'Case study demand'!$C$10:$C$27,$C92)</f>
        <v>32.055100000000003</v>
      </c>
      <c r="M92" s="171">
        <f>SUMIFS('Case study demand'!L$10:L$27,'Case study demand'!$B$10:$B$27,$B92,'Case study demand'!$C$10:$C$27,$C92)</f>
        <v>32.140680000000003</v>
      </c>
      <c r="N92" s="171">
        <f>SUMIFS('Case study demand'!M$10:M$27,'Case study demand'!$B$10:$B$27,$B92,'Case study demand'!$C$10:$C$27,$C92)</f>
        <v>32.152099999999997</v>
      </c>
      <c r="O92" s="171">
        <f>SUMIFS('Case study demand'!N$10:N$27,'Case study demand'!$B$10:$B$27,$B92,'Case study demand'!$C$10:$C$27,$C92)</f>
        <v>32.022480000000002</v>
      </c>
      <c r="P92" s="171">
        <f>SUMIFS('Case study demand'!O$10:O$27,'Case study demand'!$B$10:$B$27,$B92,'Case study demand'!$C$10:$C$27,$C92)</f>
        <v>32.075310000000002</v>
      </c>
      <c r="Q92" s="171">
        <f>SUMIFS('Case study demand'!P$10:P$27,'Case study demand'!$B$10:$B$27,$B92,'Case study demand'!$C$10:$C$27,$C92)</f>
        <v>32.144289999999998</v>
      </c>
      <c r="R92" s="171">
        <f>SUMIFS('Case study demand'!Q$10:Q$27,'Case study demand'!$B$10:$B$27,$B92,'Case study demand'!$C$10:$C$27,$C92)</f>
        <v>32.392110000000002</v>
      </c>
      <c r="S92" s="171">
        <f>SUMIFS('Case study demand'!R$10:R$27,'Case study demand'!$B$10:$B$27,$B92,'Case study demand'!$C$10:$C$27,$C92)</f>
        <v>32.683810000000001</v>
      </c>
      <c r="T92" s="171">
        <f>SUMIFS('Case study demand'!S$10:S$27,'Case study demand'!$B$10:$B$27,$B92,'Case study demand'!$C$10:$C$27,$C92)</f>
        <v>32.963239999999999</v>
      </c>
      <c r="U92" s="171">
        <f>SUMIFS('Case study demand'!T$10:T$27,'Case study demand'!$B$10:$B$27,$B92,'Case study demand'!$C$10:$C$27,$C92)</f>
        <v>33.167879999999997</v>
      </c>
      <c r="V92" s="171">
        <f>SUMIFS('Case study demand'!U$10:U$27,'Case study demand'!$B$10:$B$27,$B92,'Case study demand'!$C$10:$C$27,$C92)</f>
        <v>33.40522</v>
      </c>
      <c r="W92" s="171">
        <f>SUMIFS('Case study demand'!V$10:V$27,'Case study demand'!$B$10:$B$27,$B92,'Case study demand'!$C$10:$C$27,$C92)</f>
        <v>33.65202</v>
      </c>
      <c r="X92" s="171">
        <f>SUMIFS('Case study demand'!W$10:W$27,'Case study demand'!$B$10:$B$27,$B92,'Case study demand'!$C$10:$C$27,$C92)</f>
        <v>33.936999999999998</v>
      </c>
      <c r="Y92" s="171">
        <f>SUMIFS('Case study demand'!X$10:X$27,'Case study demand'!$B$10:$B$27,$B92,'Case study demand'!$C$10:$C$27,$C92)</f>
        <v>34.24109</v>
      </c>
    </row>
    <row r="93" spans="2:25" ht="15.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2:25" ht="15.5">
      <c r="B94" s="5" t="str">
        <f>B74</f>
        <v>Expenditure</v>
      </c>
      <c r="C94" s="39"/>
      <c r="D94" s="39"/>
      <c r="E94" s="39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2:25">
      <c r="C95" s="19"/>
      <c r="D95" s="19"/>
      <c r="E95" s="19"/>
    </row>
    <row r="96" spans="2:25" ht="15.5">
      <c r="B96" s="2" t="str">
        <f>B76</f>
        <v>Units: $2024 real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2:25">
      <c r="C97" s="19"/>
      <c r="D97" s="19"/>
      <c r="E97" s="19"/>
      <c r="K97" s="173"/>
    </row>
    <row r="98" spans="2:25" ht="15.5">
      <c r="B98" s="14" t="str">
        <f t="shared" ref="B98:Y98" si="40">B78</f>
        <v>Location</v>
      </c>
      <c r="C98" s="18" t="str">
        <f t="shared" si="40"/>
        <v>Scenario</v>
      </c>
      <c r="D98" s="18" t="str">
        <f t="shared" si="40"/>
        <v>Units</v>
      </c>
      <c r="E98" s="18" t="str">
        <f t="shared" si="40"/>
        <v>Present value</v>
      </c>
      <c r="F98" s="165">
        <f t="shared" si="40"/>
        <v>2025</v>
      </c>
      <c r="G98" s="165">
        <f t="shared" si="40"/>
        <v>2026</v>
      </c>
      <c r="H98" s="165">
        <f t="shared" si="40"/>
        <v>2027</v>
      </c>
      <c r="I98" s="165">
        <f t="shared" si="40"/>
        <v>2028</v>
      </c>
      <c r="J98" s="165">
        <f t="shared" si="40"/>
        <v>2029</v>
      </c>
      <c r="K98" s="165">
        <f t="shared" si="40"/>
        <v>2030</v>
      </c>
      <c r="L98" s="165">
        <f t="shared" si="40"/>
        <v>2031</v>
      </c>
      <c r="M98" s="165">
        <f t="shared" si="40"/>
        <v>2032</v>
      </c>
      <c r="N98" s="165">
        <f t="shared" si="40"/>
        <v>2033</v>
      </c>
      <c r="O98" s="165">
        <f t="shared" si="40"/>
        <v>2034</v>
      </c>
      <c r="P98" s="165">
        <f t="shared" si="40"/>
        <v>2035</v>
      </c>
      <c r="Q98" s="165">
        <f t="shared" si="40"/>
        <v>2036</v>
      </c>
      <c r="R98" s="165">
        <f t="shared" si="40"/>
        <v>2037</v>
      </c>
      <c r="S98" s="165">
        <f t="shared" si="40"/>
        <v>2038</v>
      </c>
      <c r="T98" s="165">
        <f t="shared" si="40"/>
        <v>2039</v>
      </c>
      <c r="U98" s="165">
        <f t="shared" si="40"/>
        <v>2040</v>
      </c>
      <c r="V98" s="165">
        <f t="shared" si="40"/>
        <v>2041</v>
      </c>
      <c r="W98" s="165">
        <f t="shared" si="40"/>
        <v>2042</v>
      </c>
      <c r="X98" s="165">
        <f t="shared" si="40"/>
        <v>2043</v>
      </c>
      <c r="Y98" s="165">
        <f t="shared" si="40"/>
        <v>2044</v>
      </c>
    </row>
    <row r="99" spans="2:25" ht="15.5">
      <c r="B99" s="2" t="str">
        <f>B90</f>
        <v>Miranda</v>
      </c>
      <c r="C99" s="2" t="str">
        <f t="shared" ref="C99:D99" si="41">C79</f>
        <v>Low</v>
      </c>
      <c r="D99" s="35" t="str">
        <f t="shared" si="41"/>
        <v>$2024 real</v>
      </c>
      <c r="E99" s="174">
        <f>SUMPRODUCT($F99:$Y99,'Financial inputs'!$G$28:$Z$28)</f>
        <v>10361534.611488737</v>
      </c>
      <c r="F99" s="172">
        <f>IF(F$98=SUMIFS('Case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G99" s="172">
        <f>IF(G$98=SUMIFS('Case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H99" s="172">
        <f>IF(H$98=SUMIFS('Case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I99" s="172">
        <f>IF(I$98=SUMIFS('Case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J99" s="172">
        <f>IF(J$98=SUMIFS('Case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K99" s="172">
        <f>IF(K$98=SUMIFS('Case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L99" s="172">
        <f>IF(L$98=SUMIFS('Case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M99" s="172">
        <f>IF(M$98=SUMIFS('Case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N99" s="172">
        <f>IF(N$98=SUMIFS('Case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O99" s="172">
        <f>IF(O$98=SUMIFS('Case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P99" s="172">
        <f>IF(P$98=SUMIFS('Case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Q99" s="172">
        <f>IF(Q$98=SUMIFS('Case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R99" s="172">
        <f>IF(R$98=SUMIFS('Case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S99" s="172">
        <f>IF(S$98=SUMIFS('Case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15604869.705543891</v>
      </c>
      <c r="T99" s="172">
        <f>IF(T$98=SUMIFS('Case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U99" s="172">
        <f>IF(U$98=SUMIFS('Case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V99" s="172">
        <f>IF(V$98=SUMIFS('Case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W99" s="172">
        <f>IF(W$98=SUMIFS('Case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X99" s="172">
        <f>IF(X$98=SUMIFS('Case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  <c r="Y99" s="172">
        <f>IF(Y$98=SUMIFS('Case study expenditure'!$E$10:$E$27,'Case study expenditure'!$B$10:$B$27,$B99,'Case study expenditure'!$C$10:$C$27,$C99),SUMIFS('Case study expenditure'!$F$10:$F$27,'Case study expenditure'!$B$10:$B$27,$B99,'Case study expenditure'!$C$10:$C$27,$C99),0)*'Financial inputs'!$D$13</f>
        <v>0</v>
      </c>
    </row>
    <row r="100" spans="2:25" ht="15.5">
      <c r="B100" s="2" t="str">
        <f t="shared" ref="B100" si="42">B91</f>
        <v>Miranda</v>
      </c>
      <c r="C100" s="2" t="str">
        <f t="shared" ref="C100:D100" si="43">C80</f>
        <v>Base</v>
      </c>
      <c r="D100" s="35" t="str">
        <f t="shared" si="43"/>
        <v>$2024 real</v>
      </c>
      <c r="E100" s="174">
        <f>SUMPRODUCT($F100:$Y100,'Financial inputs'!$G$28:$Z$28)</f>
        <v>10693103.719056377</v>
      </c>
      <c r="F100" s="172">
        <f>IF(F$98=SUMIFS('Case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G100" s="172">
        <f>IF(G$98=SUMIFS('Case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H100" s="172">
        <f>IF(H$98=SUMIFS('Case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I100" s="172">
        <f>IF(I$98=SUMIFS('Case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J100" s="172">
        <f>IF(J$98=SUMIFS('Case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K100" s="172">
        <f>IF(K$98=SUMIFS('Case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L100" s="172">
        <f>IF(L$98=SUMIFS('Case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M100" s="172">
        <f>IF(M$98=SUMIFS('Case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N100" s="172">
        <f>IF(N$98=SUMIFS('Case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O100" s="172">
        <f>IF(O$98=SUMIFS('Case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P100" s="172">
        <f>IF(P$98=SUMIFS('Case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Q100" s="172">
        <f>IF(Q$98=SUMIFS('Case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R100" s="172">
        <f>IF(R$98=SUMIFS('Case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15604869.705543891</v>
      </c>
      <c r="S100" s="172">
        <f>IF(S$98=SUMIFS('Case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T100" s="172">
        <f>IF(T$98=SUMIFS('Case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U100" s="172">
        <f>IF(U$98=SUMIFS('Case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V100" s="172">
        <f>IF(V$98=SUMIFS('Case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W100" s="172">
        <f>IF(W$98=SUMIFS('Case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X100" s="172">
        <f>IF(X$98=SUMIFS('Case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  <c r="Y100" s="172">
        <f>IF(Y$98=SUMIFS('Case study expenditure'!$E$10:$E$27,'Case study expenditure'!$B$10:$B$27,$B100,'Case study expenditure'!$C$10:$C$27,$C100),SUMIFS('Case study expenditure'!$F$10:$F$27,'Case study expenditure'!$B$10:$B$27,$B100,'Case study expenditure'!$C$10:$C$27,$C100),0)*'Financial inputs'!$D$13</f>
        <v>0</v>
      </c>
    </row>
    <row r="101" spans="2:25" ht="15.5">
      <c r="B101" s="2" t="str">
        <f t="shared" ref="B101" si="44">B92</f>
        <v>Miranda</v>
      </c>
      <c r="C101" s="2" t="str">
        <f t="shared" ref="C101:D101" si="45">C81</f>
        <v>High</v>
      </c>
      <c r="D101" s="35" t="str">
        <f t="shared" si="45"/>
        <v>$2024 real</v>
      </c>
      <c r="E101" s="174">
        <f>SUMPRODUCT($F101:$Y101,'Financial inputs'!$G$28:$Z$28)</f>
        <v>11388412.0952843</v>
      </c>
      <c r="F101" s="172">
        <f>IF(F$98=SUMIFS('Case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G101" s="172">
        <f>IF(G$98=SUMIFS('Case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H101" s="172">
        <f>IF(H$98=SUMIFS('Case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I101" s="172">
        <f>IF(I$98=SUMIFS('Case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J101" s="172">
        <f>IF(J$98=SUMIFS('Case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K101" s="172">
        <f>IF(K$98=SUMIFS('Case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L101" s="172">
        <f>IF(L$98=SUMIFS('Case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M101" s="172">
        <f>IF(M$98=SUMIFS('Case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N101" s="172">
        <f>IF(N$98=SUMIFS('Case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O101" s="172">
        <f>IF(O$98=SUMIFS('Case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P101" s="172">
        <f>IF(P$98=SUMIFS('Case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15604869.705543891</v>
      </c>
      <c r="Q101" s="172">
        <f>IF(Q$98=SUMIFS('Case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R101" s="172">
        <f>IF(R$98=SUMIFS('Case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S101" s="172">
        <f>IF(S$98=SUMIFS('Case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T101" s="172">
        <f>IF(T$98=SUMIFS('Case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U101" s="172">
        <f>IF(U$98=SUMIFS('Case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V101" s="172">
        <f>IF(V$98=SUMIFS('Case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W101" s="172">
        <f>IF(W$98=SUMIFS('Case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X101" s="172">
        <f>IF(X$98=SUMIFS('Case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  <c r="Y101" s="172">
        <f>IF(Y$98=SUMIFS('Case study expenditure'!$E$10:$E$27,'Case study expenditure'!$B$10:$B$27,$B101,'Case study expenditure'!$C$10:$C$27,$C101),SUMIFS('Case study expenditure'!$F$10:$F$27,'Case study expenditure'!$B$10:$B$27,$B101,'Case study expenditure'!$C$10:$C$27,$C101),0)*'Financial inputs'!$D$13</f>
        <v>0</v>
      </c>
    </row>
    <row r="103" spans="2:25" ht="21">
      <c r="B103" s="6" t="str" cm="1">
        <f t="array" ref="B103">INDEX(_xlfn._xlws.SORT(_xlfn.UNIQUE('Case study demand'!$B$10:$B$27)),6)</f>
        <v>Riverwood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5" spans="2:25" ht="15.5">
      <c r="B105" s="5" t="str">
        <f>B85</f>
        <v>Demand</v>
      </c>
      <c r="C105" s="39"/>
      <c r="D105" s="39"/>
      <c r="E105" s="39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2:25">
      <c r="C106" s="19"/>
      <c r="D106" s="19"/>
      <c r="E106" s="19"/>
    </row>
    <row r="107" spans="2:25" ht="15.5">
      <c r="B107" s="2" t="str">
        <f>B87</f>
        <v>Units: MW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2:25">
      <c r="C108" s="19"/>
      <c r="D108" s="19"/>
      <c r="E108" s="19"/>
    </row>
    <row r="109" spans="2:25" ht="15.5">
      <c r="B109" s="14" t="str">
        <f t="shared" ref="B109:Y109" si="46">B89</f>
        <v>Location</v>
      </c>
      <c r="C109" s="18" t="str">
        <f t="shared" si="46"/>
        <v>Scenario</v>
      </c>
      <c r="D109" s="18" t="str">
        <f t="shared" si="46"/>
        <v>Units</v>
      </c>
      <c r="E109" s="18" t="str">
        <f t="shared" si="46"/>
        <v>Present value</v>
      </c>
      <c r="F109" s="165">
        <f t="shared" si="46"/>
        <v>2025</v>
      </c>
      <c r="G109" s="165">
        <f t="shared" si="46"/>
        <v>2026</v>
      </c>
      <c r="H109" s="165">
        <f t="shared" si="46"/>
        <v>2027</v>
      </c>
      <c r="I109" s="165">
        <f t="shared" si="46"/>
        <v>2028</v>
      </c>
      <c r="J109" s="165">
        <f t="shared" si="46"/>
        <v>2029</v>
      </c>
      <c r="K109" s="165">
        <f t="shared" si="46"/>
        <v>2030</v>
      </c>
      <c r="L109" s="165">
        <f t="shared" si="46"/>
        <v>2031</v>
      </c>
      <c r="M109" s="165">
        <f t="shared" si="46"/>
        <v>2032</v>
      </c>
      <c r="N109" s="165">
        <f t="shared" si="46"/>
        <v>2033</v>
      </c>
      <c r="O109" s="165">
        <f t="shared" si="46"/>
        <v>2034</v>
      </c>
      <c r="P109" s="165">
        <f t="shared" si="46"/>
        <v>2035</v>
      </c>
      <c r="Q109" s="165">
        <f t="shared" si="46"/>
        <v>2036</v>
      </c>
      <c r="R109" s="165">
        <f t="shared" si="46"/>
        <v>2037</v>
      </c>
      <c r="S109" s="165">
        <f t="shared" si="46"/>
        <v>2038</v>
      </c>
      <c r="T109" s="165">
        <f t="shared" si="46"/>
        <v>2039</v>
      </c>
      <c r="U109" s="165">
        <f t="shared" si="46"/>
        <v>2040</v>
      </c>
      <c r="V109" s="165">
        <f t="shared" si="46"/>
        <v>2041</v>
      </c>
      <c r="W109" s="165">
        <f t="shared" si="46"/>
        <v>2042</v>
      </c>
      <c r="X109" s="165">
        <f t="shared" si="46"/>
        <v>2043</v>
      </c>
      <c r="Y109" s="165">
        <f t="shared" si="46"/>
        <v>2044</v>
      </c>
    </row>
    <row r="110" spans="2:25" ht="15.5">
      <c r="B110" s="2" t="str">
        <f>B103</f>
        <v>Riverwood</v>
      </c>
      <c r="C110" s="2" t="str">
        <f t="shared" ref="C110:D110" si="47">C90</f>
        <v>Low</v>
      </c>
      <c r="D110" s="35" t="str">
        <f t="shared" si="47"/>
        <v>MW</v>
      </c>
      <c r="E110" s="170">
        <f>SUMPRODUCT($F110:$Y110,'Financial inputs'!$G$28:$Z$28)</f>
        <v>425.10514873934125</v>
      </c>
      <c r="F110" s="171">
        <f>SUMIFS('Case study demand'!E$10:E$27,'Case study demand'!$B$10:$B$27,$B110,'Case study demand'!$C$10:$C$27,$C110)</f>
        <v>26.77458</v>
      </c>
      <c r="G110" s="171">
        <f>SUMIFS('Case study demand'!F$10:F$27,'Case study demand'!$B$10:$B$27,$B110,'Case study demand'!$C$10:$C$27,$C110)</f>
        <v>27.14902</v>
      </c>
      <c r="H110" s="171">
        <f>SUMIFS('Case study demand'!G$10:G$27,'Case study demand'!$B$10:$B$27,$B110,'Case study demand'!$C$10:$C$27,$C110)</f>
        <v>27.350809999999999</v>
      </c>
      <c r="I110" s="171">
        <f>SUMIFS('Case study demand'!H$10:H$27,'Case study demand'!$B$10:$B$27,$B110,'Case study demand'!$C$10:$C$27,$C110)</f>
        <v>27.58746</v>
      </c>
      <c r="J110" s="171">
        <f>SUMIFS('Case study demand'!I$10:I$27,'Case study demand'!$B$10:$B$27,$B110,'Case study demand'!$C$10:$C$27,$C110)</f>
        <v>27.885929999999998</v>
      </c>
      <c r="K110" s="171">
        <f>SUMIFS('Case study demand'!J$10:J$27,'Case study demand'!$B$10:$B$27,$B110,'Case study demand'!$C$10:$C$27,$C110)</f>
        <v>28.12576</v>
      </c>
      <c r="L110" s="171">
        <f>SUMIFS('Case study demand'!K$10:K$27,'Case study demand'!$B$10:$B$27,$B110,'Case study demand'!$C$10:$C$27,$C110)</f>
        <v>28.50761</v>
      </c>
      <c r="M110" s="171">
        <f>SUMIFS('Case study demand'!L$10:L$27,'Case study demand'!$B$10:$B$27,$B110,'Case study demand'!$C$10:$C$27,$C110)</f>
        <v>28.670169999999999</v>
      </c>
      <c r="N110" s="171">
        <f>SUMIFS('Case study demand'!M$10:M$27,'Case study demand'!$B$10:$B$27,$B110,'Case study demand'!$C$10:$C$27,$C110)</f>
        <v>28.701519999999999</v>
      </c>
      <c r="O110" s="171">
        <f>SUMIFS('Case study demand'!N$10:N$27,'Case study demand'!$B$10:$B$27,$B110,'Case study demand'!$C$10:$C$27,$C110)</f>
        <v>28.461980000000001</v>
      </c>
      <c r="P110" s="171">
        <f>SUMIFS('Case study demand'!O$10:O$27,'Case study demand'!$B$10:$B$27,$B110,'Case study demand'!$C$10:$C$27,$C110)</f>
        <v>28.02214</v>
      </c>
      <c r="Q110" s="171">
        <f>SUMIFS('Case study demand'!P$10:P$27,'Case study demand'!$B$10:$B$27,$B110,'Case study demand'!$C$10:$C$27,$C110)</f>
        <v>27.675239999999999</v>
      </c>
      <c r="R110" s="171">
        <f>SUMIFS('Case study demand'!Q$10:Q$27,'Case study demand'!$B$10:$B$27,$B110,'Case study demand'!$C$10:$C$27,$C110)</f>
        <v>27.72833</v>
      </c>
      <c r="S110" s="171">
        <f>SUMIFS('Case study demand'!R$10:R$27,'Case study demand'!$B$10:$B$27,$B110,'Case study demand'!$C$10:$C$27,$C110)</f>
        <v>27.997330000000002</v>
      </c>
      <c r="T110" s="171">
        <f>SUMIFS('Case study demand'!S$10:S$27,'Case study demand'!$B$10:$B$27,$B110,'Case study demand'!$C$10:$C$27,$C110)</f>
        <v>28.35474</v>
      </c>
      <c r="U110" s="171">
        <f>SUMIFS('Case study demand'!T$10:T$27,'Case study demand'!$B$10:$B$27,$B110,'Case study demand'!$C$10:$C$27,$C110)</f>
        <v>28.72401</v>
      </c>
      <c r="V110" s="171">
        <f>SUMIFS('Case study demand'!U$10:U$27,'Case study demand'!$B$10:$B$27,$B110,'Case study demand'!$C$10:$C$27,$C110)</f>
        <v>29.13775</v>
      </c>
      <c r="W110" s="171">
        <f>SUMIFS('Case study demand'!V$10:V$27,'Case study demand'!$B$10:$B$27,$B110,'Case study demand'!$C$10:$C$27,$C110)</f>
        <v>29.528839999999999</v>
      </c>
      <c r="X110" s="171">
        <f>SUMIFS('Case study demand'!W$10:W$27,'Case study demand'!$B$10:$B$27,$B110,'Case study demand'!$C$10:$C$27,$C110)</f>
        <v>29.911010000000001</v>
      </c>
      <c r="Y110" s="171">
        <f>SUMIFS('Case study demand'!X$10:X$27,'Case study demand'!$B$10:$B$27,$B110,'Case study demand'!$C$10:$C$27,$C110)</f>
        <v>30.330490000000001</v>
      </c>
    </row>
    <row r="111" spans="2:25" ht="15.5">
      <c r="B111" s="2" t="str">
        <f>B110</f>
        <v>Riverwood</v>
      </c>
      <c r="C111" s="2" t="str">
        <f t="shared" ref="C111:D111" si="48">C91</f>
        <v>Base</v>
      </c>
      <c r="D111" s="35" t="str">
        <f t="shared" si="48"/>
        <v>MW</v>
      </c>
      <c r="E111" s="170">
        <f>SUMPRODUCT($F111:$Y111,'Financial inputs'!$G$28:$Z$28)</f>
        <v>443.1318205762721</v>
      </c>
      <c r="F111" s="171">
        <f>SUMIFS('Case study demand'!E$10:E$27,'Case study demand'!$B$10:$B$27,$B111,'Case study demand'!$C$10:$C$27,$C111)</f>
        <v>27.963100000000001</v>
      </c>
      <c r="G111" s="171">
        <f>SUMIFS('Case study demand'!F$10:F$27,'Case study demand'!$B$10:$B$27,$B111,'Case study demand'!$C$10:$C$27,$C111)</f>
        <v>28.345469999999999</v>
      </c>
      <c r="H111" s="171">
        <f>SUMIFS('Case study demand'!G$10:G$27,'Case study demand'!$B$10:$B$27,$B111,'Case study demand'!$C$10:$C$27,$C111)</f>
        <v>28.547260000000001</v>
      </c>
      <c r="I111" s="171">
        <f>SUMIFS('Case study demand'!H$10:H$27,'Case study demand'!$B$10:$B$27,$B111,'Case study demand'!$C$10:$C$27,$C111)</f>
        <v>28.783899999999999</v>
      </c>
      <c r="J111" s="171">
        <f>SUMIFS('Case study demand'!I$10:I$27,'Case study demand'!$B$10:$B$27,$B111,'Case study demand'!$C$10:$C$27,$C111)</f>
        <v>29.082380000000001</v>
      </c>
      <c r="K111" s="171">
        <f>SUMIFS('Case study demand'!J$10:J$27,'Case study demand'!$B$10:$B$27,$B111,'Case study demand'!$C$10:$C$27,$C111)</f>
        <v>29.322209999999998</v>
      </c>
      <c r="L111" s="171">
        <f>SUMIFS('Case study demand'!K$10:K$27,'Case study demand'!$B$10:$B$27,$B111,'Case study demand'!$C$10:$C$27,$C111)</f>
        <v>29.704059999999998</v>
      </c>
      <c r="M111" s="171">
        <f>SUMIFS('Case study demand'!L$10:L$27,'Case study demand'!$B$10:$B$27,$B111,'Case study demand'!$C$10:$C$27,$C111)</f>
        <v>29.866620000000001</v>
      </c>
      <c r="N111" s="171">
        <f>SUMIFS('Case study demand'!M$10:M$27,'Case study demand'!$B$10:$B$27,$B111,'Case study demand'!$C$10:$C$27,$C111)</f>
        <v>29.897970000000001</v>
      </c>
      <c r="O111" s="171">
        <f>SUMIFS('Case study demand'!N$10:N$27,'Case study demand'!$B$10:$B$27,$B111,'Case study demand'!$C$10:$C$27,$C111)</f>
        <v>29.65842</v>
      </c>
      <c r="P111" s="171">
        <f>SUMIFS('Case study demand'!O$10:O$27,'Case study demand'!$B$10:$B$27,$B111,'Case study demand'!$C$10:$C$27,$C111)</f>
        <v>29.218589999999999</v>
      </c>
      <c r="Q111" s="171">
        <f>SUMIFS('Case study demand'!P$10:P$27,'Case study demand'!$B$10:$B$27,$B111,'Case study demand'!$C$10:$C$27,$C111)</f>
        <v>28.871690000000001</v>
      </c>
      <c r="R111" s="171">
        <f>SUMIFS('Case study demand'!Q$10:Q$27,'Case study demand'!$B$10:$B$27,$B111,'Case study demand'!$C$10:$C$27,$C111)</f>
        <v>28.924769999999999</v>
      </c>
      <c r="S111" s="171">
        <f>SUMIFS('Case study demand'!R$10:R$27,'Case study demand'!$B$10:$B$27,$B111,'Case study demand'!$C$10:$C$27,$C111)</f>
        <v>29.19378</v>
      </c>
      <c r="T111" s="171">
        <f>SUMIFS('Case study demand'!S$10:S$27,'Case study demand'!$B$10:$B$27,$B111,'Case study demand'!$C$10:$C$27,$C111)</f>
        <v>29.551189999999998</v>
      </c>
      <c r="U111" s="171">
        <f>SUMIFS('Case study demand'!T$10:T$27,'Case study demand'!$B$10:$B$27,$B111,'Case study demand'!$C$10:$C$27,$C111)</f>
        <v>29.920449999999999</v>
      </c>
      <c r="V111" s="171">
        <f>SUMIFS('Case study demand'!U$10:U$27,'Case study demand'!$B$10:$B$27,$B111,'Case study demand'!$C$10:$C$27,$C111)</f>
        <v>30.334199999999999</v>
      </c>
      <c r="W111" s="171">
        <f>SUMIFS('Case study demand'!V$10:V$27,'Case study demand'!$B$10:$B$27,$B111,'Case study demand'!$C$10:$C$27,$C111)</f>
        <v>30.725290000000001</v>
      </c>
      <c r="X111" s="171">
        <f>SUMIFS('Case study demand'!W$10:W$27,'Case study demand'!$B$10:$B$27,$B111,'Case study demand'!$C$10:$C$27,$C111)</f>
        <v>31.10746</v>
      </c>
      <c r="Y111" s="171">
        <f>SUMIFS('Case study demand'!X$10:X$27,'Case study demand'!$B$10:$B$27,$B111,'Case study demand'!$C$10:$C$27,$C111)</f>
        <v>31.52693</v>
      </c>
    </row>
    <row r="112" spans="2:25" ht="15.5">
      <c r="B112" s="2" t="str">
        <f>B111</f>
        <v>Riverwood</v>
      </c>
      <c r="C112" s="2" t="str">
        <f t="shared" ref="C112:D112" si="49">C92</f>
        <v>High</v>
      </c>
      <c r="D112" s="35" t="str">
        <f t="shared" si="49"/>
        <v>MW</v>
      </c>
      <c r="E112" s="170">
        <f>SUMPRODUCT($F112:$Y112,'Financial inputs'!$G$28:$Z$28)</f>
        <v>466.18228949563519</v>
      </c>
      <c r="F112" s="171">
        <f>SUMIFS('Case study demand'!E$10:E$27,'Case study demand'!$B$10:$B$27,$B112,'Case study demand'!$C$10:$C$27,$C112)</f>
        <v>29.482849999999999</v>
      </c>
      <c r="G112" s="171">
        <f>SUMIFS('Case study demand'!F$10:F$27,'Case study demand'!$B$10:$B$27,$B112,'Case study demand'!$C$10:$C$27,$C112)</f>
        <v>29.875350000000001</v>
      </c>
      <c r="H112" s="171">
        <f>SUMIFS('Case study demand'!G$10:G$27,'Case study demand'!$B$10:$B$27,$B112,'Case study demand'!$C$10:$C$27,$C112)</f>
        <v>30.07714</v>
      </c>
      <c r="I112" s="171">
        <f>SUMIFS('Case study demand'!H$10:H$27,'Case study demand'!$B$10:$B$27,$B112,'Case study demand'!$C$10:$C$27,$C112)</f>
        <v>30.313780000000001</v>
      </c>
      <c r="J112" s="171">
        <f>SUMIFS('Case study demand'!I$10:I$27,'Case study demand'!$B$10:$B$27,$B112,'Case study demand'!$C$10:$C$27,$C112)</f>
        <v>30.612259999999999</v>
      </c>
      <c r="K112" s="171">
        <f>SUMIFS('Case study demand'!J$10:J$27,'Case study demand'!$B$10:$B$27,$B112,'Case study demand'!$C$10:$C$27,$C112)</f>
        <v>30.85209</v>
      </c>
      <c r="L112" s="171">
        <f>SUMIFS('Case study demand'!K$10:K$27,'Case study demand'!$B$10:$B$27,$B112,'Case study demand'!$C$10:$C$27,$C112)</f>
        <v>31.23394</v>
      </c>
      <c r="M112" s="171">
        <f>SUMIFS('Case study demand'!L$10:L$27,'Case study demand'!$B$10:$B$27,$B112,'Case study demand'!$C$10:$C$27,$C112)</f>
        <v>31.3965</v>
      </c>
      <c r="N112" s="171">
        <f>SUMIFS('Case study demand'!M$10:M$27,'Case study demand'!$B$10:$B$27,$B112,'Case study demand'!$C$10:$C$27,$C112)</f>
        <v>31.427849999999999</v>
      </c>
      <c r="O112" s="171">
        <f>SUMIFS('Case study demand'!N$10:N$27,'Case study demand'!$B$10:$B$27,$B112,'Case study demand'!$C$10:$C$27,$C112)</f>
        <v>31.188310000000001</v>
      </c>
      <c r="P112" s="171">
        <f>SUMIFS('Case study demand'!O$10:O$27,'Case study demand'!$B$10:$B$27,$B112,'Case study demand'!$C$10:$C$27,$C112)</f>
        <v>30.748470000000001</v>
      </c>
      <c r="Q112" s="171">
        <f>SUMIFS('Case study demand'!P$10:P$27,'Case study demand'!$B$10:$B$27,$B112,'Case study demand'!$C$10:$C$27,$C112)</f>
        <v>30.40157</v>
      </c>
      <c r="R112" s="171">
        <f>SUMIFS('Case study demand'!Q$10:Q$27,'Case study demand'!$B$10:$B$27,$B112,'Case study demand'!$C$10:$C$27,$C112)</f>
        <v>30.454650000000001</v>
      </c>
      <c r="S112" s="171">
        <f>SUMIFS('Case study demand'!R$10:R$27,'Case study demand'!$B$10:$B$27,$B112,'Case study demand'!$C$10:$C$27,$C112)</f>
        <v>30.723659999999999</v>
      </c>
      <c r="T112" s="171">
        <f>SUMIFS('Case study demand'!S$10:S$27,'Case study demand'!$B$10:$B$27,$B112,'Case study demand'!$C$10:$C$27,$C112)</f>
        <v>31.08107</v>
      </c>
      <c r="U112" s="171">
        <f>SUMIFS('Case study demand'!T$10:T$27,'Case study demand'!$B$10:$B$27,$B112,'Case study demand'!$C$10:$C$27,$C112)</f>
        <v>31.450340000000001</v>
      </c>
      <c r="V112" s="171">
        <f>SUMIFS('Case study demand'!U$10:U$27,'Case study demand'!$B$10:$B$27,$B112,'Case study demand'!$C$10:$C$27,$C112)</f>
        <v>31.864080000000001</v>
      </c>
      <c r="W112" s="171">
        <f>SUMIFS('Case study demand'!V$10:V$27,'Case study demand'!$B$10:$B$27,$B112,'Case study demand'!$C$10:$C$27,$C112)</f>
        <v>32.25517</v>
      </c>
      <c r="X112" s="171">
        <f>SUMIFS('Case study demand'!W$10:W$27,'Case study demand'!$B$10:$B$27,$B112,'Case study demand'!$C$10:$C$27,$C112)</f>
        <v>32.637340000000002</v>
      </c>
      <c r="Y112" s="171">
        <f>SUMIFS('Case study demand'!X$10:X$27,'Case study demand'!$B$10:$B$27,$B112,'Case study demand'!$C$10:$C$27,$C112)</f>
        <v>33.056820000000002</v>
      </c>
    </row>
    <row r="113" spans="2:25" ht="15.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2:25" ht="15.5">
      <c r="B114" s="5" t="str">
        <f>B94</f>
        <v>Expenditure</v>
      </c>
      <c r="C114" s="39"/>
      <c r="D114" s="39"/>
      <c r="E114" s="39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2:25">
      <c r="C115" s="19"/>
      <c r="D115" s="19"/>
      <c r="E115" s="19"/>
    </row>
    <row r="116" spans="2:25" ht="15.5">
      <c r="B116" s="2" t="str">
        <f>B96</f>
        <v>Units: $2024 real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2:25">
      <c r="C117" s="19"/>
      <c r="D117" s="19"/>
      <c r="E117" s="19"/>
      <c r="K117" s="173"/>
    </row>
    <row r="118" spans="2:25" ht="15.5">
      <c r="B118" s="14" t="str">
        <f t="shared" ref="B118:Y118" si="50">B98</f>
        <v>Location</v>
      </c>
      <c r="C118" s="18" t="str">
        <f t="shared" si="50"/>
        <v>Scenario</v>
      </c>
      <c r="D118" s="18" t="str">
        <f t="shared" si="50"/>
        <v>Units</v>
      </c>
      <c r="E118" s="18" t="str">
        <f t="shared" si="50"/>
        <v>Present value</v>
      </c>
      <c r="F118" s="165">
        <f t="shared" si="50"/>
        <v>2025</v>
      </c>
      <c r="G118" s="165">
        <f t="shared" si="50"/>
        <v>2026</v>
      </c>
      <c r="H118" s="165">
        <f t="shared" si="50"/>
        <v>2027</v>
      </c>
      <c r="I118" s="165">
        <f t="shared" si="50"/>
        <v>2028</v>
      </c>
      <c r="J118" s="165">
        <f t="shared" si="50"/>
        <v>2029</v>
      </c>
      <c r="K118" s="165">
        <f t="shared" si="50"/>
        <v>2030</v>
      </c>
      <c r="L118" s="165">
        <f t="shared" si="50"/>
        <v>2031</v>
      </c>
      <c r="M118" s="165">
        <f t="shared" si="50"/>
        <v>2032</v>
      </c>
      <c r="N118" s="165">
        <f t="shared" si="50"/>
        <v>2033</v>
      </c>
      <c r="O118" s="165">
        <f t="shared" si="50"/>
        <v>2034</v>
      </c>
      <c r="P118" s="165">
        <f t="shared" si="50"/>
        <v>2035</v>
      </c>
      <c r="Q118" s="165">
        <f t="shared" si="50"/>
        <v>2036</v>
      </c>
      <c r="R118" s="165">
        <f t="shared" si="50"/>
        <v>2037</v>
      </c>
      <c r="S118" s="165">
        <f t="shared" si="50"/>
        <v>2038</v>
      </c>
      <c r="T118" s="165">
        <f t="shared" si="50"/>
        <v>2039</v>
      </c>
      <c r="U118" s="165">
        <f t="shared" si="50"/>
        <v>2040</v>
      </c>
      <c r="V118" s="165">
        <f t="shared" si="50"/>
        <v>2041</v>
      </c>
      <c r="W118" s="165">
        <f t="shared" si="50"/>
        <v>2042</v>
      </c>
      <c r="X118" s="165">
        <f t="shared" si="50"/>
        <v>2043</v>
      </c>
      <c r="Y118" s="165">
        <f t="shared" si="50"/>
        <v>2044</v>
      </c>
    </row>
    <row r="119" spans="2:25" ht="15.5">
      <c r="B119" s="2" t="str">
        <f>B110</f>
        <v>Riverwood</v>
      </c>
      <c r="C119" s="2" t="str">
        <f t="shared" ref="C119:D119" si="51">C99</f>
        <v>Low</v>
      </c>
      <c r="D119" s="35" t="str">
        <f t="shared" si="51"/>
        <v>$2024 real</v>
      </c>
      <c r="E119" s="174">
        <f>SUMPRODUCT($F119:$Y119,'Financial inputs'!$G$28:$Z$28)</f>
        <v>10544971.825762736</v>
      </c>
      <c r="F119" s="172">
        <f>IF(F$118=SUMIFS('Case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G119" s="172">
        <f>IF(G$118=SUMIFS('Case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H119" s="172">
        <f>IF(H$118=SUMIFS('Case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I119" s="172">
        <f>IF(I$118=SUMIFS('Case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J119" s="172">
        <f>IF(J$118=SUMIFS('Case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K119" s="172">
        <f>IF(K$118=SUMIFS('Case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L119" s="172">
        <f>IF(L$118=SUMIFS('Case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M119" s="172">
        <f>IF(M$118=SUMIFS('Case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N119" s="172">
        <f>IF(N$118=SUMIFS('Case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O119" s="172">
        <f>IF(O$118=SUMIFS('Case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P119" s="172">
        <f>IF(P$118=SUMIFS('Case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14449153.228113042</v>
      </c>
      <c r="Q119" s="172">
        <f>IF(Q$118=SUMIFS('Case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R119" s="172">
        <f>IF(R$118=SUMIFS('Case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S119" s="172">
        <f>IF(S$118=SUMIFS('Case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T119" s="172">
        <f>IF(T$118=SUMIFS('Case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U119" s="172">
        <f>IF(U$118=SUMIFS('Case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V119" s="172">
        <f>IF(V$118=SUMIFS('Case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W119" s="172">
        <f>IF(W$118=SUMIFS('Case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X119" s="172">
        <f>IF(X$118=SUMIFS('Case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  <c r="Y119" s="172">
        <f>IF(Y$118=SUMIFS('Case study expenditure'!$E$10:$E$27,'Case study expenditure'!$B$10:$B$27,$B119,'Case study expenditure'!$C$10:$C$27,$C119),SUMIFS('Case study expenditure'!$F$10:$F$27,'Case study expenditure'!$B$10:$B$27,$B119,'Case study expenditure'!$C$10:$C$27,$C119),0)*'Financial inputs'!$D$13</f>
        <v>0</v>
      </c>
    </row>
    <row r="120" spans="2:25" ht="15.5">
      <c r="B120" s="2" t="str">
        <f t="shared" ref="B120" si="52">B111</f>
        <v>Riverwood</v>
      </c>
      <c r="C120" s="2" t="str">
        <f t="shared" ref="C120:D120" si="53">C100</f>
        <v>Base</v>
      </c>
      <c r="D120" s="35" t="str">
        <f t="shared" si="53"/>
        <v>$2024 real</v>
      </c>
      <c r="E120" s="174">
        <f>SUMPRODUCT($F120:$Y120,'Financial inputs'!$G$28:$Z$28)</f>
        <v>10882410.924187141</v>
      </c>
      <c r="F120" s="172">
        <f>IF(F$118=SUMIFS('Case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G120" s="172">
        <f>IF(G$118=SUMIFS('Case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H120" s="172">
        <f>IF(H$118=SUMIFS('Case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I120" s="172">
        <f>IF(I$118=SUMIFS('Case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J120" s="172">
        <f>IF(J$118=SUMIFS('Case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K120" s="172">
        <f>IF(K$118=SUMIFS('Case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L120" s="172">
        <f>IF(L$118=SUMIFS('Case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M120" s="172">
        <f>IF(M$118=SUMIFS('Case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N120" s="172">
        <f>IF(N$118=SUMIFS('Case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O120" s="172">
        <f>IF(O$118=SUMIFS('Case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14449153.228113042</v>
      </c>
      <c r="P120" s="172">
        <f>IF(P$118=SUMIFS('Case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Q120" s="172">
        <f>IF(Q$118=SUMIFS('Case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R120" s="172">
        <f>IF(R$118=SUMIFS('Case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S120" s="172">
        <f>IF(S$118=SUMIFS('Case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T120" s="172">
        <f>IF(T$118=SUMIFS('Case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U120" s="172">
        <f>IF(U$118=SUMIFS('Case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V120" s="172">
        <f>IF(V$118=SUMIFS('Case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W120" s="172">
        <f>IF(W$118=SUMIFS('Case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X120" s="172">
        <f>IF(X$118=SUMIFS('Case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  <c r="Y120" s="172">
        <f>IF(Y$118=SUMIFS('Case study expenditure'!$E$10:$E$27,'Case study expenditure'!$B$10:$B$27,$B120,'Case study expenditure'!$C$10:$C$27,$C120),SUMIFS('Case study expenditure'!$F$10:$F$27,'Case study expenditure'!$B$10:$B$27,$B120,'Case study expenditure'!$C$10:$C$27,$C120),0)*'Financial inputs'!$D$13</f>
        <v>0</v>
      </c>
    </row>
    <row r="121" spans="2:25" ht="15.5">
      <c r="B121" s="2" t="str">
        <f t="shared" ref="B121" si="54">B112</f>
        <v>Riverwood</v>
      </c>
      <c r="C121" s="2" t="str">
        <f t="shared" ref="C121:D121" si="55">C101</f>
        <v>High</v>
      </c>
      <c r="D121" s="35" t="str">
        <f t="shared" si="55"/>
        <v>$2024 real</v>
      </c>
      <c r="E121" s="174">
        <f>SUMPRODUCT($F121:$Y121,'Financial inputs'!$G$28:$Z$28)</f>
        <v>11230648.07376113</v>
      </c>
      <c r="F121" s="172">
        <f>IF(F$118=SUMIFS('Case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G121" s="172">
        <f>IF(G$118=SUMIFS('Case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H121" s="172">
        <f>IF(H$118=SUMIFS('Case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I121" s="172">
        <f>IF(I$118=SUMIFS('Case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J121" s="172">
        <f>IF(J$118=SUMIFS('Case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K121" s="172">
        <f>IF(K$118=SUMIFS('Case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L121" s="172">
        <f>IF(L$118=SUMIFS('Case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M121" s="172">
        <f>IF(M$118=SUMIFS('Case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N121" s="172">
        <f>IF(N$118=SUMIFS('Case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14449153.228113042</v>
      </c>
      <c r="O121" s="172">
        <f>IF(O$118=SUMIFS('Case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P121" s="172">
        <f>IF(P$118=SUMIFS('Case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Q121" s="172">
        <f>IF(Q$118=SUMIFS('Case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R121" s="172">
        <f>IF(R$118=SUMIFS('Case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S121" s="172">
        <f>IF(S$118=SUMIFS('Case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T121" s="172">
        <f>IF(T$118=SUMIFS('Case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U121" s="172">
        <f>IF(U$118=SUMIFS('Case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V121" s="172">
        <f>IF(V$118=SUMIFS('Case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W121" s="172">
        <f>IF(W$118=SUMIFS('Case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X121" s="172">
        <f>IF(X$118=SUMIFS('Case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  <c r="Y121" s="172">
        <f>IF(Y$118=SUMIFS('Case study expenditure'!$E$10:$E$27,'Case study expenditure'!$B$10:$B$27,$B121,'Case study expenditure'!$C$10:$C$27,$C121),SUMIFS('Case study expenditure'!$F$10:$F$27,'Case study expenditure'!$B$10:$B$27,$B121,'Case study expenditure'!$C$10:$C$27,$C121),0)*'Financial inputs'!$D$13</f>
        <v>0</v>
      </c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E5BDE6"/>
  </sheetPr>
  <dimension ref="A1:G41"/>
  <sheetViews>
    <sheetView showGridLines="0" zoomScale="70" zoomScaleNormal="70" workbookViewId="0"/>
  </sheetViews>
  <sheetFormatPr defaultColWidth="20.84375" defaultRowHeight="14"/>
  <cols>
    <col min="1" max="7" width="24.84375" style="1" customWidth="1"/>
    <col min="8" max="16384" width="20.84375" style="1"/>
  </cols>
  <sheetData>
    <row r="1" spans="1:7" ht="18">
      <c r="A1" s="49" t="str">
        <f ca="1">MID(CELL("filename",A2),FIND("]",CELL("filename",A2))+1,256)</f>
        <v>Control and results</v>
      </c>
    </row>
    <row r="3" spans="1:7" ht="21">
      <c r="B3" s="6" t="s">
        <v>1</v>
      </c>
      <c r="C3" s="6"/>
      <c r="D3" s="6"/>
      <c r="E3" s="6"/>
    </row>
    <row r="5" spans="1:7" ht="15.5">
      <c r="B5" s="5" t="s">
        <v>2</v>
      </c>
      <c r="C5" s="5"/>
      <c r="D5" s="5"/>
      <c r="E5" s="5"/>
    </row>
    <row r="7" spans="1:7" ht="15.5">
      <c r="B7" s="14" t="s">
        <v>3</v>
      </c>
      <c r="C7" s="14" t="s">
        <v>4</v>
      </c>
      <c r="D7" s="14" t="s">
        <v>291</v>
      </c>
      <c r="E7" s="14"/>
    </row>
    <row r="8" spans="1:7" ht="15.5">
      <c r="B8" s="2" t="s">
        <v>5</v>
      </c>
      <c r="C8" s="9">
        <v>3.2000000000000001E-2</v>
      </c>
      <c r="D8" s="2" t="s">
        <v>6</v>
      </c>
      <c r="E8" s="2"/>
    </row>
    <row r="9" spans="1:7" customFormat="1" ht="15.5">
      <c r="A9" s="1"/>
      <c r="B9" s="2" t="s">
        <v>7</v>
      </c>
      <c r="C9" s="60">
        <f>Opex!C43</f>
        <v>1.8787184502186461E-2</v>
      </c>
      <c r="D9" s="2"/>
      <c r="E9" s="2"/>
    </row>
    <row r="10" spans="1:7" customFormat="1" ht="15.5">
      <c r="A10" s="1"/>
      <c r="B10" s="2" t="s">
        <v>8</v>
      </c>
      <c r="C10" s="4">
        <v>40</v>
      </c>
      <c r="D10" s="2" t="s">
        <v>292</v>
      </c>
      <c r="E10" s="2"/>
    </row>
    <row r="11" spans="1:7" ht="15.5">
      <c r="B11"/>
      <c r="C11"/>
      <c r="D11"/>
    </row>
    <row r="12" spans="1:7" ht="21">
      <c r="B12" s="6" t="s">
        <v>9</v>
      </c>
      <c r="C12" s="6"/>
      <c r="D12" s="6"/>
      <c r="E12" s="6"/>
      <c r="F12"/>
      <c r="G12"/>
    </row>
    <row r="13" spans="1:7" ht="15.5">
      <c r="F13"/>
      <c r="G13"/>
    </row>
    <row r="14" spans="1:7" ht="15.5">
      <c r="B14" s="5" t="s">
        <v>10</v>
      </c>
      <c r="C14" s="5"/>
      <c r="D14" s="5"/>
      <c r="E14" s="5"/>
      <c r="F14"/>
      <c r="G14"/>
    </row>
    <row r="15" spans="1:7" ht="15.5">
      <c r="F15"/>
      <c r="G15"/>
    </row>
    <row r="16" spans="1:7" ht="15.5">
      <c r="B16" s="2" t="s">
        <v>11</v>
      </c>
      <c r="C16" s="2"/>
      <c r="D16" s="2"/>
      <c r="E16" s="2"/>
      <c r="F16"/>
      <c r="G16"/>
    </row>
    <row r="18" spans="1:7" ht="31">
      <c r="B18" s="14"/>
      <c r="C18" s="14" t="s">
        <v>69</v>
      </c>
      <c r="D18" s="78" t="s">
        <v>12</v>
      </c>
      <c r="E18" s="78" t="s">
        <v>13</v>
      </c>
    </row>
    <row r="19" spans="1:7" customFormat="1" ht="15.5">
      <c r="B19" s="10" t="str" cm="1">
        <f t="array" ref="B19:B21">network_levels</f>
        <v>LV</v>
      </c>
      <c r="C19" s="10" t="str">
        <f>"$" &amp; base_year &amp; " real"</f>
        <v>$2024 real</v>
      </c>
      <c r="D19" s="187">
        <f>'Ausgrid TSS 2019-24'!$C10*'Financial inputs'!$D$10</f>
        <v>67.094123767657038</v>
      </c>
      <c r="E19" s="187">
        <f>'LRMC - growth'!E8</f>
        <v>42.577576835317998</v>
      </c>
      <c r="F19" s="1"/>
      <c r="G19" s="1"/>
    </row>
    <row r="20" spans="1:7" customFormat="1" ht="15.5">
      <c r="B20" s="10" t="str">
        <v>HV</v>
      </c>
      <c r="C20" s="10" t="str">
        <f>C19</f>
        <v>$2024 real</v>
      </c>
      <c r="D20" s="187">
        <f>'Ausgrid TSS 2019-24'!$C11*'Financial inputs'!$D$10</f>
        <v>42.97148872065921</v>
      </c>
      <c r="E20" s="187">
        <f>'LRMC - growth'!E9</f>
        <v>15.978066111039192</v>
      </c>
      <c r="F20" s="1"/>
      <c r="G20" s="1"/>
    </row>
    <row r="21" spans="1:7" customFormat="1" ht="15.5">
      <c r="B21" s="10" t="str">
        <v>ST</v>
      </c>
      <c r="C21" s="10" t="str">
        <f>C20</f>
        <v>$2024 real</v>
      </c>
      <c r="D21" s="187">
        <f>'Ausgrid TSS 2019-24'!$C12*'Financial inputs'!$D$10</f>
        <v>7.6168558001555438</v>
      </c>
      <c r="E21" s="187">
        <f>'LRMC - growth'!E10</f>
        <v>3.3499356684300414</v>
      </c>
      <c r="F21" s="1"/>
      <c r="G21" s="1"/>
    </row>
    <row r="22" spans="1:7" customFormat="1" ht="15.5">
      <c r="F22" s="1"/>
      <c r="G22" s="1"/>
    </row>
    <row r="23" spans="1:7" customFormat="1" ht="15.5">
      <c r="B23" s="78"/>
      <c r="C23" s="180" t="str">
        <f>C18</f>
        <v>Units</v>
      </c>
      <c r="D23" s="78" t="s">
        <v>337</v>
      </c>
      <c r="E23" s="78" t="s">
        <v>336</v>
      </c>
    </row>
    <row r="24" spans="1:7" customFormat="1" ht="32.25" customHeight="1">
      <c r="B24" s="20" t="s">
        <v>15</v>
      </c>
      <c r="C24" s="20" t="str">
        <f>C19</f>
        <v>$2024 real</v>
      </c>
      <c r="D24" s="188">
        <f>_xlfn.MINIFS('LRMC - declining (case studies)'!$L$10:$L$27,'LRMC - declining (case studies)'!$L$10:$L$27, "&gt;"&amp;0)</f>
        <v>9.9457257523444103</v>
      </c>
      <c r="E24" s="188">
        <f>MAX('LRMC - declining (case studies)'!$L$10:$L$27)</f>
        <v>33.496652264774497</v>
      </c>
    </row>
    <row r="25" spans="1:7" customFormat="1" ht="15.5">
      <c r="C25" s="1"/>
    </row>
    <row r="26" spans="1:7" customFormat="1" ht="15.5"/>
    <row r="27" spans="1:7" customFormat="1" ht="15.5"/>
    <row r="28" spans="1:7" ht="15.5">
      <c r="A28"/>
      <c r="B28"/>
      <c r="C28"/>
      <c r="D28"/>
    </row>
    <row r="30" spans="1:7" customFormat="1" ht="15.5">
      <c r="D30" s="1"/>
    </row>
    <row r="31" spans="1:7" customFormat="1" ht="15.5">
      <c r="D31" s="1"/>
    </row>
    <row r="32" spans="1:7" customFormat="1" ht="15.5"/>
    <row r="33" customFormat="1" ht="15.5"/>
    <row r="34" customFormat="1" ht="15.5"/>
    <row r="35" customFormat="1" ht="15.5"/>
    <row r="36" customFormat="1" ht="15.5"/>
    <row r="37" customFormat="1" ht="15.5"/>
    <row r="38" customFormat="1" ht="15.5"/>
    <row r="39" customFormat="1" ht="15.5"/>
    <row r="40" customFormat="1" ht="15.5"/>
    <row r="41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35DC5-4F2F-4F34-B6C7-6762163B07C1}">
  <sheetPr>
    <tabColor rgb="FFE0D4A4"/>
  </sheetPr>
  <dimension ref="A1:Y33"/>
  <sheetViews>
    <sheetView showGridLines="0" zoomScale="70" zoomScaleNormal="70" workbookViewId="0"/>
  </sheetViews>
  <sheetFormatPr defaultColWidth="8.84375" defaultRowHeight="14"/>
  <cols>
    <col min="1" max="1" width="21.84375" style="1" bestFit="1" customWidth="1"/>
    <col min="2" max="2" width="13.07421875" style="1" customWidth="1"/>
    <col min="3" max="3" width="8.69140625" style="1" bestFit="1" customWidth="1"/>
    <col min="4" max="12" width="5.4609375" style="1" bestFit="1" customWidth="1"/>
    <col min="13" max="24" width="6.4609375" style="1" bestFit="1" customWidth="1"/>
    <col min="25" max="16384" width="8.84375" style="1"/>
  </cols>
  <sheetData>
    <row r="1" spans="1:25" ht="18">
      <c r="A1" s="49" t="str">
        <f ca="1">MID(CELL("filename",A2),FIND("]",CELL("filename",A2))+1,256)</f>
        <v>Case study demand</v>
      </c>
    </row>
    <row r="2" spans="1:25" ht="15.5">
      <c r="A2"/>
    </row>
    <row r="3" spans="1:25" ht="21">
      <c r="B3" s="6" t="s">
        <v>319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5" spans="1:25" ht="15.5">
      <c r="B5" s="5" t="s">
        <v>320</v>
      </c>
      <c r="C5" s="39"/>
      <c r="D5" s="39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5">
      <c r="C6" s="19"/>
      <c r="D6" s="19"/>
    </row>
    <row r="7" spans="1:25" ht="15.5">
      <c r="B7" s="2" t="s">
        <v>321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5">
      <c r="C8" s="19"/>
      <c r="D8" s="19"/>
    </row>
    <row r="9" spans="1:25" ht="15.5">
      <c r="B9" s="14" t="s">
        <v>308</v>
      </c>
      <c r="C9" s="18" t="s">
        <v>309</v>
      </c>
      <c r="D9" s="18" t="s">
        <v>69</v>
      </c>
      <c r="E9" s="165">
        <f>'Financial inputs'!G$27</f>
        <v>2025</v>
      </c>
      <c r="F9" s="165">
        <f>'Financial inputs'!H$27</f>
        <v>2026</v>
      </c>
      <c r="G9" s="165">
        <f>'Financial inputs'!I$27</f>
        <v>2027</v>
      </c>
      <c r="H9" s="165">
        <f>'Financial inputs'!J$27</f>
        <v>2028</v>
      </c>
      <c r="I9" s="165">
        <f>'Financial inputs'!K$27</f>
        <v>2029</v>
      </c>
      <c r="J9" s="165">
        <f>'Financial inputs'!L$27</f>
        <v>2030</v>
      </c>
      <c r="K9" s="165">
        <f>'Financial inputs'!M$27</f>
        <v>2031</v>
      </c>
      <c r="L9" s="165">
        <f>'Financial inputs'!N$27</f>
        <v>2032</v>
      </c>
      <c r="M9" s="165">
        <f>'Financial inputs'!O$27</f>
        <v>2033</v>
      </c>
      <c r="N9" s="165">
        <f>'Financial inputs'!P$27</f>
        <v>2034</v>
      </c>
      <c r="O9" s="165">
        <f>'Financial inputs'!Q$27</f>
        <v>2035</v>
      </c>
      <c r="P9" s="165">
        <f>'Financial inputs'!R$27</f>
        <v>2036</v>
      </c>
      <c r="Q9" s="165">
        <f>'Financial inputs'!S$27</f>
        <v>2037</v>
      </c>
      <c r="R9" s="165">
        <f>'Financial inputs'!T$27</f>
        <v>2038</v>
      </c>
      <c r="S9" s="165">
        <f>'Financial inputs'!U$27</f>
        <v>2039</v>
      </c>
      <c r="T9" s="165">
        <f>'Financial inputs'!V$27</f>
        <v>2040</v>
      </c>
      <c r="U9" s="165">
        <f>'Financial inputs'!W$27</f>
        <v>2041</v>
      </c>
      <c r="V9" s="165">
        <f>'Financial inputs'!X$27</f>
        <v>2042</v>
      </c>
      <c r="W9" s="165">
        <f>'Financial inputs'!Y$27</f>
        <v>2043</v>
      </c>
      <c r="X9" s="165">
        <f>'Financial inputs'!Z$27</f>
        <v>2044</v>
      </c>
      <c r="Y9"/>
    </row>
    <row r="10" spans="1:25" ht="15.5">
      <c r="B10" s="2" t="s">
        <v>310</v>
      </c>
      <c r="C10" s="2" t="s">
        <v>311</v>
      </c>
      <c r="D10" s="35" t="s">
        <v>80</v>
      </c>
      <c r="E10" s="166">
        <v>5.6765208000000005</v>
      </c>
      <c r="F10" s="166">
        <v>5.6993903999999995</v>
      </c>
      <c r="G10" s="166">
        <v>5.7243816000000001</v>
      </c>
      <c r="H10" s="166">
        <v>5.7708263999999998</v>
      </c>
      <c r="I10" s="166">
        <v>5.8357320000000001</v>
      </c>
      <c r="J10" s="166">
        <v>5.9144879999999995</v>
      </c>
      <c r="K10" s="166">
        <v>6.0217367999999993</v>
      </c>
      <c r="L10" s="166">
        <v>6.117324</v>
      </c>
      <c r="M10" s="166">
        <v>6.2056512000000001</v>
      </c>
      <c r="N10" s="166">
        <v>6.2935319999999999</v>
      </c>
      <c r="O10" s="166">
        <v>6.3500495999999993</v>
      </c>
      <c r="P10" s="166">
        <v>6.3712343999999996</v>
      </c>
      <c r="Q10" s="166">
        <v>6.4383527999999997</v>
      </c>
      <c r="R10" s="166">
        <v>6.5018519999999995</v>
      </c>
      <c r="S10" s="166">
        <v>6.5562575999999995</v>
      </c>
      <c r="T10" s="166">
        <v>6.5950967999999994</v>
      </c>
      <c r="U10" s="166">
        <v>6.6205055999999995</v>
      </c>
      <c r="V10" s="166">
        <v>6.6697199999999999</v>
      </c>
      <c r="W10" s="166">
        <v>6.7463664000000003</v>
      </c>
      <c r="X10" s="166">
        <v>6.8276088000000001</v>
      </c>
    </row>
    <row r="11" spans="1:25" ht="15.5">
      <c r="B11" s="2" t="s">
        <v>310</v>
      </c>
      <c r="C11" s="2" t="s">
        <v>312</v>
      </c>
      <c r="D11" s="35" t="str">
        <f>D10</f>
        <v>MW</v>
      </c>
      <c r="E11" s="166">
        <v>5.8677431999999996</v>
      </c>
      <c r="F11" s="166">
        <v>5.8895303999999999</v>
      </c>
      <c r="G11" s="166">
        <v>5.9145192</v>
      </c>
      <c r="H11" s="166">
        <v>5.9609664000000002</v>
      </c>
      <c r="I11" s="166">
        <v>6.0258719999999997</v>
      </c>
      <c r="J11" s="166">
        <v>6.1046255999999994</v>
      </c>
      <c r="K11" s="166">
        <v>6.2118767999999998</v>
      </c>
      <c r="L11" s="166">
        <v>6.3074615999999999</v>
      </c>
      <c r="M11" s="166">
        <v>6.3957911999999997</v>
      </c>
      <c r="N11" s="166">
        <v>6.4836719999999994</v>
      </c>
      <c r="O11" s="166">
        <v>6.5401895999999997</v>
      </c>
      <c r="P11" s="166">
        <v>6.5613719999999995</v>
      </c>
      <c r="Q11" s="166">
        <v>6.6437423999999998</v>
      </c>
      <c r="R11" s="166">
        <v>6.7346088000000002</v>
      </c>
      <c r="S11" s="166">
        <v>6.8201231999999994</v>
      </c>
      <c r="T11" s="166">
        <v>6.8945639999999999</v>
      </c>
      <c r="U11" s="166">
        <v>6.9702647999999998</v>
      </c>
      <c r="V11" s="166">
        <v>7.0490567999999998</v>
      </c>
      <c r="W11" s="166">
        <v>7.1257031999999993</v>
      </c>
      <c r="X11" s="166">
        <v>7.2069431999999995</v>
      </c>
    </row>
    <row r="12" spans="1:25" customFormat="1" ht="15.5">
      <c r="B12" s="2" t="s">
        <v>310</v>
      </c>
      <c r="C12" s="2" t="s">
        <v>313</v>
      </c>
      <c r="D12" s="35" t="str">
        <f t="shared" ref="D12:D27" si="0">D11</f>
        <v>MW</v>
      </c>
      <c r="E12" s="166">
        <v>6.3364080000000005</v>
      </c>
      <c r="F12" s="166">
        <v>6.3188519999999997</v>
      </c>
      <c r="G12" s="166">
        <v>6.3299447999999998</v>
      </c>
      <c r="H12" s="166">
        <v>6.3689640000000001</v>
      </c>
      <c r="I12" s="166">
        <v>6.4359840000000004</v>
      </c>
      <c r="J12" s="166">
        <v>6.4957895999999993</v>
      </c>
      <c r="K12" s="166">
        <v>6.644872799999999</v>
      </c>
      <c r="L12" s="166">
        <v>6.7615008000000003</v>
      </c>
      <c r="M12" s="166">
        <v>6.8570400000000005</v>
      </c>
      <c r="N12" s="166">
        <v>6.9450383999999996</v>
      </c>
      <c r="O12" s="166">
        <v>7.0185312</v>
      </c>
      <c r="P12" s="166">
        <v>7.0633607999999999</v>
      </c>
      <c r="Q12" s="166">
        <v>7.1537616000000002</v>
      </c>
      <c r="R12" s="166">
        <v>7.2446255999999991</v>
      </c>
      <c r="S12" s="166">
        <v>7.3301375999999996</v>
      </c>
      <c r="T12" s="166">
        <v>7.4045736</v>
      </c>
      <c r="U12" s="166">
        <v>7.4802719999999994</v>
      </c>
      <c r="V12" s="166">
        <v>7.5590615999999997</v>
      </c>
      <c r="W12" s="166">
        <v>7.6357031999999991</v>
      </c>
      <c r="X12" s="166">
        <v>7.7169432000000002</v>
      </c>
    </row>
    <row r="13" spans="1:25" customFormat="1" ht="15.5">
      <c r="B13" s="2" t="s">
        <v>314</v>
      </c>
      <c r="C13" s="2" t="s">
        <v>311</v>
      </c>
      <c r="D13" s="35" t="str">
        <f t="shared" si="0"/>
        <v>MW</v>
      </c>
      <c r="E13" s="166">
        <v>68.891829999999999</v>
      </c>
      <c r="F13" s="166">
        <v>69.817610000000002</v>
      </c>
      <c r="G13" s="166">
        <v>69.990030000000004</v>
      </c>
      <c r="H13" s="166">
        <v>71.683689999999999</v>
      </c>
      <c r="I13" s="166">
        <v>73.8108</v>
      </c>
      <c r="J13" s="166">
        <v>75.941130000000001</v>
      </c>
      <c r="K13" s="166">
        <v>78.308210000000003</v>
      </c>
      <c r="L13" s="166">
        <v>80.174480000000003</v>
      </c>
      <c r="M13" s="166">
        <v>81.733649999999997</v>
      </c>
      <c r="N13" s="166">
        <v>83.129189999999994</v>
      </c>
      <c r="O13" s="166">
        <v>84.231250000000003</v>
      </c>
      <c r="P13" s="166">
        <v>85.010949999999994</v>
      </c>
      <c r="Q13" s="166">
        <v>86.452269999999999</v>
      </c>
      <c r="R13" s="166">
        <v>87.932569999999998</v>
      </c>
      <c r="S13" s="166">
        <v>89.360680000000002</v>
      </c>
      <c r="T13" s="166">
        <v>90.769019999999998</v>
      </c>
      <c r="U13" s="166">
        <v>92.141350000000003</v>
      </c>
      <c r="V13" s="166">
        <v>93.57208</v>
      </c>
      <c r="W13" s="166">
        <v>94.980310000000003</v>
      </c>
      <c r="X13" s="166">
        <v>96.499529999999993</v>
      </c>
    </row>
    <row r="14" spans="1:25" customFormat="1" ht="15.5">
      <c r="B14" s="2" t="s">
        <v>314</v>
      </c>
      <c r="C14" s="2" t="s">
        <v>312</v>
      </c>
      <c r="D14" s="35" t="str">
        <f t="shared" si="0"/>
        <v>MW</v>
      </c>
      <c r="E14" s="166">
        <v>77.027789999999996</v>
      </c>
      <c r="F14" s="166">
        <v>78.007810000000006</v>
      </c>
      <c r="G14" s="166">
        <v>78.180229999999995</v>
      </c>
      <c r="H14" s="166">
        <v>79.873890000000003</v>
      </c>
      <c r="I14" s="166">
        <v>82.001000000000005</v>
      </c>
      <c r="J14" s="166">
        <v>84.131330000000005</v>
      </c>
      <c r="K14" s="166">
        <v>86.498410000000007</v>
      </c>
      <c r="L14" s="166">
        <v>88.364680000000007</v>
      </c>
      <c r="M14" s="166">
        <v>89.923850000000002</v>
      </c>
      <c r="N14" s="166">
        <v>91.319389999999999</v>
      </c>
      <c r="O14" s="166">
        <v>92.421449999999993</v>
      </c>
      <c r="P14" s="166">
        <v>93.201149999999998</v>
      </c>
      <c r="Q14" s="166">
        <v>94.642470000000003</v>
      </c>
      <c r="R14" s="166">
        <v>96.122770000000003</v>
      </c>
      <c r="S14" s="166">
        <v>97.550880000000006</v>
      </c>
      <c r="T14" s="166">
        <v>98.959220000000002</v>
      </c>
      <c r="U14" s="166">
        <v>100.33150000000001</v>
      </c>
      <c r="V14" s="166">
        <v>101.76220000000001</v>
      </c>
      <c r="W14" s="166">
        <v>103.1705</v>
      </c>
      <c r="X14" s="166">
        <v>104.6897</v>
      </c>
    </row>
    <row r="15" spans="1:25" customFormat="1" ht="15.5">
      <c r="B15" s="2" t="s">
        <v>314</v>
      </c>
      <c r="C15" s="2" t="s">
        <v>313</v>
      </c>
      <c r="D15" s="35" t="str">
        <f t="shared" si="0"/>
        <v>MW</v>
      </c>
      <c r="E15" s="166">
        <v>87.804019999999994</v>
      </c>
      <c r="F15" s="166">
        <v>88.855879999999999</v>
      </c>
      <c r="G15" s="166">
        <v>89.028310000000005</v>
      </c>
      <c r="H15" s="166">
        <v>90.721969999999999</v>
      </c>
      <c r="I15" s="166">
        <v>92.849080000000001</v>
      </c>
      <c r="J15" s="166">
        <v>94.979410000000001</v>
      </c>
      <c r="K15" s="166">
        <v>97.34648</v>
      </c>
      <c r="L15" s="166">
        <v>99.212760000000003</v>
      </c>
      <c r="M15" s="166">
        <v>100.7719</v>
      </c>
      <c r="N15" s="166">
        <v>102.1674</v>
      </c>
      <c r="O15" s="166">
        <v>103.26949999999999</v>
      </c>
      <c r="P15" s="166">
        <v>104.0492</v>
      </c>
      <c r="Q15" s="166">
        <v>105.4905</v>
      </c>
      <c r="R15" s="166">
        <v>106.9708</v>
      </c>
      <c r="S15" s="166">
        <v>108.3989</v>
      </c>
      <c r="T15" s="166">
        <v>109.8073</v>
      </c>
      <c r="U15" s="166">
        <v>111.17959999999999</v>
      </c>
      <c r="V15" s="166">
        <v>112.6103</v>
      </c>
      <c r="W15" s="166">
        <v>114.0185</v>
      </c>
      <c r="X15" s="166">
        <v>115.5378</v>
      </c>
    </row>
    <row r="16" spans="1:25" customFormat="1" ht="15.5">
      <c r="B16" s="2" t="s">
        <v>315</v>
      </c>
      <c r="C16" s="2" t="s">
        <v>311</v>
      </c>
      <c r="D16" s="35" t="str">
        <f t="shared" si="0"/>
        <v>MW</v>
      </c>
      <c r="E16" s="166">
        <v>21.107569999999999</v>
      </c>
      <c r="F16" s="166">
        <v>20.654589999999999</v>
      </c>
      <c r="G16" s="166">
        <v>20.4176</v>
      </c>
      <c r="H16" s="166">
        <v>20.655370000000001</v>
      </c>
      <c r="I16" s="166">
        <v>21.05273</v>
      </c>
      <c r="J16" s="166">
        <v>21.88965</v>
      </c>
      <c r="K16" s="166">
        <v>22.65898</v>
      </c>
      <c r="L16" s="166">
        <v>23.26538</v>
      </c>
      <c r="M16" s="166">
        <v>23.753689999999999</v>
      </c>
      <c r="N16" s="166">
        <v>24.167490000000001</v>
      </c>
      <c r="O16" s="166">
        <v>24.458349999999999</v>
      </c>
      <c r="P16" s="166">
        <v>24.63175</v>
      </c>
      <c r="Q16" s="166">
        <v>24.947839999999999</v>
      </c>
      <c r="R16" s="166">
        <v>25.24653</v>
      </c>
      <c r="S16" s="166">
        <v>25.51979</v>
      </c>
      <c r="T16" s="166">
        <v>25.720050000000001</v>
      </c>
      <c r="U16" s="166">
        <v>25.873329999999999</v>
      </c>
      <c r="V16" s="166">
        <v>25.95861</v>
      </c>
      <c r="W16" s="166">
        <v>26.00826</v>
      </c>
      <c r="X16" s="166">
        <v>26.00506</v>
      </c>
    </row>
    <row r="17" spans="2:24" customFormat="1" ht="15.5">
      <c r="B17" s="2" t="s">
        <v>315</v>
      </c>
      <c r="C17" s="2" t="s">
        <v>312</v>
      </c>
      <c r="D17" s="35" t="str">
        <f t="shared" si="0"/>
        <v>MW</v>
      </c>
      <c r="E17" s="166">
        <v>22.769680000000001</v>
      </c>
      <c r="F17" s="166">
        <v>22.31061</v>
      </c>
      <c r="G17" s="166">
        <v>22.073609999999999</v>
      </c>
      <c r="H17" s="166">
        <v>22.311389999999999</v>
      </c>
      <c r="I17" s="166">
        <v>22.683700000000002</v>
      </c>
      <c r="J17" s="166">
        <v>23.24878</v>
      </c>
      <c r="K17" s="166">
        <v>23.827960000000001</v>
      </c>
      <c r="L17" s="166">
        <v>24.295069999999999</v>
      </c>
      <c r="M17" s="166">
        <v>24.661429999999999</v>
      </c>
      <c r="N17" s="166">
        <v>24.725529999999999</v>
      </c>
      <c r="O17" s="166">
        <v>25.012630000000001</v>
      </c>
      <c r="P17" s="166">
        <v>25.22607</v>
      </c>
      <c r="Q17" s="166">
        <v>25.574280000000002</v>
      </c>
      <c r="R17" s="166">
        <v>25.921250000000001</v>
      </c>
      <c r="S17" s="166">
        <v>26.246189999999999</v>
      </c>
      <c r="T17" s="166">
        <v>26.472049999999999</v>
      </c>
      <c r="U17" s="166">
        <v>26.752099999999999</v>
      </c>
      <c r="V17" s="166">
        <v>27.00084</v>
      </c>
      <c r="W17" s="166">
        <v>27.269210000000001</v>
      </c>
      <c r="X17" s="166">
        <v>27.546029999999998</v>
      </c>
    </row>
    <row r="18" spans="2:24" customFormat="1" ht="15.5">
      <c r="B18" s="2" t="s">
        <v>315</v>
      </c>
      <c r="C18" s="2" t="s">
        <v>313</v>
      </c>
      <c r="D18" s="35" t="str">
        <f t="shared" si="0"/>
        <v>MW</v>
      </c>
      <c r="E18" s="166">
        <v>24.764220000000002</v>
      </c>
      <c r="F18" s="166">
        <v>24.297820000000002</v>
      </c>
      <c r="G18" s="166">
        <v>24.060829999999999</v>
      </c>
      <c r="H18" s="166">
        <v>24.29861</v>
      </c>
      <c r="I18" s="166">
        <v>24.670919999999999</v>
      </c>
      <c r="J18" s="166">
        <v>25.236000000000001</v>
      </c>
      <c r="K18" s="166">
        <v>25.815180000000002</v>
      </c>
      <c r="L18" s="166">
        <v>26.28229</v>
      </c>
      <c r="M18" s="166">
        <v>26.64865</v>
      </c>
      <c r="N18" s="166">
        <v>26.71275</v>
      </c>
      <c r="O18" s="166">
        <v>26.975439999999999</v>
      </c>
      <c r="P18" s="166">
        <v>27.213290000000001</v>
      </c>
      <c r="Q18" s="166">
        <v>27.561499999999999</v>
      </c>
      <c r="R18" s="166">
        <v>27.908470000000001</v>
      </c>
      <c r="S18" s="166">
        <v>28.233409999999999</v>
      </c>
      <c r="T18" s="166">
        <v>28.45927</v>
      </c>
      <c r="U18" s="166">
        <v>28.739319999999999</v>
      </c>
      <c r="V18" s="166">
        <v>28.988060000000001</v>
      </c>
      <c r="W18" s="166">
        <v>29.256430000000002</v>
      </c>
      <c r="X18" s="166">
        <v>29.533249999999999</v>
      </c>
    </row>
    <row r="19" spans="2:24" customFormat="1" ht="15.5">
      <c r="B19" s="2" t="s">
        <v>316</v>
      </c>
      <c r="C19" s="2" t="s">
        <v>311</v>
      </c>
      <c r="D19" s="35" t="str">
        <f t="shared" si="0"/>
        <v>MW</v>
      </c>
      <c r="E19" s="166">
        <v>19.656649999999999</v>
      </c>
      <c r="F19" s="166">
        <v>20.198830000000001</v>
      </c>
      <c r="G19" s="166">
        <v>20.195450000000001</v>
      </c>
      <c r="H19" s="166">
        <v>20.54336</v>
      </c>
      <c r="I19" s="166">
        <v>20.96519</v>
      </c>
      <c r="J19" s="166">
        <v>21.342960000000001</v>
      </c>
      <c r="K19" s="166">
        <v>21.79635</v>
      </c>
      <c r="L19" s="166">
        <v>22.10726</v>
      </c>
      <c r="M19" s="166">
        <v>22.456410000000002</v>
      </c>
      <c r="N19" s="166">
        <v>22.755369999999999</v>
      </c>
      <c r="O19" s="166">
        <v>23.06259</v>
      </c>
      <c r="P19" s="166">
        <v>23.318570000000001</v>
      </c>
      <c r="Q19" s="166">
        <v>23.68357</v>
      </c>
      <c r="R19" s="166">
        <v>24.045300000000001</v>
      </c>
      <c r="S19" s="166">
        <v>24.386379999999999</v>
      </c>
      <c r="T19" s="166">
        <v>24.690770000000001</v>
      </c>
      <c r="U19" s="166">
        <v>25.00235</v>
      </c>
      <c r="V19" s="166">
        <v>25.32272</v>
      </c>
      <c r="W19" s="166">
        <v>25.630849999999999</v>
      </c>
      <c r="X19" s="166">
        <v>25.941549999999999</v>
      </c>
    </row>
    <row r="20" spans="2:24" ht="15.5">
      <c r="B20" s="2" t="s">
        <v>316</v>
      </c>
      <c r="C20" s="2" t="s">
        <v>312</v>
      </c>
      <c r="D20" s="35" t="str">
        <f t="shared" si="0"/>
        <v>MW</v>
      </c>
      <c r="E20" s="166">
        <v>21.214929999999999</v>
      </c>
      <c r="F20" s="166">
        <v>21.74361</v>
      </c>
      <c r="G20" s="166">
        <v>21.608460000000001</v>
      </c>
      <c r="H20" s="166">
        <v>21.85669</v>
      </c>
      <c r="I20" s="166">
        <v>22.243279999999999</v>
      </c>
      <c r="J20" s="166">
        <v>22.719650000000001</v>
      </c>
      <c r="K20" s="166">
        <v>23.23001</v>
      </c>
      <c r="L20" s="166">
        <v>23.65204</v>
      </c>
      <c r="M20" s="166">
        <v>24.001190000000001</v>
      </c>
      <c r="N20" s="166">
        <v>24.300149999999999</v>
      </c>
      <c r="O20" s="166">
        <v>24.60737</v>
      </c>
      <c r="P20" s="166">
        <v>24.863350000000001</v>
      </c>
      <c r="Q20" s="166">
        <v>25.228349999999999</v>
      </c>
      <c r="R20" s="166">
        <v>25.59008</v>
      </c>
      <c r="S20" s="166">
        <v>25.931159999999998</v>
      </c>
      <c r="T20" s="166">
        <v>26.23555</v>
      </c>
      <c r="U20" s="166">
        <v>26.547129999999999</v>
      </c>
      <c r="V20" s="166">
        <v>26.8675</v>
      </c>
      <c r="W20" s="166">
        <v>27.175630000000002</v>
      </c>
      <c r="X20" s="166">
        <v>27.486329999999999</v>
      </c>
    </row>
    <row r="21" spans="2:24" ht="15.5">
      <c r="B21" s="2" t="s">
        <v>316</v>
      </c>
      <c r="C21" s="2" t="s">
        <v>313</v>
      </c>
      <c r="D21" s="35" t="str">
        <f t="shared" si="0"/>
        <v>MW</v>
      </c>
      <c r="E21" s="166">
        <v>23.399750000000001</v>
      </c>
      <c r="F21" s="166">
        <v>23.909490000000002</v>
      </c>
      <c r="G21" s="166">
        <v>23.774329999999999</v>
      </c>
      <c r="H21" s="166">
        <v>24.022570000000002</v>
      </c>
      <c r="I21" s="166">
        <v>24.40916</v>
      </c>
      <c r="J21" s="166">
        <v>24.88552</v>
      </c>
      <c r="K21" s="166">
        <v>25.395890000000001</v>
      </c>
      <c r="L21" s="166">
        <v>25.817910000000001</v>
      </c>
      <c r="M21" s="166">
        <v>26.167069999999999</v>
      </c>
      <c r="N21" s="166">
        <v>26.46602</v>
      </c>
      <c r="O21" s="166">
        <v>26.773250000000001</v>
      </c>
      <c r="P21" s="166">
        <v>27.029229999999998</v>
      </c>
      <c r="Q21" s="166">
        <v>27.394220000000001</v>
      </c>
      <c r="R21" s="166">
        <v>27.755960000000002</v>
      </c>
      <c r="S21" s="166">
        <v>28.09704</v>
      </c>
      <c r="T21" s="166">
        <v>28.401420000000002</v>
      </c>
      <c r="U21" s="166">
        <v>28.713010000000001</v>
      </c>
      <c r="V21" s="166">
        <v>29.033380000000001</v>
      </c>
      <c r="W21" s="166">
        <v>29.34151</v>
      </c>
      <c r="X21" s="166">
        <v>29.652200000000001</v>
      </c>
    </row>
    <row r="22" spans="2:24" customFormat="1" ht="15.5">
      <c r="B22" s="2" t="s">
        <v>317</v>
      </c>
      <c r="C22" s="2" t="s">
        <v>311</v>
      </c>
      <c r="D22" s="35" t="str">
        <f t="shared" si="0"/>
        <v>MW</v>
      </c>
      <c r="E22" s="166">
        <v>27.231300000000001</v>
      </c>
      <c r="F22" s="166">
        <v>27.45581</v>
      </c>
      <c r="G22" s="166">
        <v>27.545670000000001</v>
      </c>
      <c r="H22" s="166">
        <v>27.71754</v>
      </c>
      <c r="I22" s="166">
        <v>27.971499999999999</v>
      </c>
      <c r="J22" s="166">
        <v>28.207550000000001</v>
      </c>
      <c r="K22" s="166">
        <v>28.51802</v>
      </c>
      <c r="L22" s="166">
        <v>28.625520000000002</v>
      </c>
      <c r="M22" s="166">
        <v>28.580220000000001</v>
      </c>
      <c r="N22" s="166">
        <v>28.346489999999999</v>
      </c>
      <c r="O22" s="166">
        <v>27.786909999999999</v>
      </c>
      <c r="P22" s="166">
        <v>27.477450000000001</v>
      </c>
      <c r="Q22" s="166">
        <v>27.415990000000001</v>
      </c>
      <c r="R22" s="166">
        <v>27.48321</v>
      </c>
      <c r="S22" s="166">
        <v>27.561060000000001</v>
      </c>
      <c r="T22" s="166">
        <v>27.568269999999998</v>
      </c>
      <c r="U22" s="166">
        <v>27.618500000000001</v>
      </c>
      <c r="V22" s="166">
        <v>27.6982</v>
      </c>
      <c r="W22" s="166">
        <v>27.83793</v>
      </c>
      <c r="X22" s="166">
        <v>28.037769999999998</v>
      </c>
    </row>
    <row r="23" spans="2:24" customFormat="1" ht="15.5">
      <c r="B23" s="2" t="s">
        <v>317</v>
      </c>
      <c r="C23" s="2" t="s">
        <v>312</v>
      </c>
      <c r="D23" s="35" t="str">
        <f t="shared" si="0"/>
        <v>MW</v>
      </c>
      <c r="E23" s="166">
        <v>28.491119999999999</v>
      </c>
      <c r="F23" s="166">
        <v>28.646850000000001</v>
      </c>
      <c r="G23" s="166">
        <v>28.736709999999999</v>
      </c>
      <c r="H23" s="166">
        <v>28.908580000000001</v>
      </c>
      <c r="I23" s="166">
        <v>29.16254</v>
      </c>
      <c r="J23" s="166">
        <v>29.398589999999999</v>
      </c>
      <c r="K23" s="166">
        <v>29.709060000000001</v>
      </c>
      <c r="L23" s="166">
        <v>29.816559999999999</v>
      </c>
      <c r="M23" s="166">
        <v>29.771260000000002</v>
      </c>
      <c r="N23" s="166">
        <v>29.53754</v>
      </c>
      <c r="O23" s="166">
        <v>28.977959999999999</v>
      </c>
      <c r="P23" s="166">
        <v>28.668489999999998</v>
      </c>
      <c r="Q23" s="166">
        <v>28.818349999999999</v>
      </c>
      <c r="R23" s="166">
        <v>29.110050000000001</v>
      </c>
      <c r="S23" s="166">
        <v>29.389469999999999</v>
      </c>
      <c r="T23" s="166">
        <v>29.59412</v>
      </c>
      <c r="U23" s="166">
        <v>29.83146</v>
      </c>
      <c r="V23" s="166">
        <v>30.078250000000001</v>
      </c>
      <c r="W23" s="166">
        <v>30.363240000000001</v>
      </c>
      <c r="X23" s="166">
        <v>30.66733</v>
      </c>
    </row>
    <row r="24" spans="2:24" customFormat="1" ht="15.5">
      <c r="B24" s="2" t="s">
        <v>317</v>
      </c>
      <c r="C24" s="2" t="s">
        <v>313</v>
      </c>
      <c r="D24" s="35" t="str">
        <f t="shared" si="0"/>
        <v>MW</v>
      </c>
      <c r="E24" s="166">
        <v>32.08043</v>
      </c>
      <c r="F24" s="166">
        <v>31.871880000000001</v>
      </c>
      <c r="G24" s="166">
        <v>31.67699</v>
      </c>
      <c r="H24" s="166">
        <v>31.70682</v>
      </c>
      <c r="I24" s="166">
        <v>31.802969999999998</v>
      </c>
      <c r="J24" s="166">
        <v>31.851559999999999</v>
      </c>
      <c r="K24" s="166">
        <v>32.055100000000003</v>
      </c>
      <c r="L24" s="166">
        <v>32.140680000000003</v>
      </c>
      <c r="M24" s="166">
        <v>32.152099999999997</v>
      </c>
      <c r="N24" s="166">
        <v>32.022480000000002</v>
      </c>
      <c r="O24" s="166">
        <v>32.075310000000002</v>
      </c>
      <c r="P24" s="166">
        <v>32.144289999999998</v>
      </c>
      <c r="Q24" s="166">
        <v>32.392110000000002</v>
      </c>
      <c r="R24" s="166">
        <v>32.683810000000001</v>
      </c>
      <c r="S24" s="166">
        <v>32.963239999999999</v>
      </c>
      <c r="T24" s="166">
        <v>33.167879999999997</v>
      </c>
      <c r="U24" s="166">
        <v>33.40522</v>
      </c>
      <c r="V24" s="166">
        <v>33.65202</v>
      </c>
      <c r="W24" s="166">
        <v>33.936999999999998</v>
      </c>
      <c r="X24" s="166">
        <v>34.24109</v>
      </c>
    </row>
    <row r="25" spans="2:24" customFormat="1" ht="15.5">
      <c r="B25" s="2" t="s">
        <v>318</v>
      </c>
      <c r="C25" s="2" t="s">
        <v>311</v>
      </c>
      <c r="D25" s="35" t="str">
        <f t="shared" si="0"/>
        <v>MW</v>
      </c>
      <c r="E25" s="166">
        <v>26.77458</v>
      </c>
      <c r="F25" s="166">
        <v>27.14902</v>
      </c>
      <c r="G25" s="166">
        <v>27.350809999999999</v>
      </c>
      <c r="H25" s="166">
        <v>27.58746</v>
      </c>
      <c r="I25" s="166">
        <v>27.885929999999998</v>
      </c>
      <c r="J25" s="166">
        <v>28.12576</v>
      </c>
      <c r="K25" s="166">
        <v>28.50761</v>
      </c>
      <c r="L25" s="166">
        <v>28.670169999999999</v>
      </c>
      <c r="M25" s="166">
        <v>28.701519999999999</v>
      </c>
      <c r="N25" s="166">
        <v>28.461980000000001</v>
      </c>
      <c r="O25" s="166">
        <v>28.02214</v>
      </c>
      <c r="P25" s="166">
        <v>27.675239999999999</v>
      </c>
      <c r="Q25" s="166">
        <v>27.72833</v>
      </c>
      <c r="R25" s="166">
        <v>27.997330000000002</v>
      </c>
      <c r="S25" s="166">
        <v>28.35474</v>
      </c>
      <c r="T25" s="166">
        <v>28.72401</v>
      </c>
      <c r="U25" s="166">
        <v>29.13775</v>
      </c>
      <c r="V25" s="166">
        <v>29.528839999999999</v>
      </c>
      <c r="W25" s="166">
        <v>29.911010000000001</v>
      </c>
      <c r="X25" s="166">
        <v>30.330490000000001</v>
      </c>
    </row>
    <row r="26" spans="2:24" customFormat="1" ht="15.5">
      <c r="B26" s="2" t="s">
        <v>318</v>
      </c>
      <c r="C26" s="2" t="s">
        <v>312</v>
      </c>
      <c r="D26" s="35" t="str">
        <f t="shared" si="0"/>
        <v>MW</v>
      </c>
      <c r="E26" s="166">
        <v>27.963100000000001</v>
      </c>
      <c r="F26" s="166">
        <v>28.345469999999999</v>
      </c>
      <c r="G26" s="166">
        <v>28.547260000000001</v>
      </c>
      <c r="H26" s="166">
        <v>28.783899999999999</v>
      </c>
      <c r="I26" s="166">
        <v>29.082380000000001</v>
      </c>
      <c r="J26" s="166">
        <v>29.322209999999998</v>
      </c>
      <c r="K26" s="166">
        <v>29.704059999999998</v>
      </c>
      <c r="L26" s="166">
        <v>29.866620000000001</v>
      </c>
      <c r="M26" s="166">
        <v>29.897970000000001</v>
      </c>
      <c r="N26" s="166">
        <v>29.65842</v>
      </c>
      <c r="O26" s="166">
        <v>29.218589999999999</v>
      </c>
      <c r="P26" s="166">
        <v>28.871690000000001</v>
      </c>
      <c r="Q26" s="166">
        <v>28.924769999999999</v>
      </c>
      <c r="R26" s="166">
        <v>29.19378</v>
      </c>
      <c r="S26" s="166">
        <v>29.551189999999998</v>
      </c>
      <c r="T26" s="166">
        <v>29.920449999999999</v>
      </c>
      <c r="U26" s="166">
        <v>30.334199999999999</v>
      </c>
      <c r="V26" s="166">
        <v>30.725290000000001</v>
      </c>
      <c r="W26" s="166">
        <v>31.10746</v>
      </c>
      <c r="X26" s="166">
        <v>31.52693</v>
      </c>
    </row>
    <row r="27" spans="2:24" customFormat="1" ht="15.5">
      <c r="B27" s="2" t="s">
        <v>318</v>
      </c>
      <c r="C27" s="2" t="s">
        <v>313</v>
      </c>
      <c r="D27" s="35" t="str">
        <f t="shared" si="0"/>
        <v>MW</v>
      </c>
      <c r="E27" s="166">
        <v>29.482849999999999</v>
      </c>
      <c r="F27" s="166">
        <v>29.875350000000001</v>
      </c>
      <c r="G27" s="166">
        <v>30.07714</v>
      </c>
      <c r="H27" s="166">
        <v>30.313780000000001</v>
      </c>
      <c r="I27" s="166">
        <v>30.612259999999999</v>
      </c>
      <c r="J27" s="166">
        <v>30.85209</v>
      </c>
      <c r="K27" s="166">
        <v>31.23394</v>
      </c>
      <c r="L27" s="166">
        <v>31.3965</v>
      </c>
      <c r="M27" s="166">
        <v>31.427849999999999</v>
      </c>
      <c r="N27" s="166">
        <v>31.188310000000001</v>
      </c>
      <c r="O27" s="166">
        <v>30.748470000000001</v>
      </c>
      <c r="P27" s="166">
        <v>30.40157</v>
      </c>
      <c r="Q27" s="166">
        <v>30.454650000000001</v>
      </c>
      <c r="R27" s="166">
        <v>30.723659999999999</v>
      </c>
      <c r="S27" s="166">
        <v>31.08107</v>
      </c>
      <c r="T27" s="166">
        <v>31.450340000000001</v>
      </c>
      <c r="U27" s="166">
        <v>31.864080000000001</v>
      </c>
      <c r="V27" s="166">
        <v>32.25517</v>
      </c>
      <c r="W27" s="166">
        <v>32.637340000000002</v>
      </c>
      <c r="X27" s="166">
        <v>33.056820000000002</v>
      </c>
    </row>
    <row r="28" spans="2:24" customFormat="1" ht="15.5"/>
    <row r="29" spans="2:24" customFormat="1" ht="15.5"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2:24" customFormat="1" ht="15.5"/>
    <row r="31" spans="2:24" customFormat="1" ht="15.5"/>
    <row r="32" spans="2:24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7972-EC65-4E85-B594-CA92BD8654CA}">
  <sheetPr>
    <tabColor rgb="FFE0D4A4"/>
  </sheetPr>
  <dimension ref="A1:L33"/>
  <sheetViews>
    <sheetView showGridLines="0" zoomScale="70" zoomScaleNormal="70" workbookViewId="0"/>
  </sheetViews>
  <sheetFormatPr defaultColWidth="8.84375" defaultRowHeight="14"/>
  <cols>
    <col min="1" max="1" width="26" style="1" customWidth="1"/>
    <col min="2" max="2" width="12.84375" style="1" customWidth="1"/>
    <col min="3" max="3" width="8.69140625" style="1" bestFit="1" customWidth="1"/>
    <col min="4" max="4" width="8.84375" style="1"/>
    <col min="5" max="5" width="9.69140625" style="1" customWidth="1"/>
    <col min="6" max="6" width="11.53515625" style="1" bestFit="1" customWidth="1"/>
    <col min="7" max="16384" width="8.84375" style="1"/>
  </cols>
  <sheetData>
    <row r="1" spans="1:12" ht="18">
      <c r="A1" s="49" t="str">
        <f ca="1">MID(CELL("filename",A2),FIND("]",CELL("filename",A2))+1,256)</f>
        <v>Case study expenditure</v>
      </c>
    </row>
    <row r="2" spans="1:12" ht="15.5">
      <c r="A2"/>
    </row>
    <row r="3" spans="1:12" ht="21">
      <c r="B3" s="6" t="s">
        <v>322</v>
      </c>
      <c r="C3" s="6"/>
      <c r="D3" s="6"/>
      <c r="E3" s="6"/>
      <c r="F3" s="6"/>
    </row>
    <row r="5" spans="1:12" ht="15.5">
      <c r="B5" s="5" t="s">
        <v>320</v>
      </c>
      <c r="C5" s="39"/>
      <c r="D5" s="39"/>
      <c r="E5" s="5"/>
      <c r="F5" s="5"/>
    </row>
    <row r="6" spans="1:12">
      <c r="C6" s="19"/>
      <c r="D6" s="19"/>
    </row>
    <row r="7" spans="1:12" ht="15.5">
      <c r="B7" s="2" t="str">
        <f>"Units: $" &amp; 'Financial inputs'!$C$13 &amp; " real"</f>
        <v>Units: $2021 real</v>
      </c>
      <c r="C7" s="2"/>
      <c r="D7" s="2"/>
      <c r="E7" s="2"/>
      <c r="F7" s="2"/>
    </row>
    <row r="8" spans="1:12" ht="15.5">
      <c r="C8" s="19"/>
      <c r="D8" s="19"/>
      <c r="H8"/>
      <c r="I8"/>
      <c r="J8"/>
      <c r="K8"/>
      <c r="L8"/>
    </row>
    <row r="9" spans="1:12" ht="15.5">
      <c r="B9" s="14" t="s">
        <v>308</v>
      </c>
      <c r="C9" s="18" t="s">
        <v>309</v>
      </c>
      <c r="D9" s="18"/>
      <c r="E9" s="167" t="s">
        <v>323</v>
      </c>
      <c r="F9" s="167" t="s">
        <v>129</v>
      </c>
      <c r="H9"/>
      <c r="I9"/>
      <c r="J9"/>
      <c r="K9"/>
      <c r="L9"/>
    </row>
    <row r="10" spans="1:12" ht="15.5">
      <c r="B10" s="2" t="s">
        <v>310</v>
      </c>
      <c r="C10" s="2" t="s">
        <v>311</v>
      </c>
      <c r="D10" s="35"/>
      <c r="E10" s="168">
        <v>2030</v>
      </c>
      <c r="F10" s="169">
        <v>6105294.3090909095</v>
      </c>
      <c r="H10"/>
      <c r="I10"/>
      <c r="J10"/>
      <c r="K10"/>
      <c r="L10"/>
    </row>
    <row r="11" spans="1:12" ht="15.5">
      <c r="B11" s="2" t="s">
        <v>310</v>
      </c>
      <c r="C11" s="2" t="s">
        <v>312</v>
      </c>
      <c r="D11" s="35"/>
      <c r="E11" s="168">
        <v>2030</v>
      </c>
      <c r="F11" s="169">
        <v>6105294.3090909095</v>
      </c>
      <c r="H11"/>
      <c r="I11"/>
      <c r="J11"/>
      <c r="K11"/>
      <c r="L11"/>
    </row>
    <row r="12" spans="1:12" customFormat="1" ht="15.5">
      <c r="B12" s="2" t="s">
        <v>310</v>
      </c>
      <c r="C12" s="2" t="s">
        <v>313</v>
      </c>
      <c r="D12" s="35"/>
      <c r="E12" s="168">
        <v>2029</v>
      </c>
      <c r="F12" s="169">
        <v>6105294.3090909095</v>
      </c>
    </row>
    <row r="13" spans="1:12" customFormat="1" ht="15.5">
      <c r="B13" s="2" t="s">
        <v>314</v>
      </c>
      <c r="C13" s="2" t="s">
        <v>311</v>
      </c>
      <c r="D13" s="35"/>
      <c r="E13" s="168">
        <v>2037</v>
      </c>
      <c r="F13" s="169">
        <v>33856044.085295454</v>
      </c>
    </row>
    <row r="14" spans="1:12" customFormat="1" ht="15.5">
      <c r="B14" s="2" t="s">
        <v>314</v>
      </c>
      <c r="C14" s="2" t="s">
        <v>312</v>
      </c>
      <c r="D14" s="35"/>
      <c r="E14" s="168">
        <v>2033</v>
      </c>
      <c r="F14" s="169">
        <v>33856044.085295454</v>
      </c>
    </row>
    <row r="15" spans="1:12" customFormat="1" ht="15.5">
      <c r="B15" s="2" t="s">
        <v>314</v>
      </c>
      <c r="C15" s="2" t="s">
        <v>313</v>
      </c>
      <c r="D15" s="35"/>
      <c r="E15" s="168">
        <v>2029</v>
      </c>
      <c r="F15" s="169">
        <v>33856044.085295454</v>
      </c>
    </row>
    <row r="16" spans="1:12" customFormat="1" ht="15.5">
      <c r="B16" s="2" t="s">
        <v>315</v>
      </c>
      <c r="C16" s="2" t="s">
        <v>311</v>
      </c>
      <c r="D16" s="35"/>
      <c r="E16" s="168">
        <v>2034</v>
      </c>
      <c r="F16" s="169">
        <v>6105294.3090909095</v>
      </c>
    </row>
    <row r="17" spans="2:6" customFormat="1" ht="15.5">
      <c r="B17" s="2" t="s">
        <v>315</v>
      </c>
      <c r="C17" s="2" t="s">
        <v>312</v>
      </c>
      <c r="D17" s="35"/>
      <c r="E17" s="168">
        <v>2033</v>
      </c>
      <c r="F17" s="169">
        <v>6105294.3090909095</v>
      </c>
    </row>
    <row r="18" spans="2:6" customFormat="1" ht="15.5">
      <c r="B18" s="2" t="s">
        <v>315</v>
      </c>
      <c r="C18" s="2" t="s">
        <v>313</v>
      </c>
      <c r="D18" s="35"/>
      <c r="E18" s="168">
        <v>2031</v>
      </c>
      <c r="F18" s="169">
        <v>6105294.3090909095</v>
      </c>
    </row>
    <row r="19" spans="2:6" customFormat="1" ht="15.5">
      <c r="B19" s="2" t="s">
        <v>316</v>
      </c>
      <c r="C19" s="2" t="s">
        <v>311</v>
      </c>
      <c r="D19" s="35"/>
      <c r="E19" s="168">
        <v>2033</v>
      </c>
      <c r="F19" s="169">
        <v>12832011.445499999</v>
      </c>
    </row>
    <row r="20" spans="2:6" ht="15.5">
      <c r="B20" s="2" t="s">
        <v>316</v>
      </c>
      <c r="C20" s="2" t="s">
        <v>312</v>
      </c>
      <c r="D20" s="35"/>
      <c r="E20" s="168">
        <v>2031</v>
      </c>
      <c r="F20" s="169">
        <v>12832011.445499999</v>
      </c>
    </row>
    <row r="21" spans="2:6" ht="15.5">
      <c r="B21" s="2" t="s">
        <v>316</v>
      </c>
      <c r="C21" s="2" t="s">
        <v>313</v>
      </c>
      <c r="D21" s="35"/>
      <c r="E21" s="168">
        <v>2029</v>
      </c>
      <c r="F21" s="169">
        <v>12832011.445499999</v>
      </c>
    </row>
    <row r="22" spans="2:6" customFormat="1" ht="15.5">
      <c r="B22" s="2" t="s">
        <v>317</v>
      </c>
      <c r="C22" s="2" t="s">
        <v>311</v>
      </c>
      <c r="D22" s="35"/>
      <c r="E22" s="168">
        <v>2038</v>
      </c>
      <c r="F22" s="169">
        <v>13431647.48</v>
      </c>
    </row>
    <row r="23" spans="2:6" customFormat="1" ht="15.5">
      <c r="B23" s="2" t="s">
        <v>317</v>
      </c>
      <c r="C23" s="2" t="s">
        <v>312</v>
      </c>
      <c r="D23" s="35"/>
      <c r="E23" s="168">
        <v>2037</v>
      </c>
      <c r="F23" s="169">
        <v>13431647.48</v>
      </c>
    </row>
    <row r="24" spans="2:6" customFormat="1" ht="15.5">
      <c r="B24" s="2" t="s">
        <v>317</v>
      </c>
      <c r="C24" s="2" t="s">
        <v>313</v>
      </c>
      <c r="D24" s="35"/>
      <c r="E24" s="168">
        <v>2035</v>
      </c>
      <c r="F24" s="169">
        <v>13431647.48</v>
      </c>
    </row>
    <row r="25" spans="2:6" customFormat="1" ht="15.5">
      <c r="B25" s="2" t="s">
        <v>318</v>
      </c>
      <c r="C25" s="2" t="s">
        <v>311</v>
      </c>
      <c r="D25" s="35"/>
      <c r="E25" s="168">
        <v>2035</v>
      </c>
      <c r="F25" s="169">
        <v>12436882.601818182</v>
      </c>
    </row>
    <row r="26" spans="2:6" customFormat="1" ht="15.5">
      <c r="B26" s="2" t="s">
        <v>318</v>
      </c>
      <c r="C26" s="2" t="s">
        <v>312</v>
      </c>
      <c r="D26" s="35"/>
      <c r="E26" s="168">
        <v>2034</v>
      </c>
      <c r="F26" s="169">
        <v>12436882.601818182</v>
      </c>
    </row>
    <row r="27" spans="2:6" customFormat="1" ht="15.5">
      <c r="B27" s="2" t="s">
        <v>318</v>
      </c>
      <c r="C27" s="2" t="s">
        <v>313</v>
      </c>
      <c r="D27" s="35"/>
      <c r="E27" s="168">
        <v>2033</v>
      </c>
      <c r="F27" s="169">
        <v>12436882.601818182</v>
      </c>
    </row>
    <row r="28" spans="2:6" customFormat="1" ht="15.5"/>
    <row r="29" spans="2:6" customFormat="1" ht="15.5"/>
    <row r="30" spans="2:6" customFormat="1" ht="15.5"/>
    <row r="31" spans="2:6" customFormat="1" ht="15.5"/>
    <row r="32" spans="2:6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FF36-C467-4984-806D-9600C4D02DF1}">
  <sheetPr codeName="Sheet9">
    <tabColor theme="1"/>
  </sheetPr>
  <dimension ref="A1:A33"/>
  <sheetViews>
    <sheetView showGridLines="0" zoomScale="70" zoomScaleNormal="70" workbookViewId="0"/>
  </sheetViews>
  <sheetFormatPr defaultColWidth="8.84375" defaultRowHeight="14"/>
  <cols>
    <col min="1" max="1" width="15.3046875" style="1" bestFit="1" customWidth="1"/>
    <col min="2" max="16384" width="8.84375" style="1"/>
  </cols>
  <sheetData>
    <row r="1" spans="1:1" ht="18">
      <c r="A1" s="49" t="str">
        <f ca="1">MID(CELL("filename",A2),FIND("]",CELL("filename",A2))+1,256)</f>
        <v>Raw inputs -&gt;</v>
      </c>
    </row>
    <row r="2" spans="1:1" ht="15.5">
      <c r="A2"/>
    </row>
    <row r="12" spans="1:1" customFormat="1" ht="15.5"/>
    <row r="13" spans="1:1" customFormat="1" ht="15.5"/>
    <row r="14" spans="1:1" customFormat="1" ht="15.5"/>
    <row r="15" spans="1:1" customFormat="1" ht="15.5"/>
    <row r="16" spans="1:1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F9ED5-5865-44C8-A03F-39CD81FA6BCB}">
  <sheetPr codeName="Sheet21">
    <tabColor rgb="FFE0D4A4"/>
  </sheetPr>
  <dimension ref="A1:Z218"/>
  <sheetViews>
    <sheetView showGridLines="0" zoomScale="70" zoomScaleNormal="70" workbookViewId="0"/>
  </sheetViews>
  <sheetFormatPr defaultColWidth="8.84375" defaultRowHeight="14"/>
  <cols>
    <col min="1" max="1" width="18.07421875" style="1" bestFit="1" customWidth="1"/>
    <col min="2" max="2" width="18.07421875" style="1" customWidth="1"/>
    <col min="3" max="3" width="10.07421875" style="1" customWidth="1"/>
    <col min="4" max="17" width="9.53515625" style="1" customWidth="1"/>
    <col min="18" max="16384" width="8.84375" style="1"/>
  </cols>
  <sheetData>
    <row r="1" spans="1:26" ht="18">
      <c r="A1" s="49" t="str">
        <f ca="1">MID(CELL("filename",A2),FIND("]",CELL("filename",A2))+1,256)</f>
        <v>Financial inputs</v>
      </c>
      <c r="E1" s="48"/>
      <c r="Y1"/>
      <c r="Z1"/>
    </row>
    <row r="2" spans="1:26" ht="15.5">
      <c r="A2"/>
      <c r="Y2"/>
      <c r="Z2"/>
    </row>
    <row r="3" spans="1:26" ht="21">
      <c r="B3" s="6" t="s">
        <v>126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5" spans="1:26" ht="15.5">
      <c r="B5" s="5" t="s">
        <v>127</v>
      </c>
      <c r="C5" s="5"/>
      <c r="D5" s="5"/>
    </row>
    <row r="7" spans="1:26" ht="15.5">
      <c r="B7" s="2" t="s">
        <v>128</v>
      </c>
      <c r="C7" s="76">
        <v>2024</v>
      </c>
    </row>
    <row r="9" spans="1:26" ht="31">
      <c r="B9" s="14" t="s">
        <v>129</v>
      </c>
      <c r="C9" s="65" t="s">
        <v>130</v>
      </c>
      <c r="D9" s="65" t="s">
        <v>131</v>
      </c>
    </row>
    <row r="10" spans="1:26" ht="15.5">
      <c r="B10" s="2" t="s">
        <v>300</v>
      </c>
      <c r="C10" s="76">
        <v>2019</v>
      </c>
      <c r="D10" s="3">
        <f>INDEX('CPI index'!$H$15:$AK$44,MATCH($C10,'CPI index'!$B$15:$B$44,0),MATCH(base_year,'CPI index'!$H$8:$AK$8,0))</f>
        <v>1.1933637160385626</v>
      </c>
      <c r="E10"/>
      <c r="F10"/>
    </row>
    <row r="11" spans="1:26" ht="15.5">
      <c r="B11" s="2" t="s">
        <v>132</v>
      </c>
      <c r="C11" s="76">
        <v>2016</v>
      </c>
      <c r="D11" s="3">
        <f>INDEX('CPI index'!$H$15:$AK$44,MATCH($C11,'CPI index'!$B$15:$B$44,0),MATCH(base_year,'CPI index'!$H$8:$AK$8,0))</f>
        <v>1.255705679379328</v>
      </c>
      <c r="E11"/>
      <c r="F11"/>
    </row>
    <row r="12" spans="1:26" ht="15.5">
      <c r="B12" s="2" t="s">
        <v>133</v>
      </c>
      <c r="C12" s="76">
        <v>2019</v>
      </c>
      <c r="D12" s="3">
        <f>INDEX('CPI index'!$H$15:$AK$44,MATCH($C12,'CPI index'!$B$15:$B$44,0),MATCH(base_year,'CPI index'!$H$8:$AK$8,0))</f>
        <v>1.1933637160385626</v>
      </c>
      <c r="E12"/>
      <c r="F12"/>
    </row>
    <row r="13" spans="1:26" ht="15.5">
      <c r="B13" s="2" t="s">
        <v>305</v>
      </c>
      <c r="C13" s="76">
        <v>2021</v>
      </c>
      <c r="D13" s="3">
        <f>INDEX('CPI index'!$H$15:$AK$44,MATCH($C13,'CPI index'!$B$15:$B$44,0),MATCH(base_year,'CPI index'!$H$8:$AK$8,0))</f>
        <v>1.1617986348122866</v>
      </c>
      <c r="E13"/>
      <c r="F13"/>
    </row>
    <row r="15" spans="1:26" ht="21">
      <c r="B15" s="6" t="s">
        <v>134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7" spans="2:26" ht="15.5">
      <c r="B17" s="2" t="s">
        <v>5</v>
      </c>
      <c r="C17" s="2"/>
      <c r="D17" s="60">
        <f>discount_rate</f>
        <v>3.2000000000000001E-2</v>
      </c>
    </row>
    <row r="18" spans="2:26" ht="15.5">
      <c r="B18" s="2" t="s">
        <v>128</v>
      </c>
      <c r="C18" s="2"/>
      <c r="D18" s="76">
        <v>2025</v>
      </c>
    </row>
    <row r="19" spans="2:26" ht="15.5">
      <c r="N19"/>
      <c r="O19"/>
      <c r="P19"/>
      <c r="Q19"/>
    </row>
    <row r="20" spans="2:26" ht="15.5">
      <c r="B20" s="5" t="s">
        <v>306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2" spans="2:26" ht="15.5">
      <c r="B22" s="42"/>
      <c r="C22" s="42"/>
      <c r="D22" s="14"/>
      <c r="E22" s="14"/>
      <c r="F22" s="14"/>
      <c r="G22" s="165">
        <f>$D$18</f>
        <v>2025</v>
      </c>
      <c r="H22" s="165">
        <f>G22+1</f>
        <v>2026</v>
      </c>
      <c r="I22" s="14">
        <f t="shared" ref="I22:Q22" si="0">H22+1</f>
        <v>2027</v>
      </c>
      <c r="J22" s="14">
        <f t="shared" si="0"/>
        <v>2028</v>
      </c>
      <c r="K22" s="14">
        <f t="shared" si="0"/>
        <v>2029</v>
      </c>
      <c r="L22" s="14">
        <f t="shared" si="0"/>
        <v>2030</v>
      </c>
      <c r="M22" s="14">
        <f t="shared" si="0"/>
        <v>2031</v>
      </c>
      <c r="N22" s="14">
        <f t="shared" si="0"/>
        <v>2032</v>
      </c>
      <c r="O22" s="14">
        <f t="shared" si="0"/>
        <v>2033</v>
      </c>
      <c r="P22" s="14">
        <f t="shared" si="0"/>
        <v>2034</v>
      </c>
      <c r="Q22" s="14">
        <f t="shared" si="0"/>
        <v>2035</v>
      </c>
    </row>
    <row r="23" spans="2:26" ht="15.5">
      <c r="B23" s="77" t="s">
        <v>135</v>
      </c>
      <c r="C23" s="77"/>
      <c r="D23" s="2"/>
      <c r="E23" s="2"/>
      <c r="F23" s="2"/>
      <c r="G23" s="3">
        <f t="shared" ref="G23:Q23" si="1">MIN(1,(1+discount_rate)^(-(G$22-$D$18)))</f>
        <v>1</v>
      </c>
      <c r="H23" s="3">
        <f t="shared" si="1"/>
        <v>0.96899224806201545</v>
      </c>
      <c r="I23" s="3">
        <f t="shared" si="1"/>
        <v>0.9389459768042786</v>
      </c>
      <c r="J23" s="3">
        <f t="shared" si="1"/>
        <v>0.90983137287236304</v>
      </c>
      <c r="K23" s="3">
        <f t="shared" si="1"/>
        <v>0.88161954735694092</v>
      </c>
      <c r="L23" s="3">
        <f t="shared" si="1"/>
        <v>0.85428250712881859</v>
      </c>
      <c r="M23" s="3">
        <f t="shared" si="1"/>
        <v>0.82779312706280883</v>
      </c>
      <c r="N23" s="3">
        <f t="shared" si="1"/>
        <v>0.80212512312287687</v>
      </c>
      <c r="O23" s="3">
        <f t="shared" si="1"/>
        <v>0.77725302628185733</v>
      </c>
      <c r="P23" s="3">
        <f t="shared" si="1"/>
        <v>0.75315215724986173</v>
      </c>
      <c r="Q23" s="3">
        <f t="shared" si="1"/>
        <v>0.7297986019863002</v>
      </c>
    </row>
    <row r="24" spans="2:26" customFormat="1" ht="15.5">
      <c r="B24" s="1"/>
      <c r="C24" s="1"/>
      <c r="M24" s="1"/>
    </row>
    <row r="25" spans="2:26" customFormat="1" ht="15.5">
      <c r="B25" s="5" t="s">
        <v>307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2:26" customFormat="1" ht="15.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2:26" customFormat="1" ht="15.5">
      <c r="B27" s="42"/>
      <c r="C27" s="42"/>
      <c r="D27" s="14"/>
      <c r="E27" s="14"/>
      <c r="F27" s="14"/>
      <c r="G27" s="165">
        <f>G$22</f>
        <v>2025</v>
      </c>
      <c r="H27" s="165">
        <f>G27+1</f>
        <v>2026</v>
      </c>
      <c r="I27" s="14">
        <f t="shared" ref="I27:Q27" si="2">H27+1</f>
        <v>2027</v>
      </c>
      <c r="J27" s="14">
        <f t="shared" si="2"/>
        <v>2028</v>
      </c>
      <c r="K27" s="14">
        <f t="shared" si="2"/>
        <v>2029</v>
      </c>
      <c r="L27" s="14">
        <f t="shared" si="2"/>
        <v>2030</v>
      </c>
      <c r="M27" s="14">
        <f t="shared" si="2"/>
        <v>2031</v>
      </c>
      <c r="N27" s="14">
        <f t="shared" si="2"/>
        <v>2032</v>
      </c>
      <c r="O27" s="14">
        <f t="shared" si="2"/>
        <v>2033</v>
      </c>
      <c r="P27" s="14">
        <f t="shared" si="2"/>
        <v>2034</v>
      </c>
      <c r="Q27" s="14">
        <f t="shared" si="2"/>
        <v>2035</v>
      </c>
      <c r="R27" s="14">
        <f t="shared" ref="R27:Z27" si="3">Q27+1</f>
        <v>2036</v>
      </c>
      <c r="S27" s="14">
        <f t="shared" si="3"/>
        <v>2037</v>
      </c>
      <c r="T27" s="14">
        <f t="shared" si="3"/>
        <v>2038</v>
      </c>
      <c r="U27" s="14">
        <f t="shared" si="3"/>
        <v>2039</v>
      </c>
      <c r="V27" s="14">
        <f t="shared" si="3"/>
        <v>2040</v>
      </c>
      <c r="W27" s="14">
        <f t="shared" si="3"/>
        <v>2041</v>
      </c>
      <c r="X27" s="14">
        <f t="shared" si="3"/>
        <v>2042</v>
      </c>
      <c r="Y27" s="14">
        <f t="shared" si="3"/>
        <v>2043</v>
      </c>
      <c r="Z27" s="14">
        <f t="shared" si="3"/>
        <v>2044</v>
      </c>
    </row>
    <row r="28" spans="2:26" customFormat="1" ht="15.5">
      <c r="B28" s="77" t="s">
        <v>135</v>
      </c>
      <c r="C28" s="77"/>
      <c r="D28" s="2"/>
      <c r="E28" s="2"/>
      <c r="F28" s="2"/>
      <c r="G28" s="3">
        <f t="shared" ref="G28:Z28" si="4">MIN(1,(1+discount_rate)^(-(G$27-$D$18)))</f>
        <v>1</v>
      </c>
      <c r="H28" s="3">
        <f t="shared" si="4"/>
        <v>0.96899224806201545</v>
      </c>
      <c r="I28" s="3">
        <f t="shared" si="4"/>
        <v>0.9389459768042786</v>
      </c>
      <c r="J28" s="3">
        <f t="shared" si="4"/>
        <v>0.90983137287236304</v>
      </c>
      <c r="K28" s="3">
        <f t="shared" si="4"/>
        <v>0.88161954735694092</v>
      </c>
      <c r="L28" s="3">
        <f t="shared" si="4"/>
        <v>0.85428250712881859</v>
      </c>
      <c r="M28" s="3">
        <f t="shared" si="4"/>
        <v>0.82779312706280883</v>
      </c>
      <c r="N28" s="3">
        <f t="shared" si="4"/>
        <v>0.80212512312287687</v>
      </c>
      <c r="O28" s="3">
        <f t="shared" si="4"/>
        <v>0.77725302628185733</v>
      </c>
      <c r="P28" s="3">
        <f t="shared" si="4"/>
        <v>0.75315215724986173</v>
      </c>
      <c r="Q28" s="3">
        <f t="shared" si="4"/>
        <v>0.7297986019863002</v>
      </c>
      <c r="R28" s="3">
        <f t="shared" si="4"/>
        <v>0.70716918797122119</v>
      </c>
      <c r="S28" s="3">
        <f t="shared" si="4"/>
        <v>0.68524146121242357</v>
      </c>
      <c r="T28" s="3">
        <f t="shared" si="4"/>
        <v>0.66399366396552661</v>
      </c>
      <c r="U28" s="3">
        <f t="shared" si="4"/>
        <v>0.64340471314489034</v>
      </c>
      <c r="V28" s="3">
        <f t="shared" si="4"/>
        <v>0.62345417940396353</v>
      </c>
      <c r="W28" s="3">
        <f t="shared" si="4"/>
        <v>0.60412226686430559</v>
      </c>
      <c r="X28" s="3">
        <f t="shared" si="4"/>
        <v>0.58538979347316433</v>
      </c>
      <c r="Y28" s="3">
        <f t="shared" si="4"/>
        <v>0.5672381719701205</v>
      </c>
      <c r="Z28" s="3">
        <f t="shared" si="4"/>
        <v>0.54964939144391534</v>
      </c>
    </row>
    <row r="29" spans="2:26" customFormat="1" ht="15.5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6" customFormat="1" ht="15.5"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2:26" customFormat="1" ht="15.5"/>
    <row r="32" spans="2:26" ht="15.5">
      <c r="B32"/>
      <c r="C32"/>
      <c r="D32"/>
      <c r="E32"/>
    </row>
    <row r="33" spans="2:26" ht="15.5">
      <c r="B33"/>
      <c r="C33"/>
      <c r="D33"/>
      <c r="E33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2:26" customFormat="1" ht="15.5"/>
    <row r="35" spans="2:26" customFormat="1" ht="15.5"/>
    <row r="36" spans="2:26" customFormat="1" ht="15.5"/>
    <row r="37" spans="2:26" customFormat="1" ht="15.5"/>
    <row r="38" spans="2:26" customFormat="1" ht="15.5"/>
    <row r="39" spans="2:26" customFormat="1" ht="15.5"/>
    <row r="40" spans="2:26" customFormat="1" ht="15.5"/>
    <row r="41" spans="2:26" customFormat="1" ht="15.5"/>
    <row r="42" spans="2:26" customFormat="1" ht="15.5"/>
    <row r="43" spans="2:26" customFormat="1" ht="15.5"/>
    <row r="44" spans="2:26" customFormat="1" ht="15.5"/>
    <row r="45" spans="2:26" customFormat="1" ht="15.5"/>
    <row r="46" spans="2:26" ht="15.5">
      <c r="B46"/>
      <c r="C46"/>
      <c r="D46"/>
      <c r="E46"/>
    </row>
    <row r="47" spans="2:26" ht="15.5">
      <c r="B47"/>
      <c r="C47"/>
      <c r="D47"/>
      <c r="E47"/>
    </row>
    <row r="48" spans="2:26" ht="15.5">
      <c r="B48"/>
      <c r="C48"/>
      <c r="D48"/>
      <c r="E48"/>
    </row>
    <row r="49" spans="2:5" ht="15.5">
      <c r="B49"/>
      <c r="C49"/>
      <c r="D49"/>
      <c r="E49"/>
    </row>
    <row r="50" spans="2:5" ht="15.5">
      <c r="B50"/>
      <c r="C50"/>
      <c r="D50"/>
      <c r="E50"/>
    </row>
    <row r="51" spans="2:5" ht="15.5">
      <c r="B51"/>
      <c r="C51"/>
      <c r="D51"/>
      <c r="E51"/>
    </row>
    <row r="52" spans="2:5" ht="15.5">
      <c r="B52"/>
      <c r="C52"/>
      <c r="D52"/>
      <c r="E52"/>
    </row>
    <row r="53" spans="2:5" ht="15.5">
      <c r="B53"/>
      <c r="C53"/>
      <c r="D53"/>
      <c r="E53"/>
    </row>
    <row r="54" spans="2:5" ht="15.5">
      <c r="B54"/>
      <c r="C54"/>
      <c r="D54"/>
      <c r="E54"/>
    </row>
    <row r="55" spans="2:5" ht="15.5">
      <c r="B55"/>
      <c r="C55"/>
      <c r="D55"/>
      <c r="E55"/>
    </row>
    <row r="56" spans="2:5" ht="15.5">
      <c r="B56"/>
      <c r="C56"/>
      <c r="D56"/>
      <c r="E56"/>
    </row>
    <row r="57" spans="2:5" ht="15.5">
      <c r="B57"/>
      <c r="C57"/>
      <c r="D57"/>
      <c r="E57"/>
    </row>
    <row r="58" spans="2:5" ht="15.5">
      <c r="B58"/>
      <c r="C58"/>
      <c r="D58"/>
      <c r="E58"/>
    </row>
    <row r="158" ht="15.75" customHeight="1"/>
    <row r="205" spans="1:13" customFormat="1" ht="15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1:13" customFormat="1" ht="15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1:13" customFormat="1" ht="15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1:13" customFormat="1" ht="15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1:13" customFormat="1" ht="15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1:13" customFormat="1" ht="15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1:13" customFormat="1" ht="15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1:13" customFormat="1" ht="15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1:13" customFormat="1" ht="15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 customFormat="1" ht="15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1:13" customFormat="1" ht="15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 customFormat="1" ht="15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 customFormat="1" ht="15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 customFormat="1" ht="15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</sheetData>
  <dataValidations count="2">
    <dataValidation type="list" allowBlank="1" showInputMessage="1" showErrorMessage="1" sqref="D18" xr:uid="{25965E24-1F39-4B86-841B-5C7A58FE9C3A}">
      <formula1>years</formula1>
    </dataValidation>
    <dataValidation type="list" allowBlank="1" showInputMessage="1" showErrorMessage="1" sqref="C7" xr:uid="{CCCA57A4-3A1C-4F93-9DD4-570FA12EDF5F}">
      <formula1>#REF!</formula1>
    </dataValidation>
  </dataValidations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E7EE9-300A-44E2-8A59-8B64BE512C6A}">
  <sheetPr>
    <tabColor rgb="FFE0D4A4"/>
  </sheetPr>
  <dimension ref="A1:AK86"/>
  <sheetViews>
    <sheetView showGridLines="0" zoomScale="70" zoomScaleNormal="70" workbookViewId="0"/>
  </sheetViews>
  <sheetFormatPr defaultColWidth="9.23046875" defaultRowHeight="14.5"/>
  <cols>
    <col min="1" max="1" width="11.3046875" style="154" bestFit="1" customWidth="1"/>
    <col min="2" max="3" width="5.3046875" style="154" customWidth="1"/>
    <col min="4" max="4" width="2.69140625" style="154" customWidth="1"/>
    <col min="5" max="6" width="25" style="154" customWidth="1"/>
    <col min="7" max="7" width="8.84375" style="154" bestFit="1" customWidth="1"/>
    <col min="8" max="16384" width="9.23046875" style="154"/>
  </cols>
  <sheetData>
    <row r="1" spans="1:37" ht="18">
      <c r="A1" s="49" t="str">
        <f ca="1">MID(CELL("filename",A2),FIND("]",CELL("filename",A2))+1,256)</f>
        <v>CPI index</v>
      </c>
    </row>
    <row r="2" spans="1:37">
      <c r="B2" s="156"/>
      <c r="C2" s="156"/>
    </row>
    <row r="3" spans="1:37" ht="15.5">
      <c r="B3" s="5" t="s">
        <v>293</v>
      </c>
      <c r="C3" s="5"/>
      <c r="D3" s="5"/>
      <c r="E3" s="5"/>
      <c r="F3" s="5"/>
      <c r="G3" s="181">
        <v>36341</v>
      </c>
      <c r="H3" s="181">
        <f>EOMONTH(G3,12)</f>
        <v>36707</v>
      </c>
      <c r="I3" s="181">
        <f>EOMONTH(H3,12)</f>
        <v>37072</v>
      </c>
      <c r="J3" s="181">
        <f t="shared" ref="J3:AK3" si="0">EOMONTH(I3,12)</f>
        <v>37437</v>
      </c>
      <c r="K3" s="181">
        <f t="shared" si="0"/>
        <v>37802</v>
      </c>
      <c r="L3" s="181">
        <f t="shared" si="0"/>
        <v>38168</v>
      </c>
      <c r="M3" s="181">
        <f t="shared" si="0"/>
        <v>38533</v>
      </c>
      <c r="N3" s="181">
        <f t="shared" si="0"/>
        <v>38898</v>
      </c>
      <c r="O3" s="181">
        <f t="shared" si="0"/>
        <v>39263</v>
      </c>
      <c r="P3" s="181">
        <f t="shared" si="0"/>
        <v>39629</v>
      </c>
      <c r="Q3" s="181">
        <f t="shared" si="0"/>
        <v>39994</v>
      </c>
      <c r="R3" s="181">
        <f t="shared" si="0"/>
        <v>40359</v>
      </c>
      <c r="S3" s="181">
        <f t="shared" si="0"/>
        <v>40724</v>
      </c>
      <c r="T3" s="181">
        <f t="shared" si="0"/>
        <v>41090</v>
      </c>
      <c r="U3" s="181">
        <f t="shared" si="0"/>
        <v>41455</v>
      </c>
      <c r="V3" s="181">
        <f t="shared" si="0"/>
        <v>41820</v>
      </c>
      <c r="W3" s="181">
        <f t="shared" si="0"/>
        <v>42185</v>
      </c>
      <c r="X3" s="181">
        <f t="shared" si="0"/>
        <v>42551</v>
      </c>
      <c r="Y3" s="181">
        <f t="shared" si="0"/>
        <v>42916</v>
      </c>
      <c r="Z3" s="181">
        <f t="shared" si="0"/>
        <v>43281</v>
      </c>
      <c r="AA3" s="181">
        <f t="shared" si="0"/>
        <v>43646</v>
      </c>
      <c r="AB3" s="181">
        <f t="shared" si="0"/>
        <v>44012</v>
      </c>
      <c r="AC3" s="181">
        <f t="shared" si="0"/>
        <v>44377</v>
      </c>
      <c r="AD3" s="181">
        <f t="shared" si="0"/>
        <v>44742</v>
      </c>
      <c r="AE3" s="181">
        <f t="shared" si="0"/>
        <v>45107</v>
      </c>
      <c r="AF3" s="181">
        <f t="shared" si="0"/>
        <v>45473</v>
      </c>
      <c r="AG3" s="181">
        <f t="shared" si="0"/>
        <v>45838</v>
      </c>
      <c r="AH3" s="181">
        <f t="shared" si="0"/>
        <v>46203</v>
      </c>
      <c r="AI3" s="181">
        <f t="shared" si="0"/>
        <v>46568</v>
      </c>
      <c r="AJ3" s="181">
        <f t="shared" si="0"/>
        <v>46934</v>
      </c>
      <c r="AK3" s="181">
        <f t="shared" si="0"/>
        <v>47299</v>
      </c>
    </row>
    <row r="4" spans="1:37" customFormat="1" ht="15.5"/>
    <row r="5" spans="1:37" ht="15.5">
      <c r="B5"/>
      <c r="C5"/>
      <c r="D5"/>
      <c r="E5"/>
      <c r="F5"/>
      <c r="G5"/>
      <c r="H5" s="14" t="s">
        <v>298</v>
      </c>
      <c r="I5" s="14" t="s">
        <v>298</v>
      </c>
      <c r="J5" s="14" t="s">
        <v>298</v>
      </c>
      <c r="K5" s="14" t="s">
        <v>298</v>
      </c>
      <c r="L5" s="14" t="s">
        <v>298</v>
      </c>
      <c r="M5" s="14" t="s">
        <v>298</v>
      </c>
      <c r="N5" s="14" t="s">
        <v>298</v>
      </c>
      <c r="O5" s="14" t="s">
        <v>298</v>
      </c>
      <c r="P5" s="14" t="s">
        <v>298</v>
      </c>
      <c r="Q5" s="14" t="s">
        <v>298</v>
      </c>
      <c r="R5" s="14" t="s">
        <v>298</v>
      </c>
      <c r="S5" s="14" t="s">
        <v>298</v>
      </c>
      <c r="T5" s="14" t="s">
        <v>298</v>
      </c>
      <c r="U5" s="14" t="s">
        <v>298</v>
      </c>
      <c r="V5" s="14" t="s">
        <v>298</v>
      </c>
      <c r="W5" s="14" t="s">
        <v>298</v>
      </c>
      <c r="X5" s="14" t="s">
        <v>298</v>
      </c>
      <c r="Y5" s="14" t="s">
        <v>298</v>
      </c>
      <c r="Z5" s="14" t="s">
        <v>298</v>
      </c>
      <c r="AA5" s="14" t="s">
        <v>298</v>
      </c>
      <c r="AB5" s="14" t="s">
        <v>298</v>
      </c>
      <c r="AC5" s="14" t="s">
        <v>298</v>
      </c>
      <c r="AD5" s="14" t="s">
        <v>298</v>
      </c>
      <c r="AE5" s="14" t="s">
        <v>298</v>
      </c>
      <c r="AF5" s="14" t="s">
        <v>299</v>
      </c>
      <c r="AG5" s="14" t="s">
        <v>299</v>
      </c>
      <c r="AH5" s="14" t="s">
        <v>299</v>
      </c>
      <c r="AI5" s="14" t="s">
        <v>299</v>
      </c>
      <c r="AJ5" s="14" t="s">
        <v>299</v>
      </c>
      <c r="AK5" s="14" t="s">
        <v>299</v>
      </c>
    </row>
    <row r="6" spans="1:37" ht="16.5" customHeight="1">
      <c r="B6" s="2"/>
      <c r="C6" s="2"/>
      <c r="D6" s="2" t="s">
        <v>294</v>
      </c>
      <c r="E6" s="2"/>
      <c r="F6" s="2"/>
      <c r="G6" s="2"/>
      <c r="H6" s="64">
        <v>1.465428276573788E-2</v>
      </c>
      <c r="I6" s="64">
        <v>4.475183075671274E-2</v>
      </c>
      <c r="J6" s="64">
        <v>4.3808411214953269E-2</v>
      </c>
      <c r="K6" s="64">
        <v>3.0031710501772002E-2</v>
      </c>
      <c r="L6" s="64">
        <v>2.7707352408547603E-2</v>
      </c>
      <c r="M6" s="64">
        <v>2.343612334801759E-2</v>
      </c>
      <c r="N6" s="64">
        <v>2.6687327823691431E-2</v>
      </c>
      <c r="O6" s="64">
        <v>3.5384873385879922E-2</v>
      </c>
      <c r="P6" s="64">
        <v>2.3323615160349753E-2</v>
      </c>
      <c r="Q6" s="64">
        <v>4.3526432415321059E-2</v>
      </c>
      <c r="R6" s="64">
        <v>1.8201122402548231E-2</v>
      </c>
      <c r="S6" s="64">
        <v>2.845225681513508E-2</v>
      </c>
      <c r="T6" s="64">
        <v>3.3893395133255844E-2</v>
      </c>
      <c r="U6" s="64">
        <v>1.76278015613196E-2</v>
      </c>
      <c r="V6" s="64">
        <v>2.4498886414253906E-2</v>
      </c>
      <c r="W6" s="64">
        <v>2.4879227053140163E-2</v>
      </c>
      <c r="X6" s="64">
        <v>1.5083667216591934E-2</v>
      </c>
      <c r="Y6" s="64">
        <v>1.2769909449732886E-2</v>
      </c>
      <c r="Z6" s="64">
        <v>1.9486474094452033E-2</v>
      </c>
      <c r="AA6" s="64">
        <v>1.9114009444569424E-2</v>
      </c>
      <c r="AB6" s="64">
        <v>1.84049079754602E-2</v>
      </c>
      <c r="AC6" s="64">
        <v>8.6058519793459354E-3</v>
      </c>
      <c r="AD6" s="64">
        <v>3.49829351535835E-2</v>
      </c>
      <c r="AE6" s="64">
        <v>7.8318219291014124E-2</v>
      </c>
      <c r="AF6" s="64">
        <v>4.1000000000000002E-2</v>
      </c>
      <c r="AG6" s="64">
        <v>2.7997811278454687E-2</v>
      </c>
      <c r="AH6" s="64">
        <v>2.7997811278454687E-2</v>
      </c>
      <c r="AI6" s="64">
        <v>2.7997811278454687E-2</v>
      </c>
      <c r="AJ6" s="64">
        <v>2.7997811278454687E-2</v>
      </c>
      <c r="AK6" s="64">
        <v>2.7997811278454687E-2</v>
      </c>
    </row>
    <row r="7" spans="1:37" customFormat="1" ht="16.5" customHeight="1"/>
    <row r="8" spans="1:37" ht="15.5">
      <c r="B8" s="186" t="s">
        <v>338</v>
      </c>
      <c r="C8" s="2"/>
      <c r="D8" s="2"/>
      <c r="E8" s="2"/>
      <c r="F8" s="2"/>
      <c r="G8" s="2"/>
      <c r="H8" s="184">
        <f>YEAR(H$12)</f>
        <v>2000</v>
      </c>
      <c r="I8" s="184">
        <f t="shared" ref="I8:AK8" si="1">YEAR(I$12)</f>
        <v>2001</v>
      </c>
      <c r="J8" s="184">
        <f t="shared" si="1"/>
        <v>2002</v>
      </c>
      <c r="K8" s="184">
        <f t="shared" si="1"/>
        <v>2003</v>
      </c>
      <c r="L8" s="184">
        <f t="shared" si="1"/>
        <v>2004</v>
      </c>
      <c r="M8" s="184">
        <f t="shared" si="1"/>
        <v>2005</v>
      </c>
      <c r="N8" s="184">
        <f t="shared" si="1"/>
        <v>2006</v>
      </c>
      <c r="O8" s="184">
        <f t="shared" si="1"/>
        <v>2007</v>
      </c>
      <c r="P8" s="184">
        <f t="shared" si="1"/>
        <v>2008</v>
      </c>
      <c r="Q8" s="184">
        <f t="shared" si="1"/>
        <v>2009</v>
      </c>
      <c r="R8" s="184">
        <f t="shared" si="1"/>
        <v>2010</v>
      </c>
      <c r="S8" s="184">
        <f t="shared" si="1"/>
        <v>2011</v>
      </c>
      <c r="T8" s="184">
        <f t="shared" si="1"/>
        <v>2012</v>
      </c>
      <c r="U8" s="184">
        <f t="shared" si="1"/>
        <v>2013</v>
      </c>
      <c r="V8" s="184">
        <f t="shared" si="1"/>
        <v>2014</v>
      </c>
      <c r="W8" s="184">
        <f t="shared" si="1"/>
        <v>2015</v>
      </c>
      <c r="X8" s="184">
        <f t="shared" si="1"/>
        <v>2016</v>
      </c>
      <c r="Y8" s="184">
        <f t="shared" si="1"/>
        <v>2017</v>
      </c>
      <c r="Z8" s="184">
        <f t="shared" si="1"/>
        <v>2018</v>
      </c>
      <c r="AA8" s="184">
        <f t="shared" si="1"/>
        <v>2019</v>
      </c>
      <c r="AB8" s="184">
        <f t="shared" si="1"/>
        <v>2020</v>
      </c>
      <c r="AC8" s="184">
        <f t="shared" si="1"/>
        <v>2021</v>
      </c>
      <c r="AD8" s="184">
        <f t="shared" si="1"/>
        <v>2022</v>
      </c>
      <c r="AE8" s="184">
        <f t="shared" si="1"/>
        <v>2023</v>
      </c>
      <c r="AF8" s="184">
        <f t="shared" si="1"/>
        <v>2024</v>
      </c>
      <c r="AG8" s="184">
        <f t="shared" si="1"/>
        <v>2025</v>
      </c>
      <c r="AH8" s="184">
        <f t="shared" si="1"/>
        <v>2026</v>
      </c>
      <c r="AI8" s="184">
        <f t="shared" si="1"/>
        <v>2027</v>
      </c>
      <c r="AJ8" s="184">
        <f t="shared" si="1"/>
        <v>2028</v>
      </c>
      <c r="AK8" s="184">
        <f t="shared" si="1"/>
        <v>2029</v>
      </c>
    </row>
    <row r="9" spans="1:37">
      <c r="H9" s="164"/>
    </row>
    <row r="10" spans="1:37" ht="21">
      <c r="B10" s="6" t="s">
        <v>339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>
      <c r="B11" s="157"/>
      <c r="C11" s="157"/>
    </row>
    <row r="12" spans="1:37" ht="15.5">
      <c r="D12" s="98" t="s">
        <v>295</v>
      </c>
      <c r="E12" s="2"/>
      <c r="F12" s="186" t="s">
        <v>343</v>
      </c>
      <c r="H12" s="185">
        <f>H$3</f>
        <v>36707</v>
      </c>
      <c r="I12" s="185">
        <f t="shared" ref="I12:AK12" si="2">I$3</f>
        <v>37072</v>
      </c>
      <c r="J12" s="185">
        <f t="shared" si="2"/>
        <v>37437</v>
      </c>
      <c r="K12" s="185">
        <f t="shared" si="2"/>
        <v>37802</v>
      </c>
      <c r="L12" s="185">
        <f t="shared" si="2"/>
        <v>38168</v>
      </c>
      <c r="M12" s="185">
        <f t="shared" si="2"/>
        <v>38533</v>
      </c>
      <c r="N12" s="185">
        <f t="shared" si="2"/>
        <v>38898</v>
      </c>
      <c r="O12" s="185">
        <f t="shared" si="2"/>
        <v>39263</v>
      </c>
      <c r="P12" s="185">
        <f t="shared" si="2"/>
        <v>39629</v>
      </c>
      <c r="Q12" s="185">
        <f t="shared" si="2"/>
        <v>39994</v>
      </c>
      <c r="R12" s="185">
        <f t="shared" si="2"/>
        <v>40359</v>
      </c>
      <c r="S12" s="185">
        <f t="shared" si="2"/>
        <v>40724</v>
      </c>
      <c r="T12" s="185">
        <f t="shared" si="2"/>
        <v>41090</v>
      </c>
      <c r="U12" s="185">
        <f t="shared" si="2"/>
        <v>41455</v>
      </c>
      <c r="V12" s="185">
        <f t="shared" si="2"/>
        <v>41820</v>
      </c>
      <c r="W12" s="185">
        <f t="shared" si="2"/>
        <v>42185</v>
      </c>
      <c r="X12" s="185">
        <f t="shared" si="2"/>
        <v>42551</v>
      </c>
      <c r="Y12" s="185">
        <f t="shared" si="2"/>
        <v>42916</v>
      </c>
      <c r="Z12" s="185">
        <f t="shared" si="2"/>
        <v>43281</v>
      </c>
      <c r="AA12" s="185">
        <f t="shared" si="2"/>
        <v>43646</v>
      </c>
      <c r="AB12" s="185">
        <f t="shared" si="2"/>
        <v>44012</v>
      </c>
      <c r="AC12" s="185">
        <f t="shared" si="2"/>
        <v>44377</v>
      </c>
      <c r="AD12" s="185">
        <f t="shared" si="2"/>
        <v>44742</v>
      </c>
      <c r="AE12" s="185">
        <f t="shared" si="2"/>
        <v>45107</v>
      </c>
      <c r="AF12" s="185">
        <f t="shared" si="2"/>
        <v>45473</v>
      </c>
      <c r="AG12" s="185">
        <f t="shared" si="2"/>
        <v>45838</v>
      </c>
      <c r="AH12" s="185">
        <f t="shared" si="2"/>
        <v>46203</v>
      </c>
      <c r="AI12" s="185">
        <f t="shared" si="2"/>
        <v>46568</v>
      </c>
      <c r="AJ12" s="185">
        <f t="shared" si="2"/>
        <v>46934</v>
      </c>
      <c r="AK12" s="185">
        <f t="shared" si="2"/>
        <v>47299</v>
      </c>
    </row>
    <row r="13" spans="1:37" ht="15.5">
      <c r="D13" s="98" t="s">
        <v>296</v>
      </c>
      <c r="E13" s="2"/>
      <c r="F13" s="186" t="s">
        <v>344</v>
      </c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</row>
    <row r="14" spans="1:37" ht="15.5">
      <c r="B14" s="186" t="str">
        <f>$B$8</f>
        <v>Year helper</v>
      </c>
      <c r="D14" s="186" t="s">
        <v>345</v>
      </c>
      <c r="E14" s="2"/>
      <c r="F14" s="2"/>
    </row>
    <row r="15" spans="1:37" ht="15.5">
      <c r="B15" s="184">
        <f>YEAR($E15)</f>
        <v>2000</v>
      </c>
      <c r="D15" s="200"/>
      <c r="E15" s="185">
        <f t="array" ref="E15:E44">TRANSPOSE($H$3:$AK$3)</f>
        <v>36707</v>
      </c>
      <c r="F15" s="160"/>
      <c r="H15" s="182">
        <f t="shared" ref="H15:AK15" si="3">IF($E15&gt;H$12,I15/(1+I$6),IF($E15=H$12,1,G15*(1+H$6)))</f>
        <v>1</v>
      </c>
      <c r="I15" s="182">
        <f t="shared" si="3"/>
        <v>1.0447518307567127</v>
      </c>
      <c r="J15" s="182">
        <f t="shared" si="3"/>
        <v>1.0905207485760782</v>
      </c>
      <c r="K15" s="182">
        <f t="shared" si="3"/>
        <v>1.1232709519934907</v>
      </c>
      <c r="L15" s="182">
        <f t="shared" si="3"/>
        <v>1.1543938161106591</v>
      </c>
      <c r="M15" s="182">
        <f t="shared" si="3"/>
        <v>1.1814483319772171</v>
      </c>
      <c r="N15" s="182">
        <f t="shared" si="3"/>
        <v>1.2129780309194464</v>
      </c>
      <c r="O15" s="182">
        <f t="shared" si="3"/>
        <v>1.255899104963385</v>
      </c>
      <c r="P15" s="182">
        <f t="shared" si="3"/>
        <v>1.2851912123677787</v>
      </c>
      <c r="Q15" s="182">
        <f t="shared" si="3"/>
        <v>1.3411310008136694</v>
      </c>
      <c r="R15" s="182">
        <f t="shared" si="3"/>
        <v>1.3655410903173311</v>
      </c>
      <c r="S15" s="182">
        <f t="shared" si="3"/>
        <v>1.4043938161106593</v>
      </c>
      <c r="T15" s="182">
        <f t="shared" si="3"/>
        <v>1.4519934906427989</v>
      </c>
      <c r="U15" s="182">
        <f t="shared" si="3"/>
        <v>1.477588943764178</v>
      </c>
      <c r="V15" s="182">
        <f t="shared" si="3"/>
        <v>1.5137882274644141</v>
      </c>
      <c r="W15" s="182">
        <f t="shared" si="3"/>
        <v>1.5514501084858718</v>
      </c>
      <c r="X15" s="182">
        <f t="shared" si="3"/>
        <v>1.5748516656254181</v>
      </c>
      <c r="Y15" s="182">
        <f t="shared" si="3"/>
        <v>1.5949623787922158</v>
      </c>
      <c r="Z15" s="182">
        <f t="shared" si="3"/>
        <v>1.6260425718681759</v>
      </c>
      <c r="AA15" s="182">
        <f t="shared" si="3"/>
        <v>1.6571227649441362</v>
      </c>
      <c r="AB15" s="182">
        <f t="shared" si="3"/>
        <v>1.6876219569369733</v>
      </c>
      <c r="AC15" s="182">
        <f t="shared" si="3"/>
        <v>1.702145381695467</v>
      </c>
      <c r="AD15" s="182">
        <f t="shared" si="3"/>
        <v>1.7616914232052912</v>
      </c>
      <c r="AE15" s="182">
        <f t="shared" si="3"/>
        <v>1.899663958410982</v>
      </c>
      <c r="AF15" s="182">
        <f t="shared" si="3"/>
        <v>1.9775501807058322</v>
      </c>
      <c r="AG15" s="182">
        <f t="shared" si="3"/>
        <v>2.0329172574589083</v>
      </c>
      <c r="AH15" s="182">
        <f t="shared" si="3"/>
        <v>2.0898344911779563</v>
      </c>
      <c r="AI15" s="182">
        <f t="shared" si="3"/>
        <v>2.1483452828651619</v>
      </c>
      <c r="AJ15" s="182">
        <f t="shared" si="3"/>
        <v>2.208494248655779</v>
      </c>
      <c r="AK15" s="182">
        <f t="shared" si="3"/>
        <v>2.2703272538391963</v>
      </c>
    </row>
    <row r="16" spans="1:37" ht="15.5">
      <c r="B16" s="184">
        <f t="shared" ref="B16:B44" si="4">YEAR($E16)</f>
        <v>2001</v>
      </c>
      <c r="D16" s="200"/>
      <c r="E16" s="185">
        <v>37072</v>
      </c>
      <c r="H16" s="182">
        <f t="shared" ref="H16:AK16" si="5">IF($E16&gt;H$12,I16/(1+I$6),IF($E16=H$12,1,G16*(1+H$6)))</f>
        <v>0.95716510903426799</v>
      </c>
      <c r="I16" s="182">
        <f t="shared" si="5"/>
        <v>1</v>
      </c>
      <c r="J16" s="182">
        <f t="shared" si="5"/>
        <v>1.0438084112149533</v>
      </c>
      <c r="K16" s="182">
        <f t="shared" si="5"/>
        <v>1.0751557632398754</v>
      </c>
      <c r="L16" s="182">
        <f t="shared" si="5"/>
        <v>1.1049454828660437</v>
      </c>
      <c r="M16" s="182">
        <f t="shared" si="5"/>
        <v>1.1308411214953271</v>
      </c>
      <c r="N16" s="182">
        <f t="shared" si="5"/>
        <v>1.1610202492211839</v>
      </c>
      <c r="O16" s="182">
        <f t="shared" si="5"/>
        <v>1.2021028037383181</v>
      </c>
      <c r="P16" s="182">
        <f t="shared" si="5"/>
        <v>1.2301401869158881</v>
      </c>
      <c r="Q16" s="182">
        <f t="shared" si="5"/>
        <v>1.2836838006230529</v>
      </c>
      <c r="R16" s="182">
        <f t="shared" si="5"/>
        <v>1.3070482866043613</v>
      </c>
      <c r="S16" s="182">
        <f t="shared" si="5"/>
        <v>1.344236760124611</v>
      </c>
      <c r="T16" s="182">
        <f t="shared" si="5"/>
        <v>1.3897975077881621</v>
      </c>
      <c r="U16" s="182">
        <f t="shared" si="5"/>
        <v>1.4142965824658684</v>
      </c>
      <c r="V16" s="182">
        <f t="shared" si="5"/>
        <v>1.4489452737957673</v>
      </c>
      <c r="W16" s="182">
        <f t="shared" si="5"/>
        <v>1.4849939122501066</v>
      </c>
      <c r="X16" s="182">
        <f t="shared" si="5"/>
        <v>1.5073930662411521</v>
      </c>
      <c r="Y16" s="182">
        <f t="shared" si="5"/>
        <v>1.5266423392022068</v>
      </c>
      <c r="Z16" s="182">
        <f t="shared" si="5"/>
        <v>1.5563912155965642</v>
      </c>
      <c r="AA16" s="182">
        <f t="shared" si="5"/>
        <v>1.5861400919909219</v>
      </c>
      <c r="AB16" s="182">
        <f t="shared" si="5"/>
        <v>1.6153328544202028</v>
      </c>
      <c r="AC16" s="182">
        <f t="shared" si="5"/>
        <v>1.6292341698627175</v>
      </c>
      <c r="AD16" s="182">
        <f t="shared" si="5"/>
        <v>1.6862295631770274</v>
      </c>
      <c r="AE16" s="182">
        <f t="shared" si="5"/>
        <v>1.8182920598809169</v>
      </c>
      <c r="AF16" s="182">
        <f t="shared" si="5"/>
        <v>1.8928420343360344</v>
      </c>
      <c r="AG16" s="182">
        <f t="shared" si="5"/>
        <v>1.9458374683933009</v>
      </c>
      <c r="AH16" s="182">
        <f t="shared" si="5"/>
        <v>2.0003166586119225</v>
      </c>
      <c r="AI16" s="182">
        <f t="shared" si="5"/>
        <v>2.0563211469168881</v>
      </c>
      <c r="AJ16" s="182">
        <f t="shared" si="5"/>
        <v>2.1138936383161626</v>
      </c>
      <c r="AK16" s="182">
        <f t="shared" si="5"/>
        <v>2.1730780334644644</v>
      </c>
    </row>
    <row r="17" spans="2:37" ht="15.5">
      <c r="B17" s="184">
        <f t="shared" si="4"/>
        <v>2002</v>
      </c>
      <c r="D17" s="200"/>
      <c r="E17" s="185">
        <v>37437</v>
      </c>
      <c r="H17" s="182">
        <f t="shared" ref="H17:AK17" si="6">IF($E17&gt;H$12,I17/(1+I$6),IF($E17=H$12,1,G17*(1+H$6)))</f>
        <v>0.9169930983025556</v>
      </c>
      <c r="I17" s="182">
        <f t="shared" si="6"/>
        <v>0.95803021824286516</v>
      </c>
      <c r="J17" s="182">
        <f t="shared" si="6"/>
        <v>1</v>
      </c>
      <c r="K17" s="182">
        <f t="shared" si="6"/>
        <v>1.030031710501772</v>
      </c>
      <c r="L17" s="182">
        <f t="shared" si="6"/>
        <v>1.0585711620966236</v>
      </c>
      <c r="M17" s="182">
        <f t="shared" si="6"/>
        <v>1.0833799664241743</v>
      </c>
      <c r="N17" s="182">
        <f t="shared" si="6"/>
        <v>1.1122924827457561</v>
      </c>
      <c r="O17" s="182">
        <f t="shared" si="6"/>
        <v>1.1516508114157806</v>
      </c>
      <c r="P17" s="182">
        <f t="shared" si="6"/>
        <v>1.1785114717403469</v>
      </c>
      <c r="Q17" s="182">
        <f t="shared" si="6"/>
        <v>1.2298078716657337</v>
      </c>
      <c r="R17" s="182">
        <f t="shared" si="6"/>
        <v>1.252191755269539</v>
      </c>
      <c r="S17" s="182">
        <f t="shared" si="6"/>
        <v>1.2878194366722626</v>
      </c>
      <c r="T17" s="182">
        <f t="shared" si="6"/>
        <v>1.3314680096996825</v>
      </c>
      <c r="U17" s="182">
        <f t="shared" si="6"/>
        <v>1.3549388635599136</v>
      </c>
      <c r="V17" s="182">
        <f t="shared" si="6"/>
        <v>1.3881333568765262</v>
      </c>
      <c r="W17" s="182">
        <f t="shared" si="6"/>
        <v>1.4226690418422949</v>
      </c>
      <c r="X17" s="182">
        <f t="shared" si="6"/>
        <v>1.4441281082287918</v>
      </c>
      <c r="Y17" s="182">
        <f t="shared" si="6"/>
        <v>1.4625694934046876</v>
      </c>
      <c r="Z17" s="182">
        <f t="shared" si="6"/>
        <v>1.4910698159492539</v>
      </c>
      <c r="AA17" s="182">
        <f t="shared" si="6"/>
        <v>1.5195701384938203</v>
      </c>
      <c r="AB17" s="182">
        <f t="shared" si="6"/>
        <v>1.5475376870550563</v>
      </c>
      <c r="AC17" s="182">
        <f t="shared" si="6"/>
        <v>1.5608555673223115</v>
      </c>
      <c r="AD17" s="182">
        <f t="shared" si="6"/>
        <v>1.6154588764180577</v>
      </c>
      <c r="AE17" s="182">
        <f t="shared" si="6"/>
        <v>1.7419787389569825</v>
      </c>
      <c r="AF17" s="182">
        <f t="shared" si="6"/>
        <v>1.8133998672542186</v>
      </c>
      <c r="AG17" s="182">
        <f t="shared" si="6"/>
        <v>1.864171094509977</v>
      </c>
      <c r="AH17" s="182">
        <f t="shared" si="6"/>
        <v>1.9163638050048177</v>
      </c>
      <c r="AI17" s="182">
        <f t="shared" si="6"/>
        <v>1.970017797158204</v>
      </c>
      <c r="AJ17" s="182">
        <f t="shared" si="6"/>
        <v>2.0251739836582363</v>
      </c>
      <c r="AK17" s="182">
        <f t="shared" si="6"/>
        <v>2.081874422658736</v>
      </c>
    </row>
    <row r="18" spans="2:37" ht="15.5">
      <c r="B18" s="184">
        <f t="shared" si="4"/>
        <v>2003</v>
      </c>
      <c r="E18" s="185">
        <v>37802</v>
      </c>
      <c r="H18" s="182">
        <f t="shared" ref="H18:AK18" si="7">IF($E18&gt;H$12,I18/(1+I$6),IF($E18=H$12,1,G18*(1+H$6)))</f>
        <v>0.89025715320536047</v>
      </c>
      <c r="I18" s="182">
        <f t="shared" si="7"/>
        <v>0.93009779065555964</v>
      </c>
      <c r="J18" s="182">
        <f t="shared" si="7"/>
        <v>0.97084389713871788</v>
      </c>
      <c r="K18" s="182">
        <f t="shared" si="7"/>
        <v>1</v>
      </c>
      <c r="L18" s="182">
        <f t="shared" si="7"/>
        <v>1.0277073524085476</v>
      </c>
      <c r="M18" s="182">
        <f t="shared" si="7"/>
        <v>1.0517928286852589</v>
      </c>
      <c r="N18" s="182">
        <f t="shared" si="7"/>
        <v>1.0798623687069902</v>
      </c>
      <c r="O18" s="182">
        <f t="shared" si="7"/>
        <v>1.1180731618978634</v>
      </c>
      <c r="P18" s="182">
        <f t="shared" si="7"/>
        <v>1.1441506700470847</v>
      </c>
      <c r="Q18" s="182">
        <f t="shared" si="7"/>
        <v>1.1939514668598334</v>
      </c>
      <c r="R18" s="182">
        <f t="shared" si="7"/>
        <v>1.2156827236508512</v>
      </c>
      <c r="S18" s="182">
        <f t="shared" si="7"/>
        <v>1.2502716407098882</v>
      </c>
      <c r="T18" s="182">
        <f t="shared" si="7"/>
        <v>1.2926475914523725</v>
      </c>
      <c r="U18" s="182">
        <f t="shared" si="7"/>
        <v>1.3154341266832126</v>
      </c>
      <c r="V18" s="182">
        <f t="shared" si="7"/>
        <v>1.347660797938258</v>
      </c>
      <c r="W18" s="182">
        <f t="shared" si="7"/>
        <v>1.3811895569207799</v>
      </c>
      <c r="X18" s="182">
        <f t="shared" si="7"/>
        <v>1.4020229605604051</v>
      </c>
      <c r="Y18" s="182">
        <f t="shared" si="7"/>
        <v>1.4199266668132078</v>
      </c>
      <c r="Z18" s="182">
        <f t="shared" si="7"/>
        <v>1.447596031022085</v>
      </c>
      <c r="AA18" s="182">
        <f t="shared" si="7"/>
        <v>1.4752653952309625</v>
      </c>
      <c r="AB18" s="182">
        <f t="shared" si="7"/>
        <v>1.5024175190695692</v>
      </c>
      <c r="AC18" s="182">
        <f t="shared" si="7"/>
        <v>1.5153471018498581</v>
      </c>
      <c r="AD18" s="182">
        <f t="shared" si="7"/>
        <v>1.5683583912490424</v>
      </c>
      <c r="AE18" s="182">
        <f t="shared" si="7"/>
        <v>1.6911894276617871</v>
      </c>
      <c r="AF18" s="182">
        <f t="shared" si="7"/>
        <v>1.7605281941959203</v>
      </c>
      <c r="AG18" s="182">
        <f t="shared" si="7"/>
        <v>1.8098191303274163</v>
      </c>
      <c r="AH18" s="182">
        <f t="shared" si="7"/>
        <v>1.8604901047864602</v>
      </c>
      <c r="AI18" s="182">
        <f t="shared" si="7"/>
        <v>1.9125797556257038</v>
      </c>
      <c r="AJ18" s="182">
        <f t="shared" si="7"/>
        <v>1.9661278026787052</v>
      </c>
      <c r="AK18" s="182">
        <f t="shared" si="7"/>
        <v>2.0211750778474262</v>
      </c>
    </row>
    <row r="19" spans="2:37" ht="15.5">
      <c r="B19" s="184">
        <f t="shared" si="4"/>
        <v>2004</v>
      </c>
      <c r="E19" s="185">
        <v>38168</v>
      </c>
      <c r="H19" s="182">
        <f t="shared" ref="H19:AK19" si="8">IF($E19&gt;H$12,I19/(1+I$6),IF($E19=H$12,1,G19*(1+H$6)))</f>
        <v>0.8662555066079296</v>
      </c>
      <c r="I19" s="182">
        <f t="shared" si="8"/>
        <v>0.90502202643171814</v>
      </c>
      <c r="J19" s="182">
        <f t="shared" si="8"/>
        <v>0.94466960352422913</v>
      </c>
      <c r="K19" s="182">
        <f t="shared" si="8"/>
        <v>0.97303964757709249</v>
      </c>
      <c r="L19" s="182">
        <f t="shared" si="8"/>
        <v>1</v>
      </c>
      <c r="M19" s="182">
        <f t="shared" si="8"/>
        <v>1.0234361233480176</v>
      </c>
      <c r="N19" s="182">
        <f t="shared" si="8"/>
        <v>1.0507488986784141</v>
      </c>
      <c r="O19" s="182">
        <f t="shared" si="8"/>
        <v>1.0879295154185027</v>
      </c>
      <c r="P19" s="182">
        <f t="shared" si="8"/>
        <v>1.1133039647577097</v>
      </c>
      <c r="Q19" s="182">
        <f t="shared" si="8"/>
        <v>1.161762114537445</v>
      </c>
      <c r="R19" s="182">
        <f t="shared" si="8"/>
        <v>1.1829074889867843</v>
      </c>
      <c r="S19" s="182">
        <f t="shared" si="8"/>
        <v>1.2165638766519828</v>
      </c>
      <c r="T19" s="182">
        <f t="shared" si="8"/>
        <v>1.2577973568281939</v>
      </c>
      <c r="U19" s="182">
        <f t="shared" si="8"/>
        <v>1.2799695590387137</v>
      </c>
      <c r="V19" s="182">
        <f t="shared" si="8"/>
        <v>1.3113273878793057</v>
      </c>
      <c r="W19" s="182">
        <f t="shared" si="8"/>
        <v>1.3439521997033561</v>
      </c>
      <c r="X19" s="182">
        <f t="shared" si="8"/>
        <v>1.3642239274386883</v>
      </c>
      <c r="Y19" s="182">
        <f t="shared" si="8"/>
        <v>1.3816449434612392</v>
      </c>
      <c r="Z19" s="182">
        <f t="shared" si="8"/>
        <v>1.4085683318597273</v>
      </c>
      <c r="AA19" s="182">
        <f t="shared" si="8"/>
        <v>1.4354917202582156</v>
      </c>
      <c r="AB19" s="182">
        <f t="shared" si="8"/>
        <v>1.4619118132691031</v>
      </c>
      <c r="AC19" s="182">
        <f t="shared" si="8"/>
        <v>1.4744928099409542</v>
      </c>
      <c r="AD19" s="182">
        <f t="shared" si="8"/>
        <v>1.5260748962955437</v>
      </c>
      <c r="AE19" s="182">
        <f t="shared" si="8"/>
        <v>1.6455943646781297</v>
      </c>
      <c r="AF19" s="182">
        <f t="shared" si="8"/>
        <v>1.7130637336299328</v>
      </c>
      <c r="AG19" s="182">
        <f t="shared" si="8"/>
        <v>1.7610257687520687</v>
      </c>
      <c r="AH19" s="182">
        <f t="shared" si="8"/>
        <v>1.8103306358820848</v>
      </c>
      <c r="AI19" s="182">
        <f t="shared" si="8"/>
        <v>1.8610159313771162</v>
      </c>
      <c r="AJ19" s="182">
        <f t="shared" si="8"/>
        <v>1.9131203042100102</v>
      </c>
      <c r="AK19" s="182">
        <f t="shared" si="8"/>
        <v>1.9666834854402619</v>
      </c>
    </row>
    <row r="20" spans="2:37" ht="15.5">
      <c r="B20" s="184">
        <f t="shared" si="4"/>
        <v>2005</v>
      </c>
      <c r="E20" s="185">
        <v>38533</v>
      </c>
      <c r="H20" s="182">
        <f t="shared" ref="H20:AK20" si="9">IF($E20&gt;H$12,I20/(1+I$6),IF($E20=H$12,1,G20*(1+H$6)))</f>
        <v>0.84641873278236923</v>
      </c>
      <c r="I20" s="182">
        <f t="shared" si="9"/>
        <v>0.88429752066115708</v>
      </c>
      <c r="J20" s="182">
        <f t="shared" si="9"/>
        <v>0.92303719008264473</v>
      </c>
      <c r="K20" s="182">
        <f t="shared" si="9"/>
        <v>0.9507575757575758</v>
      </c>
      <c r="L20" s="182">
        <f t="shared" si="9"/>
        <v>0.97710055096418735</v>
      </c>
      <c r="M20" s="182">
        <f t="shared" si="9"/>
        <v>1</v>
      </c>
      <c r="N20" s="182">
        <f t="shared" si="9"/>
        <v>1.0266873278236914</v>
      </c>
      <c r="O20" s="182">
        <f t="shared" si="9"/>
        <v>1.0630165289256202</v>
      </c>
      <c r="P20" s="182">
        <f t="shared" si="9"/>
        <v>1.0878099173553721</v>
      </c>
      <c r="Q20" s="182">
        <f t="shared" si="9"/>
        <v>1.1351584022038568</v>
      </c>
      <c r="R20" s="182">
        <f t="shared" si="9"/>
        <v>1.1558195592286502</v>
      </c>
      <c r="S20" s="182">
        <f t="shared" si="9"/>
        <v>1.1887052341597799</v>
      </c>
      <c r="T20" s="182">
        <f t="shared" si="9"/>
        <v>1.2289944903581267</v>
      </c>
      <c r="U20" s="182">
        <f t="shared" si="9"/>
        <v>1.2506589613541148</v>
      </c>
      <c r="V20" s="182">
        <f t="shared" si="9"/>
        <v>1.2812987131912981</v>
      </c>
      <c r="W20" s="182">
        <f t="shared" si="9"/>
        <v>1.3131764347996806</v>
      </c>
      <c r="X20" s="182">
        <f t="shared" si="9"/>
        <v>1.3329839511388697</v>
      </c>
      <c r="Y20" s="182">
        <f t="shared" si="9"/>
        <v>1.3500060354928602</v>
      </c>
      <c r="Z20" s="182">
        <f t="shared" si="9"/>
        <v>1.3763128931308457</v>
      </c>
      <c r="AA20" s="182">
        <f t="shared" si="9"/>
        <v>1.4026197507688314</v>
      </c>
      <c r="AB20" s="182">
        <f t="shared" si="9"/>
        <v>1.4284348382062948</v>
      </c>
      <c r="AC20" s="182">
        <f t="shared" si="9"/>
        <v>1.4407277369860392</v>
      </c>
      <c r="AD20" s="182">
        <f t="shared" si="9"/>
        <v>1.4911286219829909</v>
      </c>
      <c r="AE20" s="182">
        <f t="shared" si="9"/>
        <v>1.6079111603905625</v>
      </c>
      <c r="AF20" s="182">
        <f t="shared" si="9"/>
        <v>1.6738355179665754</v>
      </c>
      <c r="AG20" s="182">
        <f t="shared" si="9"/>
        <v>1.7206992489097781</v>
      </c>
      <c r="AH20" s="182">
        <f t="shared" si="9"/>
        <v>1.7688750617477329</v>
      </c>
      <c r="AI20" s="182">
        <f t="shared" si="9"/>
        <v>1.8183996919017109</v>
      </c>
      <c r="AJ20" s="182">
        <f t="shared" si="9"/>
        <v>1.8693109033043751</v>
      </c>
      <c r="AK20" s="182">
        <f t="shared" si="9"/>
        <v>1.9216475171958487</v>
      </c>
    </row>
    <row r="21" spans="2:37" ht="15.5">
      <c r="B21" s="184">
        <f t="shared" si="4"/>
        <v>2006</v>
      </c>
      <c r="E21" s="185">
        <v>38898</v>
      </c>
      <c r="H21" s="182">
        <f t="shared" ref="H21:AK21" si="10">IF($E21&gt;H$12,I21/(1+I$6),IF($E21=H$12,1,G21*(1+H$6)))</f>
        <v>0.82441723964447444</v>
      </c>
      <c r="I21" s="182">
        <f t="shared" si="10"/>
        <v>0.86131142042596021</v>
      </c>
      <c r="J21" s="182">
        <f t="shared" si="10"/>
        <v>0.89904410531611612</v>
      </c>
      <c r="K21" s="182">
        <f t="shared" si="10"/>
        <v>0.92604393761529435</v>
      </c>
      <c r="L21" s="182">
        <f t="shared" si="10"/>
        <v>0.95170216334060043</v>
      </c>
      <c r="M21" s="182">
        <f t="shared" si="10"/>
        <v>0.97400637263122591</v>
      </c>
      <c r="N21" s="182">
        <f t="shared" si="10"/>
        <v>1</v>
      </c>
      <c r="O21" s="182">
        <f t="shared" si="10"/>
        <v>1.0353848733858799</v>
      </c>
      <c r="P21" s="182">
        <f t="shared" si="10"/>
        <v>1.0595337917155796</v>
      </c>
      <c r="Q21" s="182">
        <f t="shared" si="10"/>
        <v>1.1056515176924366</v>
      </c>
      <c r="R21" s="182">
        <f t="shared" si="10"/>
        <v>1.1257756163005199</v>
      </c>
      <c r="S21" s="182">
        <f t="shared" si="10"/>
        <v>1.1578064732517193</v>
      </c>
      <c r="T21" s="182">
        <f t="shared" si="10"/>
        <v>1.1970484655374811</v>
      </c>
      <c r="U21" s="182">
        <f t="shared" si="10"/>
        <v>1.218149798347258</v>
      </c>
      <c r="V21" s="182">
        <f t="shared" si="10"/>
        <v>1.2479931118925138</v>
      </c>
      <c r="W21" s="182">
        <f t="shared" si="10"/>
        <v>1.2790422158840427</v>
      </c>
      <c r="X21" s="182">
        <f t="shared" si="10"/>
        <v>1.2983348630244098</v>
      </c>
      <c r="Y21" s="182">
        <f t="shared" si="10"/>
        <v>1.3149144816606628</v>
      </c>
      <c r="Z21" s="182">
        <f t="shared" si="10"/>
        <v>1.3405375286439631</v>
      </c>
      <c r="AA21" s="182">
        <f t="shared" si="10"/>
        <v>1.3661605756272637</v>
      </c>
      <c r="AB21" s="182">
        <f t="shared" si="10"/>
        <v>1.3913046353013852</v>
      </c>
      <c r="AC21" s="182">
        <f t="shared" si="10"/>
        <v>1.4032779970509668</v>
      </c>
      <c r="AD21" s="182">
        <f t="shared" si="10"/>
        <v>1.4523687802242513</v>
      </c>
      <c r="AE21" s="182">
        <f t="shared" si="10"/>
        <v>1.5661157168452768</v>
      </c>
      <c r="AF21" s="182">
        <f t="shared" si="10"/>
        <v>1.6303264612359332</v>
      </c>
      <c r="AG21" s="182">
        <f t="shared" si="10"/>
        <v>1.6759720338198878</v>
      </c>
      <c r="AH21" s="182">
        <f t="shared" si="10"/>
        <v>1.7228955825307448</v>
      </c>
      <c r="AI21" s="182">
        <f t="shared" si="10"/>
        <v>1.7711328879029238</v>
      </c>
      <c r="AJ21" s="182">
        <f t="shared" si="10"/>
        <v>1.8207207322474943</v>
      </c>
      <c r="AK21" s="182">
        <f t="shared" si="10"/>
        <v>1.8716969276997295</v>
      </c>
    </row>
    <row r="22" spans="2:37" ht="15.5">
      <c r="B22" s="184">
        <f t="shared" si="4"/>
        <v>2007</v>
      </c>
      <c r="E22" s="185">
        <v>39263</v>
      </c>
      <c r="H22" s="182">
        <f t="shared" ref="H22:AK22" si="11">IF($E22&gt;H$12,I22/(1+I$6),IF($E22=H$12,1,G22*(1+H$6)))</f>
        <v>0.79624230644638794</v>
      </c>
      <c r="I22" s="182">
        <f t="shared" si="11"/>
        <v>0.83187560738581134</v>
      </c>
      <c r="J22" s="182">
        <f t="shared" si="11"/>
        <v>0.868318756073858</v>
      </c>
      <c r="K22" s="182">
        <f t="shared" si="11"/>
        <v>0.89439585357952689</v>
      </c>
      <c r="L22" s="182">
        <f t="shared" si="11"/>
        <v>0.91917719468739856</v>
      </c>
      <c r="M22" s="182">
        <f t="shared" si="11"/>
        <v>0.94071914480077723</v>
      </c>
      <c r="N22" s="182">
        <f t="shared" si="11"/>
        <v>0.96582442500809818</v>
      </c>
      <c r="O22" s="182">
        <f t="shared" si="11"/>
        <v>1</v>
      </c>
      <c r="P22" s="182">
        <f t="shared" si="11"/>
        <v>1.0233236151603498</v>
      </c>
      <c r="Q22" s="182">
        <f t="shared" si="11"/>
        <v>1.0678652413346288</v>
      </c>
      <c r="R22" s="182">
        <f t="shared" si="11"/>
        <v>1.087301587301587</v>
      </c>
      <c r="S22" s="182">
        <f t="shared" si="11"/>
        <v>1.1182377712989957</v>
      </c>
      <c r="T22" s="182">
        <f t="shared" si="11"/>
        <v>1.1561386459345639</v>
      </c>
      <c r="U22" s="182">
        <f t="shared" si="11"/>
        <v>1.1765188285624713</v>
      </c>
      <c r="V22" s="182">
        <f t="shared" si="11"/>
        <v>1.2053422297076544</v>
      </c>
      <c r="W22" s="182">
        <f t="shared" si="11"/>
        <v>1.2353302127172894</v>
      </c>
      <c r="X22" s="182">
        <f t="shared" si="11"/>
        <v>1.2539635225485186</v>
      </c>
      <c r="Y22" s="182">
        <f t="shared" si="11"/>
        <v>1.2699765231847313</v>
      </c>
      <c r="Z22" s="182">
        <f t="shared" si="11"/>
        <v>1.2947238878043328</v>
      </c>
      <c r="AA22" s="182">
        <f t="shared" si="11"/>
        <v>1.3194712524239345</v>
      </c>
      <c r="AB22" s="182">
        <f t="shared" si="11"/>
        <v>1.3437559994010622</v>
      </c>
      <c r="AC22" s="182">
        <f t="shared" si="11"/>
        <v>1.3553201646282658</v>
      </c>
      <c r="AD22" s="182">
        <f t="shared" si="11"/>
        <v>1.4027332420598004</v>
      </c>
      <c r="AE22" s="182">
        <f t="shared" si="11"/>
        <v>1.512592811718235</v>
      </c>
      <c r="AF22" s="182">
        <f t="shared" si="11"/>
        <v>1.5746091169986824</v>
      </c>
      <c r="AG22" s="182">
        <f t="shared" si="11"/>
        <v>1.6186947258937456</v>
      </c>
      <c r="AH22" s="182">
        <f t="shared" si="11"/>
        <v>1.6640146353467486</v>
      </c>
      <c r="AI22" s="182">
        <f t="shared" si="11"/>
        <v>1.7106034030717736</v>
      </c>
      <c r="AJ22" s="182">
        <f t="shared" si="11"/>
        <v>1.7584965543232596</v>
      </c>
      <c r="AK22" s="182">
        <f t="shared" si="11"/>
        <v>1.8077306089850151</v>
      </c>
    </row>
    <row r="23" spans="2:37" ht="15.5">
      <c r="B23" s="184">
        <f t="shared" si="4"/>
        <v>2008</v>
      </c>
      <c r="E23" s="185">
        <v>39629</v>
      </c>
      <c r="H23" s="182">
        <f t="shared" ref="H23:AK23" si="12">IF($E23&gt;H$12,I23/(1+I$6),IF($E23=H$12,1,G23*(1+H$6)))</f>
        <v>0.77809433364988911</v>
      </c>
      <c r="I23" s="182">
        <f t="shared" si="12"/>
        <v>0.81291547958214616</v>
      </c>
      <c r="J23" s="182">
        <f t="shared" si="12"/>
        <v>0.8485280151946818</v>
      </c>
      <c r="K23" s="182">
        <f t="shared" si="12"/>
        <v>0.87401076289965163</v>
      </c>
      <c r="L23" s="182">
        <f t="shared" si="12"/>
        <v>0.89822728711617583</v>
      </c>
      <c r="M23" s="182">
        <f t="shared" si="12"/>
        <v>0.91927825261158569</v>
      </c>
      <c r="N23" s="182">
        <f t="shared" si="12"/>
        <v>0.94381133270022133</v>
      </c>
      <c r="O23" s="182">
        <f t="shared" si="12"/>
        <v>0.97720797720797725</v>
      </c>
      <c r="P23" s="182">
        <f t="shared" si="12"/>
        <v>1</v>
      </c>
      <c r="Q23" s="182">
        <f t="shared" si="12"/>
        <v>1.0435264324153211</v>
      </c>
      <c r="R23" s="182">
        <f t="shared" si="12"/>
        <v>1.0625197847420067</v>
      </c>
      <c r="S23" s="182">
        <f t="shared" si="12"/>
        <v>1.0927508705286484</v>
      </c>
      <c r="T23" s="182">
        <f t="shared" si="12"/>
        <v>1.1297879075656851</v>
      </c>
      <c r="U23" s="182">
        <f t="shared" si="12"/>
        <v>1.1497035846066315</v>
      </c>
      <c r="V23" s="182">
        <f t="shared" si="12"/>
        <v>1.1778700421359698</v>
      </c>
      <c r="W23" s="182">
        <f t="shared" si="12"/>
        <v>1.2071745383533623</v>
      </c>
      <c r="X23" s="182">
        <f t="shared" si="12"/>
        <v>1.2253831573622274</v>
      </c>
      <c r="Y23" s="182">
        <f t="shared" si="12"/>
        <v>1.2410311893229709</v>
      </c>
      <c r="Z23" s="182">
        <f t="shared" si="12"/>
        <v>1.26521451144412</v>
      </c>
      <c r="AA23" s="182">
        <f t="shared" si="12"/>
        <v>1.2893978335652692</v>
      </c>
      <c r="AB23" s="182">
        <f t="shared" si="12"/>
        <v>1.3131290820357957</v>
      </c>
      <c r="AC23" s="182">
        <f t="shared" si="12"/>
        <v>1.3244296765455701</v>
      </c>
      <c r="AD23" s="182">
        <f t="shared" si="12"/>
        <v>1.3707621140356454</v>
      </c>
      <c r="AE23" s="182">
        <f t="shared" si="12"/>
        <v>1.4781177618785033</v>
      </c>
      <c r="AF23" s="182">
        <f t="shared" si="12"/>
        <v>1.5387205901155219</v>
      </c>
      <c r="AG23" s="182">
        <f t="shared" si="12"/>
        <v>1.5818013988078488</v>
      </c>
      <c r="AH23" s="182">
        <f t="shared" si="12"/>
        <v>1.6260883758516667</v>
      </c>
      <c r="AI23" s="182">
        <f t="shared" si="12"/>
        <v>1.6716152913208504</v>
      </c>
      <c r="AJ23" s="182">
        <f t="shared" si="12"/>
        <v>1.7184168607774306</v>
      </c>
      <c r="AK23" s="182">
        <f t="shared" si="12"/>
        <v>1.7665287717431917</v>
      </c>
    </row>
    <row r="24" spans="2:37" ht="15.5">
      <c r="B24" s="184">
        <f t="shared" si="4"/>
        <v>2009</v>
      </c>
      <c r="E24" s="185">
        <v>39994</v>
      </c>
      <c r="H24" s="182">
        <f t="shared" ref="H24:AK24" si="13">IF($E24&gt;H$12,I24/(1+I$6),IF($E24=H$12,1,G24*(1+H$6)))</f>
        <v>0.74563931442438947</v>
      </c>
      <c r="I24" s="182">
        <f t="shared" si="13"/>
        <v>0.77900803882906111</v>
      </c>
      <c r="J24" s="182">
        <f t="shared" si="13"/>
        <v>0.81313514333383896</v>
      </c>
      <c r="K24" s="182">
        <f t="shared" si="13"/>
        <v>0.83755498255725769</v>
      </c>
      <c r="L24" s="182">
        <f t="shared" si="13"/>
        <v>0.86076141362050662</v>
      </c>
      <c r="M24" s="182">
        <f t="shared" si="13"/>
        <v>0.88093432428333085</v>
      </c>
      <c r="N24" s="182">
        <f t="shared" si="13"/>
        <v>0.90444410738662218</v>
      </c>
      <c r="O24" s="182">
        <f t="shared" si="13"/>
        <v>0.93644774761110294</v>
      </c>
      <c r="P24" s="182">
        <f t="shared" si="13"/>
        <v>0.95828909449416066</v>
      </c>
      <c r="Q24" s="182">
        <f t="shared" si="13"/>
        <v>1</v>
      </c>
      <c r="R24" s="182">
        <f t="shared" si="13"/>
        <v>1.0182011224025482</v>
      </c>
      <c r="S24" s="182">
        <f t="shared" si="13"/>
        <v>1.0471712422266044</v>
      </c>
      <c r="T24" s="182">
        <f t="shared" si="13"/>
        <v>1.082663430911573</v>
      </c>
      <c r="U24" s="182">
        <f t="shared" si="13"/>
        <v>1.1017484070293797</v>
      </c>
      <c r="V24" s="182">
        <f t="shared" si="13"/>
        <v>1.1287400161102776</v>
      </c>
      <c r="W24" s="182">
        <f t="shared" si="13"/>
        <v>1.1568221952550504</v>
      </c>
      <c r="X24" s="182">
        <f t="shared" si="13"/>
        <v>1.1742713162770448</v>
      </c>
      <c r="Y24" s="182">
        <f t="shared" si="13"/>
        <v>1.1892666546553214</v>
      </c>
      <c r="Z24" s="182">
        <f t="shared" si="13"/>
        <v>1.212441268512658</v>
      </c>
      <c r="AA24" s="182">
        <f t="shared" si="13"/>
        <v>1.2356158823699948</v>
      </c>
      <c r="AB24" s="182">
        <f t="shared" si="13"/>
        <v>1.2583572789780315</v>
      </c>
      <c r="AC24" s="182">
        <f t="shared" si="13"/>
        <v>1.2691865154580491</v>
      </c>
      <c r="AD24" s="182">
        <f t="shared" si="13"/>
        <v>1.3135863850261207</v>
      </c>
      <c r="AE24" s="182">
        <f t="shared" si="13"/>
        <v>1.4164641315862869</v>
      </c>
      <c r="AF24" s="182">
        <f t="shared" si="13"/>
        <v>1.4745391609813245</v>
      </c>
      <c r="AG24" s="182">
        <f t="shared" si="13"/>
        <v>1.5158230301331705</v>
      </c>
      <c r="AH24" s="182">
        <f t="shared" si="13"/>
        <v>1.5582627572623744</v>
      </c>
      <c r="AI24" s="182">
        <f t="shared" si="13"/>
        <v>1.6018907038624508</v>
      </c>
      <c r="AJ24" s="182">
        <f t="shared" si="13"/>
        <v>1.6467401374779027</v>
      </c>
      <c r="AK24" s="182">
        <f t="shared" si="13"/>
        <v>1.6928452570716657</v>
      </c>
    </row>
    <row r="25" spans="2:37" ht="15.5">
      <c r="B25" s="184">
        <f t="shared" si="4"/>
        <v>2010</v>
      </c>
      <c r="E25" s="185">
        <v>40359</v>
      </c>
      <c r="H25" s="182">
        <f t="shared" ref="H25:AK25" si="14">IF($E25&gt;H$12,I25/(1+I$6),IF($E25=H$12,1,G25*(1+H$6)))</f>
        <v>0.7323104424251452</v>
      </c>
      <c r="I25" s="182">
        <f t="shared" si="14"/>
        <v>0.76508267540592878</v>
      </c>
      <c r="J25" s="182">
        <f t="shared" si="14"/>
        <v>0.79859973186354838</v>
      </c>
      <c r="K25" s="182">
        <f t="shared" si="14"/>
        <v>0.82258304781766722</v>
      </c>
      <c r="L25" s="182">
        <f t="shared" si="14"/>
        <v>0.8453746462088485</v>
      </c>
      <c r="M25" s="182">
        <f t="shared" si="14"/>
        <v>0.86518695069268581</v>
      </c>
      <c r="N25" s="182">
        <f t="shared" si="14"/>
        <v>0.88827647847460145</v>
      </c>
      <c r="O25" s="182">
        <f t="shared" si="14"/>
        <v>0.9197080291970805</v>
      </c>
      <c r="P25" s="182">
        <f t="shared" si="14"/>
        <v>0.94115894532995692</v>
      </c>
      <c r="Q25" s="182">
        <f t="shared" si="14"/>
        <v>0.98212423655593617</v>
      </c>
      <c r="R25" s="182">
        <f t="shared" si="14"/>
        <v>1</v>
      </c>
      <c r="S25" s="182">
        <f t="shared" si="14"/>
        <v>1.0284522568151351</v>
      </c>
      <c r="T25" s="182">
        <f t="shared" si="14"/>
        <v>1.0633099955310592</v>
      </c>
      <c r="U25" s="182">
        <f t="shared" si="14"/>
        <v>1.0820538131304482</v>
      </c>
      <c r="V25" s="182">
        <f t="shared" si="14"/>
        <v>1.1085629265924415</v>
      </c>
      <c r="W25" s="182">
        <f t="shared" si="14"/>
        <v>1.1361431153458283</v>
      </c>
      <c r="X25" s="182">
        <f t="shared" si="14"/>
        <v>1.1532803200081267</v>
      </c>
      <c r="Y25" s="182">
        <f t="shared" si="14"/>
        <v>1.1680076052647894</v>
      </c>
      <c r="Z25" s="182">
        <f t="shared" si="14"/>
        <v>1.1907679552069046</v>
      </c>
      <c r="AA25" s="182">
        <f t="shared" si="14"/>
        <v>1.21352830514902</v>
      </c>
      <c r="AB25" s="182">
        <f t="shared" si="14"/>
        <v>1.2358631819309038</v>
      </c>
      <c r="AC25" s="182">
        <f t="shared" si="14"/>
        <v>1.2464988375413246</v>
      </c>
      <c r="AD25" s="182">
        <f t="shared" si="14"/>
        <v>1.29010502554405</v>
      </c>
      <c r="AE25" s="182">
        <f t="shared" si="14"/>
        <v>1.3911437538430482</v>
      </c>
      <c r="AF25" s="182">
        <f t="shared" si="14"/>
        <v>1.4481806477506132</v>
      </c>
      <c r="AG25" s="182">
        <f t="shared" si="14"/>
        <v>1.4887265362234452</v>
      </c>
      <c r="AH25" s="182">
        <f t="shared" si="14"/>
        <v>1.5304076208298567</v>
      </c>
      <c r="AI25" s="182">
        <f t="shared" si="14"/>
        <v>1.5732556845769599</v>
      </c>
      <c r="AJ25" s="182">
        <f t="shared" si="14"/>
        <v>1.6173034003265017</v>
      </c>
      <c r="AK25" s="182">
        <f t="shared" si="14"/>
        <v>1.662584355708846</v>
      </c>
    </row>
    <row r="26" spans="2:37" ht="15.5">
      <c r="B26" s="184">
        <f t="shared" si="4"/>
        <v>2011</v>
      </c>
      <c r="E26" s="185">
        <v>40724</v>
      </c>
      <c r="H26" s="182">
        <f t="shared" ref="H26:AK26" si="15">IF($E26&gt;H$12,I26/(1+I$6),IF($E26=H$12,1,G26*(1+H$6)))</f>
        <v>0.71205098493626862</v>
      </c>
      <c r="I26" s="182">
        <f t="shared" si="15"/>
        <v>0.74391657010428713</v>
      </c>
      <c r="J26" s="182">
        <f t="shared" si="15"/>
        <v>0.77650637311703341</v>
      </c>
      <c r="K26" s="182">
        <f t="shared" si="15"/>
        <v>0.7998261877172651</v>
      </c>
      <c r="L26" s="182">
        <f t="shared" si="15"/>
        <v>0.82198725376593251</v>
      </c>
      <c r="M26" s="182">
        <f t="shared" si="15"/>
        <v>0.84125144843568911</v>
      </c>
      <c r="N26" s="182">
        <f t="shared" si="15"/>
        <v>0.86370220162224765</v>
      </c>
      <c r="O26" s="182">
        <f t="shared" si="15"/>
        <v>0.8942641946697566</v>
      </c>
      <c r="P26" s="182">
        <f t="shared" si="15"/>
        <v>0.91512166859791411</v>
      </c>
      <c r="Q26" s="182">
        <f t="shared" si="15"/>
        <v>0.95495365005793709</v>
      </c>
      <c r="R26" s="182">
        <f t="shared" si="15"/>
        <v>0.97233487833140186</v>
      </c>
      <c r="S26" s="182">
        <f t="shared" si="15"/>
        <v>1</v>
      </c>
      <c r="T26" s="182">
        <f t="shared" si="15"/>
        <v>1.0338933951332558</v>
      </c>
      <c r="U26" s="182">
        <f t="shared" si="15"/>
        <v>1.052118662738224</v>
      </c>
      <c r="V26" s="182">
        <f t="shared" si="15"/>
        <v>1.0778943983509643</v>
      </c>
      <c r="W26" s="182">
        <f t="shared" si="15"/>
        <v>1.1047115778268459</v>
      </c>
      <c r="X26" s="182">
        <f t="shared" si="15"/>
        <v>1.1213746796371022</v>
      </c>
      <c r="Y26" s="182">
        <f t="shared" si="15"/>
        <v>1.1356945327552912</v>
      </c>
      <c r="Z26" s="182">
        <f t="shared" si="15"/>
        <v>1.157825214847038</v>
      </c>
      <c r="AA26" s="182">
        <f t="shared" si="15"/>
        <v>1.1799558969387849</v>
      </c>
      <c r="AB26" s="182">
        <f t="shared" si="15"/>
        <v>1.2016728766370448</v>
      </c>
      <c r="AC26" s="182">
        <f t="shared" si="15"/>
        <v>1.2120142955409781</v>
      </c>
      <c r="AD26" s="182">
        <f t="shared" si="15"/>
        <v>1.2544141130471043</v>
      </c>
      <c r="AE26" s="182">
        <f t="shared" si="15"/>
        <v>1.3526575926344704</v>
      </c>
      <c r="AF26" s="182">
        <f t="shared" si="15"/>
        <v>1.4081165539324836</v>
      </c>
      <c r="AG26" s="182">
        <f t="shared" si="15"/>
        <v>1.4475407354675531</v>
      </c>
      <c r="AH26" s="182">
        <f t="shared" si="15"/>
        <v>1.4880687077970491</v>
      </c>
      <c r="AI26" s="182">
        <f t="shared" si="15"/>
        <v>1.5297313746473249</v>
      </c>
      <c r="AJ26" s="182">
        <f t="shared" si="15"/>
        <v>1.5725605049814317</v>
      </c>
      <c r="AK26" s="182">
        <f t="shared" si="15"/>
        <v>1.6165887572238533</v>
      </c>
    </row>
    <row r="27" spans="2:37" ht="15.5">
      <c r="B27" s="184">
        <f t="shared" si="4"/>
        <v>2012</v>
      </c>
      <c r="E27" s="185">
        <v>41090</v>
      </c>
      <c r="H27" s="182">
        <f t="shared" ref="H27:AK27" si="16">IF($E27&gt;H$12,I27/(1+I$6),IF($E27=H$12,1,G27*(1+H$6)))</f>
        <v>0.68870832165872797</v>
      </c>
      <c r="I27" s="182">
        <f t="shared" si="16"/>
        <v>0.7195292799103391</v>
      </c>
      <c r="J27" s="182">
        <f t="shared" si="16"/>
        <v>0.75105071448585048</v>
      </c>
      <c r="K27" s="182">
        <f t="shared" si="16"/>
        <v>0.77360605211543854</v>
      </c>
      <c r="L27" s="182">
        <f t="shared" si="16"/>
        <v>0.79504062762678629</v>
      </c>
      <c r="M27" s="182">
        <f t="shared" si="16"/>
        <v>0.81367329784253295</v>
      </c>
      <c r="N27" s="182">
        <f t="shared" si="16"/>
        <v>0.83538806388344078</v>
      </c>
      <c r="O27" s="182">
        <f t="shared" si="16"/>
        <v>0.86494816475203173</v>
      </c>
      <c r="P27" s="182">
        <f t="shared" si="16"/>
        <v>0.88512188288035887</v>
      </c>
      <c r="Q27" s="182">
        <f t="shared" si="16"/>
        <v>0.92364808069487248</v>
      </c>
      <c r="R27" s="182">
        <f t="shared" si="16"/>
        <v>0.94045951246847859</v>
      </c>
      <c r="S27" s="182">
        <f t="shared" si="16"/>
        <v>0.96721770804146845</v>
      </c>
      <c r="T27" s="182">
        <f t="shared" si="16"/>
        <v>1</v>
      </c>
      <c r="U27" s="182">
        <f t="shared" si="16"/>
        <v>1.0176278015613196</v>
      </c>
      <c r="V27" s="182">
        <f t="shared" si="16"/>
        <v>1.0425585494837573</v>
      </c>
      <c r="W27" s="182">
        <f t="shared" si="16"/>
        <v>1.0684966003525562</v>
      </c>
      <c r="X27" s="182">
        <f t="shared" si="16"/>
        <v>1.0846134474943341</v>
      </c>
      <c r="Y27" s="182">
        <f t="shared" si="16"/>
        <v>1.0984638630067993</v>
      </c>
      <c r="Z27" s="182">
        <f t="shared" si="16"/>
        <v>1.1198690506169731</v>
      </c>
      <c r="AA27" s="182">
        <f t="shared" si="16"/>
        <v>1.1412742382271468</v>
      </c>
      <c r="AB27" s="182">
        <f t="shared" si="16"/>
        <v>1.162279285556481</v>
      </c>
      <c r="AC27" s="182">
        <f t="shared" si="16"/>
        <v>1.1722816890466401</v>
      </c>
      <c r="AD27" s="182">
        <f t="shared" si="16"/>
        <v>1.2132915433562921</v>
      </c>
      <c r="AE27" s="182">
        <f t="shared" si="16"/>
        <v>1.3083143765128031</v>
      </c>
      <c r="AF27" s="182">
        <f t="shared" si="16"/>
        <v>1.361955265949828</v>
      </c>
      <c r="AG27" s="182">
        <f t="shared" si="16"/>
        <v>1.4000870324555887</v>
      </c>
      <c r="AH27" s="182">
        <f t="shared" si="16"/>
        <v>1.439286404963692</v>
      </c>
      <c r="AI27" s="182">
        <f t="shared" si="16"/>
        <v>1.4795832741055108</v>
      </c>
      <c r="AJ27" s="182">
        <f t="shared" si="16"/>
        <v>1.521008367384675</v>
      </c>
      <c r="AK27" s="182">
        <f t="shared" si="16"/>
        <v>1.5635932726076616</v>
      </c>
    </row>
    <row r="28" spans="2:37" ht="15.5">
      <c r="B28" s="184">
        <f t="shared" si="4"/>
        <v>2013</v>
      </c>
      <c r="E28" s="185">
        <v>41455</v>
      </c>
      <c r="H28" s="182">
        <f t="shared" ref="H28:AK28" si="17">IF($E28&gt;H$12,I28/(1+I$6),IF($E28=H$12,1,G28*(1+H$6)))</f>
        <v>0.67677820967750757</v>
      </c>
      <c r="I28" s="182">
        <f t="shared" si="17"/>
        <v>0.70706527357682647</v>
      </c>
      <c r="J28" s="182">
        <f t="shared" si="17"/>
        <v>0.73804067983749355</v>
      </c>
      <c r="K28" s="182">
        <f t="shared" si="17"/>
        <v>0.76020530387290419</v>
      </c>
      <c r="L28" s="182">
        <f t="shared" si="17"/>
        <v>0.78126858013015776</v>
      </c>
      <c r="M28" s="182">
        <f t="shared" si="17"/>
        <v>0.79957848694201872</v>
      </c>
      <c r="N28" s="182">
        <f t="shared" si="17"/>
        <v>0.82091710014381158</v>
      </c>
      <c r="O28" s="182">
        <f t="shared" si="17"/>
        <v>0.84996514779270405</v>
      </c>
      <c r="P28" s="182">
        <f t="shared" si="17"/>
        <v>0.86978940779953084</v>
      </c>
      <c r="Q28" s="182">
        <f t="shared" si="17"/>
        <v>0.9076482376736793</v>
      </c>
      <c r="R28" s="182">
        <f t="shared" si="17"/>
        <v>0.92416845434603512</v>
      </c>
      <c r="S28" s="182">
        <f t="shared" si="17"/>
        <v>0.95046313254953496</v>
      </c>
      <c r="T28" s="182">
        <f t="shared" si="17"/>
        <v>0.98267755506062848</v>
      </c>
      <c r="U28" s="182">
        <f t="shared" si="17"/>
        <v>1</v>
      </c>
      <c r="V28" s="182">
        <f t="shared" si="17"/>
        <v>1.0244988864142539</v>
      </c>
      <c r="W28" s="182">
        <f t="shared" si="17"/>
        <v>1.0499876268250434</v>
      </c>
      <c r="X28" s="182">
        <f t="shared" si="17"/>
        <v>1.0658252907696115</v>
      </c>
      <c r="Y28" s="182">
        <f t="shared" si="17"/>
        <v>1.0794357832219748</v>
      </c>
      <c r="Z28" s="182">
        <f t="shared" si="17"/>
        <v>1.1004701806483543</v>
      </c>
      <c r="AA28" s="182">
        <f t="shared" si="17"/>
        <v>1.1215045780747339</v>
      </c>
      <c r="AB28" s="182">
        <f t="shared" si="17"/>
        <v>1.1421457666282568</v>
      </c>
      <c r="AC28" s="182">
        <f t="shared" si="17"/>
        <v>1.1519749040346963</v>
      </c>
      <c r="AD28" s="182">
        <f t="shared" si="17"/>
        <v>1.1922743674010976</v>
      </c>
      <c r="AE28" s="182">
        <f t="shared" si="17"/>
        <v>1.2856511727622719</v>
      </c>
      <c r="AF28" s="182">
        <f t="shared" si="17"/>
        <v>1.3383628708455251</v>
      </c>
      <c r="AG28" s="182">
        <f t="shared" si="17"/>
        <v>1.3758341019255489</v>
      </c>
      <c r="AH28" s="182">
        <f t="shared" si="17"/>
        <v>1.4143544454617225</v>
      </c>
      <c r="AI28" s="182">
        <f t="shared" si="17"/>
        <v>1.4539532743066033</v>
      </c>
      <c r="AJ28" s="182">
        <f t="shared" si="17"/>
        <v>1.4946607836883308</v>
      </c>
      <c r="AK28" s="182">
        <f t="shared" si="17"/>
        <v>1.5365080142353438</v>
      </c>
    </row>
    <row r="29" spans="2:37" ht="15.5">
      <c r="B29" s="184">
        <f t="shared" si="4"/>
        <v>2014</v>
      </c>
      <c r="E29" s="185">
        <v>41820</v>
      </c>
      <c r="H29" s="182">
        <f t="shared" ref="H29:AK29" si="18">IF($E29&gt;H$12,I29/(1+I$6),IF($E29=H$12,1,G29*(1+H$6)))</f>
        <v>0.6605943829243498</v>
      </c>
      <c r="I29" s="182">
        <f t="shared" si="18"/>
        <v>0.69015719094781536</v>
      </c>
      <c r="J29" s="182">
        <f t="shared" si="18"/>
        <v>0.72039188097181428</v>
      </c>
      <c r="K29" s="182">
        <f t="shared" si="18"/>
        <v>0.74202648138898686</v>
      </c>
      <c r="L29" s="182">
        <f t="shared" si="18"/>
        <v>0.76258607060530614</v>
      </c>
      <c r="M29" s="182">
        <f t="shared" si="18"/>
        <v>0.7804581318194922</v>
      </c>
      <c r="N29" s="182">
        <f t="shared" si="18"/>
        <v>0.8012864738360248</v>
      </c>
      <c r="O29" s="182">
        <f t="shared" si="18"/>
        <v>0.82963989425853069</v>
      </c>
      <c r="P29" s="182">
        <f t="shared" si="18"/>
        <v>0.84899009587388996</v>
      </c>
      <c r="Q29" s="182">
        <f t="shared" si="18"/>
        <v>0.88594360590322174</v>
      </c>
      <c r="R29" s="182">
        <f t="shared" si="18"/>
        <v>0.90206877391602125</v>
      </c>
      <c r="S29" s="182">
        <f t="shared" si="18"/>
        <v>0.9277346663363939</v>
      </c>
      <c r="T29" s="182">
        <f t="shared" si="18"/>
        <v>0.95917874396135261</v>
      </c>
      <c r="U29" s="182">
        <f t="shared" si="18"/>
        <v>0.97608695652173916</v>
      </c>
      <c r="V29" s="182">
        <f t="shared" si="18"/>
        <v>1</v>
      </c>
      <c r="W29" s="182">
        <f t="shared" si="18"/>
        <v>1.0248792270531402</v>
      </c>
      <c r="X29" s="182">
        <f t="shared" si="18"/>
        <v>1.0403381642512077</v>
      </c>
      <c r="Y29" s="182">
        <f t="shared" si="18"/>
        <v>1.0536231884057969</v>
      </c>
      <c r="Z29" s="182">
        <f t="shared" si="18"/>
        <v>1.0741545893719804</v>
      </c>
      <c r="AA29" s="182">
        <f t="shared" si="18"/>
        <v>1.094685990338164</v>
      </c>
      <c r="AB29" s="182">
        <f t="shared" si="18"/>
        <v>1.1148335852523634</v>
      </c>
      <c r="AC29" s="182">
        <f t="shared" si="18"/>
        <v>1.1244276780686489</v>
      </c>
      <c r="AD29" s="182">
        <f t="shared" si="18"/>
        <v>1.1637634586154189</v>
      </c>
      <c r="AE29" s="182">
        <f t="shared" si="18"/>
        <v>1.2549073403701303</v>
      </c>
      <c r="AF29" s="182">
        <f t="shared" si="18"/>
        <v>1.3063585413253056</v>
      </c>
      <c r="AG29" s="182">
        <f t="shared" si="18"/>
        <v>1.3429337212273289</v>
      </c>
      <c r="AH29" s="182">
        <f t="shared" si="18"/>
        <v>1.3805329261137245</v>
      </c>
      <c r="AI29" s="182">
        <f t="shared" si="18"/>
        <v>1.4191848264427493</v>
      </c>
      <c r="AJ29" s="182">
        <f t="shared" si="18"/>
        <v>1.4589188953827399</v>
      </c>
      <c r="AK29" s="182">
        <f t="shared" si="18"/>
        <v>1.4997654312862374</v>
      </c>
    </row>
    <row r="30" spans="2:37" ht="15.5">
      <c r="B30" s="184">
        <f t="shared" si="4"/>
        <v>2015</v>
      </c>
      <c r="E30" s="185">
        <v>42185</v>
      </c>
      <c r="H30" s="182">
        <f t="shared" ref="H30:AK30" si="19">IF($E30&gt;H$12,I30/(1+I$6),IF($E30=H$12,1,G30*(1+H$6)))</f>
        <v>0.64455827134263677</v>
      </c>
      <c r="I30" s="182">
        <f t="shared" si="19"/>
        <v>0.67340343401460179</v>
      </c>
      <c r="J30" s="182">
        <f t="shared" si="19"/>
        <v>0.70290416856547511</v>
      </c>
      <c r="K30" s="182">
        <f t="shared" si="19"/>
        <v>0.72401358306632224</v>
      </c>
      <c r="L30" s="182">
        <f t="shared" si="19"/>
        <v>0.74407408256091612</v>
      </c>
      <c r="M30" s="182">
        <f t="shared" si="19"/>
        <v>0.76151229453987679</v>
      </c>
      <c r="N30" s="182">
        <f t="shared" si="19"/>
        <v>0.7818350227860339</v>
      </c>
      <c r="O30" s="182">
        <f t="shared" si="19"/>
        <v>0.80950015607596426</v>
      </c>
      <c r="P30" s="182">
        <f t="shared" si="19"/>
        <v>0.82838062618852315</v>
      </c>
      <c r="Q30" s="182">
        <f t="shared" si="19"/>
        <v>0.86443707952847926</v>
      </c>
      <c r="R30" s="182">
        <f t="shared" si="19"/>
        <v>0.88017080462227848</v>
      </c>
      <c r="S30" s="182">
        <f t="shared" si="19"/>
        <v>0.90521365039657564</v>
      </c>
      <c r="T30" s="182">
        <f t="shared" si="19"/>
        <v>0.93589441432948373</v>
      </c>
      <c r="U30" s="182">
        <f t="shared" si="19"/>
        <v>0.95239217534763132</v>
      </c>
      <c r="V30" s="182">
        <f t="shared" si="19"/>
        <v>0.97572472307329716</v>
      </c>
      <c r="W30" s="182">
        <f t="shared" si="19"/>
        <v>1</v>
      </c>
      <c r="X30" s="182">
        <f t="shared" si="19"/>
        <v>1.0150836672165919</v>
      </c>
      <c r="Y30" s="182">
        <f t="shared" si="19"/>
        <v>1.0280461937308507</v>
      </c>
      <c r="Z30" s="182">
        <f t="shared" si="19"/>
        <v>1.0480791892528869</v>
      </c>
      <c r="AA30" s="182">
        <f t="shared" si="19"/>
        <v>1.0681121847749233</v>
      </c>
      <c r="AB30" s="182">
        <f t="shared" si="19"/>
        <v>1.0877706912431735</v>
      </c>
      <c r="AC30" s="182">
        <f t="shared" si="19"/>
        <v>1.0971318847994831</v>
      </c>
      <c r="AD30" s="182">
        <f t="shared" si="19"/>
        <v>1.1355127783803523</v>
      </c>
      <c r="AE30" s="182">
        <f t="shared" si="19"/>
        <v>1.2244441171652933</v>
      </c>
      <c r="AF30" s="182">
        <f t="shared" si="19"/>
        <v>1.2746463259690703</v>
      </c>
      <c r="AG30" s="182">
        <f t="shared" si="19"/>
        <v>1.3103336332503279</v>
      </c>
      <c r="AH30" s="182">
        <f t="shared" si="19"/>
        <v>1.3470201070258825</v>
      </c>
      <c r="AI30" s="182">
        <f t="shared" si="19"/>
        <v>1.384733721770677</v>
      </c>
      <c r="AJ30" s="182">
        <f t="shared" si="19"/>
        <v>1.4235032351837247</v>
      </c>
      <c r="AK30" s="182">
        <f t="shared" si="19"/>
        <v>1.4633582101166682</v>
      </c>
    </row>
    <row r="31" spans="2:37" ht="15.5">
      <c r="B31" s="184">
        <f t="shared" si="4"/>
        <v>2016</v>
      </c>
      <c r="E31" s="185">
        <v>42551</v>
      </c>
      <c r="H31" s="182">
        <f t="shared" ref="H31:AK31" si="20">IF($E31&gt;H$12,I31/(1+I$6),IF($E31=H$12,1,G31*(1+H$6)))</f>
        <v>0.63498043773085866</v>
      </c>
      <c r="I31" s="182">
        <f t="shared" si="20"/>
        <v>0.66339697481401338</v>
      </c>
      <c r="J31" s="182">
        <f t="shared" si="20"/>
        <v>0.69245934228542172</v>
      </c>
      <c r="K31" s="182">
        <f t="shared" si="20"/>
        <v>0.71325508078718491</v>
      </c>
      <c r="L31" s="182">
        <f t="shared" si="20"/>
        <v>0.73301749066774258</v>
      </c>
      <c r="M31" s="182">
        <f t="shared" si="20"/>
        <v>0.75019657899528613</v>
      </c>
      <c r="N31" s="182">
        <f t="shared" si="20"/>
        <v>0.77021732103114515</v>
      </c>
      <c r="O31" s="182">
        <f t="shared" si="20"/>
        <v>0.79747136341544389</v>
      </c>
      <c r="P31" s="182">
        <f t="shared" si="20"/>
        <v>0.81607127859714512</v>
      </c>
      <c r="Q31" s="182">
        <f t="shared" si="20"/>
        <v>0.85159194995108844</v>
      </c>
      <c r="R31" s="182">
        <f t="shared" si="20"/>
        <v>0.86709187926917297</v>
      </c>
      <c r="S31" s="182">
        <f t="shared" si="20"/>
        <v>0.8917626001004576</v>
      </c>
      <c r="T31" s="182">
        <f t="shared" si="20"/>
        <v>0.92198746227072204</v>
      </c>
      <c r="U31" s="182">
        <f t="shared" si="20"/>
        <v>0.93824007429765499</v>
      </c>
      <c r="V31" s="182">
        <f t="shared" si="20"/>
        <v>0.96122591130717439</v>
      </c>
      <c r="W31" s="182">
        <f t="shared" si="20"/>
        <v>0.98514046900394714</v>
      </c>
      <c r="X31" s="182">
        <f t="shared" si="20"/>
        <v>1</v>
      </c>
      <c r="Y31" s="182">
        <f t="shared" si="20"/>
        <v>1.0127699094497329</v>
      </c>
      <c r="Z31" s="182">
        <f t="shared" si="20"/>
        <v>1.0325052240538657</v>
      </c>
      <c r="AA31" s="182">
        <f t="shared" si="20"/>
        <v>1.0522405386579985</v>
      </c>
      <c r="AB31" s="182">
        <f t="shared" si="20"/>
        <v>1.0716069289400476</v>
      </c>
      <c r="AC31" s="182">
        <f t="shared" si="20"/>
        <v>1.0808290195505472</v>
      </c>
      <c r="AD31" s="182">
        <f t="shared" si="20"/>
        <v>1.1186395910535953</v>
      </c>
      <c r="AE31" s="182">
        <f t="shared" si="20"/>
        <v>1.2062494518533411</v>
      </c>
      <c r="AF31" s="182">
        <f t="shared" si="20"/>
        <v>1.255705679379328</v>
      </c>
      <c r="AG31" s="182">
        <f t="shared" si="20"/>
        <v>1.290862690011874</v>
      </c>
      <c r="AH31" s="182">
        <f t="shared" si="20"/>
        <v>1.3270040199932249</v>
      </c>
      <c r="AI31" s="182">
        <f t="shared" si="20"/>
        <v>1.3641572281107459</v>
      </c>
      <c r="AJ31" s="182">
        <f t="shared" si="20"/>
        <v>1.4023506447375305</v>
      </c>
      <c r="AK31" s="182">
        <f t="shared" si="20"/>
        <v>1.4416133934351112</v>
      </c>
    </row>
    <row r="32" spans="2:37" ht="15.5">
      <c r="B32" s="184">
        <f t="shared" si="4"/>
        <v>2017</v>
      </c>
      <c r="E32" s="185">
        <v>42916</v>
      </c>
      <c r="H32" s="182">
        <f t="shared" ref="H32:AK32" si="21">IF($E32&gt;H$12,I32/(1+I$6),IF($E32=H$12,1,G32*(1+H$6)))</f>
        <v>0.62697403606300073</v>
      </c>
      <c r="I32" s="182">
        <f t="shared" si="21"/>
        <v>0.65503227201374525</v>
      </c>
      <c r="J32" s="182">
        <f t="shared" si="21"/>
        <v>0.68372819514518857</v>
      </c>
      <c r="K32" s="182">
        <f t="shared" si="21"/>
        <v>0.70426172236368789</v>
      </c>
      <c r="L32" s="182">
        <f t="shared" si="21"/>
        <v>0.72377495009306936</v>
      </c>
      <c r="M32" s="182">
        <f t="shared" si="21"/>
        <v>0.74073742909965579</v>
      </c>
      <c r="N32" s="182">
        <f t="shared" si="21"/>
        <v>0.76050573170131675</v>
      </c>
      <c r="O32" s="182">
        <f t="shared" si="21"/>
        <v>0.78741613072680383</v>
      </c>
      <c r="P32" s="182">
        <f t="shared" si="21"/>
        <v>0.80578152153092741</v>
      </c>
      <c r="Q32" s="182">
        <f t="shared" si="21"/>
        <v>0.84085431646935793</v>
      </c>
      <c r="R32" s="182">
        <f t="shared" si="21"/>
        <v>0.85615880880612771</v>
      </c>
      <c r="S32" s="182">
        <f t="shared" si="21"/>
        <v>0.88051845910881976</v>
      </c>
      <c r="T32" s="182">
        <f t="shared" si="21"/>
        <v>0.91036221916552051</v>
      </c>
      <c r="U32" s="182">
        <f t="shared" si="21"/>
        <v>0.92640990371389287</v>
      </c>
      <c r="V32" s="182">
        <f t="shared" si="21"/>
        <v>0.94910591471801942</v>
      </c>
      <c r="W32" s="182">
        <f t="shared" si="21"/>
        <v>0.97271893626776729</v>
      </c>
      <c r="X32" s="182">
        <f t="shared" si="21"/>
        <v>0.98739110499770755</v>
      </c>
      <c r="Y32" s="182">
        <f t="shared" si="21"/>
        <v>1</v>
      </c>
      <c r="Z32" s="182">
        <f t="shared" si="21"/>
        <v>1.019486474094452</v>
      </c>
      <c r="AA32" s="182">
        <f t="shared" si="21"/>
        <v>1.0389729481889041</v>
      </c>
      <c r="AB32" s="182">
        <f t="shared" si="21"/>
        <v>1.0580951496893134</v>
      </c>
      <c r="AC32" s="182">
        <f t="shared" si="21"/>
        <v>1.0672009599276036</v>
      </c>
      <c r="AD32" s="182">
        <f t="shared" si="21"/>
        <v>1.104534781904593</v>
      </c>
      <c r="AE32" s="182">
        <f t="shared" si="21"/>
        <v>1.1910399791683492</v>
      </c>
      <c r="AF32" s="182">
        <f t="shared" si="21"/>
        <v>1.2398726183142514</v>
      </c>
      <c r="AG32" s="182">
        <f t="shared" si="21"/>
        <v>1.2745863378911373</v>
      </c>
      <c r="AH32" s="182">
        <f t="shared" si="21"/>
        <v>1.3102719656375101</v>
      </c>
      <c r="AI32" s="182">
        <f t="shared" si="21"/>
        <v>1.3469567128548789</v>
      </c>
      <c r="AJ32" s="182">
        <f t="shared" si="21"/>
        <v>1.3846685527016376</v>
      </c>
      <c r="AK32" s="182">
        <f t="shared" si="21"/>
        <v>1.423436241523389</v>
      </c>
    </row>
    <row r="33" spans="2:37" ht="15.5">
      <c r="B33" s="184">
        <f t="shared" si="4"/>
        <v>2018</v>
      </c>
      <c r="E33" s="185">
        <v>43281</v>
      </c>
      <c r="H33" s="182">
        <f t="shared" ref="H33:AK33" si="22">IF($E33&gt;H$12,I33/(1+I$6),IF($E33=H$12,1,G33*(1+H$6)))</f>
        <v>0.61499004841619254</v>
      </c>
      <c r="I33" s="182">
        <f t="shared" si="22"/>
        <v>0.64251197897997658</v>
      </c>
      <c r="J33" s="182">
        <f t="shared" si="22"/>
        <v>0.67065940796566481</v>
      </c>
      <c r="K33" s="182">
        <f t="shared" si="22"/>
        <v>0.69080045715097949</v>
      </c>
      <c r="L33" s="182">
        <f t="shared" si="22"/>
        <v>0.70994070886124749</v>
      </c>
      <c r="M33" s="182">
        <f t="shared" si="22"/>
        <v>0.72657896688389878</v>
      </c>
      <c r="N33" s="182">
        <f t="shared" si="22"/>
        <v>0.74596941796292848</v>
      </c>
      <c r="O33" s="182">
        <f t="shared" si="22"/>
        <v>0.77236545136728529</v>
      </c>
      <c r="P33" s="182">
        <f t="shared" si="22"/>
        <v>0.79037980591812573</v>
      </c>
      <c r="Q33" s="182">
        <f t="shared" si="22"/>
        <v>0.82478221912285565</v>
      </c>
      <c r="R33" s="182">
        <f t="shared" si="22"/>
        <v>0.83979418124855609</v>
      </c>
      <c r="S33" s="182">
        <f t="shared" si="22"/>
        <v>0.86368822096529607</v>
      </c>
      <c r="T33" s="182">
        <f t="shared" si="22"/>
        <v>0.89296154711041165</v>
      </c>
      <c r="U33" s="182">
        <f t="shared" si="22"/>
        <v>0.90870249606476294</v>
      </c>
      <c r="V33" s="182">
        <f t="shared" si="22"/>
        <v>0.93096469530020254</v>
      </c>
      <c r="W33" s="182">
        <f t="shared" si="22"/>
        <v>0.95412637733303374</v>
      </c>
      <c r="X33" s="182">
        <f t="shared" si="22"/>
        <v>0.96851810209129763</v>
      </c>
      <c r="Y33" s="182">
        <f t="shared" si="22"/>
        <v>0.98088599055543069</v>
      </c>
      <c r="Z33" s="182">
        <f t="shared" si="22"/>
        <v>1</v>
      </c>
      <c r="AA33" s="182">
        <f t="shared" si="22"/>
        <v>1.0191140094445694</v>
      </c>
      <c r="AB33" s="182">
        <f t="shared" si="22"/>
        <v>1.0378707090048991</v>
      </c>
      <c r="AC33" s="182">
        <f t="shared" si="22"/>
        <v>1.0468024707002941</v>
      </c>
      <c r="AD33" s="182">
        <f t="shared" si="22"/>
        <v>1.0834226936514135</v>
      </c>
      <c r="AE33" s="182">
        <f t="shared" si="22"/>
        <v>1.1682744297576662</v>
      </c>
      <c r="AF33" s="182">
        <f t="shared" si="22"/>
        <v>1.2161736813777304</v>
      </c>
      <c r="AG33" s="182">
        <f t="shared" si="22"/>
        <v>1.2502238825907677</v>
      </c>
      <c r="AH33" s="182">
        <f t="shared" si="22"/>
        <v>1.2852274149113609</v>
      </c>
      <c r="AI33" s="182">
        <f t="shared" si="22"/>
        <v>1.3212109695239453</v>
      </c>
      <c r="AJ33" s="182">
        <f t="shared" si="22"/>
        <v>1.3582019849077009</v>
      </c>
      <c r="AK33" s="182">
        <f t="shared" si="22"/>
        <v>1.3962286677591693</v>
      </c>
    </row>
    <row r="34" spans="2:37" ht="15.5">
      <c r="B34" s="184">
        <f t="shared" si="4"/>
        <v>2019</v>
      </c>
      <c r="E34" s="185">
        <v>43646</v>
      </c>
      <c r="H34" s="182">
        <f t="shared" ref="H34:AK34" si="23">IF($E34&gt;H$12,I34/(1+I$6),IF($E34=H$12,1,G34*(1+H$6)))</f>
        <v>0.60345559252136116</v>
      </c>
      <c r="I34" s="182">
        <f t="shared" si="23"/>
        <v>0.63046133506706892</v>
      </c>
      <c r="J34" s="182">
        <f t="shared" si="23"/>
        <v>0.65808084448881554</v>
      </c>
      <c r="K34" s="182">
        <f t="shared" si="23"/>
        <v>0.67784413789726528</v>
      </c>
      <c r="L34" s="182">
        <f t="shared" si="23"/>
        <v>0.69662540430405295</v>
      </c>
      <c r="M34" s="182">
        <f t="shared" si="23"/>
        <v>0.71295160320668538</v>
      </c>
      <c r="N34" s="182">
        <f t="shared" si="23"/>
        <v>0.73197837636388852</v>
      </c>
      <c r="O34" s="182">
        <f t="shared" si="23"/>
        <v>0.75787933853272671</v>
      </c>
      <c r="P34" s="182">
        <f t="shared" si="23"/>
        <v>0.77555582456264449</v>
      </c>
      <c r="Q34" s="182">
        <f t="shared" si="23"/>
        <v>0.80931300274477902</v>
      </c>
      <c r="R34" s="182">
        <f t="shared" si="23"/>
        <v>0.82404340776971063</v>
      </c>
      <c r="S34" s="182">
        <f t="shared" si="23"/>
        <v>0.84748930243439347</v>
      </c>
      <c r="T34" s="182">
        <f t="shared" si="23"/>
        <v>0.87621359223300976</v>
      </c>
      <c r="U34" s="182">
        <f t="shared" si="23"/>
        <v>0.89165931156222422</v>
      </c>
      <c r="V34" s="182">
        <f t="shared" si="23"/>
        <v>0.91350397175639897</v>
      </c>
      <c r="W34" s="182">
        <f t="shared" si="23"/>
        <v>0.93623124448367179</v>
      </c>
      <c r="X34" s="182">
        <f t="shared" si="23"/>
        <v>0.95035304501323925</v>
      </c>
      <c r="Y34" s="182">
        <f t="shared" si="23"/>
        <v>0.96248896734333622</v>
      </c>
      <c r="Z34" s="182">
        <f t="shared" si="23"/>
        <v>0.98124448367166806</v>
      </c>
      <c r="AA34" s="182">
        <f t="shared" si="23"/>
        <v>1</v>
      </c>
      <c r="AB34" s="182">
        <f t="shared" si="23"/>
        <v>1.0184049079754602</v>
      </c>
      <c r="AC34" s="182">
        <f t="shared" si="23"/>
        <v>1.0271691498685365</v>
      </c>
      <c r="AD34" s="182">
        <f t="shared" si="23"/>
        <v>1.0631025416301489</v>
      </c>
      <c r="AE34" s="182">
        <f t="shared" si="23"/>
        <v>1.1463628396143735</v>
      </c>
      <c r="AF34" s="182">
        <f t="shared" si="23"/>
        <v>1.1933637160385626</v>
      </c>
      <c r="AG34" s="182">
        <f t="shared" si="23"/>
        <v>1.2267752881467657</v>
      </c>
      <c r="AH34" s="182">
        <f t="shared" si="23"/>
        <v>1.2611223111453707</v>
      </c>
      <c r="AI34" s="182">
        <f t="shared" si="23"/>
        <v>1.2964309756118673</v>
      </c>
      <c r="AJ34" s="182">
        <f t="shared" si="23"/>
        <v>1.3327282054025913</v>
      </c>
      <c r="AK34" s="182">
        <f t="shared" si="23"/>
        <v>1.3700416781829265</v>
      </c>
    </row>
    <row r="35" spans="2:37" ht="15.5">
      <c r="B35" s="184">
        <f t="shared" si="4"/>
        <v>2020</v>
      </c>
      <c r="E35" s="185">
        <v>44012</v>
      </c>
      <c r="H35" s="182">
        <f t="shared" ref="H35:AK35" si="24">IF($E35&gt;H$12,I35/(1+I$6),IF($E35=H$12,1,G35*(1+H$6)))</f>
        <v>0.59254976856013164</v>
      </c>
      <c r="I35" s="182">
        <f t="shared" si="24"/>
        <v>0.61906745551766396</v>
      </c>
      <c r="J35" s="182">
        <f t="shared" si="24"/>
        <v>0.6461878171787766</v>
      </c>
      <c r="K35" s="182">
        <f t="shared" si="24"/>
        <v>0.66559394263406157</v>
      </c>
      <c r="L35" s="182">
        <f t="shared" si="24"/>
        <v>0.68403578856361813</v>
      </c>
      <c r="M35" s="182">
        <f t="shared" si="24"/>
        <v>0.70006693567885359</v>
      </c>
      <c r="N35" s="182">
        <f t="shared" si="24"/>
        <v>0.71874985148984227</v>
      </c>
      <c r="O35" s="182">
        <f t="shared" si="24"/>
        <v>0.74418272398093033</v>
      </c>
      <c r="P35" s="182">
        <f t="shared" si="24"/>
        <v>0.76153975544404229</v>
      </c>
      <c r="Q35" s="182">
        <f t="shared" si="24"/>
        <v>0.79468686414095757</v>
      </c>
      <c r="R35" s="182">
        <f t="shared" si="24"/>
        <v>0.80915105702688439</v>
      </c>
      <c r="S35" s="182">
        <f t="shared" si="24"/>
        <v>0.83217323070365135</v>
      </c>
      <c r="T35" s="182">
        <f t="shared" si="24"/>
        <v>0.86037840683120825</v>
      </c>
      <c r="U35" s="182">
        <f t="shared" si="24"/>
        <v>0.87554498665447311</v>
      </c>
      <c r="V35" s="182">
        <f t="shared" si="24"/>
        <v>0.89699486383309046</v>
      </c>
      <c r="W35" s="182">
        <f t="shared" si="24"/>
        <v>0.91931140271589451</v>
      </c>
      <c r="X35" s="182">
        <f t="shared" si="24"/>
        <v>0.93317798998287937</v>
      </c>
      <c r="Y35" s="182">
        <f t="shared" si="24"/>
        <v>0.94509458841544447</v>
      </c>
      <c r="Z35" s="182">
        <f t="shared" si="24"/>
        <v>0.96351114962940887</v>
      </c>
      <c r="AA35" s="182">
        <f t="shared" si="24"/>
        <v>0.98192771084337338</v>
      </c>
      <c r="AB35" s="182">
        <f t="shared" si="24"/>
        <v>1</v>
      </c>
      <c r="AC35" s="182">
        <f t="shared" si="24"/>
        <v>1.0086058519793459</v>
      </c>
      <c r="AD35" s="182">
        <f t="shared" si="24"/>
        <v>1.0438898450946643</v>
      </c>
      <c r="AE35" s="182">
        <f t="shared" si="24"/>
        <v>1.1256454388984509</v>
      </c>
      <c r="AF35" s="182">
        <f t="shared" si="24"/>
        <v>1.1717969018932872</v>
      </c>
      <c r="AG35" s="182">
        <f t="shared" si="24"/>
        <v>1.2046046504091734</v>
      </c>
      <c r="AH35" s="182">
        <f t="shared" si="24"/>
        <v>1.2383309440764783</v>
      </c>
      <c r="AI35" s="182">
        <f t="shared" si="24"/>
        <v>1.273001500149002</v>
      </c>
      <c r="AJ35" s="182">
        <f t="shared" si="24"/>
        <v>1.3086427559073635</v>
      </c>
      <c r="AK35" s="182">
        <f t="shared" si="24"/>
        <v>1.3452818888181746</v>
      </c>
    </row>
    <row r="36" spans="2:37" ht="15.5">
      <c r="B36" s="184">
        <f t="shared" si="4"/>
        <v>2021</v>
      </c>
      <c r="E36" s="185">
        <v>44377</v>
      </c>
      <c r="H36" s="182">
        <f t="shared" ref="H36:AK36" si="25">IF($E36&gt;H$12,I36/(1+I$6),IF($E36=H$12,1,G36*(1+H$6)))</f>
        <v>0.58749388316286089</v>
      </c>
      <c r="I36" s="182">
        <f t="shared" si="25"/>
        <v>0.61378530999276926</v>
      </c>
      <c r="J36" s="182">
        <f t="shared" si="25"/>
        <v>0.64067426925063009</v>
      </c>
      <c r="K36" s="182">
        <f t="shared" si="25"/>
        <v>0.65991481343069935</v>
      </c>
      <c r="L36" s="182">
        <f t="shared" si="25"/>
        <v>0.6781993057260447</v>
      </c>
      <c r="M36" s="182">
        <f t="shared" si="25"/>
        <v>0.69409366830958019</v>
      </c>
      <c r="N36" s="182">
        <f t="shared" si="25"/>
        <v>0.71261717357610654</v>
      </c>
      <c r="O36" s="182">
        <f t="shared" si="25"/>
        <v>0.73783304203570066</v>
      </c>
      <c r="P36" s="182">
        <f t="shared" si="25"/>
        <v>0.75504197596073153</v>
      </c>
      <c r="Q36" s="182">
        <f t="shared" si="25"/>
        <v>0.78790625949811677</v>
      </c>
      <c r="R36" s="182">
        <f t="shared" si="25"/>
        <v>0.80224703776897588</v>
      </c>
      <c r="S36" s="182">
        <f t="shared" si="25"/>
        <v>0.82507277651676014</v>
      </c>
      <c r="T36" s="182">
        <f t="shared" si="25"/>
        <v>0.85303729414493523</v>
      </c>
      <c r="U36" s="182">
        <f t="shared" si="25"/>
        <v>0.8680744662905272</v>
      </c>
      <c r="V36" s="182">
        <f t="shared" si="25"/>
        <v>0.88934132403929289</v>
      </c>
      <c r="W36" s="182">
        <f t="shared" si="25"/>
        <v>0.91146744876780672</v>
      </c>
      <c r="X36" s="182">
        <f t="shared" si="25"/>
        <v>0.92521572044377642</v>
      </c>
      <c r="Y36" s="182">
        <f t="shared" si="25"/>
        <v>0.93703064141531278</v>
      </c>
      <c r="Z36" s="182">
        <f t="shared" si="25"/>
        <v>0.95529006473496003</v>
      </c>
      <c r="AA36" s="182">
        <f t="shared" si="25"/>
        <v>0.97354948805460739</v>
      </c>
      <c r="AB36" s="182">
        <f t="shared" si="25"/>
        <v>0.99146757679180886</v>
      </c>
      <c r="AC36" s="182">
        <f t="shared" si="25"/>
        <v>1</v>
      </c>
      <c r="AD36" s="182">
        <f t="shared" si="25"/>
        <v>1.0349829351535835</v>
      </c>
      <c r="AE36" s="182">
        <f t="shared" si="25"/>
        <v>1.1160409556313993</v>
      </c>
      <c r="AF36" s="182">
        <f t="shared" si="25"/>
        <v>1.1617986348122866</v>
      </c>
      <c r="AG36" s="182">
        <f t="shared" si="25"/>
        <v>1.1943264537333274</v>
      </c>
      <c r="AH36" s="182">
        <f t="shared" si="25"/>
        <v>1.2277649803898192</v>
      </c>
      <c r="AI36" s="182">
        <f t="shared" si="25"/>
        <v>1.2621397126050689</v>
      </c>
      <c r="AJ36" s="182">
        <f t="shared" si="25"/>
        <v>1.2974768620856285</v>
      </c>
      <c r="AK36" s="182">
        <f t="shared" si="25"/>
        <v>1.3338033744084634</v>
      </c>
    </row>
    <row r="37" spans="2:37" ht="15.5">
      <c r="B37" s="184">
        <f t="shared" si="4"/>
        <v>2022</v>
      </c>
      <c r="E37" s="185">
        <v>44742</v>
      </c>
      <c r="H37" s="182">
        <f t="shared" ref="H37:AK37" si="26">IF($E37&gt;H$12,I37/(1+I$6),IF($E37=H$12,1,G37*(1+H$6)))</f>
        <v>0.56763629931316839</v>
      </c>
      <c r="I37" s="182">
        <f t="shared" si="26"/>
        <v>0.59303906291139807</v>
      </c>
      <c r="J37" s="182">
        <f t="shared" si="26"/>
        <v>0.6190191620459512</v>
      </c>
      <c r="K37" s="182">
        <f t="shared" si="26"/>
        <v>0.63760936631556464</v>
      </c>
      <c r="L37" s="182">
        <f t="shared" si="26"/>
        <v>0.65527583372706066</v>
      </c>
      <c r="M37" s="182">
        <f t="shared" si="26"/>
        <v>0.67063295899326314</v>
      </c>
      <c r="N37" s="182">
        <f t="shared" si="26"/>
        <v>0.68853036061928852</v>
      </c>
      <c r="O37" s="182">
        <f t="shared" si="26"/>
        <v>0.71289392025213627</v>
      </c>
      <c r="P37" s="182">
        <f t="shared" si="26"/>
        <v>0.72952118369825014</v>
      </c>
      <c r="Q37" s="182">
        <f t="shared" si="26"/>
        <v>0.76127463819603702</v>
      </c>
      <c r="R37" s="182">
        <f t="shared" si="26"/>
        <v>0.77513069106779875</v>
      </c>
      <c r="S37" s="182">
        <f t="shared" si="26"/>
        <v>0.79718490855535284</v>
      </c>
      <c r="T37" s="182">
        <f t="shared" si="26"/>
        <v>0.82420421165528779</v>
      </c>
      <c r="U37" s="182">
        <f t="shared" si="26"/>
        <v>0.83873311994435107</v>
      </c>
      <c r="V37" s="182">
        <f t="shared" si="26"/>
        <v>0.85928114738174055</v>
      </c>
      <c r="W37" s="182">
        <f t="shared" si="26"/>
        <v>0.88065939814993366</v>
      </c>
      <c r="X37" s="182">
        <f t="shared" si="26"/>
        <v>0.89394297144279145</v>
      </c>
      <c r="Y37" s="182">
        <f t="shared" si="26"/>
        <v>0.90535854224134105</v>
      </c>
      <c r="Z37" s="182">
        <f t="shared" si="26"/>
        <v>0.92300078802091778</v>
      </c>
      <c r="AA37" s="182">
        <f t="shared" si="26"/>
        <v>0.94064303380049463</v>
      </c>
      <c r="AB37" s="182">
        <f t="shared" si="26"/>
        <v>0.95795548227535043</v>
      </c>
      <c r="AC37" s="182">
        <f t="shared" si="26"/>
        <v>0.9661995053586151</v>
      </c>
      <c r="AD37" s="182">
        <f t="shared" si="26"/>
        <v>1</v>
      </c>
      <c r="AE37" s="182">
        <f t="shared" si="26"/>
        <v>1.0783182192910141</v>
      </c>
      <c r="AF37" s="182">
        <f t="shared" si="26"/>
        <v>1.1225292662819457</v>
      </c>
      <c r="AG37" s="182">
        <f t="shared" si="26"/>
        <v>1.1539576288338498</v>
      </c>
      <c r="AH37" s="182">
        <f t="shared" si="26"/>
        <v>1.1862659167492731</v>
      </c>
      <c r="AI37" s="182">
        <f t="shared" si="26"/>
        <v>1.2194787660124822</v>
      </c>
      <c r="AJ37" s="182">
        <f t="shared" si="26"/>
        <v>1.2536215023613824</v>
      </c>
      <c r="AK37" s="182">
        <f t="shared" si="26"/>
        <v>1.2887201605991092</v>
      </c>
    </row>
    <row r="38" spans="2:37" ht="15.5">
      <c r="B38" s="184">
        <f t="shared" si="4"/>
        <v>2023</v>
      </c>
      <c r="E38" s="185">
        <v>45107</v>
      </c>
      <c r="H38" s="182">
        <f t="shared" ref="H38:AK38" si="27">IF($E38&gt;H$12,I38/(1+I$6),IF($E38=H$12,1,G38*(1+H$6)))</f>
        <v>0.52640889225296095</v>
      </c>
      <c r="I38" s="182">
        <f t="shared" si="27"/>
        <v>0.54996665390789412</v>
      </c>
      <c r="J38" s="182">
        <f t="shared" si="27"/>
        <v>0.57405981923680305</v>
      </c>
      <c r="K38" s="182">
        <f t="shared" si="27"/>
        <v>0.59129981753882233</v>
      </c>
      <c r="L38" s="182">
        <f t="shared" si="27"/>
        <v>0.6076831699624804</v>
      </c>
      <c r="M38" s="182">
        <f t="shared" si="27"/>
        <v>0.62192490769023545</v>
      </c>
      <c r="N38" s="182">
        <f t="shared" si="27"/>
        <v>0.63852242158348382</v>
      </c>
      <c r="O38" s="182">
        <f t="shared" si="27"/>
        <v>0.66111645662526086</v>
      </c>
      <c r="P38" s="182">
        <f t="shared" si="27"/>
        <v>0.67653608243576246</v>
      </c>
      <c r="Q38" s="182">
        <f t="shared" si="27"/>
        <v>0.70598328450442871</v>
      </c>
      <c r="R38" s="182">
        <f t="shared" si="27"/>
        <v>0.7188329726798468</v>
      </c>
      <c r="S38" s="182">
        <f t="shared" si="27"/>
        <v>0.73928539302572083</v>
      </c>
      <c r="T38" s="182">
        <f t="shared" si="27"/>
        <v>0.76434228496778589</v>
      </c>
      <c r="U38" s="182">
        <f t="shared" si="27"/>
        <v>0.77781595909212364</v>
      </c>
      <c r="V38" s="182">
        <f t="shared" si="27"/>
        <v>0.79687158392511559</v>
      </c>
      <c r="W38" s="182">
        <f t="shared" si="27"/>
        <v>0.81669713299378399</v>
      </c>
      <c r="X38" s="182">
        <f t="shared" si="27"/>
        <v>0.82901592076460695</v>
      </c>
      <c r="Y38" s="182">
        <f t="shared" si="27"/>
        <v>0.83960237900515788</v>
      </c>
      <c r="Z38" s="182">
        <f t="shared" si="27"/>
        <v>0.85596326901328224</v>
      </c>
      <c r="AA38" s="182">
        <f t="shared" si="27"/>
        <v>0.87232415902140659</v>
      </c>
      <c r="AB38" s="182">
        <f t="shared" si="27"/>
        <v>0.88837920489296629</v>
      </c>
      <c r="AC38" s="182">
        <f t="shared" si="27"/>
        <v>0.8960244648318042</v>
      </c>
      <c r="AD38" s="182">
        <f t="shared" si="27"/>
        <v>0.92737003058103962</v>
      </c>
      <c r="AE38" s="182">
        <f t="shared" si="27"/>
        <v>1</v>
      </c>
      <c r="AF38" s="182">
        <f t="shared" si="27"/>
        <v>1.0409999999999999</v>
      </c>
      <c r="AG38" s="182">
        <f t="shared" si="27"/>
        <v>1.0701457215408712</v>
      </c>
      <c r="AH38" s="182">
        <f t="shared" si="27"/>
        <v>1.1001074594930182</v>
      </c>
      <c r="AI38" s="182">
        <f t="shared" si="27"/>
        <v>1.130908060529924</v>
      </c>
      <c r="AJ38" s="182">
        <f t="shared" si="27"/>
        <v>1.1625710109819241</v>
      </c>
      <c r="AK38" s="182">
        <f t="shared" si="27"/>
        <v>1.1951204547451983</v>
      </c>
    </row>
    <row r="39" spans="2:37" ht="15.5">
      <c r="B39" s="184">
        <f t="shared" si="4"/>
        <v>2024</v>
      </c>
      <c r="E39" s="185">
        <v>45473</v>
      </c>
      <c r="H39" s="182">
        <f t="shared" ref="H39:AK39" si="28">IF($E39&gt;H$12,I39/(1+I$6),IF($E39=H$12,1,G39*(1+H$6)))</f>
        <v>0.50567616931120196</v>
      </c>
      <c r="I39" s="182">
        <f t="shared" si="28"/>
        <v>0.52830610365791975</v>
      </c>
      <c r="J39" s="182">
        <f t="shared" si="28"/>
        <v>0.55145035469433556</v>
      </c>
      <c r="K39" s="182">
        <f t="shared" si="28"/>
        <v>0.56801135210261533</v>
      </c>
      <c r="L39" s="182">
        <f t="shared" si="28"/>
        <v>0.58374944280737806</v>
      </c>
      <c r="M39" s="182">
        <f t="shared" si="28"/>
        <v>0.59743026675334832</v>
      </c>
      <c r="N39" s="182">
        <f t="shared" si="28"/>
        <v>0.6133740841339903</v>
      </c>
      <c r="O39" s="182">
        <f t="shared" si="28"/>
        <v>0.63507824843925165</v>
      </c>
      <c r="P39" s="182">
        <f t="shared" si="28"/>
        <v>0.64989056910255771</v>
      </c>
      <c r="Q39" s="182">
        <f t="shared" si="28"/>
        <v>0.67817798703595478</v>
      </c>
      <c r="R39" s="182">
        <f t="shared" si="28"/>
        <v>0.69052158758870996</v>
      </c>
      <c r="S39" s="182">
        <f t="shared" si="28"/>
        <v>0.71016848513517872</v>
      </c>
      <c r="T39" s="182">
        <f t="shared" si="28"/>
        <v>0.73423850621305109</v>
      </c>
      <c r="U39" s="182">
        <f t="shared" si="28"/>
        <v>0.74718151689925449</v>
      </c>
      <c r="V39" s="182">
        <f t="shared" si="28"/>
        <v>0.76548663201259926</v>
      </c>
      <c r="W39" s="182">
        <f t="shared" si="28"/>
        <v>0.78453134773658428</v>
      </c>
      <c r="X39" s="182">
        <f t="shared" si="28"/>
        <v>0.79636495750682723</v>
      </c>
      <c r="Y39" s="182">
        <f t="shared" si="28"/>
        <v>0.80653446590312983</v>
      </c>
      <c r="Z39" s="182">
        <f t="shared" si="28"/>
        <v>0.82225097887923382</v>
      </c>
      <c r="AA39" s="182">
        <f t="shared" si="28"/>
        <v>0.83796749185533792</v>
      </c>
      <c r="AB39" s="182">
        <f t="shared" si="28"/>
        <v>0.85339020642936259</v>
      </c>
      <c r="AC39" s="182">
        <f t="shared" si="28"/>
        <v>0.86073435622651717</v>
      </c>
      <c r="AD39" s="182">
        <f t="shared" si="28"/>
        <v>0.8908453703948509</v>
      </c>
      <c r="AE39" s="183">
        <f t="shared" si="28"/>
        <v>0.96061479346781953</v>
      </c>
      <c r="AF39" s="182">
        <f t="shared" si="28"/>
        <v>1</v>
      </c>
      <c r="AG39" s="182">
        <f t="shared" si="28"/>
        <v>1.0279978112784547</v>
      </c>
      <c r="AH39" s="182">
        <f t="shared" si="28"/>
        <v>1.0567794999932933</v>
      </c>
      <c r="AI39" s="182">
        <f t="shared" si="28"/>
        <v>1.0863670129970453</v>
      </c>
      <c r="AJ39" s="182">
        <f t="shared" si="28"/>
        <v>1.116782911606075</v>
      </c>
      <c r="AK39" s="182">
        <f t="shared" si="28"/>
        <v>1.1480503888042251</v>
      </c>
    </row>
    <row r="40" spans="2:37" ht="15.5">
      <c r="B40" s="184">
        <f t="shared" si="4"/>
        <v>2025</v>
      </c>
      <c r="E40" s="185">
        <v>45838</v>
      </c>
      <c r="H40" s="182">
        <f t="shared" ref="H40:AK40" si="29">IF($E40&gt;H$12,I40/(1+I$6),IF($E40=H$12,1,G40*(1+H$6)))</f>
        <v>0.49190393575091856</v>
      </c>
      <c r="I40" s="182">
        <f t="shared" si="29"/>
        <v>0.51391753743220459</v>
      </c>
      <c r="J40" s="182">
        <f t="shared" si="29"/>
        <v>0.53643144824261069</v>
      </c>
      <c r="K40" s="182">
        <f t="shared" si="29"/>
        <v>0.55254140220027903</v>
      </c>
      <c r="L40" s="182">
        <f t="shared" si="29"/>
        <v>0.56785086155135522</v>
      </c>
      <c r="M40" s="182">
        <f t="shared" si="29"/>
        <v>0.58115908438595087</v>
      </c>
      <c r="N40" s="182">
        <f t="shared" si="29"/>
        <v>0.59666866738867508</v>
      </c>
      <c r="O40" s="182">
        <f t="shared" si="29"/>
        <v>0.617781712637545</v>
      </c>
      <c r="P40" s="182">
        <f t="shared" si="29"/>
        <v>0.63219061555620493</v>
      </c>
      <c r="Q40" s="182">
        <f t="shared" si="29"/>
        <v>0.65970761765781227</v>
      </c>
      <c r="R40" s="182">
        <f t="shared" si="29"/>
        <v>0.67171503675669564</v>
      </c>
      <c r="S40" s="182">
        <f t="shared" si="29"/>
        <v>0.69082684548908502</v>
      </c>
      <c r="T40" s="182">
        <f t="shared" si="29"/>
        <v>0.71424131273190727</v>
      </c>
      <c r="U40" s="182">
        <f t="shared" si="29"/>
        <v>0.72683181685964171</v>
      </c>
      <c r="V40" s="182">
        <f t="shared" si="29"/>
        <v>0.74463838698315188</v>
      </c>
      <c r="W40" s="182">
        <f t="shared" si="29"/>
        <v>0.76316441448538974</v>
      </c>
      <c r="X40" s="182">
        <f t="shared" si="29"/>
        <v>0.77467573254503264</v>
      </c>
      <c r="Y40" s="182">
        <f t="shared" si="29"/>
        <v>0.78456827150253816</v>
      </c>
      <c r="Z40" s="182">
        <f t="shared" si="29"/>
        <v>0.7998567408005014</v>
      </c>
      <c r="AA40" s="182">
        <f t="shared" si="29"/>
        <v>0.81514521009846475</v>
      </c>
      <c r="AB40" s="182">
        <f t="shared" si="29"/>
        <v>0.83014788267696416</v>
      </c>
      <c r="AC40" s="182">
        <f t="shared" si="29"/>
        <v>0.83729201247624951</v>
      </c>
      <c r="AD40" s="182">
        <f t="shared" si="29"/>
        <v>0.86658294465331964</v>
      </c>
      <c r="AE40" s="182">
        <f t="shared" si="29"/>
        <v>0.93445217774653111</v>
      </c>
      <c r="AF40" s="182">
        <f t="shared" si="29"/>
        <v>0.9727647170341388</v>
      </c>
      <c r="AG40" s="182">
        <f t="shared" si="29"/>
        <v>1</v>
      </c>
      <c r="AH40" s="182">
        <f t="shared" si="29"/>
        <v>1.0279978112784547</v>
      </c>
      <c r="AI40" s="182">
        <f t="shared" si="29"/>
        <v>1.0567794999932933</v>
      </c>
      <c r="AJ40" s="182">
        <f t="shared" si="29"/>
        <v>1.0863670129970453</v>
      </c>
      <c r="AK40" s="182">
        <f t="shared" si="29"/>
        <v>1.116782911606075</v>
      </c>
    </row>
    <row r="41" spans="2:37" ht="15.5">
      <c r="B41" s="184">
        <f t="shared" si="4"/>
        <v>2026</v>
      </c>
      <c r="E41" s="185">
        <v>46203</v>
      </c>
      <c r="H41" s="182">
        <f t="shared" ref="H41:AK41" si="30">IF($E41&gt;H$12,I41/(1+I$6),IF($E41=H$12,1,G41*(1+H$6)))</f>
        <v>0.47850679286872155</v>
      </c>
      <c r="I41" s="182">
        <f t="shared" si="30"/>
        <v>0.49992084787912</v>
      </c>
      <c r="J41" s="182">
        <f t="shared" si="30"/>
        <v>0.5218215859579366</v>
      </c>
      <c r="K41" s="182">
        <f t="shared" si="30"/>
        <v>0.53749278076100093</v>
      </c>
      <c r="L41" s="182">
        <f t="shared" si="30"/>
        <v>0.55238528265459619</v>
      </c>
      <c r="M41" s="182">
        <f t="shared" si="30"/>
        <v>0.56533105227451885</v>
      </c>
      <c r="N41" s="182">
        <f t="shared" si="30"/>
        <v>0.58041822739548132</v>
      </c>
      <c r="O41" s="182">
        <f t="shared" si="30"/>
        <v>0.60095625288272725</v>
      </c>
      <c r="P41" s="182">
        <f t="shared" si="30"/>
        <v>0.61497272525316982</v>
      </c>
      <c r="Q41" s="182">
        <f t="shared" si="30"/>
        <v>0.64174029401616772</v>
      </c>
      <c r="R41" s="182">
        <f t="shared" si="30"/>
        <v>0.65342068765820327</v>
      </c>
      <c r="S41" s="182">
        <f t="shared" si="30"/>
        <v>0.6720119808717766</v>
      </c>
      <c r="T41" s="182">
        <f t="shared" si="30"/>
        <v>0.69478874847374572</v>
      </c>
      <c r="U41" s="182">
        <f t="shared" si="30"/>
        <v>0.70703634665887849</v>
      </c>
      <c r="V41" s="182">
        <f t="shared" si="30"/>
        <v>0.72435794980642343</v>
      </c>
      <c r="W41" s="182">
        <f t="shared" si="30"/>
        <v>0.74237941570740451</v>
      </c>
      <c r="X41" s="182">
        <f t="shared" si="30"/>
        <v>0.75357721976238301</v>
      </c>
      <c r="Y41" s="182">
        <f t="shared" si="30"/>
        <v>0.76320033262213005</v>
      </c>
      <c r="Z41" s="182">
        <f t="shared" si="30"/>
        <v>0.77807241613264833</v>
      </c>
      <c r="AA41" s="182">
        <f t="shared" si="30"/>
        <v>0.79294449964316671</v>
      </c>
      <c r="AB41" s="182">
        <f t="shared" si="30"/>
        <v>0.80753857018874653</v>
      </c>
      <c r="AC41" s="182">
        <f t="shared" si="30"/>
        <v>0.81448812759140354</v>
      </c>
      <c r="AD41" s="182">
        <f t="shared" si="30"/>
        <v>0.84298131294229728</v>
      </c>
      <c r="AE41" s="182">
        <f t="shared" si="30"/>
        <v>0.90900210826753913</v>
      </c>
      <c r="AF41" s="182">
        <f t="shared" si="30"/>
        <v>0.94627119470650811</v>
      </c>
      <c r="AG41" s="182">
        <f t="shared" si="30"/>
        <v>0.9727647170341388</v>
      </c>
      <c r="AH41" s="182">
        <f t="shared" si="30"/>
        <v>1</v>
      </c>
      <c r="AI41" s="182">
        <f t="shared" si="30"/>
        <v>1.0279978112784547</v>
      </c>
      <c r="AJ41" s="182">
        <f t="shared" si="30"/>
        <v>1.0567794999932933</v>
      </c>
      <c r="AK41" s="182">
        <f t="shared" si="30"/>
        <v>1.0863670129970453</v>
      </c>
    </row>
    <row r="42" spans="2:37" ht="15.5">
      <c r="B42" s="184">
        <f t="shared" si="4"/>
        <v>2027</v>
      </c>
      <c r="E42" s="185">
        <v>46568</v>
      </c>
      <c r="H42" s="182">
        <f t="shared" ref="H42:AK42" si="31">IF($E42&gt;H$12,I42/(1+I$6),IF($E42=H$12,1,G42*(1+H$6)))</f>
        <v>0.46547452496385511</v>
      </c>
      <c r="I42" s="182">
        <f t="shared" si="31"/>
        <v>0.48630536212659881</v>
      </c>
      <c r="J42" s="182">
        <f t="shared" si="31"/>
        <v>0.50760962740667759</v>
      </c>
      <c r="K42" s="182">
        <f t="shared" si="31"/>
        <v>0.52285401278486732</v>
      </c>
      <c r="L42" s="182">
        <f t="shared" si="31"/>
        <v>0.53734091317532084</v>
      </c>
      <c r="M42" s="182">
        <f t="shared" si="31"/>
        <v>0.54993410109643404</v>
      </c>
      <c r="N42" s="182">
        <f t="shared" si="31"/>
        <v>0.56461037273382164</v>
      </c>
      <c r="O42" s="182">
        <f t="shared" si="31"/>
        <v>0.58458903928536243</v>
      </c>
      <c r="P42" s="182">
        <f t="shared" si="31"/>
        <v>0.59822376906461283</v>
      </c>
      <c r="Q42" s="182">
        <f t="shared" si="31"/>
        <v>0.62426231551804234</v>
      </c>
      <c r="R42" s="182">
        <f t="shared" si="31"/>
        <v>0.63562459033408447</v>
      </c>
      <c r="S42" s="182">
        <f t="shared" si="31"/>
        <v>0.65370954441628493</v>
      </c>
      <c r="T42" s="182">
        <f t="shared" si="31"/>
        <v>0.67586598030756673</v>
      </c>
      <c r="U42" s="182">
        <f t="shared" si="31"/>
        <v>0.6877800116904752</v>
      </c>
      <c r="V42" s="182">
        <f t="shared" si="31"/>
        <v>0.70462985607487438</v>
      </c>
      <c r="W42" s="182">
        <f t="shared" si="31"/>
        <v>0.72216050225258266</v>
      </c>
      <c r="X42" s="182">
        <f t="shared" si="31"/>
        <v>0.73305333094552749</v>
      </c>
      <c r="Y42" s="182">
        <f t="shared" si="31"/>
        <v>0.74241435560352698</v>
      </c>
      <c r="Z42" s="182">
        <f t="shared" si="31"/>
        <v>0.75688139371134444</v>
      </c>
      <c r="AA42" s="182">
        <f t="shared" si="31"/>
        <v>0.77134843181916191</v>
      </c>
      <c r="AB42" s="182">
        <f t="shared" si="31"/>
        <v>0.78554502872380916</v>
      </c>
      <c r="AC42" s="182">
        <f t="shared" si="31"/>
        <v>0.79230531296411733</v>
      </c>
      <c r="AD42" s="182">
        <f t="shared" si="31"/>
        <v>0.82002247834938069</v>
      </c>
      <c r="AE42" s="182">
        <f t="shared" si="31"/>
        <v>0.88424517863230834</v>
      </c>
      <c r="AF42" s="182">
        <f t="shared" si="31"/>
        <v>0.92049923095623287</v>
      </c>
      <c r="AG42" s="182">
        <f t="shared" si="31"/>
        <v>0.94627119470650811</v>
      </c>
      <c r="AH42" s="182">
        <f t="shared" si="31"/>
        <v>0.9727647170341388</v>
      </c>
      <c r="AI42" s="182">
        <f t="shared" si="31"/>
        <v>1</v>
      </c>
      <c r="AJ42" s="182">
        <f t="shared" si="31"/>
        <v>1.0279978112784547</v>
      </c>
      <c r="AK42" s="182">
        <f t="shared" si="31"/>
        <v>1.0567794999932933</v>
      </c>
    </row>
    <row r="43" spans="2:37" ht="15.5">
      <c r="B43" s="184">
        <f t="shared" si="4"/>
        <v>2028</v>
      </c>
      <c r="E43" s="185">
        <v>46934</v>
      </c>
      <c r="H43" s="182">
        <f t="shared" ref="H43:AK43" si="32">IF($E43&gt;H$12,I43/(1+I$6),IF($E43=H$12,1,G43*(1+H$6)))</f>
        <v>0.45279719456306472</v>
      </c>
      <c r="I43" s="182">
        <f t="shared" si="32"/>
        <v>0.47306069798126532</v>
      </c>
      <c r="J43" s="182">
        <f t="shared" si="32"/>
        <v>0.49378473556806141</v>
      </c>
      <c r="K43" s="182">
        <f t="shared" si="32"/>
        <v>0.50861393579683545</v>
      </c>
      <c r="L43" s="182">
        <f t="shared" si="32"/>
        <v>0.52270628135585673</v>
      </c>
      <c r="M43" s="182">
        <f t="shared" si="32"/>
        <v>0.53495649024049619</v>
      </c>
      <c r="N43" s="182">
        <f t="shared" si="32"/>
        <v>0.54923304946695573</v>
      </c>
      <c r="O43" s="182">
        <f t="shared" si="32"/>
        <v>0.56866759138168466</v>
      </c>
      <c r="P43" s="182">
        <f t="shared" si="32"/>
        <v>0.58193097543723404</v>
      </c>
      <c r="Q43" s="182">
        <f t="shared" si="32"/>
        <v>0.60726035470998463</v>
      </c>
      <c r="R43" s="182">
        <f t="shared" si="32"/>
        <v>0.6183131747562759</v>
      </c>
      <c r="S43" s="182">
        <f t="shared" si="32"/>
        <v>0.635905579996623</v>
      </c>
      <c r="T43" s="182">
        <f t="shared" si="32"/>
        <v>0.65745857908689076</v>
      </c>
      <c r="U43" s="182">
        <f t="shared" si="32"/>
        <v>0.66904812845382167</v>
      </c>
      <c r="V43" s="182">
        <f t="shared" si="32"/>
        <v>0.68543906255848097</v>
      </c>
      <c r="W43" s="182">
        <f t="shared" si="32"/>
        <v>0.70249225662696502</v>
      </c>
      <c r="X43" s="182">
        <f t="shared" si="32"/>
        <v>0.71308841604815887</v>
      </c>
      <c r="Y43" s="182">
        <f t="shared" si="32"/>
        <v>0.72219449055074736</v>
      </c>
      <c r="Z43" s="182">
        <f t="shared" si="32"/>
        <v>0.73626751478202046</v>
      </c>
      <c r="AA43" s="182">
        <f t="shared" si="32"/>
        <v>0.75034053901329367</v>
      </c>
      <c r="AB43" s="182">
        <f t="shared" si="32"/>
        <v>0.76415048758409054</v>
      </c>
      <c r="AC43" s="182">
        <f t="shared" si="32"/>
        <v>0.77072665357018422</v>
      </c>
      <c r="AD43" s="182">
        <f t="shared" si="32"/>
        <v>0.79768893411316844</v>
      </c>
      <c r="AE43" s="182">
        <f t="shared" si="32"/>
        <v>0.86016251098105889</v>
      </c>
      <c r="AF43" s="182">
        <f t="shared" si="32"/>
        <v>0.8954291739312823</v>
      </c>
      <c r="AG43" s="182">
        <f t="shared" si="32"/>
        <v>0.92049923095623287</v>
      </c>
      <c r="AH43" s="182">
        <f t="shared" si="32"/>
        <v>0.94627119470650811</v>
      </c>
      <c r="AI43" s="182">
        <f t="shared" si="32"/>
        <v>0.9727647170341388</v>
      </c>
      <c r="AJ43" s="182">
        <f t="shared" si="32"/>
        <v>1</v>
      </c>
      <c r="AK43" s="182">
        <f t="shared" si="32"/>
        <v>1.0279978112784547</v>
      </c>
    </row>
    <row r="44" spans="2:37" ht="15.5">
      <c r="B44" s="184">
        <f t="shared" si="4"/>
        <v>2029</v>
      </c>
      <c r="E44" s="185">
        <v>47299</v>
      </c>
      <c r="H44" s="182">
        <f t="shared" ref="H44:AK44" si="33">IF($E44&gt;H$12,I44/(1+I$6),IF($E44=H$12,1,G44*(1+H$6)))</f>
        <v>0.44046513484299155</v>
      </c>
      <c r="I44" s="182">
        <f t="shared" si="33"/>
        <v>0.46017675601171776</v>
      </c>
      <c r="J44" s="182">
        <f t="shared" si="33"/>
        <v>0.48033636857064232</v>
      </c>
      <c r="K44" s="182">
        <f t="shared" si="33"/>
        <v>0.49476169133502829</v>
      </c>
      <c r="L44" s="182">
        <f t="shared" si="33"/>
        <v>0.50847022787509699</v>
      </c>
      <c r="M44" s="182">
        <f t="shared" si="33"/>
        <v>0.52038679885437233</v>
      </c>
      <c r="N44" s="182">
        <f t="shared" si="33"/>
        <v>0.53427453195052033</v>
      </c>
      <c r="O44" s="182">
        <f t="shared" si="33"/>
        <v>0.55317976861688978</v>
      </c>
      <c r="P44" s="182">
        <f t="shared" si="33"/>
        <v>0.56608192065460139</v>
      </c>
      <c r="Q44" s="182">
        <f t="shared" si="33"/>
        <v>0.590721447115509</v>
      </c>
      <c r="R44" s="182">
        <f t="shared" si="33"/>
        <v>0.60147324048026884</v>
      </c>
      <c r="S44" s="182">
        <f t="shared" si="33"/>
        <v>0.61858651158584499</v>
      </c>
      <c r="T44" s="182">
        <f t="shared" si="33"/>
        <v>0.63955250864712643</v>
      </c>
      <c r="U44" s="182">
        <f t="shared" si="33"/>
        <v>0.65082641335760216</v>
      </c>
      <c r="V44" s="182">
        <f t="shared" si="33"/>
        <v>0.66677093573384627</v>
      </c>
      <c r="W44" s="182">
        <f t="shared" si="33"/>
        <v>0.68335968123640334</v>
      </c>
      <c r="X44" s="182">
        <f t="shared" si="33"/>
        <v>0.69366725125740958</v>
      </c>
      <c r="Y44" s="182">
        <f t="shared" si="33"/>
        <v>0.7025253192442118</v>
      </c>
      <c r="Z44" s="182">
        <f t="shared" si="33"/>
        <v>0.71621506067836083</v>
      </c>
      <c r="AA44" s="182">
        <f t="shared" si="33"/>
        <v>0.72990480211250985</v>
      </c>
      <c r="AB44" s="182">
        <f t="shared" si="33"/>
        <v>0.74333863282623713</v>
      </c>
      <c r="AC44" s="182">
        <f t="shared" si="33"/>
        <v>0.74973569507086912</v>
      </c>
      <c r="AD44" s="182">
        <f t="shared" si="33"/>
        <v>0.77596365027386016</v>
      </c>
      <c r="AE44" s="182">
        <f t="shared" si="33"/>
        <v>0.83673574159786412</v>
      </c>
      <c r="AF44" s="182">
        <f t="shared" si="33"/>
        <v>0.87104190700337647</v>
      </c>
      <c r="AG44" s="182">
        <f t="shared" si="33"/>
        <v>0.8954291739312823</v>
      </c>
      <c r="AH44" s="182">
        <f t="shared" si="33"/>
        <v>0.92049923095623287</v>
      </c>
      <c r="AI44" s="182">
        <f t="shared" si="33"/>
        <v>0.94627119470650811</v>
      </c>
      <c r="AJ44" s="182">
        <f t="shared" si="33"/>
        <v>0.9727647170341388</v>
      </c>
      <c r="AK44" s="182">
        <f t="shared" si="33"/>
        <v>1</v>
      </c>
    </row>
    <row r="45" spans="2:37">
      <c r="E45" s="159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</row>
    <row r="46" spans="2:37">
      <c r="E46" s="159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</row>
    <row r="47" spans="2:37" ht="21">
      <c r="B47" s="6" t="s">
        <v>340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2:37">
      <c r="B48" s="157"/>
      <c r="C48" s="157"/>
    </row>
    <row r="49" spans="2:37" ht="15.5">
      <c r="D49" s="98" t="s">
        <v>297</v>
      </c>
      <c r="E49" s="2"/>
      <c r="F49" s="186" t="s">
        <v>341</v>
      </c>
      <c r="H49" s="185">
        <f>H$3</f>
        <v>36707</v>
      </c>
      <c r="I49" s="185">
        <f t="shared" ref="I49:AK49" si="34">I$3</f>
        <v>37072</v>
      </c>
      <c r="J49" s="185">
        <f t="shared" si="34"/>
        <v>37437</v>
      </c>
      <c r="K49" s="185">
        <f t="shared" si="34"/>
        <v>37802</v>
      </c>
      <c r="L49" s="185">
        <f t="shared" si="34"/>
        <v>38168</v>
      </c>
      <c r="M49" s="185">
        <f t="shared" si="34"/>
        <v>38533</v>
      </c>
      <c r="N49" s="185">
        <f t="shared" si="34"/>
        <v>38898</v>
      </c>
      <c r="O49" s="185">
        <f t="shared" si="34"/>
        <v>39263</v>
      </c>
      <c r="P49" s="185">
        <f t="shared" si="34"/>
        <v>39629</v>
      </c>
      <c r="Q49" s="185">
        <f t="shared" si="34"/>
        <v>39994</v>
      </c>
      <c r="R49" s="185">
        <f t="shared" si="34"/>
        <v>40359</v>
      </c>
      <c r="S49" s="185">
        <f t="shared" si="34"/>
        <v>40724</v>
      </c>
      <c r="T49" s="185">
        <f t="shared" si="34"/>
        <v>41090</v>
      </c>
      <c r="U49" s="185">
        <f t="shared" si="34"/>
        <v>41455</v>
      </c>
      <c r="V49" s="185">
        <f t="shared" si="34"/>
        <v>41820</v>
      </c>
      <c r="W49" s="185">
        <f t="shared" si="34"/>
        <v>42185</v>
      </c>
      <c r="X49" s="185">
        <f t="shared" si="34"/>
        <v>42551</v>
      </c>
      <c r="Y49" s="185">
        <f t="shared" si="34"/>
        <v>42916</v>
      </c>
      <c r="Z49" s="185">
        <f t="shared" si="34"/>
        <v>43281</v>
      </c>
      <c r="AA49" s="185">
        <f t="shared" si="34"/>
        <v>43646</v>
      </c>
      <c r="AB49" s="185">
        <f t="shared" si="34"/>
        <v>44012</v>
      </c>
      <c r="AC49" s="185">
        <f t="shared" si="34"/>
        <v>44377</v>
      </c>
      <c r="AD49" s="185">
        <f t="shared" si="34"/>
        <v>44742</v>
      </c>
      <c r="AE49" s="185">
        <f t="shared" si="34"/>
        <v>45107</v>
      </c>
      <c r="AF49" s="185">
        <f t="shared" si="34"/>
        <v>45473</v>
      </c>
      <c r="AG49" s="185">
        <f t="shared" si="34"/>
        <v>45838</v>
      </c>
      <c r="AH49" s="185">
        <f t="shared" si="34"/>
        <v>46203</v>
      </c>
      <c r="AI49" s="185">
        <f t="shared" si="34"/>
        <v>46568</v>
      </c>
      <c r="AJ49" s="185">
        <f t="shared" si="34"/>
        <v>46934</v>
      </c>
      <c r="AK49" s="185">
        <f t="shared" si="34"/>
        <v>47299</v>
      </c>
    </row>
    <row r="50" spans="2:37" ht="15.5">
      <c r="B50" s="186" t="str">
        <f>$B$8</f>
        <v>Year helper</v>
      </c>
      <c r="D50" s="186" t="s">
        <v>342</v>
      </c>
      <c r="E50" s="2"/>
      <c r="F50" s="2"/>
    </row>
    <row r="51" spans="2:37" ht="15.5">
      <c r="B51" s="184">
        <f>YEAR($E51)</f>
        <v>2000</v>
      </c>
      <c r="D51" s="200"/>
      <c r="E51" s="185">
        <f t="array" ref="E51:E80">TRANSPOSE($H$3:$AK$3)</f>
        <v>36707</v>
      </c>
      <c r="H51" s="182">
        <f t="shared" ref="H51:H67" si="35">1/H15*(1+H$6)^0.5</f>
        <v>1.0073004927854139</v>
      </c>
      <c r="I51" s="182">
        <f t="shared" ref="I51:AK60" si="36">1/I15*(1+I$6)^0.5</f>
        <v>0.97834815328402813</v>
      </c>
      <c r="J51" s="182">
        <f t="shared" si="36"/>
        <v>0.93686381023094101</v>
      </c>
      <c r="K51" s="182">
        <f t="shared" si="36"/>
        <v>0.90352623935544685</v>
      </c>
      <c r="L51" s="182">
        <f t="shared" si="36"/>
        <v>0.87817433420776003</v>
      </c>
      <c r="M51" s="182">
        <f t="shared" si="36"/>
        <v>0.85627967870832544</v>
      </c>
      <c r="N51" s="182">
        <f t="shared" si="36"/>
        <v>0.83534555440477143</v>
      </c>
      <c r="O51" s="182">
        <f t="shared" si="36"/>
        <v>0.81020730950089614</v>
      </c>
      <c r="P51" s="182">
        <f t="shared" si="36"/>
        <v>0.78711601867720438</v>
      </c>
      <c r="Q51" s="182">
        <f t="shared" si="36"/>
        <v>0.76169398415650191</v>
      </c>
      <c r="R51" s="182">
        <f t="shared" si="36"/>
        <v>0.73894482624598357</v>
      </c>
      <c r="S51" s="182">
        <f t="shared" si="36"/>
        <v>0.72210966743836047</v>
      </c>
      <c r="T51" s="182">
        <f t="shared" si="36"/>
        <v>0.70028239930109759</v>
      </c>
      <c r="U51" s="182">
        <f t="shared" si="36"/>
        <v>0.68271720713791517</v>
      </c>
      <c r="V51" s="182">
        <f t="shared" si="36"/>
        <v>0.6686373335363196</v>
      </c>
      <c r="W51" s="182">
        <f t="shared" si="36"/>
        <v>0.6525270672672322</v>
      </c>
      <c r="X51" s="182">
        <f t="shared" si="36"/>
        <v>0.63975143085435404</v>
      </c>
      <c r="Y51" s="182">
        <f t="shared" si="36"/>
        <v>0.6309645377239258</v>
      </c>
      <c r="Z51" s="182">
        <f t="shared" si="36"/>
        <v>0.62095313252618389</v>
      </c>
      <c r="AA51" s="182">
        <f t="shared" si="36"/>
        <v>0.60919552203027072</v>
      </c>
      <c r="AB51" s="182">
        <f t="shared" si="36"/>
        <v>0.59797781872311095</v>
      </c>
      <c r="AC51" s="182">
        <f t="shared" si="36"/>
        <v>0.59001641036385266</v>
      </c>
      <c r="AD51" s="182">
        <f t="shared" si="36"/>
        <v>0.57747974311458694</v>
      </c>
      <c r="AE51" s="182">
        <f t="shared" si="36"/>
        <v>0.54663405997432601</v>
      </c>
      <c r="AF51" s="182">
        <f t="shared" si="36"/>
        <v>0.51593839954575049</v>
      </c>
      <c r="AG51" s="182">
        <f t="shared" si="36"/>
        <v>0.49874251663521524</v>
      </c>
      <c r="AH51" s="182">
        <f t="shared" si="36"/>
        <v>0.48515912306754938</v>
      </c>
      <c r="AI51" s="182">
        <f t="shared" si="36"/>
        <v>0.4719456770673357</v>
      </c>
      <c r="AJ51" s="182">
        <f t="shared" si="36"/>
        <v>0.45909210300789183</v>
      </c>
      <c r="AK51" s="182">
        <f t="shared" si="36"/>
        <v>0.44658859967507958</v>
      </c>
    </row>
    <row r="52" spans="2:37" ht="15.5">
      <c r="B52" s="184">
        <f t="shared" ref="B52:B80" si="37">YEAR($E52)</f>
        <v>2001</v>
      </c>
      <c r="D52" s="200"/>
      <c r="E52" s="185">
        <v>37072</v>
      </c>
      <c r="H52" s="182">
        <f t="shared" si="35"/>
        <v>1.0523790339597001</v>
      </c>
      <c r="I52" s="182">
        <f t="shared" ref="I52:W52" si="38">1/I16*(1+I$6)^0.5</f>
        <v>1.0221310242609374</v>
      </c>
      <c r="J52" s="182">
        <f t="shared" si="38"/>
        <v>0.97879018090848524</v>
      </c>
      <c r="K52" s="182">
        <f t="shared" si="38"/>
        <v>0.94396069270333094</v>
      </c>
      <c r="L52" s="182">
        <f t="shared" si="38"/>
        <v>0.9174742433871147</v>
      </c>
      <c r="M52" s="182">
        <f t="shared" si="38"/>
        <v>0.89459976197029267</v>
      </c>
      <c r="N52" s="182">
        <f t="shared" si="38"/>
        <v>0.87272879727886599</v>
      </c>
      <c r="O52" s="182">
        <f t="shared" si="38"/>
        <v>0.84646556989353172</v>
      </c>
      <c r="P52" s="182">
        <f t="shared" si="38"/>
        <v>0.82234090153094397</v>
      </c>
      <c r="Q52" s="182">
        <f t="shared" si="38"/>
        <v>0.79578118442388002</v>
      </c>
      <c r="R52" s="182">
        <f t="shared" si="38"/>
        <v>0.77201396004869227</v>
      </c>
      <c r="S52" s="182">
        <f t="shared" si="38"/>
        <v>0.75442539706334799</v>
      </c>
      <c r="T52" s="182">
        <f t="shared" si="38"/>
        <v>0.73162131871652503</v>
      </c>
      <c r="U52" s="182">
        <f t="shared" si="38"/>
        <v>0.71327005204644667</v>
      </c>
      <c r="V52" s="182">
        <f t="shared" si="38"/>
        <v>0.69856007832435651</v>
      </c>
      <c r="W52" s="182">
        <f t="shared" si="38"/>
        <v>0.6817288481457493</v>
      </c>
      <c r="X52" s="182">
        <f t="shared" si="36"/>
        <v>0.66838147861431274</v>
      </c>
      <c r="Y52" s="182">
        <f t="shared" si="36"/>
        <v>0.65920135592963436</v>
      </c>
      <c r="Z52" s="182">
        <f t="shared" si="36"/>
        <v>0.64874192202084635</v>
      </c>
      <c r="AA52" s="182">
        <f t="shared" si="36"/>
        <v>0.6364581369299166</v>
      </c>
      <c r="AB52" s="182">
        <f t="shared" si="36"/>
        <v>0.62473842086287579</v>
      </c>
      <c r="AC52" s="182">
        <f t="shared" si="36"/>
        <v>0.61642072490413891</v>
      </c>
      <c r="AD52" s="182">
        <f t="shared" si="36"/>
        <v>0.60332301884388084</v>
      </c>
      <c r="AE52" s="182">
        <f t="shared" si="36"/>
        <v>0.57109693491215163</v>
      </c>
      <c r="AF52" s="182">
        <f t="shared" si="36"/>
        <v>0.53902758748311108</v>
      </c>
      <c r="AG52" s="182">
        <f t="shared" si="36"/>
        <v>0.52106215733085137</v>
      </c>
      <c r="AH52" s="182">
        <f t="shared" si="36"/>
        <v>0.50687088203314357</v>
      </c>
      <c r="AI52" s="182">
        <f t="shared" si="36"/>
        <v>0.49306611013381524</v>
      </c>
      <c r="AJ52" s="182">
        <f t="shared" si="36"/>
        <v>0.47963731510344426</v>
      </c>
      <c r="AK52" s="182">
        <f t="shared" si="36"/>
        <v>0.46657425710561612</v>
      </c>
    </row>
    <row r="53" spans="2:37" ht="15.5">
      <c r="B53" s="184">
        <f t="shared" si="37"/>
        <v>2002</v>
      </c>
      <c r="D53" s="200"/>
      <c r="E53" s="185">
        <v>37437</v>
      </c>
      <c r="H53" s="182">
        <f t="shared" si="35"/>
        <v>1.0984820874334018</v>
      </c>
      <c r="I53" s="182">
        <f t="shared" si="36"/>
        <v>1.0669089604873219</v>
      </c>
      <c r="J53" s="182">
        <f t="shared" si="36"/>
        <v>1.0216694236468826</v>
      </c>
      <c r="K53" s="182">
        <f t="shared" si="36"/>
        <v>0.98531411090003063</v>
      </c>
      <c r="L53" s="182">
        <f t="shared" si="36"/>
        <v>0.95766733232054568</v>
      </c>
      <c r="M53" s="182">
        <f t="shared" si="36"/>
        <v>0.93379075621548679</v>
      </c>
      <c r="N53" s="182">
        <f t="shared" si="36"/>
        <v>0.91096165930919037</v>
      </c>
      <c r="O53" s="182">
        <f t="shared" si="36"/>
        <v>0.88354788165872755</v>
      </c>
      <c r="P53" s="182">
        <f t="shared" si="36"/>
        <v>0.85836634990408722</v>
      </c>
      <c r="Q53" s="182">
        <f t="shared" si="36"/>
        <v>0.83064309378824408</v>
      </c>
      <c r="R53" s="182">
        <f t="shared" si="36"/>
        <v>0.8058346650741901</v>
      </c>
      <c r="S53" s="182">
        <f t="shared" si="36"/>
        <v>0.78747557508890376</v>
      </c>
      <c r="T53" s="182">
        <f t="shared" si="36"/>
        <v>0.76367248630048523</v>
      </c>
      <c r="U53" s="182">
        <f t="shared" si="36"/>
        <v>0.74451727979380888</v>
      </c>
      <c r="V53" s="182">
        <f t="shared" si="36"/>
        <v>0.72916288549394026</v>
      </c>
      <c r="W53" s="182">
        <f t="shared" si="36"/>
        <v>0.71159430586241523</v>
      </c>
      <c r="X53" s="182">
        <f t="shared" si="36"/>
        <v>0.69766220927790734</v>
      </c>
      <c r="Y53" s="182">
        <f t="shared" si="36"/>
        <v>0.68807992000365492</v>
      </c>
      <c r="Z53" s="182">
        <f t="shared" si="36"/>
        <v>0.67716227491311487</v>
      </c>
      <c r="AA53" s="182">
        <f t="shared" si="36"/>
        <v>0.66434035671364577</v>
      </c>
      <c r="AB53" s="182">
        <f t="shared" si="36"/>
        <v>0.65210721850581754</v>
      </c>
      <c r="AC53" s="182">
        <f t="shared" si="36"/>
        <v>0.64342513750215946</v>
      </c>
      <c r="AD53" s="182">
        <f t="shared" si="36"/>
        <v>0.62975364174884085</v>
      </c>
      <c r="AE53" s="182">
        <f t="shared" si="36"/>
        <v>0.59611578428038314</v>
      </c>
      <c r="AF53" s="182">
        <f t="shared" si="36"/>
        <v>0.56264152969177572</v>
      </c>
      <c r="AG53" s="182">
        <f t="shared" si="36"/>
        <v>0.54388906258775238</v>
      </c>
      <c r="AH53" s="182">
        <f t="shared" si="36"/>
        <v>0.52907609006613787</v>
      </c>
      <c r="AI53" s="182">
        <f t="shared" si="36"/>
        <v>0.51466655304271502</v>
      </c>
      <c r="AJ53" s="182">
        <f t="shared" si="36"/>
        <v>0.50064946383753239</v>
      </c>
      <c r="AK53" s="182">
        <f t="shared" si="36"/>
        <v>0.48701413402321053</v>
      </c>
    </row>
    <row r="54" spans="2:37" ht="15.5">
      <c r="B54" s="184">
        <f t="shared" si="37"/>
        <v>2003</v>
      </c>
      <c r="E54" s="185">
        <v>37802</v>
      </c>
      <c r="H54" s="182">
        <f t="shared" si="35"/>
        <v>1.131471383474584</v>
      </c>
      <c r="I54" s="182">
        <f t="shared" si="36"/>
        <v>1.0989500615204237</v>
      </c>
      <c r="J54" s="182">
        <f t="shared" si="36"/>
        <v>1.052351904006358</v>
      </c>
      <c r="K54" s="182">
        <f t="shared" si="36"/>
        <v>1.0149047790318912</v>
      </c>
      <c r="L54" s="182">
        <f t="shared" si="36"/>
        <v>0.98642772040180049</v>
      </c>
      <c r="M54" s="182">
        <f t="shared" si="36"/>
        <v>0.96183408987538099</v>
      </c>
      <c r="N54" s="182">
        <f t="shared" si="36"/>
        <v>0.93831939613977766</v>
      </c>
      <c r="O54" s="182">
        <f t="shared" si="36"/>
        <v>0.91008233585515619</v>
      </c>
      <c r="P54" s="182">
        <f t="shared" si="36"/>
        <v>0.88414455962886918</v>
      </c>
      <c r="Q54" s="182">
        <f t="shared" si="36"/>
        <v>0.85558872671118869</v>
      </c>
      <c r="R54" s="182">
        <f t="shared" si="36"/>
        <v>0.83003525844799042</v>
      </c>
      <c r="S54" s="182">
        <f t="shared" si="36"/>
        <v>0.81112481358718991</v>
      </c>
      <c r="T54" s="182">
        <f t="shared" si="36"/>
        <v>0.78660687732722956</v>
      </c>
      <c r="U54" s="182">
        <f t="shared" si="36"/>
        <v>0.76687640720414307</v>
      </c>
      <c r="V54" s="182">
        <f t="shared" si="36"/>
        <v>0.75106089417973065</v>
      </c>
      <c r="W54" s="182">
        <f t="shared" si="36"/>
        <v>0.73296470005078429</v>
      </c>
      <c r="X54" s="182">
        <f t="shared" si="36"/>
        <v>0.7186141987749679</v>
      </c>
      <c r="Y54" s="182">
        <f t="shared" si="36"/>
        <v>0.70874413696328686</v>
      </c>
      <c r="Z54" s="182">
        <f t="shared" si="36"/>
        <v>0.69749861631602672</v>
      </c>
      <c r="AA54" s="182">
        <f t="shared" si="36"/>
        <v>0.6842916339811137</v>
      </c>
      <c r="AB54" s="182">
        <f t="shared" si="36"/>
        <v>0.67169111370809975</v>
      </c>
      <c r="AC54" s="182">
        <f t="shared" si="36"/>
        <v>0.66274829496118681</v>
      </c>
      <c r="AD54" s="182">
        <f t="shared" si="36"/>
        <v>0.64866622080527836</v>
      </c>
      <c r="AE54" s="182">
        <f t="shared" si="36"/>
        <v>0.61401816093942796</v>
      </c>
      <c r="AF54" s="182">
        <f t="shared" si="36"/>
        <v>0.57953861722775302</v>
      </c>
      <c r="AG54" s="182">
        <f t="shared" si="36"/>
        <v>0.56022298146046745</v>
      </c>
      <c r="AH54" s="182">
        <f t="shared" si="36"/>
        <v>0.54496515003641333</v>
      </c>
      <c r="AI54" s="182">
        <f t="shared" si="36"/>
        <v>0.53012286996863855</v>
      </c>
      <c r="AJ54" s="182">
        <f t="shared" si="36"/>
        <v>0.51568482359836831</v>
      </c>
      <c r="AK54" s="182">
        <f t="shared" si="36"/>
        <v>0.50164000150646659</v>
      </c>
    </row>
    <row r="55" spans="2:37" ht="15.5">
      <c r="B55" s="184">
        <f t="shared" si="37"/>
        <v>2004</v>
      </c>
      <c r="E55" s="185">
        <v>38168</v>
      </c>
      <c r="H55" s="182">
        <f t="shared" si="35"/>
        <v>1.1628214598367013</v>
      </c>
      <c r="I55" s="182">
        <f t="shared" si="36"/>
        <v>1.1293990581543649</v>
      </c>
      <c r="J55" s="182">
        <f t="shared" si="36"/>
        <v>1.0815097890684682</v>
      </c>
      <c r="K55" s="182">
        <f t="shared" si="36"/>
        <v>1.043025103405647</v>
      </c>
      <c r="L55" s="182">
        <f t="shared" si="36"/>
        <v>1.0137590208765335</v>
      </c>
      <c r="M55" s="182">
        <f t="shared" si="36"/>
        <v>0.98848396596211274</v>
      </c>
      <c r="N55" s="182">
        <f t="shared" si="36"/>
        <v>0.96431774232039791</v>
      </c>
      <c r="O55" s="182">
        <f t="shared" si="36"/>
        <v>0.93529830785548895</v>
      </c>
      <c r="P55" s="182">
        <f t="shared" si="36"/>
        <v>0.90864186452260642</v>
      </c>
      <c r="Q55" s="182">
        <f t="shared" si="36"/>
        <v>0.87929482507895596</v>
      </c>
      <c r="R55" s="182">
        <f t="shared" si="36"/>
        <v>0.85303333786532864</v>
      </c>
      <c r="S55" s="182">
        <f t="shared" si="36"/>
        <v>0.83359893464456769</v>
      </c>
      <c r="T55" s="182">
        <f t="shared" si="36"/>
        <v>0.80840167128432228</v>
      </c>
      <c r="U55" s="182">
        <f t="shared" si="36"/>
        <v>0.78812452207234907</v>
      </c>
      <c r="V55" s="182">
        <f t="shared" si="36"/>
        <v>0.77187080305504752</v>
      </c>
      <c r="W55" s="182">
        <f t="shared" si="36"/>
        <v>0.75327321129811686</v>
      </c>
      <c r="X55" s="182">
        <f t="shared" si="36"/>
        <v>0.73852509562621205</v>
      </c>
      <c r="Y55" s="182">
        <f t="shared" si="36"/>
        <v>0.72838156053362069</v>
      </c>
      <c r="Z55" s="182">
        <f t="shared" si="36"/>
        <v>0.71682445628276936</v>
      </c>
      <c r="AA55" s="182">
        <f t="shared" si="36"/>
        <v>0.70325154343404939</v>
      </c>
      <c r="AB55" s="182">
        <f t="shared" si="36"/>
        <v>0.69030189610530002</v>
      </c>
      <c r="AC55" s="182">
        <f t="shared" si="36"/>
        <v>0.68111129552784055</v>
      </c>
      <c r="AD55" s="182">
        <f t="shared" si="36"/>
        <v>0.66663904438065114</v>
      </c>
      <c r="AE55" s="182">
        <f t="shared" si="36"/>
        <v>0.63103097850982515</v>
      </c>
      <c r="AF55" s="182">
        <f t="shared" si="36"/>
        <v>0.59559609792964496</v>
      </c>
      <c r="AG55" s="182">
        <f t="shared" si="36"/>
        <v>0.57574527703516021</v>
      </c>
      <c r="AH55" s="182">
        <f t="shared" si="36"/>
        <v>0.56006469149884941</v>
      </c>
      <c r="AI55" s="182">
        <f t="shared" si="36"/>
        <v>0.54481117114669053</v>
      </c>
      <c r="AJ55" s="182">
        <f t="shared" si="36"/>
        <v>0.52997308473754812</v>
      </c>
      <c r="AK55" s="182">
        <f t="shared" si="36"/>
        <v>0.51553911781043071</v>
      </c>
    </row>
    <row r="56" spans="2:37" ht="15.5">
      <c r="B56" s="184">
        <f t="shared" si="37"/>
        <v>2005</v>
      </c>
      <c r="E56" s="185">
        <v>38533</v>
      </c>
      <c r="H56" s="182">
        <f t="shared" si="35"/>
        <v>1.190073487001156</v>
      </c>
      <c r="I56" s="182">
        <f t="shared" si="36"/>
        <v>1.1558677937904058</v>
      </c>
      <c r="J56" s="182">
        <f t="shared" si="36"/>
        <v>1.1068561858871655</v>
      </c>
      <c r="K56" s="182">
        <f t="shared" si="36"/>
        <v>1.0674695683841406</v>
      </c>
      <c r="L56" s="182">
        <f t="shared" si="36"/>
        <v>1.0375176023349615</v>
      </c>
      <c r="M56" s="182">
        <f t="shared" si="36"/>
        <v>1.0116501981159385</v>
      </c>
      <c r="N56" s="182">
        <f t="shared" si="36"/>
        <v>0.98691761187610072</v>
      </c>
      <c r="O56" s="182">
        <f t="shared" si="36"/>
        <v>0.95721807436558248</v>
      </c>
      <c r="P56" s="182">
        <f t="shared" si="36"/>
        <v>0.92993690733873113</v>
      </c>
      <c r="Q56" s="182">
        <f t="shared" si="36"/>
        <v>0.89990208705878005</v>
      </c>
      <c r="R56" s="182">
        <f t="shared" si="36"/>
        <v>0.8730251323915118</v>
      </c>
      <c r="S56" s="182">
        <f t="shared" si="36"/>
        <v>0.85313526209967394</v>
      </c>
      <c r="T56" s="182">
        <f t="shared" si="36"/>
        <v>0.82734747256728536</v>
      </c>
      <c r="U56" s="182">
        <f t="shared" si="36"/>
        <v>0.80659510558523428</v>
      </c>
      <c r="V56" s="182">
        <f t="shared" si="36"/>
        <v>0.78996046240417905</v>
      </c>
      <c r="W56" s="182">
        <f t="shared" si="36"/>
        <v>0.77092701519285689</v>
      </c>
      <c r="X56" s="182">
        <f t="shared" si="36"/>
        <v>0.75583326086291458</v>
      </c>
      <c r="Y56" s="182">
        <f t="shared" si="36"/>
        <v>0.74545200063070816</v>
      </c>
      <c r="Z56" s="182">
        <f t="shared" si="36"/>
        <v>0.73362404265908798</v>
      </c>
      <c r="AA56" s="182">
        <f t="shared" si="36"/>
        <v>0.71973303335065353</v>
      </c>
      <c r="AB56" s="182">
        <f t="shared" si="36"/>
        <v>0.70647989648979426</v>
      </c>
      <c r="AC56" s="182">
        <f t="shared" si="36"/>
        <v>0.69707390386355905</v>
      </c>
      <c r="AD56" s="182">
        <f t="shared" si="36"/>
        <v>0.68226247925336059</v>
      </c>
      <c r="AE56" s="182">
        <f t="shared" si="36"/>
        <v>0.64581989835860165</v>
      </c>
      <c r="AF56" s="182">
        <f t="shared" si="36"/>
        <v>0.60955456154632204</v>
      </c>
      <c r="AG56" s="182">
        <f t="shared" si="36"/>
        <v>0.58923851436479469</v>
      </c>
      <c r="AH56" s="182">
        <f t="shared" si="36"/>
        <v>0.57319043669168568</v>
      </c>
      <c r="AI56" s="182">
        <f t="shared" si="36"/>
        <v>0.55757943295506207</v>
      </c>
      <c r="AJ56" s="182">
        <f t="shared" si="36"/>
        <v>0.54239359932258657</v>
      </c>
      <c r="AK56" s="182">
        <f t="shared" si="36"/>
        <v>0.5276213561661639</v>
      </c>
    </row>
    <row r="57" spans="2:37" ht="15.5">
      <c r="B57" s="184">
        <f t="shared" si="37"/>
        <v>2006</v>
      </c>
      <c r="E57" s="185">
        <v>38898</v>
      </c>
      <c r="H57" s="182">
        <f t="shared" si="35"/>
        <v>1.2218333682830393</v>
      </c>
      <c r="I57" s="182">
        <f t="shared" si="36"/>
        <v>1.1867148165241372</v>
      </c>
      <c r="J57" s="182">
        <f t="shared" si="36"/>
        <v>1.1363952197736169</v>
      </c>
      <c r="K57" s="182">
        <f t="shared" si="36"/>
        <v>1.0959574786974224</v>
      </c>
      <c r="L57" s="182">
        <f t="shared" si="36"/>
        <v>1.0652061747113248</v>
      </c>
      <c r="M57" s="182">
        <f t="shared" si="36"/>
        <v>1.0386484385959609</v>
      </c>
      <c r="N57" s="182">
        <f t="shared" si="36"/>
        <v>1.0132558057192129</v>
      </c>
      <c r="O57" s="182">
        <f t="shared" si="36"/>
        <v>0.98276366691493955</v>
      </c>
      <c r="P57" s="182">
        <f t="shared" si="36"/>
        <v>0.95475443844022956</v>
      </c>
      <c r="Q57" s="182">
        <f t="shared" si="36"/>
        <v>0.92391806906534191</v>
      </c>
      <c r="R57" s="182">
        <f t="shared" si="36"/>
        <v>0.89632384029796563</v>
      </c>
      <c r="S57" s="182">
        <f t="shared" si="36"/>
        <v>0.87590316251727884</v>
      </c>
      <c r="T57" s="182">
        <f t="shared" si="36"/>
        <v>0.84942716579179112</v>
      </c>
      <c r="U57" s="182">
        <f t="shared" si="36"/>
        <v>0.82812097358897241</v>
      </c>
      <c r="V57" s="182">
        <f t="shared" si="36"/>
        <v>0.81104239623211416</v>
      </c>
      <c r="W57" s="182">
        <f t="shared" si="36"/>
        <v>0.79150099717544864</v>
      </c>
      <c r="X57" s="182">
        <f t="shared" si="36"/>
        <v>0.77600443087561288</v>
      </c>
      <c r="Y57" s="182">
        <f t="shared" si="36"/>
        <v>0.76534612254836654</v>
      </c>
      <c r="Z57" s="182">
        <f t="shared" si="36"/>
        <v>0.75320250798487298</v>
      </c>
      <c r="AA57" s="182">
        <f t="shared" si="36"/>
        <v>0.73894078475722225</v>
      </c>
      <c r="AB57" s="182">
        <f t="shared" si="36"/>
        <v>0.72533395708826509</v>
      </c>
      <c r="AC57" s="182">
        <f t="shared" si="36"/>
        <v>0.71567694365330625</v>
      </c>
      <c r="AD57" s="182">
        <f t="shared" si="36"/>
        <v>0.70047024169899952</v>
      </c>
      <c r="AE57" s="182">
        <f t="shared" si="36"/>
        <v>0.66305510570116089</v>
      </c>
      <c r="AF57" s="182">
        <f t="shared" si="36"/>
        <v>0.62582194395673518</v>
      </c>
      <c r="AG57" s="182">
        <f t="shared" si="36"/>
        <v>0.60496371576399277</v>
      </c>
      <c r="AH57" s="182">
        <f t="shared" si="36"/>
        <v>0.58848735778108163</v>
      </c>
      <c r="AI57" s="182">
        <f t="shared" si="36"/>
        <v>0.57245973807008199</v>
      </c>
      <c r="AJ57" s="182">
        <f t="shared" si="36"/>
        <v>0.55686863511718054</v>
      </c>
      <c r="AK57" s="182">
        <f t="shared" si="36"/>
        <v>0.54170216026495122</v>
      </c>
    </row>
    <row r="58" spans="2:37" ht="15.5">
      <c r="B58" s="184">
        <f t="shared" si="37"/>
        <v>2007</v>
      </c>
      <c r="E58" s="185">
        <v>39263</v>
      </c>
      <c r="H58" s="182">
        <f t="shared" si="35"/>
        <v>1.2650677873183782</v>
      </c>
      <c r="I58" s="182">
        <f t="shared" si="36"/>
        <v>1.2287065700519915</v>
      </c>
      <c r="J58" s="182">
        <f t="shared" si="36"/>
        <v>1.1766064207416256</v>
      </c>
      <c r="K58" s="182">
        <f t="shared" si="36"/>
        <v>1.1347377953174389</v>
      </c>
      <c r="L58" s="182">
        <f t="shared" si="36"/>
        <v>1.1028983603333427</v>
      </c>
      <c r="M58" s="182">
        <f t="shared" si="36"/>
        <v>1.0754008820881209</v>
      </c>
      <c r="N58" s="182">
        <f t="shared" si="36"/>
        <v>1.049109734112095</v>
      </c>
      <c r="O58" s="182">
        <f t="shared" si="36"/>
        <v>1.0175386348369677</v>
      </c>
      <c r="P58" s="182">
        <f t="shared" si="36"/>
        <v>0.98853830335904391</v>
      </c>
      <c r="Q58" s="182">
        <f t="shared" si="36"/>
        <v>0.95661079295814566</v>
      </c>
      <c r="R58" s="182">
        <f t="shared" si="36"/>
        <v>0.92804014589965489</v>
      </c>
      <c r="S58" s="182">
        <f t="shared" si="36"/>
        <v>0.90689688502124455</v>
      </c>
      <c r="T58" s="182">
        <f t="shared" si="36"/>
        <v>0.87948403850386037</v>
      </c>
      <c r="U58" s="182">
        <f t="shared" si="36"/>
        <v>0.85742392938760981</v>
      </c>
      <c r="V58" s="182">
        <f t="shared" si="36"/>
        <v>0.83974102873336809</v>
      </c>
      <c r="W58" s="182">
        <f t="shared" si="36"/>
        <v>0.81950815974529945</v>
      </c>
      <c r="X58" s="182">
        <f t="shared" si="36"/>
        <v>0.80346324940902814</v>
      </c>
      <c r="Y58" s="182">
        <f t="shared" si="36"/>
        <v>0.79242779819111453</v>
      </c>
      <c r="Z58" s="182">
        <f t="shared" si="36"/>
        <v>0.77985448336384466</v>
      </c>
      <c r="AA58" s="182">
        <f t="shared" si="36"/>
        <v>0.7650881108655192</v>
      </c>
      <c r="AB58" s="182">
        <f t="shared" si="36"/>
        <v>0.75099980732231242</v>
      </c>
      <c r="AC58" s="182">
        <f t="shared" si="36"/>
        <v>0.74100108168967205</v>
      </c>
      <c r="AD58" s="182">
        <f t="shared" si="36"/>
        <v>0.72525629251209534</v>
      </c>
      <c r="AE58" s="182">
        <f t="shared" si="36"/>
        <v>0.68651722666425763</v>
      </c>
      <c r="AF58" s="182">
        <f t="shared" si="36"/>
        <v>0.64796657420574955</v>
      </c>
      <c r="AG58" s="182">
        <f t="shared" si="36"/>
        <v>0.62637028024935337</v>
      </c>
      <c r="AH58" s="182">
        <f t="shared" si="36"/>
        <v>0.6093109084253564</v>
      </c>
      <c r="AI58" s="182">
        <f t="shared" si="36"/>
        <v>0.59271615342020578</v>
      </c>
      <c r="AJ58" s="182">
        <f t="shared" si="36"/>
        <v>0.57657336126336978</v>
      </c>
      <c r="AK58" s="182">
        <f t="shared" si="36"/>
        <v>0.56087022261878405</v>
      </c>
    </row>
    <row r="59" spans="2:37" ht="15.5">
      <c r="B59" s="184">
        <f t="shared" si="37"/>
        <v>2008</v>
      </c>
      <c r="E59" s="185">
        <v>39629</v>
      </c>
      <c r="H59" s="182">
        <f t="shared" si="35"/>
        <v>1.2945737415415473</v>
      </c>
      <c r="I59" s="182">
        <f t="shared" si="36"/>
        <v>1.2573644492368774</v>
      </c>
      <c r="J59" s="182">
        <f t="shared" si="36"/>
        <v>1.2040491360941998</v>
      </c>
      <c r="K59" s="182">
        <f t="shared" si="36"/>
        <v>1.1612039829633267</v>
      </c>
      <c r="L59" s="182">
        <f t="shared" si="36"/>
        <v>1.1286219372507382</v>
      </c>
      <c r="M59" s="182">
        <f t="shared" si="36"/>
        <v>1.100483118405045</v>
      </c>
      <c r="N59" s="182">
        <f t="shared" si="36"/>
        <v>1.0735787658115024</v>
      </c>
      <c r="O59" s="182">
        <f t="shared" si="36"/>
        <v>1.0412713143666927</v>
      </c>
      <c r="P59" s="182">
        <f t="shared" si="36"/>
        <v>1.0115945903178554</v>
      </c>
      <c r="Q59" s="182">
        <f t="shared" si="36"/>
        <v>0.97892241495133847</v>
      </c>
      <c r="R59" s="182">
        <f t="shared" si="36"/>
        <v>0.94968539711597333</v>
      </c>
      <c r="S59" s="182">
        <f t="shared" si="36"/>
        <v>0.92804899895760007</v>
      </c>
      <c r="T59" s="182">
        <f t="shared" si="36"/>
        <v>0.89999678575759456</v>
      </c>
      <c r="U59" s="182">
        <f t="shared" si="36"/>
        <v>0.87742215514592137</v>
      </c>
      <c r="V59" s="182">
        <f t="shared" si="36"/>
        <v>0.85932682532190152</v>
      </c>
      <c r="W59" s="182">
        <f t="shared" si="36"/>
        <v>0.8386220526839655</v>
      </c>
      <c r="X59" s="182">
        <f t="shared" si="36"/>
        <v>0.82220291703372861</v>
      </c>
      <c r="Y59" s="182">
        <f t="shared" si="36"/>
        <v>0.81091007919848757</v>
      </c>
      <c r="Z59" s="182">
        <f t="shared" si="36"/>
        <v>0.79804350921489653</v>
      </c>
      <c r="AA59" s="182">
        <f t="shared" si="36"/>
        <v>0.78293273152710585</v>
      </c>
      <c r="AB59" s="182">
        <f t="shared" si="36"/>
        <v>0.76851583781379507</v>
      </c>
      <c r="AC59" s="182">
        <f t="shared" si="36"/>
        <v>0.75828390575240501</v>
      </c>
      <c r="AD59" s="182">
        <f t="shared" si="36"/>
        <v>0.74217189117126958</v>
      </c>
      <c r="AE59" s="182">
        <f t="shared" si="36"/>
        <v>0.70252929025992539</v>
      </c>
      <c r="AF59" s="182">
        <f t="shared" si="36"/>
        <v>0.6630794972192946</v>
      </c>
      <c r="AG59" s="182">
        <f t="shared" si="36"/>
        <v>0.64097949961376954</v>
      </c>
      <c r="AH59" s="182">
        <f t="shared" si="36"/>
        <v>0.62352224156647229</v>
      </c>
      <c r="AI59" s="182">
        <f t="shared" si="36"/>
        <v>0.6065404368819014</v>
      </c>
      <c r="AJ59" s="182">
        <f t="shared" si="36"/>
        <v>0.59002113645318577</v>
      </c>
      <c r="AK59" s="182">
        <f t="shared" si="36"/>
        <v>0.5739517438460443</v>
      </c>
    </row>
    <row r="60" spans="2:37" ht="15.5">
      <c r="B60" s="184">
        <f t="shared" si="37"/>
        <v>2009</v>
      </c>
      <c r="E60" s="185">
        <v>39994</v>
      </c>
      <c r="H60" s="182">
        <f t="shared" si="35"/>
        <v>1.3509219180094048</v>
      </c>
      <c r="I60" s="182">
        <f t="shared" si="36"/>
        <v>1.312093037958014</v>
      </c>
      <c r="J60" s="182">
        <f t="shared" si="36"/>
        <v>1.2564570994411297</v>
      </c>
      <c r="K60" s="182">
        <f t="shared" si="36"/>
        <v>1.2117470496481817</v>
      </c>
      <c r="L60" s="182">
        <f t="shared" si="36"/>
        <v>1.1777468237249311</v>
      </c>
      <c r="M60" s="182">
        <f t="shared" si="36"/>
        <v>1.1483832224825039</v>
      </c>
      <c r="N60" s="182">
        <f t="shared" si="36"/>
        <v>1.1203078194041205</v>
      </c>
      <c r="O60" s="182">
        <f t="shared" si="36"/>
        <v>1.0865941398574872</v>
      </c>
      <c r="P60" s="182">
        <f t="shared" si="36"/>
        <v>1.0556256938850299</v>
      </c>
      <c r="Q60" s="182">
        <f t="shared" si="36"/>
        <v>1.0215314152855608</v>
      </c>
      <c r="R60" s="182">
        <f t="shared" ref="I60:AK69" si="39">1/R24*(1+R$6)^0.5</f>
        <v>0.99102181436935899</v>
      </c>
      <c r="S60" s="182">
        <f t="shared" si="39"/>
        <v>0.96844366098883428</v>
      </c>
      <c r="T60" s="182">
        <f t="shared" si="39"/>
        <v>0.93917043502687869</v>
      </c>
      <c r="U60" s="182">
        <f t="shared" si="39"/>
        <v>0.91561321128158546</v>
      </c>
      <c r="V60" s="182">
        <f t="shared" si="39"/>
        <v>0.89673025630694758</v>
      </c>
      <c r="W60" s="182">
        <f t="shared" si="39"/>
        <v>0.87512427878211174</v>
      </c>
      <c r="X60" s="182">
        <f t="shared" si="39"/>
        <v>0.8579904767336769</v>
      </c>
      <c r="Y60" s="182">
        <f t="shared" si="39"/>
        <v>0.84620610195562296</v>
      </c>
      <c r="Z60" s="182">
        <f t="shared" si="39"/>
        <v>0.83277949608322421</v>
      </c>
      <c r="AA60" s="182">
        <f t="shared" si="39"/>
        <v>0.81701100015166273</v>
      </c>
      <c r="AB60" s="182">
        <f t="shared" si="39"/>
        <v>0.80196659048850072</v>
      </c>
      <c r="AC60" s="182">
        <f t="shared" si="39"/>
        <v>0.79128929892776245</v>
      </c>
      <c r="AD60" s="182">
        <f t="shared" si="39"/>
        <v>0.77447598583288657</v>
      </c>
      <c r="AE60" s="182">
        <f t="shared" si="39"/>
        <v>0.73310788393220716</v>
      </c>
      <c r="AF60" s="182">
        <f t="shared" si="39"/>
        <v>0.6919409821409952</v>
      </c>
      <c r="AG60" s="182">
        <f t="shared" si="39"/>
        <v>0.66887905048331442</v>
      </c>
      <c r="AH60" s="182">
        <f t="shared" si="39"/>
        <v>0.6506619402734648</v>
      </c>
      <c r="AI60" s="182">
        <f t="shared" si="39"/>
        <v>0.63294097821500073</v>
      </c>
      <c r="AJ60" s="182">
        <f t="shared" si="39"/>
        <v>0.61570265157262616</v>
      </c>
      <c r="AK60" s="182">
        <f t="shared" si="39"/>
        <v>0.59893381563421455</v>
      </c>
    </row>
    <row r="61" spans="2:37" ht="15.5">
      <c r="B61" s="184">
        <f t="shared" si="37"/>
        <v>2010</v>
      </c>
      <c r="E61" s="185">
        <v>40359</v>
      </c>
      <c r="H61" s="182">
        <f t="shared" si="35"/>
        <v>1.3755102131953791</v>
      </c>
      <c r="I61" s="182">
        <f t="shared" si="39"/>
        <v>1.335974603945419</v>
      </c>
      <c r="J61" s="182">
        <f t="shared" si="39"/>
        <v>1.2793260289016084</v>
      </c>
      <c r="K61" s="182">
        <f t="shared" si="39"/>
        <v>1.2338022060197549</v>
      </c>
      <c r="L61" s="182">
        <f t="shared" si="39"/>
        <v>1.1991831378227611</v>
      </c>
      <c r="M61" s="182">
        <f t="shared" si="39"/>
        <v>1.1692850860799406</v>
      </c>
      <c r="N61" s="182">
        <f t="shared" si="39"/>
        <v>1.1406986791536269</v>
      </c>
      <c r="O61" s="182">
        <f t="shared" si="39"/>
        <v>1.1063713727989248</v>
      </c>
      <c r="P61" s="182">
        <f t="shared" si="39"/>
        <v>1.0748392663507063</v>
      </c>
      <c r="Q61" s="182">
        <f t="shared" si="39"/>
        <v>1.0401244336132216</v>
      </c>
      <c r="R61" s="182">
        <f t="shared" si="39"/>
        <v>1.0090595237162912</v>
      </c>
      <c r="S61" s="182">
        <f t="shared" si="39"/>
        <v>0.98607042260246403</v>
      </c>
      <c r="T61" s="182">
        <f t="shared" si="39"/>
        <v>0.95626439107165739</v>
      </c>
      <c r="U61" s="182">
        <f t="shared" si="39"/>
        <v>0.93227839941351198</v>
      </c>
      <c r="V61" s="182">
        <f t="shared" si="39"/>
        <v>0.91305175346405876</v>
      </c>
      <c r="W61" s="182">
        <f t="shared" si="39"/>
        <v>0.89105252289766668</v>
      </c>
      <c r="X61" s="182">
        <f t="shared" si="39"/>
        <v>0.87360686642092733</v>
      </c>
      <c r="Y61" s="182">
        <f t="shared" si="39"/>
        <v>0.86160800279510075</v>
      </c>
      <c r="Z61" s="182">
        <f t="shared" si="39"/>
        <v>0.84793701762576767</v>
      </c>
      <c r="AA61" s="182">
        <f t="shared" si="39"/>
        <v>0.83188151736965188</v>
      </c>
      <c r="AB61" s="182">
        <f t="shared" si="39"/>
        <v>0.81656328256473665</v>
      </c>
      <c r="AC61" s="182">
        <f t="shared" si="39"/>
        <v>0.80569165231337359</v>
      </c>
      <c r="AD61" s="182">
        <f t="shared" si="39"/>
        <v>0.78857231804886552</v>
      </c>
      <c r="AE61" s="182">
        <f t="shared" si="39"/>
        <v>0.74645127026193092</v>
      </c>
      <c r="AF61" s="182">
        <f t="shared" si="39"/>
        <v>0.70453508465228321</v>
      </c>
      <c r="AG61" s="182">
        <f t="shared" si="39"/>
        <v>0.68105339995366176</v>
      </c>
      <c r="AH61" s="182">
        <f t="shared" si="39"/>
        <v>0.66250471789106202</v>
      </c>
      <c r="AI61" s="182">
        <f t="shared" si="39"/>
        <v>0.64446121443308091</v>
      </c>
      <c r="AJ61" s="182">
        <f t="shared" si="39"/>
        <v>0.62690913089747335</v>
      </c>
      <c r="AK61" s="182">
        <f t="shared" si="39"/>
        <v>0.60983508332359859</v>
      </c>
    </row>
    <row r="62" spans="2:37" ht="15.5">
      <c r="B62" s="184">
        <f t="shared" si="37"/>
        <v>2011</v>
      </c>
      <c r="E62" s="185">
        <v>40724</v>
      </c>
      <c r="H62" s="182">
        <f t="shared" si="35"/>
        <v>1.4146465830330552</v>
      </c>
      <c r="I62" s="182">
        <f t="shared" si="39"/>
        <v>1.3739860964753727</v>
      </c>
      <c r="J62" s="182">
        <f t="shared" si="39"/>
        <v>1.315725741626204</v>
      </c>
      <c r="K62" s="182">
        <f t="shared" si="39"/>
        <v>1.2689066632445092</v>
      </c>
      <c r="L62" s="182">
        <f t="shared" si="39"/>
        <v>1.2333026044284741</v>
      </c>
      <c r="M62" s="182">
        <f t="shared" si="39"/>
        <v>1.2025538856391946</v>
      </c>
      <c r="N62" s="182">
        <f t="shared" si="39"/>
        <v>1.1731541309215914</v>
      </c>
      <c r="O62" s="182">
        <f t="shared" si="39"/>
        <v>1.1378501352307135</v>
      </c>
      <c r="P62" s="182">
        <f t="shared" si="39"/>
        <v>1.1054208691919079</v>
      </c>
      <c r="Q62" s="182">
        <f t="shared" si="39"/>
        <v>1.0697183211180821</v>
      </c>
      <c r="R62" s="182">
        <f t="shared" si="39"/>
        <v>1.0377695444268249</v>
      </c>
      <c r="S62" s="182">
        <f t="shared" si="39"/>
        <v>1.0141263515041581</v>
      </c>
      <c r="T62" s="182">
        <f t="shared" si="39"/>
        <v>0.98347227110959701</v>
      </c>
      <c r="U62" s="182">
        <f t="shared" si="39"/>
        <v>0.95880382385682816</v>
      </c>
      <c r="V62" s="182">
        <f t="shared" si="39"/>
        <v>0.93903013643912758</v>
      </c>
      <c r="W62" s="182">
        <f t="shared" si="39"/>
        <v>0.91640497811492505</v>
      </c>
      <c r="X62" s="182">
        <f t="shared" si="39"/>
        <v>0.89846295333980075</v>
      </c>
      <c r="Y62" s="182">
        <f t="shared" si="39"/>
        <v>0.88612269496460239</v>
      </c>
      <c r="Z62" s="182">
        <f t="shared" si="39"/>
        <v>0.87206273941431556</v>
      </c>
      <c r="AA62" s="182">
        <f t="shared" si="39"/>
        <v>0.85555042394161729</v>
      </c>
      <c r="AB62" s="182">
        <f t="shared" si="39"/>
        <v>0.83979635078607795</v>
      </c>
      <c r="AC62" s="182">
        <f t="shared" si="39"/>
        <v>0.82861539811880403</v>
      </c>
      <c r="AD62" s="182">
        <f t="shared" si="39"/>
        <v>0.81100898015929812</v>
      </c>
      <c r="AE62" s="182">
        <f t="shared" si="39"/>
        <v>0.76768949350340687</v>
      </c>
      <c r="AF62" s="182">
        <f t="shared" si="39"/>
        <v>0.72458069781608281</v>
      </c>
      <c r="AG62" s="182">
        <f t="shared" si="39"/>
        <v>0.7004309061939642</v>
      </c>
      <c r="AH62" s="182">
        <f t="shared" si="39"/>
        <v>0.68135447226573709</v>
      </c>
      <c r="AI62" s="182">
        <f t="shared" si="39"/>
        <v>0.6627975904135246</v>
      </c>
      <c r="AJ62" s="182">
        <f t="shared" si="39"/>
        <v>0.64474611048952135</v>
      </c>
      <c r="AK62" s="182">
        <f t="shared" si="39"/>
        <v>0.62718626772920083</v>
      </c>
    </row>
    <row r="63" spans="2:37" ht="15.5">
      <c r="B63" s="184">
        <f t="shared" si="37"/>
        <v>2012</v>
      </c>
      <c r="E63" s="185">
        <v>41090</v>
      </c>
      <c r="H63" s="182">
        <f t="shared" si="35"/>
        <v>1.4625937586457045</v>
      </c>
      <c r="I63" s="182">
        <f t="shared" si="39"/>
        <v>1.420555150150812</v>
      </c>
      <c r="J63" s="182">
        <f t="shared" si="39"/>
        <v>1.3603201540741368</v>
      </c>
      <c r="K63" s="182">
        <f t="shared" si="39"/>
        <v>1.3119142181690764</v>
      </c>
      <c r="L63" s="182">
        <f t="shared" si="39"/>
        <v>1.2751034169192415</v>
      </c>
      <c r="M63" s="182">
        <f t="shared" si="39"/>
        <v>1.2433125196541956</v>
      </c>
      <c r="N63" s="182">
        <f t="shared" si="39"/>
        <v>1.2129163074331279</v>
      </c>
      <c r="O63" s="182">
        <f t="shared" si="39"/>
        <v>1.1764157394665165</v>
      </c>
      <c r="P63" s="182">
        <f t="shared" si="39"/>
        <v>1.1428873354999762</v>
      </c>
      <c r="Q63" s="182">
        <f t="shared" si="39"/>
        <v>1.1059747068570203</v>
      </c>
      <c r="R63" s="182">
        <f t="shared" si="39"/>
        <v>1.0729430776533422</v>
      </c>
      <c r="S63" s="182">
        <f t="shared" si="39"/>
        <v>1.0484985366507356</v>
      </c>
      <c r="T63" s="182">
        <f t="shared" si="39"/>
        <v>1.0168054853969151</v>
      </c>
      <c r="U63" s="182">
        <f t="shared" si="39"/>
        <v>0.99130094071408426</v>
      </c>
      <c r="V63" s="182">
        <f t="shared" si="39"/>
        <v>0.97085705589549409</v>
      </c>
      <c r="W63" s="182">
        <f t="shared" si="39"/>
        <v>0.94746505414025695</v>
      </c>
      <c r="X63" s="182">
        <f t="shared" si="39"/>
        <v>0.92891491322993858</v>
      </c>
      <c r="Y63" s="182">
        <f t="shared" si="39"/>
        <v>0.91615640160158307</v>
      </c>
      <c r="Z63" s="182">
        <f t="shared" si="39"/>
        <v>0.9016199064222743</v>
      </c>
      <c r="AA63" s="182">
        <f t="shared" si="39"/>
        <v>0.88454793251669506</v>
      </c>
      <c r="AB63" s="182">
        <f t="shared" si="39"/>
        <v>0.86825990033473677</v>
      </c>
      <c r="AC63" s="182">
        <f t="shared" si="39"/>
        <v>0.85669998722074447</v>
      </c>
      <c r="AD63" s="182">
        <f t="shared" si="39"/>
        <v>0.83849682798045577</v>
      </c>
      <c r="AE63" s="182">
        <f t="shared" si="39"/>
        <v>0.79370909684636659</v>
      </c>
      <c r="AF63" s="182">
        <f t="shared" si="39"/>
        <v>0.74913919771309323</v>
      </c>
      <c r="AG63" s="182">
        <f t="shared" si="39"/>
        <v>0.72417088766114046</v>
      </c>
      <c r="AH63" s="182">
        <f t="shared" si="39"/>
        <v>0.70444788862005037</v>
      </c>
      <c r="AI63" s="182">
        <f t="shared" si="39"/>
        <v>0.68526205103877991</v>
      </c>
      <c r="AJ63" s="182">
        <f t="shared" si="39"/>
        <v>0.66659874517297224</v>
      </c>
      <c r="AK63" s="182">
        <f t="shared" si="39"/>
        <v>0.64844373972349845</v>
      </c>
    </row>
    <row r="64" spans="2:37" ht="15.5">
      <c r="B64" s="184">
        <f t="shared" si="37"/>
        <v>2013</v>
      </c>
      <c r="E64" s="185">
        <v>41455</v>
      </c>
      <c r="H64" s="182">
        <f t="shared" si="35"/>
        <v>1.4883760711879359</v>
      </c>
      <c r="I64" s="182">
        <f t="shared" si="39"/>
        <v>1.4455964144445814</v>
      </c>
      <c r="J64" s="182">
        <f t="shared" si="39"/>
        <v>1.3842996078100196</v>
      </c>
      <c r="K64" s="182">
        <f t="shared" si="39"/>
        <v>1.3350403816724348</v>
      </c>
      <c r="L64" s="182">
        <f t="shared" si="39"/>
        <v>1.2975806869228548</v>
      </c>
      <c r="M64" s="182">
        <f t="shared" si="39"/>
        <v>1.2652293860293644</v>
      </c>
      <c r="N64" s="182">
        <f t="shared" si="39"/>
        <v>1.2342973554110479</v>
      </c>
      <c r="O64" s="182">
        <f t="shared" si="39"/>
        <v>1.1971533626754454</v>
      </c>
      <c r="P64" s="182">
        <f t="shared" si="39"/>
        <v>1.1630339266571152</v>
      </c>
      <c r="Q64" s="182">
        <f t="shared" si="39"/>
        <v>1.1254706095213343</v>
      </c>
      <c r="R64" s="182">
        <f t="shared" si="39"/>
        <v>1.091856705312807</v>
      </c>
      <c r="S64" s="182">
        <f t="shared" si="39"/>
        <v>1.0669812607921489</v>
      </c>
      <c r="T64" s="182">
        <f t="shared" si="39"/>
        <v>1.0347295307199531</v>
      </c>
      <c r="U64" s="182">
        <f t="shared" si="39"/>
        <v>1.0087753969845417</v>
      </c>
      <c r="V64" s="182">
        <f t="shared" si="39"/>
        <v>0.98797113142122683</v>
      </c>
      <c r="W64" s="182">
        <f t="shared" si="39"/>
        <v>0.96416678010092627</v>
      </c>
      <c r="X64" s="182">
        <f t="shared" si="39"/>
        <v>0.94528964098770651</v>
      </c>
      <c r="Y64" s="182">
        <f t="shared" si="39"/>
        <v>0.9323062248481484</v>
      </c>
      <c r="Z64" s="182">
        <f t="shared" si="39"/>
        <v>0.91751348321642179</v>
      </c>
      <c r="AA64" s="182">
        <f t="shared" si="39"/>
        <v>0.9001405679425748</v>
      </c>
      <c r="AB64" s="182">
        <f t="shared" si="39"/>
        <v>0.88356541356148854</v>
      </c>
      <c r="AC64" s="182">
        <f t="shared" si="39"/>
        <v>0.87180172459305683</v>
      </c>
      <c r="AD64" s="182">
        <f t="shared" si="39"/>
        <v>0.85327768367389112</v>
      </c>
      <c r="AE64" s="182">
        <f t="shared" si="39"/>
        <v>0.80770044330298862</v>
      </c>
      <c r="AF64" s="182">
        <f t="shared" si="39"/>
        <v>0.76234487483218583</v>
      </c>
      <c r="AG64" s="182">
        <f t="shared" si="39"/>
        <v>0.73693642836531559</v>
      </c>
      <c r="AH64" s="182">
        <f t="shared" si="39"/>
        <v>0.71686575621093518</v>
      </c>
      <c r="AI64" s="182">
        <f t="shared" si="39"/>
        <v>0.69734171449199434</v>
      </c>
      <c r="AJ64" s="182">
        <f t="shared" si="39"/>
        <v>0.67834941557390604</v>
      </c>
      <c r="AK64" s="182">
        <f t="shared" si="39"/>
        <v>0.65987437729102416</v>
      </c>
    </row>
    <row r="65" spans="2:37" ht="15.5">
      <c r="B65" s="184">
        <f t="shared" si="37"/>
        <v>2014</v>
      </c>
      <c r="E65" s="185">
        <v>41820</v>
      </c>
      <c r="H65" s="182">
        <f t="shared" si="35"/>
        <v>1.5248396274976628</v>
      </c>
      <c r="I65" s="182">
        <f t="shared" si="39"/>
        <v>1.4810119168029121</v>
      </c>
      <c r="J65" s="182">
        <f t="shared" si="39"/>
        <v>1.4182134066650538</v>
      </c>
      <c r="K65" s="182">
        <f t="shared" si="39"/>
        <v>1.36774738434147</v>
      </c>
      <c r="L65" s="182">
        <f t="shared" si="39"/>
        <v>1.3293699687851075</v>
      </c>
      <c r="M65" s="182">
        <f t="shared" si="39"/>
        <v>1.296226097045674</v>
      </c>
      <c r="N65" s="182">
        <f t="shared" si="39"/>
        <v>1.2645362661226769</v>
      </c>
      <c r="O65" s="182">
        <f t="shared" si="39"/>
        <v>1.2264822869280734</v>
      </c>
      <c r="P65" s="182">
        <f t="shared" si="39"/>
        <v>1.1915269627222116</v>
      </c>
      <c r="Q65" s="182">
        <f t="shared" si="39"/>
        <v>1.1530433861465785</v>
      </c>
      <c r="R65" s="182">
        <f t="shared" si="39"/>
        <v>1.1186059787169069</v>
      </c>
      <c r="S65" s="182">
        <f t="shared" si="39"/>
        <v>1.0931211135064332</v>
      </c>
      <c r="T65" s="182">
        <f t="shared" si="39"/>
        <v>1.0600792519625355</v>
      </c>
      <c r="U65" s="182">
        <f t="shared" si="39"/>
        <v>1.0334892708527599</v>
      </c>
      <c r="V65" s="182">
        <f t="shared" si="39"/>
        <v>1.0121753239504774</v>
      </c>
      <c r="W65" s="182">
        <f t="shared" si="39"/>
        <v>0.9877877925310159</v>
      </c>
      <c r="X65" s="182">
        <f t="shared" si="39"/>
        <v>0.96844818453083514</v>
      </c>
      <c r="Y65" s="182">
        <f t="shared" si="39"/>
        <v>0.95514668915400514</v>
      </c>
      <c r="Z65" s="182">
        <f t="shared" si="39"/>
        <v>0.93999154182528755</v>
      </c>
      <c r="AA65" s="182">
        <f t="shared" si="39"/>
        <v>0.92219300947346206</v>
      </c>
      <c r="AB65" s="182">
        <f t="shared" si="39"/>
        <v>0.905211782267895</v>
      </c>
      <c r="AC65" s="182">
        <f t="shared" si="39"/>
        <v>0.89315989601961299</v>
      </c>
      <c r="AD65" s="182">
        <f t="shared" si="39"/>
        <v>0.87418203672603578</v>
      </c>
      <c r="AE65" s="182">
        <f t="shared" si="39"/>
        <v>0.82748820472021134</v>
      </c>
      <c r="AF65" s="182">
        <f t="shared" si="39"/>
        <v>0.78102147532918842</v>
      </c>
      <c r="AG65" s="182">
        <f t="shared" si="39"/>
        <v>0.75499055021836359</v>
      </c>
      <c r="AH65" s="182">
        <f t="shared" si="39"/>
        <v>0.73442816894661522</v>
      </c>
      <c r="AI65" s="182">
        <f t="shared" si="39"/>
        <v>0.71442580994725502</v>
      </c>
      <c r="AJ65" s="182">
        <f t="shared" si="39"/>
        <v>0.6949682208552268</v>
      </c>
      <c r="AK65" s="182">
        <f t="shared" si="39"/>
        <v>0.67604056470795371</v>
      </c>
    </row>
    <row r="66" spans="2:37" ht="15.5">
      <c r="B66" s="184">
        <f t="shared" si="37"/>
        <v>2015</v>
      </c>
      <c r="E66" s="185">
        <v>42185</v>
      </c>
      <c r="H66" s="182">
        <f t="shared" si="35"/>
        <v>1.5627764588098028</v>
      </c>
      <c r="I66" s="182">
        <f t="shared" si="39"/>
        <v>1.5178583485494579</v>
      </c>
      <c r="J66" s="182">
        <f t="shared" si="39"/>
        <v>1.4534974600192812</v>
      </c>
      <c r="K66" s="182">
        <f t="shared" si="39"/>
        <v>1.4017758820678401</v>
      </c>
      <c r="L66" s="182">
        <f t="shared" si="39"/>
        <v>1.3624436660761379</v>
      </c>
      <c r="M66" s="182">
        <f t="shared" si="39"/>
        <v>1.3284752004262792</v>
      </c>
      <c r="N66" s="182">
        <f t="shared" si="39"/>
        <v>1.2959969510044733</v>
      </c>
      <c r="O66" s="182">
        <f t="shared" si="39"/>
        <v>1.2569962182212118</v>
      </c>
      <c r="P66" s="182">
        <f t="shared" si="39"/>
        <v>1.2211712325677162</v>
      </c>
      <c r="Q66" s="182">
        <f t="shared" si="39"/>
        <v>1.1817302143526409</v>
      </c>
      <c r="R66" s="182">
        <f t="shared" si="39"/>
        <v>1.146436030844405</v>
      </c>
      <c r="S66" s="182">
        <f t="shared" si="39"/>
        <v>1.1203171218859411</v>
      </c>
      <c r="T66" s="182">
        <f t="shared" si="39"/>
        <v>1.0864532043664346</v>
      </c>
      <c r="U66" s="182">
        <f t="shared" si="39"/>
        <v>1.05920168507929</v>
      </c>
      <c r="V66" s="182">
        <f t="shared" si="39"/>
        <v>1.037357463652627</v>
      </c>
      <c r="W66" s="182">
        <f t="shared" si="39"/>
        <v>1.0123631893017151</v>
      </c>
      <c r="X66" s="182">
        <f t="shared" si="39"/>
        <v>0.99254242680297911</v>
      </c>
      <c r="Y66" s="182">
        <f t="shared" si="39"/>
        <v>0.97891000050252264</v>
      </c>
      <c r="Z66" s="182">
        <f t="shared" si="39"/>
        <v>0.96337780482238999</v>
      </c>
      <c r="AA66" s="182">
        <f t="shared" si="39"/>
        <v>0.94513645874297081</v>
      </c>
      <c r="AB66" s="182">
        <f t="shared" si="39"/>
        <v>0.92773275173011549</v>
      </c>
      <c r="AC66" s="182">
        <f t="shared" si="39"/>
        <v>0.9153810238674438</v>
      </c>
      <c r="AD66" s="182">
        <f t="shared" si="39"/>
        <v>0.89593101010351917</v>
      </c>
      <c r="AE66" s="182">
        <f t="shared" si="39"/>
        <v>0.84807547164924069</v>
      </c>
      <c r="AF66" s="182">
        <f t="shared" si="39"/>
        <v>0.80045268594728169</v>
      </c>
      <c r="AG66" s="182">
        <f t="shared" si="39"/>
        <v>0.77377413154022145</v>
      </c>
      <c r="AH66" s="182">
        <f t="shared" si="39"/>
        <v>0.75270017411606005</v>
      </c>
      <c r="AI66" s="182">
        <f t="shared" si="39"/>
        <v>0.73220017188555619</v>
      </c>
      <c r="AJ66" s="182">
        <f t="shared" si="39"/>
        <v>0.71225849301660082</v>
      </c>
      <c r="AK66" s="182">
        <f t="shared" si="39"/>
        <v>0.69285993141445579</v>
      </c>
    </row>
    <row r="67" spans="2:37" ht="15.5">
      <c r="B67" s="184">
        <f t="shared" si="37"/>
        <v>2016</v>
      </c>
      <c r="E67" s="185">
        <v>42551</v>
      </c>
      <c r="H67" s="182">
        <f t="shared" si="35"/>
        <v>1.5863488588484138</v>
      </c>
      <c r="I67" s="182">
        <f t="shared" si="39"/>
        <v>1.5407532187609039</v>
      </c>
      <c r="J67" s="182">
        <f t="shared" si="39"/>
        <v>1.4754215320063733</v>
      </c>
      <c r="K67" s="182">
        <f t="shared" si="39"/>
        <v>1.4229198029851962</v>
      </c>
      <c r="L67" s="182">
        <f t="shared" si="39"/>
        <v>1.3829943129365838</v>
      </c>
      <c r="M67" s="182">
        <f t="shared" si="39"/>
        <v>1.3485134782550043</v>
      </c>
      <c r="N67" s="182">
        <f t="shared" si="39"/>
        <v>1.3155453377271427</v>
      </c>
      <c r="O67" s="182">
        <f t="shared" si="39"/>
        <v>1.2759563308693751</v>
      </c>
      <c r="P67" s="182">
        <f t="shared" si="39"/>
        <v>1.2395909730542429</v>
      </c>
      <c r="Q67" s="182">
        <f t="shared" si="39"/>
        <v>1.199555039645728</v>
      </c>
      <c r="R67" s="182">
        <f t="shared" si="39"/>
        <v>1.1637284904187724</v>
      </c>
      <c r="S67" s="182">
        <f t="shared" si="39"/>
        <v>1.1372156125295185</v>
      </c>
      <c r="T67" s="182">
        <f t="shared" si="39"/>
        <v>1.1028409029474979</v>
      </c>
      <c r="U67" s="182">
        <f t="shared" si="39"/>
        <v>1.0751783308122793</v>
      </c>
      <c r="V67" s="182">
        <f t="shared" si="39"/>
        <v>1.0530046184190112</v>
      </c>
      <c r="W67" s="182">
        <f t="shared" si="39"/>
        <v>1.0276333387514698</v>
      </c>
      <c r="X67" s="182">
        <f t="shared" si="39"/>
        <v>1.0075136064672239</v>
      </c>
      <c r="Y67" s="182">
        <f t="shared" si="39"/>
        <v>0.99367555318509659</v>
      </c>
      <c r="Z67" s="182">
        <f t="shared" si="39"/>
        <v>0.97790907503418179</v>
      </c>
      <c r="AA67" s="182">
        <f t="shared" si="39"/>
        <v>0.95939258256091797</v>
      </c>
      <c r="AB67" s="182">
        <f t="shared" si="39"/>
        <v>0.94172636382314567</v>
      </c>
      <c r="AC67" s="182">
        <f t="shared" si="39"/>
        <v>0.92918832660784356</v>
      </c>
      <c r="AD67" s="182">
        <f t="shared" si="39"/>
        <v>0.90944493530894566</v>
      </c>
      <c r="AE67" s="182">
        <f t="shared" si="39"/>
        <v>0.86086755983815211</v>
      </c>
      <c r="AF67" s="182">
        <f t="shared" si="39"/>
        <v>0.81252644788473771</v>
      </c>
      <c r="AG67" s="182">
        <f t="shared" si="39"/>
        <v>0.78544548304118178</v>
      </c>
      <c r="AH67" s="182">
        <f t="shared" si="39"/>
        <v>0.76405365305629758</v>
      </c>
      <c r="AI67" s="182">
        <f t="shared" si="39"/>
        <v>0.74324443561420939</v>
      </c>
      <c r="AJ67" s="182">
        <f t="shared" si="39"/>
        <v>0.72300196309745457</v>
      </c>
      <c r="AK67" s="182">
        <f t="shared" si="39"/>
        <v>0.70331080004762214</v>
      </c>
    </row>
    <row r="68" spans="2:37" ht="15.5">
      <c r="B68" s="184">
        <f t="shared" si="37"/>
        <v>2017</v>
      </c>
      <c r="E68" s="185">
        <v>42916</v>
      </c>
      <c r="H68" s="182">
        <f t="shared" ref="H68:H80" si="40">1/H32*(1+H$6)^0.5</f>
        <v>1.6066063901315948</v>
      </c>
      <c r="I68" s="182">
        <f t="shared" si="39"/>
        <v>1.5604284978488645</v>
      </c>
      <c r="J68" s="182">
        <f t="shared" si="39"/>
        <v>1.4942625313702804</v>
      </c>
      <c r="K68" s="182">
        <f t="shared" si="39"/>
        <v>1.4410903600235483</v>
      </c>
      <c r="L68" s="182">
        <f t="shared" si="39"/>
        <v>1.4006550250822793</v>
      </c>
      <c r="M68" s="182">
        <f t="shared" si="39"/>
        <v>1.3657338732640647</v>
      </c>
      <c r="N68" s="182">
        <f t="shared" si="39"/>
        <v>1.3323447325669362</v>
      </c>
      <c r="O68" s="182">
        <f t="shared" si="39"/>
        <v>1.2922501776763899</v>
      </c>
      <c r="P68" s="182">
        <f t="shared" si="39"/>
        <v>1.2554204375348517</v>
      </c>
      <c r="Q68" s="182">
        <f t="shared" si="39"/>
        <v>1.2148732488819745</v>
      </c>
      <c r="R68" s="182">
        <f t="shared" si="39"/>
        <v>1.1785891978654943</v>
      </c>
      <c r="S68" s="182">
        <f t="shared" si="39"/>
        <v>1.1517377529263431</v>
      </c>
      <c r="T68" s="182">
        <f t="shared" si="39"/>
        <v>1.1169240814155987</v>
      </c>
      <c r="U68" s="182">
        <f t="shared" si="39"/>
        <v>1.088908260739067</v>
      </c>
      <c r="V68" s="182">
        <f t="shared" si="39"/>
        <v>1.0664513920463723</v>
      </c>
      <c r="W68" s="182">
        <f t="shared" si="39"/>
        <v>1.0407561234348526</v>
      </c>
      <c r="X68" s="182">
        <f t="shared" si="39"/>
        <v>1.0203794639911841</v>
      </c>
      <c r="Y68" s="182">
        <f t="shared" si="39"/>
        <v>1.0063647000216835</v>
      </c>
      <c r="Z68" s="182">
        <f t="shared" si="39"/>
        <v>0.99039688537244042</v>
      </c>
      <c r="AA68" s="182">
        <f t="shared" si="39"/>
        <v>0.97164393896696644</v>
      </c>
      <c r="AB68" s="182">
        <f t="shared" si="39"/>
        <v>0.95375212421559363</v>
      </c>
      <c r="AC68" s="182">
        <f t="shared" si="39"/>
        <v>0.94105397740037477</v>
      </c>
      <c r="AD68" s="182">
        <f t="shared" si="39"/>
        <v>0.92105846478235931</v>
      </c>
      <c r="AE68" s="182">
        <f t="shared" si="39"/>
        <v>0.871860760625498</v>
      </c>
      <c r="AF68" s="182">
        <f t="shared" si="39"/>
        <v>0.82290233704973914</v>
      </c>
      <c r="AG68" s="182">
        <f t="shared" si="39"/>
        <v>0.79547555073731957</v>
      </c>
      <c r="AH68" s="182">
        <f t="shared" si="39"/>
        <v>0.77381054902056423</v>
      </c>
      <c r="AI68" s="182">
        <f t="shared" si="39"/>
        <v>0.75273559975602078</v>
      </c>
      <c r="AJ68" s="182">
        <f t="shared" si="39"/>
        <v>0.73223463269818834</v>
      </c>
      <c r="AK68" s="182">
        <f t="shared" si="39"/>
        <v>0.71229201527924968</v>
      </c>
    </row>
    <row r="69" spans="2:37" ht="15.5">
      <c r="B69" s="184">
        <f t="shared" si="37"/>
        <v>2018</v>
      </c>
      <c r="E69" s="185">
        <v>43281</v>
      </c>
      <c r="H69" s="182">
        <f t="shared" si="40"/>
        <v>1.6379134839328757</v>
      </c>
      <c r="I69" s="182">
        <f t="shared" si="39"/>
        <v>1.5908357473484418</v>
      </c>
      <c r="J69" s="182">
        <f t="shared" si="39"/>
        <v>1.5233804394781385</v>
      </c>
      <c r="K69" s="182">
        <f t="shared" si="39"/>
        <v>1.4691721299919123</v>
      </c>
      <c r="L69" s="182">
        <f t="shared" ref="I69:AK77" si="41">1/L33*(1+L$6)^0.5</f>
        <v>1.4279488529438096</v>
      </c>
      <c r="M69" s="182">
        <f t="shared" si="41"/>
        <v>1.392347211005341</v>
      </c>
      <c r="N69" s="182">
        <f t="shared" si="41"/>
        <v>1.3583074336829815</v>
      </c>
      <c r="O69" s="182">
        <f t="shared" si="41"/>
        <v>1.317431577287232</v>
      </c>
      <c r="P69" s="182">
        <f t="shared" si="41"/>
        <v>1.2798841553685203</v>
      </c>
      <c r="Q69" s="182">
        <f t="shared" si="41"/>
        <v>1.238546844974356</v>
      </c>
      <c r="R69" s="182">
        <f t="shared" si="41"/>
        <v>1.2015557457377013</v>
      </c>
      <c r="S69" s="182">
        <f t="shared" si="41"/>
        <v>1.1741810608123446</v>
      </c>
      <c r="T69" s="182">
        <f t="shared" si="41"/>
        <v>1.1386889935935736</v>
      </c>
      <c r="U69" s="182">
        <f t="shared" si="41"/>
        <v>1.1101272433531937</v>
      </c>
      <c r="V69" s="182">
        <f t="shared" si="41"/>
        <v>1.0872327694704764</v>
      </c>
      <c r="W69" s="182">
        <f t="shared" si="41"/>
        <v>1.0610367906728084</v>
      </c>
      <c r="X69" s="182">
        <f t="shared" si="41"/>
        <v>1.0402630619827593</v>
      </c>
      <c r="Y69" s="182">
        <f t="shared" si="41"/>
        <v>1.0259751996782271</v>
      </c>
      <c r="Z69" s="182">
        <f t="shared" si="41"/>
        <v>1.0096962286224764</v>
      </c>
      <c r="AA69" s="182">
        <f t="shared" si="41"/>
        <v>0.99057785341267746</v>
      </c>
      <c r="AB69" s="182">
        <f t="shared" si="41"/>
        <v>0.97233739027664912</v>
      </c>
      <c r="AC69" s="182">
        <f t="shared" si="41"/>
        <v>0.95939180135246815</v>
      </c>
      <c r="AD69" s="182">
        <f t="shared" si="41"/>
        <v>0.93900664669581624</v>
      </c>
      <c r="AE69" s="182">
        <f t="shared" si="41"/>
        <v>0.88885025275139573</v>
      </c>
      <c r="AF69" s="182">
        <f t="shared" si="41"/>
        <v>0.83893780212292257</v>
      </c>
      <c r="AG69" s="182">
        <f t="shared" si="41"/>
        <v>0.81097656444953181</v>
      </c>
      <c r="AH69" s="182">
        <f t="shared" si="41"/>
        <v>0.78888938823806687</v>
      </c>
      <c r="AI69" s="182">
        <f t="shared" si="41"/>
        <v>0.76740376252063791</v>
      </c>
      <c r="AJ69" s="182">
        <f t="shared" si="41"/>
        <v>0.74650330389932185</v>
      </c>
      <c r="AK69" s="182">
        <f t="shared" si="41"/>
        <v>0.72617207518267357</v>
      </c>
    </row>
    <row r="70" spans="2:37" ht="15.5">
      <c r="B70" s="184">
        <f t="shared" si="37"/>
        <v>2019</v>
      </c>
      <c r="E70" s="185">
        <v>43646</v>
      </c>
      <c r="H70" s="182">
        <f t="shared" si="40"/>
        <v>1.669220577734156</v>
      </c>
      <c r="I70" s="182">
        <f t="shared" si="41"/>
        <v>1.6212429968480182</v>
      </c>
      <c r="J70" s="182">
        <f t="shared" si="41"/>
        <v>1.5524983475859955</v>
      </c>
      <c r="K70" s="182">
        <f t="shared" si="41"/>
        <v>1.4972538999602756</v>
      </c>
      <c r="L70" s="182">
        <f t="shared" si="41"/>
        <v>1.4552426808053396</v>
      </c>
      <c r="M70" s="182">
        <f t="shared" si="41"/>
        <v>1.4189605487466168</v>
      </c>
      <c r="N70" s="182">
        <f t="shared" si="41"/>
        <v>1.3842701347990269</v>
      </c>
      <c r="O70" s="182">
        <f t="shared" si="41"/>
        <v>1.3426129768980744</v>
      </c>
      <c r="P70" s="182">
        <f t="shared" si="41"/>
        <v>1.3043478732021889</v>
      </c>
      <c r="Q70" s="182">
        <f t="shared" si="41"/>
        <v>1.2622204410667375</v>
      </c>
      <c r="R70" s="182">
        <f t="shared" si="41"/>
        <v>1.2245222936099085</v>
      </c>
      <c r="S70" s="182">
        <f t="shared" si="41"/>
        <v>1.1966243686983464</v>
      </c>
      <c r="T70" s="182">
        <f t="shared" si="41"/>
        <v>1.1604539057715484</v>
      </c>
      <c r="U70" s="182">
        <f t="shared" si="41"/>
        <v>1.1313462259673206</v>
      </c>
      <c r="V70" s="182">
        <f t="shared" si="41"/>
        <v>1.1080141468945806</v>
      </c>
      <c r="W70" s="182">
        <f t="shared" si="41"/>
        <v>1.0813174579107643</v>
      </c>
      <c r="X70" s="182">
        <f t="shared" si="41"/>
        <v>1.0601466599743343</v>
      </c>
      <c r="Y70" s="182">
        <f t="shared" si="41"/>
        <v>1.0455856993347707</v>
      </c>
      <c r="Z70" s="182">
        <f t="shared" si="41"/>
        <v>1.0289955718725126</v>
      </c>
      <c r="AA70" s="182">
        <f t="shared" si="41"/>
        <v>1.0095117678583887</v>
      </c>
      <c r="AB70" s="182">
        <f t="shared" si="41"/>
        <v>0.99092265633770504</v>
      </c>
      <c r="AC70" s="182">
        <f t="shared" si="41"/>
        <v>0.97772962530456164</v>
      </c>
      <c r="AD70" s="182">
        <f t="shared" si="41"/>
        <v>0.95695482860927372</v>
      </c>
      <c r="AE70" s="182">
        <f t="shared" si="41"/>
        <v>0.90583974487729402</v>
      </c>
      <c r="AF70" s="182">
        <f t="shared" si="41"/>
        <v>0.85497326719610656</v>
      </c>
      <c r="AG70" s="182">
        <f t="shared" si="41"/>
        <v>0.82647757816174483</v>
      </c>
      <c r="AH70" s="182">
        <f t="shared" si="41"/>
        <v>0.80396822745557006</v>
      </c>
      <c r="AI70" s="182">
        <f t="shared" si="41"/>
        <v>0.78207192528525582</v>
      </c>
      <c r="AJ70" s="182">
        <f t="shared" si="41"/>
        <v>0.76077197510045602</v>
      </c>
      <c r="AK70" s="182">
        <f t="shared" si="41"/>
        <v>0.74005213508609813</v>
      </c>
    </row>
    <row r="71" spans="2:37" ht="15.5">
      <c r="B71" s="184">
        <f t="shared" si="37"/>
        <v>2020</v>
      </c>
      <c r="E71" s="185">
        <v>44012</v>
      </c>
      <c r="H71" s="182">
        <f t="shared" si="40"/>
        <v>1.6999424288580978</v>
      </c>
      <c r="I71" s="182">
        <f t="shared" si="41"/>
        <v>1.6510818250108656</v>
      </c>
      <c r="J71" s="182">
        <f t="shared" si="41"/>
        <v>1.5810719368053698</v>
      </c>
      <c r="K71" s="182">
        <f t="shared" si="41"/>
        <v>1.5248107202049435</v>
      </c>
      <c r="L71" s="182">
        <f t="shared" si="41"/>
        <v>1.4820262884275239</v>
      </c>
      <c r="M71" s="182">
        <f t="shared" si="41"/>
        <v>1.4450763870671068</v>
      </c>
      <c r="N71" s="182">
        <f t="shared" si="41"/>
        <v>1.4097474992431811</v>
      </c>
      <c r="O71" s="182">
        <f t="shared" si="41"/>
        <v>1.3673236451845423</v>
      </c>
      <c r="P71" s="182">
        <f t="shared" si="41"/>
        <v>1.3283542757764626</v>
      </c>
      <c r="Q71" s="182">
        <f t="shared" si="41"/>
        <v>1.2854514921293159</v>
      </c>
      <c r="R71" s="182">
        <f t="shared" si="41"/>
        <v>1.2470595137376983</v>
      </c>
      <c r="S71" s="182">
        <f t="shared" si="41"/>
        <v>1.2186481300854328</v>
      </c>
      <c r="T71" s="182">
        <f t="shared" si="41"/>
        <v>1.1818119531170372</v>
      </c>
      <c r="U71" s="182">
        <f t="shared" si="41"/>
        <v>1.1521685491446332</v>
      </c>
      <c r="V71" s="182">
        <f t="shared" si="41"/>
        <v>1.1284070453036834</v>
      </c>
      <c r="W71" s="182">
        <f t="shared" si="41"/>
        <v>1.1012190062158704</v>
      </c>
      <c r="X71" s="182">
        <f t="shared" si="41"/>
        <v>1.0796585616916536</v>
      </c>
      <c r="Y71" s="182">
        <f t="shared" si="41"/>
        <v>1.0648296079114845</v>
      </c>
      <c r="Z71" s="182">
        <f t="shared" si="41"/>
        <v>1.0479341406799823</v>
      </c>
      <c r="AA71" s="182">
        <f t="shared" si="41"/>
        <v>1.0280917390459665</v>
      </c>
      <c r="AB71" s="182">
        <f t="shared" si="41"/>
        <v>1.0091604966383991</v>
      </c>
      <c r="AC71" s="182">
        <f t="shared" si="41"/>
        <v>0.99572464908317337</v>
      </c>
      <c r="AD71" s="182">
        <f t="shared" si="41"/>
        <v>0.97456749416649968</v>
      </c>
      <c r="AE71" s="182">
        <f t="shared" si="41"/>
        <v>0.92251164202227498</v>
      </c>
      <c r="AF71" s="182">
        <f t="shared" si="41"/>
        <v>0.87070897150032955</v>
      </c>
      <c r="AG71" s="182">
        <f t="shared" si="41"/>
        <v>0.841688821931593</v>
      </c>
      <c r="AH71" s="182">
        <f t="shared" si="41"/>
        <v>0.81876518869708381</v>
      </c>
      <c r="AI71" s="182">
        <f t="shared" si="41"/>
        <v>0.79646588710032196</v>
      </c>
      <c r="AJ71" s="182">
        <f t="shared" si="41"/>
        <v>0.77477391329248912</v>
      </c>
      <c r="AK71" s="182">
        <f t="shared" si="41"/>
        <v>0.75367272652940065</v>
      </c>
    </row>
    <row r="72" spans="2:37" ht="15.5">
      <c r="B72" s="184">
        <f t="shared" si="37"/>
        <v>2021</v>
      </c>
      <c r="E72" s="185">
        <v>44377</v>
      </c>
      <c r="H72" s="182">
        <f t="shared" si="40"/>
        <v>1.7145718817742603</v>
      </c>
      <c r="I72" s="182">
        <f t="shared" si="41"/>
        <v>1.6652907908026973</v>
      </c>
      <c r="J72" s="182">
        <f t="shared" si="41"/>
        <v>1.5946784078622147</v>
      </c>
      <c r="K72" s="182">
        <f t="shared" si="41"/>
        <v>1.5379330155595468</v>
      </c>
      <c r="L72" s="182">
        <f t="shared" si="41"/>
        <v>1.4947803872952303</v>
      </c>
      <c r="M72" s="182">
        <f t="shared" si="41"/>
        <v>1.4575125005530543</v>
      </c>
      <c r="N72" s="182">
        <f t="shared" si="41"/>
        <v>1.4218795775499207</v>
      </c>
      <c r="O72" s="182">
        <f t="shared" si="41"/>
        <v>1.3790906300828598</v>
      </c>
      <c r="P72" s="182">
        <f t="shared" si="41"/>
        <v>1.3397858960499258</v>
      </c>
      <c r="Q72" s="182">
        <f t="shared" si="41"/>
        <v>1.2965138973972099</v>
      </c>
      <c r="R72" s="182">
        <f t="shared" si="41"/>
        <v>1.25779152332236</v>
      </c>
      <c r="S72" s="182">
        <f t="shared" si="41"/>
        <v>1.2291356355078547</v>
      </c>
      <c r="T72" s="182">
        <f t="shared" si="41"/>
        <v>1.191982451852984</v>
      </c>
      <c r="U72" s="182">
        <f t="shared" si="41"/>
        <v>1.1620839411338297</v>
      </c>
      <c r="V72" s="182">
        <f t="shared" si="41"/>
        <v>1.1381179493080178</v>
      </c>
      <c r="W72" s="182">
        <f t="shared" si="41"/>
        <v>1.1106959339802065</v>
      </c>
      <c r="X72" s="182">
        <f t="shared" si="41"/>
        <v>1.0889499434618055</v>
      </c>
      <c r="Y72" s="182">
        <f t="shared" si="41"/>
        <v>1.0739933739003957</v>
      </c>
      <c r="Z72" s="182">
        <f t="shared" si="41"/>
        <v>1.0569525067787773</v>
      </c>
      <c r="AA72" s="182">
        <f t="shared" si="41"/>
        <v>1.0369393443733845</v>
      </c>
      <c r="AB72" s="182">
        <f t="shared" si="41"/>
        <v>1.0178451824958725</v>
      </c>
      <c r="AC72" s="182">
        <f t="shared" si="41"/>
        <v>1.0042937080253693</v>
      </c>
      <c r="AD72" s="182">
        <f t="shared" si="41"/>
        <v>0.98295447776517875</v>
      </c>
      <c r="AE72" s="182">
        <f t="shared" si="41"/>
        <v>0.93045064066274197</v>
      </c>
      <c r="AF72" s="182">
        <f t="shared" si="41"/>
        <v>0.87820216402614981</v>
      </c>
      <c r="AG72" s="182">
        <f t="shared" si="41"/>
        <v>0.84893227134580629</v>
      </c>
      <c r="AH72" s="182">
        <f t="shared" si="41"/>
        <v>0.82581136071685191</v>
      </c>
      <c r="AI72" s="182">
        <f t="shared" si="41"/>
        <v>0.80332015463130568</v>
      </c>
      <c r="AJ72" s="182">
        <f t="shared" si="41"/>
        <v>0.78144150290774272</v>
      </c>
      <c r="AK72" s="182">
        <f t="shared" si="41"/>
        <v>0.76015872245478255</v>
      </c>
    </row>
    <row r="73" spans="2:37" ht="15.5">
      <c r="B73" s="184">
        <f t="shared" si="37"/>
        <v>2022</v>
      </c>
      <c r="E73" s="185">
        <v>44742</v>
      </c>
      <c r="H73" s="182">
        <f t="shared" si="40"/>
        <v>1.7745526387305264</v>
      </c>
      <c r="I73" s="182">
        <f t="shared" si="41"/>
        <v>1.7235475505492073</v>
      </c>
      <c r="J73" s="182">
        <f t="shared" si="41"/>
        <v>1.6504649391952777</v>
      </c>
      <c r="K73" s="182">
        <f t="shared" si="41"/>
        <v>1.5917344265134215</v>
      </c>
      <c r="L73" s="182">
        <f t="shared" si="41"/>
        <v>1.5470721926528277</v>
      </c>
      <c r="M73" s="182">
        <f t="shared" si="41"/>
        <v>1.5085005658454389</v>
      </c>
      <c r="N73" s="182">
        <f t="shared" si="41"/>
        <v>1.4716210986075542</v>
      </c>
      <c r="O73" s="182">
        <f t="shared" si="41"/>
        <v>1.427335268165963</v>
      </c>
      <c r="P73" s="182">
        <f t="shared" si="41"/>
        <v>1.3866555391711264</v>
      </c>
      <c r="Q73" s="182">
        <f t="shared" si="41"/>
        <v>1.3418697589955764</v>
      </c>
      <c r="R73" s="182">
        <f t="shared" si="41"/>
        <v>1.3017927626194732</v>
      </c>
      <c r="S73" s="182">
        <f t="shared" si="41"/>
        <v>1.2721344077397845</v>
      </c>
      <c r="T73" s="182">
        <f t="shared" si="41"/>
        <v>1.2336814966703666</v>
      </c>
      <c r="U73" s="182">
        <f t="shared" si="41"/>
        <v>1.2027370482895354</v>
      </c>
      <c r="V73" s="182">
        <f t="shared" si="41"/>
        <v>1.1779326557257899</v>
      </c>
      <c r="W73" s="182">
        <f t="shared" si="41"/>
        <v>1.149551337813985</v>
      </c>
      <c r="X73" s="182">
        <f t="shared" si="41"/>
        <v>1.1270446087194284</v>
      </c>
      <c r="Y73" s="182">
        <f t="shared" si="41"/>
        <v>1.1115648144549315</v>
      </c>
      <c r="Z73" s="182">
        <f t="shared" si="41"/>
        <v>1.0939278077838368</v>
      </c>
      <c r="AA73" s="182">
        <f t="shared" si="41"/>
        <v>1.0732145262157979</v>
      </c>
      <c r="AB73" s="182">
        <f t="shared" si="41"/>
        <v>1.0534523945115131</v>
      </c>
      <c r="AC73" s="182">
        <f t="shared" si="41"/>
        <v>1.0394268496883727</v>
      </c>
      <c r="AD73" s="182">
        <f t="shared" si="41"/>
        <v>1.0173411105197625</v>
      </c>
      <c r="AE73" s="182">
        <f t="shared" si="41"/>
        <v>0.96300053508865691</v>
      </c>
      <c r="AF73" s="182">
        <f t="shared" si="41"/>
        <v>0.90892425338201333</v>
      </c>
      <c r="AG73" s="182">
        <f t="shared" si="41"/>
        <v>0.87863041394408103</v>
      </c>
      <c r="AH73" s="182">
        <f t="shared" si="41"/>
        <v>0.85470066599790218</v>
      </c>
      <c r="AI73" s="182">
        <f t="shared" si="41"/>
        <v>0.83142265150833927</v>
      </c>
      <c r="AJ73" s="182">
        <f t="shared" si="41"/>
        <v>0.80877862033028314</v>
      </c>
      <c r="AK73" s="182">
        <f t="shared" si="41"/>
        <v>0.78675130574884899</v>
      </c>
    </row>
    <row r="74" spans="2:37" ht="15.5">
      <c r="B74" s="184">
        <f t="shared" si="37"/>
        <v>2023</v>
      </c>
      <c r="E74" s="185">
        <v>45107</v>
      </c>
      <c r="H74" s="182">
        <f t="shared" si="40"/>
        <v>1.9135324414340724</v>
      </c>
      <c r="I74" s="182">
        <f t="shared" si="41"/>
        <v>1.8585327255716111</v>
      </c>
      <c r="J74" s="182">
        <f t="shared" si="41"/>
        <v>1.7797264142353046</v>
      </c>
      <c r="K74" s="182">
        <f t="shared" si="41"/>
        <v>1.7163962323821564</v>
      </c>
      <c r="L74" s="182">
        <f t="shared" si="41"/>
        <v>1.6682361318960421</v>
      </c>
      <c r="M74" s="182">
        <f t="shared" si="41"/>
        <v>1.6266436439619412</v>
      </c>
      <c r="N74" s="182">
        <f t="shared" si="41"/>
        <v>1.5868758425215839</v>
      </c>
      <c r="O74" s="182">
        <f t="shared" si="41"/>
        <v>1.5391216246999837</v>
      </c>
      <c r="P74" s="182">
        <f t="shared" si="41"/>
        <v>1.4952559317690302</v>
      </c>
      <c r="Q74" s="182">
        <f t="shared" si="41"/>
        <v>1.4469626090405723</v>
      </c>
      <c r="R74" s="182">
        <f t="shared" si="41"/>
        <v>1.4037468536737605</v>
      </c>
      <c r="S74" s="182">
        <f t="shared" si="41"/>
        <v>1.3717657092527935</v>
      </c>
      <c r="T74" s="182">
        <f t="shared" si="41"/>
        <v>1.3303012346618628</v>
      </c>
      <c r="U74" s="182">
        <f t="shared" si="41"/>
        <v>1.2969332721869025</v>
      </c>
      <c r="V74" s="182">
        <f t="shared" si="41"/>
        <v>1.2701862437669689</v>
      </c>
      <c r="W74" s="182">
        <f t="shared" si="41"/>
        <v>1.2395821515751793</v>
      </c>
      <c r="X74" s="182">
        <f t="shared" si="41"/>
        <v>1.2153127355358717</v>
      </c>
      <c r="Y74" s="182">
        <f t="shared" si="41"/>
        <v>1.1986205913495884</v>
      </c>
      <c r="Z74" s="182">
        <f t="shared" si="41"/>
        <v>1.1796022857223896</v>
      </c>
      <c r="AA74" s="182">
        <f t="shared" si="41"/>
        <v>1.1572667768262686</v>
      </c>
      <c r="AB74" s="182">
        <f t="shared" si="41"/>
        <v>1.1359569101575098</v>
      </c>
      <c r="AC74" s="182">
        <f t="shared" si="41"/>
        <v>1.1208329096392349</v>
      </c>
      <c r="AD74" s="182">
        <f t="shared" si="41"/>
        <v>1.0970174547072131</v>
      </c>
      <c r="AE74" s="182">
        <f t="shared" si="41"/>
        <v>1.0384210221730943</v>
      </c>
      <c r="AF74" s="182">
        <f t="shared" si="41"/>
        <v>0.98010958237730716</v>
      </c>
      <c r="AG74" s="182">
        <f t="shared" si="41"/>
        <v>0.94744318337910816</v>
      </c>
      <c r="AH74" s="182">
        <f t="shared" si="41"/>
        <v>0.92163930018570173</v>
      </c>
      <c r="AI74" s="182">
        <f t="shared" si="41"/>
        <v>0.89653819305268589</v>
      </c>
      <c r="AJ74" s="182">
        <f t="shared" si="41"/>
        <v>0.87212072167519405</v>
      </c>
      <c r="AK74" s="182">
        <f t="shared" si="41"/>
        <v>0.84836826703997903</v>
      </c>
    </row>
    <row r="75" spans="2:37" ht="15.5">
      <c r="B75" s="184">
        <f t="shared" si="37"/>
        <v>2024</v>
      </c>
      <c r="E75" s="185">
        <v>45473</v>
      </c>
      <c r="H75" s="182">
        <f t="shared" si="40"/>
        <v>1.9919872715328681</v>
      </c>
      <c r="I75" s="182">
        <f t="shared" si="41"/>
        <v>1.9347325673200459</v>
      </c>
      <c r="J75" s="182">
        <f t="shared" si="41"/>
        <v>1.8526951972189512</v>
      </c>
      <c r="K75" s="182">
        <f t="shared" si="41"/>
        <v>1.7867684779098243</v>
      </c>
      <c r="L75" s="182">
        <f t="shared" si="41"/>
        <v>1.7366338133037795</v>
      </c>
      <c r="M75" s="182">
        <f t="shared" si="41"/>
        <v>1.6933360333643803</v>
      </c>
      <c r="N75" s="182">
        <f t="shared" si="41"/>
        <v>1.6519377520649685</v>
      </c>
      <c r="O75" s="182">
        <f t="shared" si="41"/>
        <v>1.6022256113126827</v>
      </c>
      <c r="P75" s="182">
        <f t="shared" si="41"/>
        <v>1.55656142497156</v>
      </c>
      <c r="Q75" s="182">
        <f t="shared" si="41"/>
        <v>1.5062880760112354</v>
      </c>
      <c r="R75" s="182">
        <f t="shared" si="41"/>
        <v>1.4613004746743843</v>
      </c>
      <c r="S75" s="182">
        <f t="shared" si="41"/>
        <v>1.4280081033321577</v>
      </c>
      <c r="T75" s="182">
        <f t="shared" si="41"/>
        <v>1.3848435852829988</v>
      </c>
      <c r="U75" s="182">
        <f t="shared" si="41"/>
        <v>1.3501075363465647</v>
      </c>
      <c r="V75" s="182">
        <f t="shared" si="41"/>
        <v>1.3222638797614141</v>
      </c>
      <c r="W75" s="182">
        <f t="shared" si="41"/>
        <v>1.2904050197897612</v>
      </c>
      <c r="X75" s="182">
        <f t="shared" si="41"/>
        <v>1.2651405576928421</v>
      </c>
      <c r="Y75" s="182">
        <f t="shared" si="41"/>
        <v>1.2477640355949209</v>
      </c>
      <c r="Z75" s="182">
        <f t="shared" si="41"/>
        <v>1.2279659794370075</v>
      </c>
      <c r="AA75" s="182">
        <f t="shared" si="41"/>
        <v>1.2047147146761454</v>
      </c>
      <c r="AB75" s="182">
        <f t="shared" si="41"/>
        <v>1.1825311434739672</v>
      </c>
      <c r="AC75" s="182">
        <f t="shared" si="41"/>
        <v>1.1667870589344433</v>
      </c>
      <c r="AD75" s="182">
        <f t="shared" si="41"/>
        <v>1.1419951703502087</v>
      </c>
      <c r="AE75" s="182">
        <f t="shared" si="41"/>
        <v>1.0809962840821912</v>
      </c>
      <c r="AF75" s="182">
        <f t="shared" si="41"/>
        <v>1.0202940752547767</v>
      </c>
      <c r="AG75" s="182">
        <f t="shared" si="41"/>
        <v>0.98628835389765146</v>
      </c>
      <c r="AH75" s="182">
        <f t="shared" si="41"/>
        <v>0.95942651149331548</v>
      </c>
      <c r="AI75" s="182">
        <f t="shared" si="41"/>
        <v>0.93329625896784596</v>
      </c>
      <c r="AJ75" s="182">
        <f t="shared" si="41"/>
        <v>0.90787767126387708</v>
      </c>
      <c r="AK75" s="182">
        <f t="shared" si="41"/>
        <v>0.88315136598861821</v>
      </c>
    </row>
    <row r="76" spans="2:37" ht="15.5">
      <c r="B76" s="184">
        <f t="shared" si="37"/>
        <v>2025</v>
      </c>
      <c r="E76" s="185">
        <v>45838</v>
      </c>
      <c r="H76" s="182">
        <f t="shared" si="40"/>
        <v>2.0477585552303297</v>
      </c>
      <c r="I76" s="182">
        <f t="shared" si="41"/>
        <v>1.9889008446141534</v>
      </c>
      <c r="J76" s="182">
        <f t="shared" si="41"/>
        <v>1.9045666077071872</v>
      </c>
      <c r="K76" s="182">
        <f t="shared" si="41"/>
        <v>1.8367940845526358</v>
      </c>
      <c r="L76" s="182">
        <f t="shared" si="41"/>
        <v>1.7852557590684421</v>
      </c>
      <c r="M76" s="182">
        <f t="shared" si="41"/>
        <v>1.7407457360575236</v>
      </c>
      <c r="N76" s="182">
        <f t="shared" si="41"/>
        <v>1.6981883934910387</v>
      </c>
      <c r="O76" s="182">
        <f t="shared" si="41"/>
        <v>1.6470844216037224</v>
      </c>
      <c r="P76" s="182">
        <f t="shared" si="41"/>
        <v>1.6001417379912366</v>
      </c>
      <c r="Q76" s="182">
        <f t="shared" si="41"/>
        <v>1.5484608452943847</v>
      </c>
      <c r="R76" s="182">
        <f t="shared" si="41"/>
        <v>1.5022136895854339</v>
      </c>
      <c r="S76" s="182">
        <f t="shared" si="41"/>
        <v>1.4679892047133556</v>
      </c>
      <c r="T76" s="182">
        <f t="shared" si="41"/>
        <v>1.4236161746339311</v>
      </c>
      <c r="U76" s="182">
        <f t="shared" si="41"/>
        <v>1.3879075923548156</v>
      </c>
      <c r="V76" s="182">
        <f t="shared" si="41"/>
        <v>1.3592843743272918</v>
      </c>
      <c r="W76" s="182">
        <f t="shared" si="41"/>
        <v>1.326533536006606</v>
      </c>
      <c r="X76" s="182">
        <f t="shared" si="41"/>
        <v>1.3005617242678456</v>
      </c>
      <c r="Y76" s="182">
        <f t="shared" si="41"/>
        <v>1.282698697583551</v>
      </c>
      <c r="Z76" s="182">
        <f t="shared" si="41"/>
        <v>1.2623463391856478</v>
      </c>
      <c r="AA76" s="182">
        <f t="shared" si="41"/>
        <v>1.2384440899020257</v>
      </c>
      <c r="AB76" s="182">
        <f t="shared" si="41"/>
        <v>1.2156394272598465</v>
      </c>
      <c r="AC76" s="182">
        <f t="shared" si="41"/>
        <v>1.1994545428126331</v>
      </c>
      <c r="AD76" s="182">
        <f t="shared" si="41"/>
        <v>1.1739685356105807</v>
      </c>
      <c r="AE76" s="182">
        <f t="shared" si="41"/>
        <v>1.111261814036635</v>
      </c>
      <c r="AF76" s="182">
        <f t="shared" si="41"/>
        <v>1.0488600762222853</v>
      </c>
      <c r="AG76" s="182">
        <f t="shared" si="41"/>
        <v>1.0139022690962156</v>
      </c>
      <c r="AH76" s="182">
        <f t="shared" si="41"/>
        <v>0.98628835389765146</v>
      </c>
      <c r="AI76" s="182">
        <f t="shared" si="41"/>
        <v>0.95942651149331548</v>
      </c>
      <c r="AJ76" s="182">
        <f t="shared" si="41"/>
        <v>0.93329625896784596</v>
      </c>
      <c r="AK76" s="182">
        <f t="shared" si="41"/>
        <v>0.90787767126387708</v>
      </c>
    </row>
    <row r="77" spans="2:37" ht="15.5">
      <c r="B77" s="184">
        <f t="shared" si="37"/>
        <v>2026</v>
      </c>
      <c r="E77" s="185">
        <v>46203</v>
      </c>
      <c r="H77" s="182">
        <f t="shared" si="40"/>
        <v>2.1050913128035091</v>
      </c>
      <c r="I77" s="182">
        <f t="shared" si="41"/>
        <v>2.0445857151132194</v>
      </c>
      <c r="J77" s="182">
        <f t="shared" si="41"/>
        <v>1.9578903041570193</v>
      </c>
      <c r="K77" s="182">
        <f t="shared" si="41"/>
        <v>1.8882202986893217</v>
      </c>
      <c r="L77" s="182">
        <f t="shared" si="41"/>
        <v>1.8352390128946141</v>
      </c>
      <c r="M77" s="182">
        <f t="shared" si="41"/>
        <v>1.7894828066594362</v>
      </c>
      <c r="N77" s="182">
        <f t="shared" si="41"/>
        <v>1.7457339516472623</v>
      </c>
      <c r="O77" s="182">
        <f t="shared" si="41"/>
        <v>1.6931991803994655</v>
      </c>
      <c r="P77" s="182">
        <f t="shared" si="41"/>
        <v>1.6449422043902933</v>
      </c>
      <c r="Q77" s="182">
        <f t="shared" si="41"/>
        <v>1.5918143598130132</v>
      </c>
      <c r="R77" s="182">
        <f t="shared" si="41"/>
        <v>1.544272384966358</v>
      </c>
      <c r="S77" s="182">
        <f t="shared" si="41"/>
        <v>1.5090896894257289</v>
      </c>
      <c r="T77" s="182">
        <f t="shared" si="41"/>
        <v>1.4634743116242872</v>
      </c>
      <c r="U77" s="182">
        <f t="shared" si="41"/>
        <v>1.4267659671974999</v>
      </c>
      <c r="V77" s="182">
        <f t="shared" si="41"/>
        <v>1.3973413617134594</v>
      </c>
      <c r="W77" s="182">
        <f t="shared" si="41"/>
        <v>1.3636735716022599</v>
      </c>
      <c r="X77" s="182">
        <f t="shared" si="41"/>
        <v>1.3369746059798779</v>
      </c>
      <c r="Y77" s="182">
        <f t="shared" si="41"/>
        <v>1.3186114536456148</v>
      </c>
      <c r="Z77" s="182">
        <f t="shared" si="41"/>
        <v>1.2976892737582155</v>
      </c>
      <c r="AA77" s="182">
        <f t="shared" si="41"/>
        <v>1.2731178138100201</v>
      </c>
      <c r="AB77" s="182">
        <f t="shared" si="41"/>
        <v>1.2496746705269166</v>
      </c>
      <c r="AC77" s="182">
        <f t="shared" si="41"/>
        <v>1.2330366447393861</v>
      </c>
      <c r="AD77" s="182">
        <f t="shared" si="41"/>
        <v>1.2068370851174495</v>
      </c>
      <c r="AE77" s="182">
        <f t="shared" si="41"/>
        <v>1.1423747125869859</v>
      </c>
      <c r="AF77" s="182">
        <f t="shared" si="41"/>
        <v>1.0782258626938626</v>
      </c>
      <c r="AG77" s="182">
        <f t="shared" si="41"/>
        <v>1.0422893134811684</v>
      </c>
      <c r="AH77" s="182">
        <f t="shared" si="41"/>
        <v>1.0139022690962156</v>
      </c>
      <c r="AI77" s="182">
        <f t="shared" ref="AI77:AK80" si="42">1/AI41*(1+AI$6)^0.5</f>
        <v>0.98628835389765146</v>
      </c>
      <c r="AJ77" s="182">
        <f t="shared" si="42"/>
        <v>0.95942651149331548</v>
      </c>
      <c r="AK77" s="182">
        <f t="shared" si="42"/>
        <v>0.93329625896784596</v>
      </c>
    </row>
    <row r="78" spans="2:37" ht="15.5">
      <c r="B78" s="184">
        <f t="shared" si="37"/>
        <v>2027</v>
      </c>
      <c r="E78" s="185">
        <v>46568</v>
      </c>
      <c r="H78" s="182">
        <f t="shared" si="40"/>
        <v>2.1640292621032966</v>
      </c>
      <c r="I78" s="182">
        <f t="shared" ref="I78:AH78" si="43">1/I42*(1+I$6)^0.5</f>
        <v>2.1018296401075838</v>
      </c>
      <c r="J78" s="182">
        <f t="shared" si="43"/>
        <v>2.0127069473967243</v>
      </c>
      <c r="K78" s="182">
        <f t="shared" si="43"/>
        <v>1.9410863342641733</v>
      </c>
      <c r="L78" s="182">
        <f t="shared" si="43"/>
        <v>1.8866216884284954</v>
      </c>
      <c r="M78" s="182">
        <f t="shared" si="43"/>
        <v>1.8395844085663273</v>
      </c>
      <c r="N78" s="182">
        <f t="shared" si="43"/>
        <v>1.7946106813678739</v>
      </c>
      <c r="O78" s="182">
        <f t="shared" si="43"/>
        <v>1.7406050515091243</v>
      </c>
      <c r="P78" s="182">
        <f t="shared" si="43"/>
        <v>1.6909969857927782</v>
      </c>
      <c r="Q78" s="182">
        <f t="shared" si="43"/>
        <v>1.6363816778493923</v>
      </c>
      <c r="R78" s="182">
        <f t="shared" si="43"/>
        <v>1.5875086317631752</v>
      </c>
      <c r="S78" s="182">
        <f t="shared" si="43"/>
        <v>1.551340897752532</v>
      </c>
      <c r="T78" s="182">
        <f t="shared" si="43"/>
        <v>1.5044483892120104</v>
      </c>
      <c r="U78" s="182">
        <f t="shared" si="43"/>
        <v>1.4667122914856174</v>
      </c>
      <c r="V78" s="182">
        <f t="shared" si="43"/>
        <v>1.4364638614502918</v>
      </c>
      <c r="W78" s="182">
        <f t="shared" si="43"/>
        <v>1.401853446905396</v>
      </c>
      <c r="X78" s="182">
        <f t="shared" si="43"/>
        <v>1.3744069686821889</v>
      </c>
      <c r="Y78" s="182">
        <f t="shared" si="43"/>
        <v>1.3555296882743935</v>
      </c>
      <c r="Z78" s="182">
        <f t="shared" si="43"/>
        <v>1.3340217331429729</v>
      </c>
      <c r="AA78" s="182">
        <f t="shared" si="43"/>
        <v>1.3087623260963117</v>
      </c>
      <c r="AB78" s="182">
        <f t="shared" si="43"/>
        <v>1.2846628261117941</v>
      </c>
      <c r="AC78" s="182">
        <f t="shared" si="43"/>
        <v>1.2675589720182183</v>
      </c>
      <c r="AD78" s="182">
        <f t="shared" si="43"/>
        <v>1.2406258820704079</v>
      </c>
      <c r="AE78" s="182">
        <f t="shared" si="43"/>
        <v>1.1743587041992753</v>
      </c>
      <c r="AF78" s="182">
        <f t="shared" si="43"/>
        <v>1.1084138269131143</v>
      </c>
      <c r="AG78" s="182">
        <f t="shared" si="43"/>
        <v>1.0714711329775644</v>
      </c>
      <c r="AH78" s="182">
        <f t="shared" si="43"/>
        <v>1.0422893134811684</v>
      </c>
      <c r="AI78" s="182">
        <f t="shared" si="42"/>
        <v>1.0139022690962156</v>
      </c>
      <c r="AJ78" s="182">
        <f t="shared" si="42"/>
        <v>0.98628835389765146</v>
      </c>
      <c r="AK78" s="182">
        <f t="shared" si="42"/>
        <v>0.95942651149331548</v>
      </c>
    </row>
    <row r="79" spans="2:37" ht="15.5">
      <c r="B79" s="184">
        <f t="shared" si="37"/>
        <v>2028</v>
      </c>
      <c r="E79" s="185">
        <v>46934</v>
      </c>
      <c r="H79" s="182">
        <f t="shared" si="40"/>
        <v>2.224617344984718</v>
      </c>
      <c r="I79" s="182">
        <f t="shared" ref="I79:AH79" si="44">1/I43*(1+I$6)^0.5</f>
        <v>2.1606762697107782</v>
      </c>
      <c r="J79" s="182">
        <f t="shared" si="44"/>
        <v>2.069058336668772</v>
      </c>
      <c r="K79" s="182">
        <f t="shared" si="44"/>
        <v>1.9954325031260889</v>
      </c>
      <c r="L79" s="182">
        <f t="shared" si="44"/>
        <v>1.9394429664149562</v>
      </c>
      <c r="M79" s="182">
        <f t="shared" si="44"/>
        <v>1.8910887456681551</v>
      </c>
      <c r="N79" s="182">
        <f t="shared" si="44"/>
        <v>1.8448558525431105</v>
      </c>
      <c r="O79" s="182">
        <f t="shared" si="44"/>
        <v>1.7893381832516013</v>
      </c>
      <c r="P79" s="182">
        <f t="shared" si="44"/>
        <v>1.7383412002734404</v>
      </c>
      <c r="Q79" s="182">
        <f t="shared" si="44"/>
        <v>1.6821967832453408</v>
      </c>
      <c r="R79" s="182">
        <f t="shared" si="44"/>
        <v>1.6319553988381987</v>
      </c>
      <c r="S79" s="182">
        <f t="shared" si="44"/>
        <v>1.5947750474363562</v>
      </c>
      <c r="T79" s="182">
        <f t="shared" si="44"/>
        <v>1.5465696512913438</v>
      </c>
      <c r="U79" s="182">
        <f t="shared" si="44"/>
        <v>1.5077770254224219</v>
      </c>
      <c r="V79" s="182">
        <f t="shared" si="44"/>
        <v>1.4766817055514976</v>
      </c>
      <c r="W79" s="182">
        <f t="shared" si="44"/>
        <v>1.4411022751519049</v>
      </c>
      <c r="X79" s="182">
        <f t="shared" si="44"/>
        <v>1.4128873556111459</v>
      </c>
      <c r="Y79" s="182">
        <f t="shared" si="44"/>
        <v>1.3934815526690425</v>
      </c>
      <c r="Z79" s="182">
        <f t="shared" si="44"/>
        <v>1.3713714218688671</v>
      </c>
      <c r="AA79" s="182">
        <f t="shared" si="44"/>
        <v>1.3454048067107078</v>
      </c>
      <c r="AB79" s="182">
        <f t="shared" si="44"/>
        <v>1.3206305734737185</v>
      </c>
      <c r="AC79" s="182">
        <f t="shared" si="44"/>
        <v>1.3030478489010968</v>
      </c>
      <c r="AD79" s="182">
        <f t="shared" si="44"/>
        <v>1.2753606913837818</v>
      </c>
      <c r="AE79" s="182">
        <f t="shared" si="44"/>
        <v>1.2072381775726573</v>
      </c>
      <c r="AF79" s="182">
        <f t="shared" si="44"/>
        <v>1.1394469880574574</v>
      </c>
      <c r="AG79" s="182">
        <f t="shared" si="44"/>
        <v>1.1014699795489822</v>
      </c>
      <c r="AH79" s="182">
        <f t="shared" si="44"/>
        <v>1.0714711329775644</v>
      </c>
      <c r="AI79" s="182">
        <f t="shared" si="42"/>
        <v>1.0422893134811684</v>
      </c>
      <c r="AJ79" s="182">
        <f t="shared" si="42"/>
        <v>1.0139022690962156</v>
      </c>
      <c r="AK79" s="182">
        <f t="shared" si="42"/>
        <v>0.98628835389765146</v>
      </c>
    </row>
    <row r="80" spans="2:37" ht="15.5">
      <c r="B80" s="184">
        <f t="shared" si="37"/>
        <v>2029</v>
      </c>
      <c r="E80" s="185">
        <v>47299</v>
      </c>
      <c r="H80" s="182">
        <f t="shared" si="40"/>
        <v>2.2869017615763769</v>
      </c>
      <c r="I80" s="182">
        <f t="shared" ref="I80:AH80" si="45">1/I44*(1+I$6)^0.5</f>
        <v>2.2211704761439761</v>
      </c>
      <c r="J80" s="182">
        <f t="shared" si="45"/>
        <v>2.1269874415029379</v>
      </c>
      <c r="K80" s="182">
        <f t="shared" si="45"/>
        <v>2.0513002457675076</v>
      </c>
      <c r="L80" s="182">
        <f t="shared" si="45"/>
        <v>1.9937431245739681</v>
      </c>
      <c r="M80" s="182">
        <f t="shared" si="45"/>
        <v>1.9440350914801814</v>
      </c>
      <c r="N80" s="182">
        <f t="shared" si="45"/>
        <v>1.8965077785385651</v>
      </c>
      <c r="O80" s="182">
        <f t="shared" si="45"/>
        <v>1.8394357360196127</v>
      </c>
      <c r="P80" s="182">
        <f t="shared" si="45"/>
        <v>1.7870109491362585</v>
      </c>
      <c r="Q80" s="182">
        <f t="shared" si="45"/>
        <v>1.7292946113158674</v>
      </c>
      <c r="R80" s="182">
        <f t="shared" si="45"/>
        <v>1.6776465781097256</v>
      </c>
      <c r="S80" s="182">
        <f t="shared" si="45"/>
        <v>1.6394252582460678</v>
      </c>
      <c r="T80" s="182">
        <f t="shared" si="45"/>
        <v>1.5898702165171841</v>
      </c>
      <c r="U80" s="182">
        <f t="shared" si="45"/>
        <v>1.5499914820301883</v>
      </c>
      <c r="V80" s="182">
        <f t="shared" si="45"/>
        <v>1.5180255612618747</v>
      </c>
      <c r="W80" s="182">
        <f t="shared" si="45"/>
        <v>1.4814499846845592</v>
      </c>
      <c r="X80" s="182">
        <f t="shared" si="45"/>
        <v>1.4524451091512616</v>
      </c>
      <c r="Y80" s="182">
        <f t="shared" si="45"/>
        <v>1.4324959862006783</v>
      </c>
      <c r="Z80" s="182">
        <f t="shared" si="45"/>
        <v>1.4097668201310174</v>
      </c>
      <c r="AA80" s="182">
        <f t="shared" si="45"/>
        <v>1.3830731965821201</v>
      </c>
      <c r="AB80" s="182">
        <f t="shared" si="45"/>
        <v>1.3576053390383929</v>
      </c>
      <c r="AC80" s="182">
        <f t="shared" si="45"/>
        <v>1.3395303366614257</v>
      </c>
      <c r="AD80" s="182">
        <f t="shared" si="45"/>
        <v>1.3110679993331045</v>
      </c>
      <c r="AE80" s="182">
        <f t="shared" si="45"/>
        <v>1.2410382042364818</v>
      </c>
      <c r="AF80" s="182">
        <f t="shared" si="45"/>
        <v>1.1713490097908936</v>
      </c>
      <c r="AG80" s="182">
        <f t="shared" si="45"/>
        <v>1.1323087281652779</v>
      </c>
      <c r="AH80" s="182">
        <f t="shared" si="45"/>
        <v>1.1014699795489822</v>
      </c>
      <c r="AI80" s="182">
        <f t="shared" si="42"/>
        <v>1.0714711329775644</v>
      </c>
      <c r="AJ80" s="182">
        <f t="shared" si="42"/>
        <v>1.0422893134811684</v>
      </c>
      <c r="AK80" s="182">
        <f t="shared" si="42"/>
        <v>1.0139022690962156</v>
      </c>
    </row>
    <row r="83" spans="2:31">
      <c r="AE83" s="163"/>
    </row>
    <row r="85" spans="2:31">
      <c r="AE85" s="162"/>
    </row>
    <row r="86" spans="2:31">
      <c r="B86" s="164"/>
      <c r="C86" s="164"/>
    </row>
  </sheetData>
  <mergeCells count="2">
    <mergeCell ref="D15:D17"/>
    <mergeCell ref="D51:D53"/>
  </mergeCells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690E-1D66-4018-91EF-F4FD93E95248}">
  <sheetPr>
    <tabColor rgb="FFE0D4A4"/>
  </sheetPr>
  <dimension ref="A1:C33"/>
  <sheetViews>
    <sheetView showGridLines="0" zoomScale="70" zoomScaleNormal="70" workbookViewId="0"/>
  </sheetViews>
  <sheetFormatPr defaultColWidth="8.84375" defaultRowHeight="14"/>
  <cols>
    <col min="1" max="1" width="22.69140625" style="1" bestFit="1" customWidth="1"/>
    <col min="2" max="2" width="20.07421875" style="1" bestFit="1" customWidth="1"/>
    <col min="3" max="3" width="19.69140625" style="1" bestFit="1" customWidth="1"/>
    <col min="4" max="16384" width="8.84375" style="1"/>
  </cols>
  <sheetData>
    <row r="1" spans="1:3" ht="18">
      <c r="A1" s="49" t="str">
        <f ca="1">MID(CELL("filename",A2),FIND("]",CELL("filename",A2))+1,256)</f>
        <v>Ausgrid TSS 2019-24</v>
      </c>
    </row>
    <row r="2" spans="1:3" ht="15.5">
      <c r="A2"/>
    </row>
    <row r="3" spans="1:3" ht="21">
      <c r="B3" s="6" t="s">
        <v>10</v>
      </c>
      <c r="C3" s="6"/>
    </row>
    <row r="5" spans="1:3" ht="15.5">
      <c r="B5" s="5" t="s">
        <v>301</v>
      </c>
      <c r="C5" s="5"/>
    </row>
    <row r="7" spans="1:3" ht="15.5">
      <c r="B7" s="2" t="s">
        <v>14</v>
      </c>
      <c r="C7" s="2"/>
    </row>
    <row r="9" spans="1:3" ht="31">
      <c r="B9" s="14"/>
      <c r="C9" s="78" t="s">
        <v>302</v>
      </c>
    </row>
    <row r="10" spans="1:3" ht="15.5">
      <c r="B10" s="10" t="str" cm="1">
        <f t="array" ref="B10:B12">network_levels</f>
        <v>LV</v>
      </c>
      <c r="C10" s="102">
        <v>56.222694611815186</v>
      </c>
    </row>
    <row r="11" spans="1:3" ht="15.5">
      <c r="B11" s="10" t="str">
        <v>HV</v>
      </c>
      <c r="C11" s="102">
        <v>36.00871062454074</v>
      </c>
    </row>
    <row r="12" spans="1:3" customFormat="1" ht="15.5">
      <c r="B12" s="10" t="str">
        <v>ST</v>
      </c>
      <c r="C12" s="102">
        <v>6.3826775506801239</v>
      </c>
    </row>
    <row r="13" spans="1:3" customFormat="1" ht="15.5"/>
    <row r="14" spans="1:3" customFormat="1" ht="15.5"/>
    <row r="15" spans="1:3" customFormat="1" ht="15.5"/>
    <row r="16" spans="1:3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9">
    <tabColor rgb="FFE0D4A4"/>
  </sheetPr>
  <dimension ref="A1:L208"/>
  <sheetViews>
    <sheetView showGridLines="0" zoomScale="70" zoomScaleNormal="70" workbookViewId="0"/>
  </sheetViews>
  <sheetFormatPr defaultColWidth="8.84375" defaultRowHeight="14"/>
  <cols>
    <col min="1" max="1" width="18.53515625" style="1" customWidth="1"/>
    <col min="2" max="2" width="46.07421875" style="1" customWidth="1"/>
    <col min="3" max="3" width="10" style="1" bestFit="1" customWidth="1"/>
    <col min="4" max="12" width="13.69140625" style="1" customWidth="1"/>
    <col min="13" max="16384" width="8.84375" style="1"/>
  </cols>
  <sheetData>
    <row r="1" spans="1:12" ht="18">
      <c r="A1" s="49" t="str">
        <f ca="1">MID(CELL("filename",A2),FIND("]",CELL("filename",A2))+1,256)</f>
        <v>Capitalised OH</v>
      </c>
      <c r="D1" s="48"/>
    </row>
    <row r="2" spans="1:12" ht="15.5">
      <c r="A2"/>
    </row>
    <row r="3" spans="1:12" ht="21">
      <c r="B3" s="6" t="s">
        <v>136</v>
      </c>
      <c r="C3" s="6"/>
      <c r="D3" s="6"/>
      <c r="E3" s="6"/>
      <c r="F3" s="6"/>
      <c r="G3" s="6"/>
      <c r="H3" s="6"/>
      <c r="I3" s="6"/>
      <c r="J3" s="6"/>
      <c r="K3" s="6"/>
      <c r="L3" s="6"/>
    </row>
    <row r="5" spans="1:12" ht="15.5">
      <c r="B5" s="2" t="s">
        <v>137</v>
      </c>
      <c r="C5" s="2"/>
      <c r="D5" s="2"/>
      <c r="E5" s="2"/>
      <c r="F5" s="2"/>
      <c r="G5" s="2"/>
      <c r="H5" s="2"/>
      <c r="I5" s="2"/>
      <c r="J5" s="2"/>
      <c r="K5" s="2"/>
      <c r="L5" s="2"/>
    </row>
    <row r="7" spans="1:12" ht="15.5">
      <c r="B7" s="14" t="s">
        <v>0</v>
      </c>
      <c r="C7" s="14" cm="1">
        <f t="array" ref="C7:L7">TRANSPOSE(years)</f>
        <v>2025</v>
      </c>
      <c r="D7" s="14">
        <v>2026</v>
      </c>
      <c r="E7" s="14">
        <v>2027</v>
      </c>
      <c r="F7" s="14">
        <v>2028</v>
      </c>
      <c r="G7" s="14">
        <v>2029</v>
      </c>
      <c r="H7" s="14">
        <v>2030</v>
      </c>
      <c r="I7" s="14">
        <v>2031</v>
      </c>
      <c r="J7" s="14">
        <v>2032</v>
      </c>
      <c r="K7" s="14">
        <v>2033</v>
      </c>
      <c r="L7" s="14">
        <v>2034</v>
      </c>
    </row>
    <row r="8" spans="1:12" ht="15.5">
      <c r="B8" s="10" t="s">
        <v>138</v>
      </c>
      <c r="C8" s="61">
        <v>0</v>
      </c>
      <c r="D8" s="61">
        <v>0</v>
      </c>
      <c r="E8" s="61">
        <v>0</v>
      </c>
      <c r="F8" s="61">
        <v>0</v>
      </c>
      <c r="G8" s="61">
        <v>0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</row>
    <row r="14" spans="1:12" customFormat="1" ht="15.5"/>
    <row r="15" spans="1:12" customFormat="1" ht="15.5"/>
    <row r="16" spans="1:12" customFormat="1" ht="15.5"/>
    <row r="17" customFormat="1" ht="15.5"/>
    <row r="18" customFormat="1" ht="15.5"/>
    <row r="19" customFormat="1" ht="15.5"/>
    <row r="20" customFormat="1" ht="15.5"/>
    <row r="21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  <row r="34" customFormat="1" ht="15.5"/>
    <row r="35" customFormat="1" ht="15.5"/>
    <row r="148" ht="15.75" customHeight="1"/>
    <row r="195" spans="1:12" customFormat="1" ht="15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1:12" customFormat="1" ht="15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 spans="1:12" customFormat="1" ht="15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 spans="1:12" customFormat="1" ht="15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 spans="1:12" customFormat="1" ht="15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 spans="1:12" customFormat="1" ht="15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 customFormat="1" ht="15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 customFormat="1" ht="15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 spans="1:12" customFormat="1" ht="15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 spans="1:12" customFormat="1" ht="15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 spans="1:12" customFormat="1" ht="15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 spans="1:12" customFormat="1" ht="15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 spans="1:12" customFormat="1" ht="15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 spans="1:12" customFormat="1" ht="15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">
    <tabColor rgb="FFE0D4A4"/>
  </sheetPr>
  <dimension ref="A1:J56"/>
  <sheetViews>
    <sheetView showGridLines="0" zoomScale="70" zoomScaleNormal="70" workbookViewId="0"/>
  </sheetViews>
  <sheetFormatPr defaultColWidth="8.84375" defaultRowHeight="14"/>
  <cols>
    <col min="1" max="1" width="6.69140625" style="1" bestFit="1" customWidth="1"/>
    <col min="2" max="2" width="46.69140625" style="1" bestFit="1" customWidth="1"/>
    <col min="3" max="4" width="27.69140625" style="1" customWidth="1"/>
    <col min="5" max="5" width="32.07421875" style="1" customWidth="1"/>
    <col min="6" max="16384" width="8.84375" style="1"/>
  </cols>
  <sheetData>
    <row r="1" spans="1:7" ht="18">
      <c r="A1" s="49" t="str">
        <f ca="1">MID(CELL("filename",A2),FIND("]",CELL("filename",A2))+1,256)</f>
        <v>Opex</v>
      </c>
      <c r="B1"/>
    </row>
    <row r="2" spans="1:7" ht="15.5">
      <c r="A2"/>
    </row>
    <row r="3" spans="1:7" ht="21">
      <c r="B3" s="6" t="s">
        <v>139</v>
      </c>
      <c r="C3" s="6"/>
      <c r="D3" s="6"/>
      <c r="E3" s="6"/>
      <c r="F3" s="6"/>
      <c r="G3" s="6"/>
    </row>
    <row r="5" spans="1:7" ht="15.5">
      <c r="B5" s="10" t="s">
        <v>140</v>
      </c>
      <c r="C5" s="2"/>
      <c r="D5" s="2"/>
      <c r="E5" s="2"/>
      <c r="F5" s="2"/>
      <c r="G5" s="2"/>
    </row>
    <row r="6" spans="1:7" ht="15.5">
      <c r="C6"/>
      <c r="D6"/>
      <c r="E6"/>
      <c r="F6"/>
      <c r="G6"/>
    </row>
    <row r="7" spans="1:7" ht="15.5">
      <c r="B7" s="14"/>
      <c r="C7" s="42" t="s">
        <v>141</v>
      </c>
      <c r="D7" s="42" t="s">
        <v>142</v>
      </c>
      <c r="E7" s="42" t="s">
        <v>143</v>
      </c>
      <c r="F7" s="42" t="s">
        <v>25</v>
      </c>
      <c r="G7" s="42" t="s">
        <v>26</v>
      </c>
    </row>
    <row r="8" spans="1:7" ht="15.5">
      <c r="B8" s="2" t="s">
        <v>144</v>
      </c>
      <c r="C8" s="11">
        <v>13779.4</v>
      </c>
      <c r="D8" s="11">
        <v>14272.8</v>
      </c>
      <c r="E8" s="11">
        <v>14677.7</v>
      </c>
      <c r="F8" s="11">
        <v>15010.7</v>
      </c>
      <c r="G8" s="11">
        <v>15315.1</v>
      </c>
    </row>
    <row r="9" spans="1:7" ht="15.5">
      <c r="B9" s="2" t="s">
        <v>145</v>
      </c>
      <c r="C9" s="11">
        <v>436.9</v>
      </c>
      <c r="D9" s="11">
        <v>447.9</v>
      </c>
      <c r="E9" s="11">
        <v>460.5</v>
      </c>
      <c r="F9" s="11">
        <v>473.5</v>
      </c>
      <c r="G9" s="11">
        <v>486.7</v>
      </c>
    </row>
    <row r="10" spans="1:7" ht="15.5">
      <c r="B10" s="2" t="s">
        <v>146</v>
      </c>
      <c r="C10" s="8">
        <f>C9/C8</f>
        <v>3.1706750656777506E-2</v>
      </c>
      <c r="D10" s="8">
        <f>D9/D8</f>
        <v>3.1381368757356649E-2</v>
      </c>
      <c r="E10" s="8">
        <f>E9/E8</f>
        <v>3.1374125373866475E-2</v>
      </c>
      <c r="F10" s="8">
        <f>F9/F8</f>
        <v>3.1544165162184307E-2</v>
      </c>
      <c r="G10" s="8">
        <f>G9/G8</f>
        <v>3.1779093835495688E-2</v>
      </c>
    </row>
    <row r="12" spans="1:7" ht="15.5">
      <c r="B12" s="2" t="s">
        <v>147</v>
      </c>
      <c r="C12" s="15">
        <f>AVERAGE(C10:G10)</f>
        <v>3.1557100757136122E-2</v>
      </c>
    </row>
    <row r="14" spans="1:7" customFormat="1" ht="21">
      <c r="A14" s="1"/>
      <c r="B14" s="6" t="s">
        <v>148</v>
      </c>
      <c r="C14" s="6"/>
      <c r="D14" s="6"/>
      <c r="E14" s="6"/>
    </row>
    <row r="15" spans="1:7" customFormat="1" ht="15.5"/>
    <row r="16" spans="1:7" customFormat="1" ht="15.5">
      <c r="B16" s="2" t="s">
        <v>304</v>
      </c>
      <c r="C16" s="2"/>
      <c r="D16" s="2"/>
      <c r="E16" s="2"/>
    </row>
    <row r="17" spans="1:7" customFormat="1" ht="15.5"/>
    <row r="18" spans="1:7" customFormat="1" ht="15.5">
      <c r="B18" s="14" t="s">
        <v>149</v>
      </c>
      <c r="C18" s="42" t="s">
        <v>303</v>
      </c>
      <c r="D18" s="14" t="s">
        <v>150</v>
      </c>
      <c r="E18" s="14" t="s">
        <v>151</v>
      </c>
    </row>
    <row r="19" spans="1:7" customFormat="1" ht="15.5">
      <c r="B19" s="2" t="s">
        <v>152</v>
      </c>
      <c r="C19" s="11">
        <v>9423002.8658319991</v>
      </c>
      <c r="D19" s="8">
        <f>C19/SUM($C$19:$C$39)</f>
        <v>2.4047067333783829E-2</v>
      </c>
      <c r="E19" s="4" t="s">
        <v>153</v>
      </c>
    </row>
    <row r="20" spans="1:7" customFormat="1" ht="15.5">
      <c r="B20" s="2" t="s">
        <v>154</v>
      </c>
      <c r="C20" s="11">
        <v>15600158.3681757</v>
      </c>
      <c r="D20" s="8">
        <f t="shared" ref="D20:D39" si="0">C20/SUM($C$19:$C$39)</f>
        <v>3.9810882373544701E-2</v>
      </c>
      <c r="E20" s="4" t="s">
        <v>153</v>
      </c>
    </row>
    <row r="21" spans="1:7" customFormat="1" ht="15.5">
      <c r="B21" s="2" t="s">
        <v>155</v>
      </c>
      <c r="C21" s="11">
        <v>4288829.5049999999</v>
      </c>
      <c r="D21" s="8">
        <f t="shared" si="0"/>
        <v>1.0944894462870104E-2</v>
      </c>
      <c r="E21" s="4" t="s">
        <v>153</v>
      </c>
    </row>
    <row r="22" spans="1:7" customFormat="1" ht="15.5">
      <c r="B22" s="2" t="s">
        <v>156</v>
      </c>
      <c r="C22" s="11">
        <v>19208037.040874701</v>
      </c>
      <c r="D22" s="8">
        <f t="shared" si="0"/>
        <v>4.9018021818350035E-2</v>
      </c>
      <c r="E22" s="4" t="s">
        <v>157</v>
      </c>
    </row>
    <row r="23" spans="1:7" customFormat="1" ht="15.5">
      <c r="B23" s="2" t="s">
        <v>158</v>
      </c>
      <c r="C23" s="11">
        <v>12755227.6995192</v>
      </c>
      <c r="D23" s="8">
        <f t="shared" si="0"/>
        <v>3.2550750935275305E-2</v>
      </c>
      <c r="E23" s="4" t="s">
        <v>153</v>
      </c>
    </row>
    <row r="24" spans="1:7" ht="15.5">
      <c r="A24"/>
      <c r="B24" s="2" t="s">
        <v>159</v>
      </c>
      <c r="C24" s="11">
        <v>56555546.807605699</v>
      </c>
      <c r="D24" s="8">
        <f t="shared" si="0"/>
        <v>0.14432713876303987</v>
      </c>
      <c r="E24" s="4" t="s">
        <v>153</v>
      </c>
      <c r="F24"/>
      <c r="G24"/>
    </row>
    <row r="25" spans="1:7" ht="15.5">
      <c r="A25"/>
      <c r="B25" s="2" t="s">
        <v>160</v>
      </c>
      <c r="C25" s="11">
        <v>15979232.067353301</v>
      </c>
      <c r="D25" s="8">
        <f t="shared" si="0"/>
        <v>4.0778260915011952E-2</v>
      </c>
      <c r="E25" s="4" t="s">
        <v>153</v>
      </c>
      <c r="F25"/>
      <c r="G25"/>
    </row>
    <row r="26" spans="1:7" ht="15.5">
      <c r="A26"/>
      <c r="B26" s="2" t="s">
        <v>161</v>
      </c>
      <c r="C26" s="11">
        <v>25053839.983728301</v>
      </c>
      <c r="D26" s="8">
        <f t="shared" si="0"/>
        <v>6.3936240457183088E-2</v>
      </c>
      <c r="E26" s="4" t="s">
        <v>153</v>
      </c>
      <c r="F26"/>
      <c r="G26"/>
    </row>
    <row r="27" spans="1:7" ht="15.5">
      <c r="A27"/>
      <c r="B27" s="2" t="s">
        <v>162</v>
      </c>
      <c r="C27" s="11">
        <v>0</v>
      </c>
      <c r="D27" s="8">
        <f t="shared" si="0"/>
        <v>0</v>
      </c>
      <c r="E27" s="4" t="s">
        <v>157</v>
      </c>
      <c r="F27"/>
      <c r="G27"/>
    </row>
    <row r="28" spans="1:7" ht="15.5">
      <c r="A28"/>
      <c r="B28" s="2" t="s">
        <v>163</v>
      </c>
      <c r="C28" s="11">
        <v>15326704.390000001</v>
      </c>
      <c r="D28" s="8">
        <f t="shared" si="0"/>
        <v>3.9113040473302267E-2</v>
      </c>
      <c r="E28" s="4" t="s">
        <v>157</v>
      </c>
      <c r="F28"/>
      <c r="G28"/>
    </row>
    <row r="29" spans="1:7" ht="15.5">
      <c r="A29"/>
      <c r="B29" s="2" t="s">
        <v>164</v>
      </c>
      <c r="C29" s="11">
        <v>77724779.749129504</v>
      </c>
      <c r="D29" s="8">
        <f t="shared" si="0"/>
        <v>0.19835004177999982</v>
      </c>
      <c r="E29" s="4" t="s">
        <v>157</v>
      </c>
      <c r="F29"/>
      <c r="G29"/>
    </row>
    <row r="30" spans="1:7" ht="15.5">
      <c r="A30"/>
      <c r="B30" s="2" t="s">
        <v>165</v>
      </c>
      <c r="C30" s="11">
        <v>25875693.008908499</v>
      </c>
      <c r="D30" s="8">
        <f t="shared" si="0"/>
        <v>6.6033571352267895E-2</v>
      </c>
      <c r="E30" s="4" t="s">
        <v>157</v>
      </c>
      <c r="F30"/>
      <c r="G30"/>
    </row>
    <row r="31" spans="1:7" ht="15.5">
      <c r="A31"/>
      <c r="B31" s="2" t="s">
        <v>166</v>
      </c>
      <c r="C31" s="11">
        <v>20342709.699999999</v>
      </c>
      <c r="D31" s="8">
        <f t="shared" si="0"/>
        <v>5.1913653945845989E-2</v>
      </c>
      <c r="E31" s="4" t="s">
        <v>157</v>
      </c>
      <c r="F31"/>
      <c r="G31"/>
    </row>
    <row r="32" spans="1:7" ht="15.5">
      <c r="A32"/>
      <c r="B32" s="2" t="s">
        <v>167</v>
      </c>
      <c r="C32" s="11">
        <v>9948712.6531608291</v>
      </c>
      <c r="D32" s="8">
        <f t="shared" si="0"/>
        <v>2.538865438771171E-2</v>
      </c>
      <c r="E32" s="4" t="s">
        <v>153</v>
      </c>
      <c r="F32"/>
      <c r="G32"/>
    </row>
    <row r="33" spans="1:7" ht="15.5">
      <c r="A33"/>
      <c r="B33" s="2" t="s">
        <v>168</v>
      </c>
      <c r="C33" s="11">
        <v>606455.93304403999</v>
      </c>
      <c r="D33" s="8">
        <f t="shared" si="0"/>
        <v>1.5476474818619389E-3</v>
      </c>
      <c r="E33" s="4" t="s">
        <v>153</v>
      </c>
      <c r="F33"/>
      <c r="G33"/>
    </row>
    <row r="34" spans="1:7" ht="15.5">
      <c r="A34"/>
      <c r="B34" s="2" t="s">
        <v>169</v>
      </c>
      <c r="C34" s="11">
        <v>1183607.26</v>
      </c>
      <c r="D34" s="8">
        <f t="shared" si="0"/>
        <v>3.0205109648411767E-3</v>
      </c>
      <c r="E34" s="4" t="s">
        <v>153</v>
      </c>
      <c r="F34"/>
      <c r="G34"/>
    </row>
    <row r="35" spans="1:7" ht="15.5">
      <c r="A35"/>
      <c r="B35" s="2" t="s">
        <v>170</v>
      </c>
      <c r="C35" s="11">
        <v>2948833.7452404001</v>
      </c>
      <c r="D35" s="8">
        <f t="shared" si="0"/>
        <v>7.5252872823645071E-3</v>
      </c>
      <c r="E35" s="4" t="s">
        <v>157</v>
      </c>
      <c r="F35"/>
      <c r="G35"/>
    </row>
    <row r="36" spans="1:7" ht="15.5">
      <c r="A36"/>
      <c r="B36" s="2" t="s">
        <v>171</v>
      </c>
      <c r="C36" s="11">
        <v>14711956.8409565</v>
      </c>
      <c r="D36" s="8">
        <f t="shared" si="0"/>
        <v>3.7544233171042954E-2</v>
      </c>
      <c r="E36" s="4" t="s">
        <v>157</v>
      </c>
      <c r="F36"/>
      <c r="G36"/>
    </row>
    <row r="37" spans="1:7" ht="15.5">
      <c r="A37"/>
      <c r="B37" s="2" t="s">
        <v>172</v>
      </c>
      <c r="C37" s="11">
        <v>41100915.176247902</v>
      </c>
      <c r="D37" s="8">
        <f t="shared" si="0"/>
        <v>0.10488763388868019</v>
      </c>
      <c r="E37" s="4" t="s">
        <v>157</v>
      </c>
      <c r="F37"/>
      <c r="G37"/>
    </row>
    <row r="38" spans="1:7" ht="15.5">
      <c r="A38"/>
      <c r="B38" s="2" t="s">
        <v>173</v>
      </c>
      <c r="C38" s="11">
        <v>16048052.2634963</v>
      </c>
      <c r="D38" s="8">
        <f t="shared" si="0"/>
        <v>4.0953886871422901E-2</v>
      </c>
      <c r="E38" s="4" t="s">
        <v>157</v>
      </c>
      <c r="F38"/>
      <c r="G38"/>
    </row>
    <row r="39" spans="1:7" ht="15.5">
      <c r="A39"/>
      <c r="B39" s="2" t="s">
        <v>174</v>
      </c>
      <c r="C39" s="11">
        <v>7174339.0599999996</v>
      </c>
      <c r="D39" s="8">
        <f t="shared" si="0"/>
        <v>1.830858134160003E-2</v>
      </c>
      <c r="E39" s="4" t="s">
        <v>153</v>
      </c>
      <c r="F39"/>
      <c r="G39"/>
    </row>
    <row r="40" spans="1:7" ht="15.5">
      <c r="B40"/>
      <c r="C40"/>
      <c r="D40" s="13"/>
      <c r="E40"/>
    </row>
    <row r="41" spans="1:7" ht="15.5">
      <c r="B41" s="2" t="s">
        <v>175</v>
      </c>
      <c r="C41" s="8">
        <f>SUMIFS(D19:D39,E19:E39, "Avoidable")</f>
        <v>0.59533937058327657</v>
      </c>
      <c r="D41" s="13"/>
      <c r="E41"/>
    </row>
    <row r="42" spans="1:7" ht="15.5">
      <c r="B42"/>
      <c r="C42"/>
      <c r="D42" s="13"/>
      <c r="E42"/>
    </row>
    <row r="43" spans="1:7" customFormat="1" ht="15.5">
      <c r="A43" s="1"/>
      <c r="B43" s="2" t="s">
        <v>176</v>
      </c>
      <c r="C43" s="15">
        <f>C41*C12</f>
        <v>1.8787184502186461E-2</v>
      </c>
    </row>
    <row r="44" spans="1:7" customFormat="1" ht="15.5"/>
    <row r="45" spans="1:7" customFormat="1" ht="15.5"/>
    <row r="46" spans="1:7" customFormat="1" ht="15.5"/>
    <row r="47" spans="1:7" customFormat="1" ht="15.5"/>
    <row r="48" spans="1:7" customFormat="1" ht="15.5"/>
    <row r="49" spans="1:10" customFormat="1" ht="15.5"/>
    <row r="50" spans="1:10" customFormat="1" ht="15.5"/>
    <row r="51" spans="1:10" customFormat="1" ht="15.5"/>
    <row r="52" spans="1:10" customFormat="1" ht="15.5"/>
    <row r="53" spans="1:10" customFormat="1" ht="15.5"/>
    <row r="54" spans="1:10" customFormat="1" ht="15.5"/>
    <row r="55" spans="1:10" ht="15.5">
      <c r="A55"/>
      <c r="B55"/>
      <c r="C55"/>
      <c r="D55"/>
      <c r="E55"/>
      <c r="F55"/>
      <c r="G55"/>
      <c r="H55"/>
      <c r="I55"/>
      <c r="J55"/>
    </row>
    <row r="56" spans="1:10" ht="15.5">
      <c r="B56"/>
      <c r="C56"/>
      <c r="D56"/>
      <c r="E56"/>
      <c r="F56"/>
      <c r="G56"/>
      <c r="H56"/>
      <c r="I56"/>
      <c r="J56"/>
    </row>
  </sheetData>
  <dataValidations count="1">
    <dataValidation type="list" allowBlank="1" showInputMessage="1" showErrorMessage="1" sqref="E19:E39" xr:uid="{32413C50-4038-4DF0-AC1B-05E4D9E4E419}">
      <formula1>cost_types</formula1>
    </dataValidation>
  </dataValidations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016ED-2C6F-443A-AECA-EA49952A20A0}">
  <sheetPr codeName="Sheet10">
    <tabColor rgb="FFE0D4A4"/>
  </sheetPr>
  <dimension ref="A1:AU166"/>
  <sheetViews>
    <sheetView showGridLines="0" zoomScale="70" zoomScaleNormal="70" workbookViewId="0"/>
  </sheetViews>
  <sheetFormatPr defaultColWidth="8.84375" defaultRowHeight="15.5"/>
  <cols>
    <col min="1" max="1" width="23.84375" style="1" customWidth="1"/>
    <col min="2" max="2" width="18.53515625" style="1" customWidth="1"/>
    <col min="3" max="3" width="15.84375" style="1" customWidth="1"/>
    <col min="4" max="4" width="19.69140625" style="1" bestFit="1" customWidth="1"/>
    <col min="5" max="5" width="30.53515625" style="1" bestFit="1" customWidth="1"/>
    <col min="6" max="6" width="22.4609375" style="1" bestFit="1" customWidth="1"/>
    <col min="7" max="7" width="11.3046875" style="1" bestFit="1" customWidth="1"/>
    <col min="8" max="8" width="16.3046875" style="1" bestFit="1" customWidth="1"/>
    <col min="9" max="9" width="18.07421875" style="1" bestFit="1" customWidth="1"/>
    <col min="10" max="10" width="20.07421875" style="1" bestFit="1" customWidth="1"/>
    <col min="11" max="11" width="18.69140625" style="1" bestFit="1" customWidth="1"/>
    <col min="12" max="12" width="8.69140625" style="1" bestFit="1" customWidth="1"/>
    <col min="13" max="13" width="16.07421875" style="1" bestFit="1" customWidth="1"/>
    <col min="14" max="14" width="20.07421875" style="1" bestFit="1" customWidth="1"/>
    <col min="15" max="15" width="15" style="1" bestFit="1" customWidth="1"/>
    <col min="16" max="16" width="27.69140625" style="1" bestFit="1" customWidth="1"/>
    <col min="17" max="17" width="25.84375" style="1" bestFit="1" customWidth="1"/>
    <col min="18" max="18" width="11.07421875" style="1" bestFit="1" customWidth="1"/>
    <col min="19" max="19" width="22.4609375" style="1" bestFit="1" customWidth="1"/>
    <col min="20" max="20" width="14.3046875" style="1" bestFit="1" customWidth="1"/>
    <col min="21" max="21" width="9.69140625" style="1" bestFit="1" customWidth="1"/>
    <col min="22" max="22" width="10.07421875" style="1" bestFit="1" customWidth="1"/>
    <col min="23" max="23" width="10.84375" style="1" bestFit="1" customWidth="1"/>
    <col min="24" max="24" width="11.84375" style="1" bestFit="1" customWidth="1"/>
    <col min="25" max="25" width="19.69140625" style="1" bestFit="1" customWidth="1"/>
    <col min="26" max="26" width="13.07421875" style="1" bestFit="1" customWidth="1"/>
    <col min="27" max="27" width="18.07421875" style="1" bestFit="1" customWidth="1"/>
    <col min="28" max="28" width="20.84375" style="1" bestFit="1" customWidth="1"/>
    <col min="30" max="30" width="6" bestFit="1" customWidth="1"/>
    <col min="31" max="31" width="5.07421875" bestFit="1" customWidth="1"/>
    <col min="32" max="32" width="9" bestFit="1" customWidth="1"/>
    <col min="33" max="33" width="11.53515625" bestFit="1" customWidth="1"/>
    <col min="35" max="35" width="12.84375" bestFit="1" customWidth="1"/>
    <col min="36" max="46" width="12" bestFit="1" customWidth="1"/>
  </cols>
  <sheetData>
    <row r="1" spans="1:47" ht="18">
      <c r="A1" s="49" t="str">
        <f ca="1">MID(CELL("filename",A2),FIND("]",CELL("filename",A2))+1,256)</f>
        <v>Max demand</v>
      </c>
    </row>
    <row r="2" spans="1:47">
      <c r="A2"/>
    </row>
    <row r="3" spans="1:47" ht="21">
      <c r="B3" s="6" t="s">
        <v>124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D3" s="6" t="s">
        <v>177</v>
      </c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47">
      <c r="L4" s="7"/>
    </row>
    <row r="5" spans="1:47">
      <c r="B5" s="5" t="s">
        <v>97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D5" s="5" t="s">
        <v>178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</row>
    <row r="6" spans="1:47">
      <c r="L6" s="7"/>
    </row>
    <row r="7" spans="1:47">
      <c r="B7" s="2" t="s">
        <v>179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</row>
    <row r="8" spans="1:47" ht="16" thickBot="1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47" ht="16" thickBot="1">
      <c r="B9" s="25"/>
      <c r="C9" s="28" t="s">
        <v>180</v>
      </c>
      <c r="D9" s="26" t="str">
        <f>IFERROR(_xlfn.IFNA(INDEX(area_plans,MATCH(D$10,area_plans,0)),INDEX(area_plans,MATCH(D$10,Lists!$E$6:$E$31,0))),Lists!$D$31)</f>
        <v>Auburn / Homebush</v>
      </c>
      <c r="E9" s="26" t="str">
        <f>IFERROR(_xlfn.IFNA(INDEX(area_plans,MATCH(E$10,area_plans,0)),INDEX(area_plans,MATCH(E$10,Lists!$E$6:$E$31,0))),Lists!$D$31)</f>
        <v>Camperdown &amp; Blackwattle Bay</v>
      </c>
      <c r="F9" s="26" t="str">
        <f>IFERROR(_xlfn.IFNA(INDEX(area_plans,MATCH(F$10,area_plans,0)),INDEX(area_plans,MATCH(F$10,Lists!$E$6:$E$31,0))),Lists!$D$31)</f>
        <v>Canterbury Bankstown</v>
      </c>
      <c r="G9" s="26" t="str">
        <f>IFERROR(_xlfn.IFNA(INDEX(area_plans,MATCH(G$10,area_plans,0)),INDEX(area_plans,MATCH(G$10,Lists!$E$6:$E$31,0))),Lists!$D$31)</f>
        <v>Carlingford</v>
      </c>
      <c r="H9" s="26" t="str">
        <f>IFERROR(_xlfn.IFNA(INDEX(area_plans,MATCH(H$10,area_plans,0)),INDEX(area_plans,MATCH(H$10,Lists!$E$6:$E$31,0))),Lists!$D$31)</f>
        <v>Eastern Suburbs</v>
      </c>
      <c r="I9" s="26" t="str">
        <f>IFERROR(_xlfn.IFNA(INDEX(area_plans,MATCH(I$10,area_plans,0)),INDEX(area_plans,MATCH(I$10,Lists!$E$6:$E$31,0))),Lists!$D$31)</f>
        <v>Greater Cessnock</v>
      </c>
      <c r="J9" s="26" t="str">
        <f>IFERROR(_xlfn.IFNA(INDEX(area_plans,MATCH(J$10,area_plans,0)),INDEX(area_plans,MATCH(J$10,Lists!$E$6:$E$31,0))),Lists!$D$31)</f>
        <v>Lower Central Coast</v>
      </c>
      <c r="K9" s="26" t="str">
        <f>IFERROR(_xlfn.IFNA(INDEX(area_plans,MATCH(K$10,area_plans,0)),INDEX(area_plans,MATCH(K$10,Lists!$E$6:$E$31,0))),Lists!$D$31)</f>
        <v>Lower North Shore</v>
      </c>
      <c r="L9" s="26" t="str">
        <f>IFERROR(_xlfn.IFNA(INDEX(area_plans,MATCH(L$10,area_plans,0)),INDEX(area_plans,MATCH(L$10,Lists!$E$6:$E$31,0))),Lists!$D$31)</f>
        <v>Maitland</v>
      </c>
      <c r="M9" s="26" t="str">
        <f>IFERROR(_xlfn.IFNA(INDEX(area_plans,MATCH(M$10,area_plans,0)),INDEX(area_plans,MATCH(M$10,Lists!$E$6:$E$31,0))),Lists!$D$31)</f>
        <v>Manly Warringah</v>
      </c>
      <c r="N9" s="26" t="str">
        <f>IFERROR(_xlfn.IFNA(INDEX(area_plans,MATCH(N$10,area_plans,0)),INDEX(area_plans,MATCH(N$10,Lists!$E$6:$E$31,0))),Lists!$D$31)</f>
        <v>Newcastle Inner City</v>
      </c>
      <c r="O9" s="26" t="str">
        <f>IFERROR(_xlfn.IFNA(INDEX(area_plans,MATCH(O$10,area_plans,0)),INDEX(area_plans,MATCH(O$10,Lists!$E$6:$E$31,0))),Lists!$D$31)</f>
        <v>Newcastle Port</v>
      </c>
      <c r="P9" s="26" t="str">
        <f>IFERROR(_xlfn.IFNA(INDEX(area_plans,MATCH(P$10,area_plans,0)),INDEX(area_plans,MATCH(P$10,Lists!$E$6:$E$31,0))),Lists!$D$31)</f>
        <v>Newcastle Western Corridor</v>
      </c>
      <c r="Q9" s="26" t="str">
        <f>IFERROR(_xlfn.IFNA(INDEX(area_plans,MATCH(Q$10,area_plans,0)),INDEX(area_plans,MATCH(Q$10,Lists!$E$6:$E$31,0))),Lists!$D$31)</f>
        <v>North East Lake Macquarie</v>
      </c>
      <c r="R9" s="26" t="str">
        <f>IFERROR(_xlfn.IFNA(INDEX(area_plans,MATCH(R$10,area_plans,0)),INDEX(area_plans,MATCH(R$10,Lists!$E$6:$E$31,0))),Lists!$D$31)</f>
        <v>North West</v>
      </c>
      <c r="S9" s="26" t="str">
        <f>IFERROR(_xlfn.IFNA(INDEX(area_plans,MATCH(S$10,area_plans,0)),INDEX(area_plans,MATCH(S$10,Lists!$E$6:$E$31,0))),Lists!$D$31)</f>
        <v>Pittwater &amp; Terrey Hills</v>
      </c>
      <c r="T9" s="26" t="str">
        <f>IFERROR(_xlfn.IFNA(INDEX(area_plans,MATCH(T$10,area_plans,0)),INDEX(area_plans,MATCH(T$10,Lists!$E$6:$E$31,0))),Lists!$D$31)</f>
        <v>Port Stephens</v>
      </c>
      <c r="U9" s="26" t="str">
        <f>IFERROR(_xlfn.IFNA(INDEX(area_plans,MATCH(U$10,area_plans,0)),INDEX(area_plans,MATCH(U$10,Lists!$E$6:$E$31,0))),Lists!$D$31)</f>
        <v>Singleton</v>
      </c>
      <c r="V9" s="26" t="str">
        <f>IFERROR(_xlfn.IFNA(INDEX(area_plans,MATCH(V$10,area_plans,0)),INDEX(area_plans,MATCH(V$10,Lists!$E$6:$E$31,0))),Lists!$D$31)</f>
        <v>St George</v>
      </c>
      <c r="W9" s="26" t="str">
        <f>IFERROR(_xlfn.IFNA(INDEX(area_plans,MATCH(W$10,area_plans,0)),INDEX(area_plans,MATCH(W$10,Lists!$E$6:$E$31,0))),Lists!$D$31)</f>
        <v>Sutherland</v>
      </c>
      <c r="X9" s="26" t="str">
        <f>IFERROR(_xlfn.IFNA(INDEX(area_plans,MATCH(X$10,area_plans,0)),INDEX(area_plans,MATCH(X$10,Lists!$E$6:$E$31,0))),Lists!$D$31)</f>
        <v>Sydney CBD</v>
      </c>
      <c r="Y9" s="26" t="str">
        <f>IFERROR(_xlfn.IFNA(INDEX(area_plans,MATCH(Y$10,area_plans,0)),INDEX(area_plans,MATCH(Y$10,Lists!$E$6:$E$31,0))),Lists!$D$31)</f>
        <v>Upper Central Coast</v>
      </c>
      <c r="Z9" s="26" t="str">
        <f>IFERROR(_xlfn.IFNA(INDEX(area_plans,MATCH(Z$10,area_plans,0)),INDEX(area_plans,MATCH(Z$10,Lists!$E$6:$E$31,0))),Lists!$D$31)</f>
        <v>Upper Hunter</v>
      </c>
      <c r="AA9" s="26" t="str">
        <f>IFERROR(_xlfn.IFNA(INDEX(area_plans,MATCH(AA$10,area_plans,0)),INDEX(area_plans,MATCH(AA$10,Lists!$E$6:$E$31,0))),Lists!$D$31)</f>
        <v>Upper North Shore</v>
      </c>
      <c r="AB9" s="27" t="str">
        <f>IFERROR(_xlfn.IFNA(INDEX(area_plans,MATCH(AB$10,area_plans,0)),INDEX(area_plans,MATCH(AB$10,Lists!$E$6:$E$31,0))),Lists!$D$31)</f>
        <v>West Lake Macquarie</v>
      </c>
    </row>
    <row r="10" spans="1:47">
      <c r="B10" s="14" t="s">
        <v>68</v>
      </c>
      <c r="C10" s="14" t="s">
        <v>181</v>
      </c>
      <c r="D10" s="14" t="s">
        <v>182</v>
      </c>
      <c r="E10" s="14" t="s">
        <v>183</v>
      </c>
      <c r="F10" s="14" t="s">
        <v>184</v>
      </c>
      <c r="G10" s="14" t="s">
        <v>185</v>
      </c>
      <c r="H10" s="14" t="s">
        <v>186</v>
      </c>
      <c r="I10" s="14" t="s">
        <v>187</v>
      </c>
      <c r="J10" s="14" t="s">
        <v>188</v>
      </c>
      <c r="K10" s="14" t="s">
        <v>189</v>
      </c>
      <c r="L10" s="14" t="s">
        <v>190</v>
      </c>
      <c r="M10" s="14" t="s">
        <v>191</v>
      </c>
      <c r="N10" s="14" t="s">
        <v>192</v>
      </c>
      <c r="O10" s="14" t="s">
        <v>193</v>
      </c>
      <c r="P10" s="14" t="s">
        <v>194</v>
      </c>
      <c r="Q10" s="14" t="s">
        <v>195</v>
      </c>
      <c r="R10" s="14" t="s">
        <v>196</v>
      </c>
      <c r="S10" s="14" t="s">
        <v>197</v>
      </c>
      <c r="T10" s="14" t="s">
        <v>198</v>
      </c>
      <c r="U10" s="14" t="s">
        <v>199</v>
      </c>
      <c r="V10" s="14" t="s">
        <v>200</v>
      </c>
      <c r="W10" s="14" t="s">
        <v>201</v>
      </c>
      <c r="X10" s="14" t="s">
        <v>202</v>
      </c>
      <c r="Y10" s="14" t="s">
        <v>203</v>
      </c>
      <c r="Z10" s="14" t="s">
        <v>204</v>
      </c>
      <c r="AA10" s="14" t="s">
        <v>205</v>
      </c>
      <c r="AB10" s="14" t="s">
        <v>206</v>
      </c>
      <c r="AD10" s="14" t="s">
        <v>207</v>
      </c>
      <c r="AE10" s="14" t="s">
        <v>181</v>
      </c>
      <c r="AF10" s="14" t="s">
        <v>178</v>
      </c>
      <c r="AG10" s="4" t="s">
        <v>202</v>
      </c>
      <c r="AI10" s="14" t="s">
        <v>119</v>
      </c>
      <c r="AJ10" s="14" t="s">
        <v>208</v>
      </c>
      <c r="AK10" s="14">
        <f>AL10-1</f>
        <v>2024</v>
      </c>
      <c r="AL10" s="14" cm="1">
        <f t="array" ref="AL10:AU10">TRANSPOSE(years)</f>
        <v>2025</v>
      </c>
      <c r="AM10" s="14">
        <v>2026</v>
      </c>
      <c r="AN10" s="14">
        <v>2027</v>
      </c>
      <c r="AO10" s="14">
        <v>2028</v>
      </c>
      <c r="AP10" s="14">
        <v>2029</v>
      </c>
      <c r="AQ10" s="14">
        <v>2030</v>
      </c>
      <c r="AR10" s="14">
        <v>2031</v>
      </c>
      <c r="AS10" s="14">
        <v>2032</v>
      </c>
      <c r="AT10" s="14">
        <v>2033</v>
      </c>
      <c r="AU10" s="14">
        <v>2034</v>
      </c>
    </row>
    <row r="11" spans="1:47">
      <c r="A11"/>
      <c r="B11" s="2" t="s">
        <v>209</v>
      </c>
      <c r="C11" s="2">
        <v>2022</v>
      </c>
      <c r="D11" s="11">
        <v>18.330458429</v>
      </c>
      <c r="E11" s="11">
        <v>3.7831032160000002</v>
      </c>
      <c r="F11" s="11">
        <v>4.3789327894000003</v>
      </c>
      <c r="G11" s="11">
        <v>43.414644133000003</v>
      </c>
      <c r="H11" s="11">
        <v>66.215355508000002</v>
      </c>
      <c r="I11" s="11">
        <v>2.1936617857999998</v>
      </c>
      <c r="J11" s="11">
        <v>3.0487982815999999</v>
      </c>
      <c r="K11" s="11">
        <v>10.225945748999999</v>
      </c>
      <c r="L11" s="11">
        <v>8.3801725379000001</v>
      </c>
      <c r="M11" s="11">
        <v>0.89797762010000004</v>
      </c>
      <c r="N11" s="11">
        <v>14.600166339999999</v>
      </c>
      <c r="O11" s="11">
        <v>4.7411833744000003</v>
      </c>
      <c r="P11" s="11">
        <v>0.72301484319999998</v>
      </c>
      <c r="Q11" s="11">
        <v>2.7418582292</v>
      </c>
      <c r="R11" s="11">
        <v>2.9262980832999999</v>
      </c>
      <c r="S11" s="11">
        <v>0.15601835189999999</v>
      </c>
      <c r="T11" s="11">
        <v>0.77499310519999998</v>
      </c>
      <c r="U11" s="11">
        <v>3.0332383573000001</v>
      </c>
      <c r="V11" s="11">
        <v>1.736958547</v>
      </c>
      <c r="W11" s="11">
        <v>4.8030864437999998</v>
      </c>
      <c r="X11" s="11">
        <v>1.5770683239000001</v>
      </c>
      <c r="Y11" s="11">
        <v>3.5798263494999998</v>
      </c>
      <c r="Z11" s="11">
        <v>1.0664246098000001</v>
      </c>
      <c r="AA11" s="11">
        <v>1.1275724061000001</v>
      </c>
      <c r="AB11" s="11">
        <v>0.34438923490000001</v>
      </c>
      <c r="AD11" s="2" t="str">
        <f>B11</f>
        <v>HV</v>
      </c>
      <c r="AE11" s="2">
        <f>C11</f>
        <v>2022</v>
      </c>
      <c r="AF11" s="21">
        <f>SUM(D11:AB11)</f>
        <v>204.80114664930002</v>
      </c>
      <c r="AG11" s="21">
        <f ca="1">IFERROR(OFFSET($C11,0,MATCH($AG$10,$D$9:$AB$9,0)),$AF11)</f>
        <v>1.5770683239000001</v>
      </c>
      <c r="AI11" s="2" t="str">
        <f>$AI$17</f>
        <v>All areas</v>
      </c>
      <c r="AJ11" s="2" t="str" cm="1">
        <f t="array" ref="AJ11:AJ13">network_levels</f>
        <v>LV</v>
      </c>
      <c r="AK11" s="40">
        <f ca="1">SUMIFS(OFFSET($AF$11:$AF$85,0,MATCH($AI11,$AF$10:$AG$10,0)-1),$AD$11:$AD$85,$AJ11,$AE$11:$AE$85,AK$10)</f>
        <v>4694.5681726939993</v>
      </c>
      <c r="AL11" s="40">
        <f t="shared" ref="AL11:AU13" ca="1" si="0">SUMIFS(OFFSET($AF$11:$AF$85,0,MATCH($AI11,$AF$10:$AG$10,0)-1),$AD$11:$AD$85,$AJ11,$AE$11:$AE$85,AL$10)</f>
        <v>4649.3145497310006</v>
      </c>
      <c r="AM11" s="40">
        <f t="shared" ca="1" si="0"/>
        <v>4614.1048327990002</v>
      </c>
      <c r="AN11" s="40">
        <f t="shared" ca="1" si="0"/>
        <v>4615.3121422949998</v>
      </c>
      <c r="AO11" s="40">
        <f t="shared" ca="1" si="0"/>
        <v>4609.2701455030001</v>
      </c>
      <c r="AP11" s="40">
        <f t="shared" ca="1" si="0"/>
        <v>4603.202462186001</v>
      </c>
      <c r="AQ11" s="40">
        <f t="shared" ca="1" si="0"/>
        <v>4601.2912698059999</v>
      </c>
      <c r="AR11" s="40">
        <f t="shared" ca="1" si="0"/>
        <v>4625.3450217699992</v>
      </c>
      <c r="AS11" s="40">
        <f t="shared" ca="1" si="0"/>
        <v>4649.0692836199996</v>
      </c>
      <c r="AT11" s="40">
        <f t="shared" ca="1" si="0"/>
        <v>4669.3422974469995</v>
      </c>
      <c r="AU11" s="40">
        <f t="shared" ca="1" si="0"/>
        <v>4695.9007474729997</v>
      </c>
    </row>
    <row r="12" spans="1:47">
      <c r="A12"/>
      <c r="B12" s="2" t="s">
        <v>209</v>
      </c>
      <c r="C12" s="2">
        <v>2023</v>
      </c>
      <c r="D12" s="11">
        <v>17.635293765</v>
      </c>
      <c r="E12" s="11">
        <v>3.6679470740000002</v>
      </c>
      <c r="F12" s="11">
        <v>4.0495602597999998</v>
      </c>
      <c r="G12" s="11">
        <v>42.513471125999999</v>
      </c>
      <c r="H12" s="11">
        <v>64.843420227999999</v>
      </c>
      <c r="I12" s="11">
        <v>2.1703606073000001</v>
      </c>
      <c r="J12" s="11">
        <v>3.0242320914</v>
      </c>
      <c r="K12" s="11">
        <v>10.170963390000001</v>
      </c>
      <c r="L12" s="11">
        <v>8.1651628135000003</v>
      </c>
      <c r="M12" s="11">
        <v>0.89473254140000003</v>
      </c>
      <c r="N12" s="11">
        <v>14.5870227</v>
      </c>
      <c r="O12" s="11">
        <v>4.8424746798999996</v>
      </c>
      <c r="P12" s="11">
        <v>0.72206748430000001</v>
      </c>
      <c r="Q12" s="11">
        <v>2.6777978831999998</v>
      </c>
      <c r="R12" s="11">
        <v>2.8703048577999999</v>
      </c>
      <c r="S12" s="11">
        <v>0.1524590217</v>
      </c>
      <c r="T12" s="11">
        <v>0.74779676559999997</v>
      </c>
      <c r="U12" s="11">
        <v>2.9801013058999999</v>
      </c>
      <c r="V12" s="11">
        <v>1.7317514925999999</v>
      </c>
      <c r="W12" s="11">
        <v>4.7966944430999998</v>
      </c>
      <c r="X12" s="11">
        <v>1.5282890552999999</v>
      </c>
      <c r="Y12" s="11">
        <v>3.570192429</v>
      </c>
      <c r="Z12" s="11">
        <v>1.0572469973</v>
      </c>
      <c r="AA12" s="11">
        <v>1.0741266776</v>
      </c>
      <c r="AB12" s="11">
        <v>0.3468794315</v>
      </c>
      <c r="AD12" s="2" t="str">
        <f t="shared" ref="AD12:AD75" si="1">B12</f>
        <v>HV</v>
      </c>
      <c r="AE12" s="2">
        <f t="shared" ref="AE12:AE75" si="2">C12</f>
        <v>2023</v>
      </c>
      <c r="AF12" s="21">
        <f t="shared" ref="AF12:AF75" si="3">SUM(D12:AB12)</f>
        <v>200.8203491212</v>
      </c>
      <c r="AG12" s="21">
        <f t="shared" ref="AG12:AG75" ca="1" si="4">IFERROR(OFFSET($C12,0,MATCH($AG$10,$D$9:$AB$9,0)),$AF12)</f>
        <v>1.5282890552999999</v>
      </c>
      <c r="AI12" s="2" t="str">
        <f>$AI$17</f>
        <v>All areas</v>
      </c>
      <c r="AJ12" s="2" t="str">
        <v>HV</v>
      </c>
      <c r="AK12" s="40">
        <f ca="1">SUMIFS(OFFSET($AF$11:$AF$85,0,MATCH($AI12,$AF$10:$AG$10,0)-1),$AD$11:$AD$85,$AJ12,$AE$11:$AE$85,AK$10)</f>
        <v>193.59803003400003</v>
      </c>
      <c r="AL12" s="40">
        <f t="shared" ca="1" si="0"/>
        <v>192.64849716809999</v>
      </c>
      <c r="AM12" s="40">
        <f t="shared" ca="1" si="0"/>
        <v>189.2249753248</v>
      </c>
      <c r="AN12" s="40">
        <f t="shared" ca="1" si="0"/>
        <v>189.09101439249997</v>
      </c>
      <c r="AO12" s="40">
        <f t="shared" ca="1" si="0"/>
        <v>188.67154645769998</v>
      </c>
      <c r="AP12" s="40">
        <f t="shared" ca="1" si="0"/>
        <v>188.29497653129999</v>
      </c>
      <c r="AQ12" s="40">
        <f t="shared" ca="1" si="0"/>
        <v>188.03341301480003</v>
      </c>
      <c r="AR12" s="40">
        <f t="shared" ca="1" si="0"/>
        <v>188.65502560269994</v>
      </c>
      <c r="AS12" s="40">
        <f t="shared" ca="1" si="0"/>
        <v>189.26737236110003</v>
      </c>
      <c r="AT12" s="40">
        <f t="shared" ca="1" si="0"/>
        <v>189.78067669559999</v>
      </c>
      <c r="AU12" s="40">
        <f t="shared" ca="1" si="0"/>
        <v>190.54007444610002</v>
      </c>
    </row>
    <row r="13" spans="1:47">
      <c r="A13"/>
      <c r="B13" s="2" t="s">
        <v>209</v>
      </c>
      <c r="C13" s="2">
        <v>2024</v>
      </c>
      <c r="D13" s="11">
        <v>17.610192571999999</v>
      </c>
      <c r="E13" s="11">
        <v>3.5724061160999998</v>
      </c>
      <c r="F13" s="11">
        <v>3.9981980013</v>
      </c>
      <c r="G13" s="11">
        <v>35.762049761999997</v>
      </c>
      <c r="H13" s="11">
        <v>63.446490855</v>
      </c>
      <c r="I13" s="11">
        <v>2.1287967699000001</v>
      </c>
      <c r="J13" s="11">
        <v>2.9574322538</v>
      </c>
      <c r="K13" s="11">
        <v>11.714714003999999</v>
      </c>
      <c r="L13" s="11">
        <v>7.9909384327000001</v>
      </c>
      <c r="M13" s="11">
        <v>0.89222850760000005</v>
      </c>
      <c r="N13" s="11">
        <v>14.548731761999999</v>
      </c>
      <c r="O13" s="11">
        <v>4.8190538319999998</v>
      </c>
      <c r="P13" s="11">
        <v>0.71704245560000002</v>
      </c>
      <c r="Q13" s="11">
        <v>2.7390029267</v>
      </c>
      <c r="R13" s="11">
        <v>2.8374186902999998</v>
      </c>
      <c r="S13" s="11">
        <v>0.14996634310000001</v>
      </c>
      <c r="T13" s="11">
        <v>0.72967375980000004</v>
      </c>
      <c r="U13" s="11">
        <v>2.9422236274000002</v>
      </c>
      <c r="V13" s="11">
        <v>1.7197223074000001</v>
      </c>
      <c r="W13" s="11">
        <v>4.7826234868000004</v>
      </c>
      <c r="X13" s="11">
        <v>1.5082412588</v>
      </c>
      <c r="Y13" s="11">
        <v>3.5653344596999998</v>
      </c>
      <c r="Z13" s="11">
        <v>1.0493786226999999</v>
      </c>
      <c r="AA13" s="11">
        <v>1.0678729026</v>
      </c>
      <c r="AB13" s="11">
        <v>0.34829632469999999</v>
      </c>
      <c r="AD13" s="2" t="str">
        <f t="shared" si="1"/>
        <v>HV</v>
      </c>
      <c r="AE13" s="2">
        <f t="shared" si="2"/>
        <v>2024</v>
      </c>
      <c r="AF13" s="21">
        <f t="shared" si="3"/>
        <v>193.59803003400003</v>
      </c>
      <c r="AG13" s="21">
        <f t="shared" ca="1" si="4"/>
        <v>1.5082412588</v>
      </c>
      <c r="AI13" s="2" t="str">
        <f>$AI$17</f>
        <v>All areas</v>
      </c>
      <c r="AJ13" s="2" t="str">
        <v>ST</v>
      </c>
      <c r="AK13" s="40">
        <f ca="1">SUMIFS(OFFSET($AF$11:$AF$85,0,MATCH($AI13,$AF$10:$AG$10,0)-1),$AD$11:$AD$85,$AJ13,$AE$11:$AE$85,AK$10)</f>
        <v>626.49901795129779</v>
      </c>
      <c r="AL13" s="40">
        <f t="shared" ca="1" si="0"/>
        <v>668.41718345264735</v>
      </c>
      <c r="AM13" s="40">
        <f t="shared" ca="1" si="0"/>
        <v>723.99064526006418</v>
      </c>
      <c r="AN13" s="40">
        <f t="shared" ca="1" si="0"/>
        <v>772.31123526756369</v>
      </c>
      <c r="AO13" s="40">
        <f t="shared" ca="1" si="0"/>
        <v>817.14460081305776</v>
      </c>
      <c r="AP13" s="40">
        <f t="shared" ca="1" si="0"/>
        <v>866.15474511995762</v>
      </c>
      <c r="AQ13" s="40">
        <f t="shared" ca="1" si="0"/>
        <v>888.96843816995761</v>
      </c>
      <c r="AR13" s="40">
        <f t="shared" ca="1" si="0"/>
        <v>912.23213121995764</v>
      </c>
      <c r="AS13" s="40">
        <f t="shared" ca="1" si="0"/>
        <v>916.55325157495781</v>
      </c>
      <c r="AT13" s="40">
        <f t="shared" ca="1" si="0"/>
        <v>920.87437192995776</v>
      </c>
      <c r="AU13" s="40">
        <f t="shared" ca="1" si="0"/>
        <v>925.19549228495771</v>
      </c>
    </row>
    <row r="14" spans="1:47">
      <c r="A14"/>
      <c r="B14" s="2" t="s">
        <v>209</v>
      </c>
      <c r="C14" s="2">
        <v>2025</v>
      </c>
      <c r="D14" s="11">
        <v>17.389489237999999</v>
      </c>
      <c r="E14" s="11">
        <v>3.5040323703</v>
      </c>
      <c r="F14" s="11">
        <v>3.9589954676999999</v>
      </c>
      <c r="G14" s="11">
        <v>35.358732117999999</v>
      </c>
      <c r="H14" s="11">
        <v>62.356074556000003</v>
      </c>
      <c r="I14" s="11">
        <v>2.1203927398000002</v>
      </c>
      <c r="J14" s="11">
        <v>2.9127897935</v>
      </c>
      <c r="K14" s="11">
        <v>12.981487094</v>
      </c>
      <c r="L14" s="11">
        <v>7.8863630790999997</v>
      </c>
      <c r="M14" s="11">
        <v>0.89013232850000001</v>
      </c>
      <c r="N14" s="11">
        <v>14.494881361999999</v>
      </c>
      <c r="O14" s="11">
        <v>4.8303267658999998</v>
      </c>
      <c r="P14" s="11">
        <v>0.71196998209999995</v>
      </c>
      <c r="Q14" s="11">
        <v>2.7087606210000001</v>
      </c>
      <c r="R14" s="11">
        <v>2.8099517327000001</v>
      </c>
      <c r="S14" s="11">
        <v>0.14775335689999999</v>
      </c>
      <c r="T14" s="11">
        <v>0.7182215555</v>
      </c>
      <c r="U14" s="11">
        <v>2.9042459859999998</v>
      </c>
      <c r="V14" s="11">
        <v>1.7009078290999999</v>
      </c>
      <c r="W14" s="11">
        <v>4.7694749748999996</v>
      </c>
      <c r="X14" s="11">
        <v>1.4819015716999999</v>
      </c>
      <c r="Y14" s="11">
        <v>3.5601258585000002</v>
      </c>
      <c r="Z14" s="11">
        <v>1.0419733034000001</v>
      </c>
      <c r="AA14" s="11">
        <v>1.0613246348000001</v>
      </c>
      <c r="AB14" s="11">
        <v>0.3481888487</v>
      </c>
      <c r="AD14" s="2" t="str">
        <f t="shared" si="1"/>
        <v>HV</v>
      </c>
      <c r="AE14" s="2">
        <f t="shared" si="2"/>
        <v>2025</v>
      </c>
      <c r="AF14" s="21">
        <f t="shared" si="3"/>
        <v>192.64849716809999</v>
      </c>
      <c r="AG14" s="21">
        <f t="shared" ca="1" si="4"/>
        <v>1.4819015716999999</v>
      </c>
      <c r="AI14" s="2" t="str">
        <f>$AI$17</f>
        <v>All areas</v>
      </c>
      <c r="AJ14" s="2" t="s">
        <v>73</v>
      </c>
      <c r="AK14" s="40">
        <f ca="1">SUM(AK11:AK13)</f>
        <v>5514.6652206792969</v>
      </c>
      <c r="AL14" s="40">
        <f t="shared" ref="AL14:AU14" ca="1" si="5">SUM(AL11:AL13)</f>
        <v>5510.3802303517477</v>
      </c>
      <c r="AM14" s="40">
        <f t="shared" ca="1" si="5"/>
        <v>5527.3204533838643</v>
      </c>
      <c r="AN14" s="40">
        <f t="shared" ca="1" si="5"/>
        <v>5576.7143919550635</v>
      </c>
      <c r="AO14" s="40">
        <f t="shared" ca="1" si="5"/>
        <v>5615.086292773758</v>
      </c>
      <c r="AP14" s="40">
        <f t="shared" ca="1" si="5"/>
        <v>5657.6521838372582</v>
      </c>
      <c r="AQ14" s="40">
        <f t="shared" ca="1" si="5"/>
        <v>5678.2931209907583</v>
      </c>
      <c r="AR14" s="40">
        <f t="shared" ca="1" si="5"/>
        <v>5726.232178592657</v>
      </c>
      <c r="AS14" s="40">
        <f t="shared" ca="1" si="5"/>
        <v>5754.8899075560566</v>
      </c>
      <c r="AT14" s="40">
        <f t="shared" ca="1" si="5"/>
        <v>5779.9973460725578</v>
      </c>
      <c r="AU14" s="40">
        <f t="shared" ca="1" si="5"/>
        <v>5811.6363142040573</v>
      </c>
    </row>
    <row r="15" spans="1:47">
      <c r="A15"/>
      <c r="B15" s="2" t="s">
        <v>209</v>
      </c>
      <c r="C15" s="2">
        <v>2026</v>
      </c>
      <c r="D15" s="11">
        <v>17.339242539000001</v>
      </c>
      <c r="E15" s="11">
        <v>3.4735233772999998</v>
      </c>
      <c r="F15" s="11">
        <v>3.9443184727</v>
      </c>
      <c r="G15" s="11">
        <v>35.175888483999998</v>
      </c>
      <c r="H15" s="11">
        <v>61.777659487000001</v>
      </c>
      <c r="I15" s="11">
        <v>2.1233195048</v>
      </c>
      <c r="J15" s="11">
        <v>2.8991594212999998</v>
      </c>
      <c r="K15" s="11">
        <v>10.625567441999999</v>
      </c>
      <c r="L15" s="11">
        <v>7.8607925816000002</v>
      </c>
      <c r="M15" s="11">
        <v>0.889339039</v>
      </c>
      <c r="N15" s="11">
        <v>14.439742019000001</v>
      </c>
      <c r="O15" s="11">
        <v>4.8158963198000002</v>
      </c>
      <c r="P15" s="11">
        <v>0.7083210794</v>
      </c>
      <c r="Q15" s="11">
        <v>2.6935425599</v>
      </c>
      <c r="R15" s="11">
        <v>2.7979610017000001</v>
      </c>
      <c r="S15" s="11">
        <v>0.1461438253</v>
      </c>
      <c r="T15" s="11">
        <v>0.715085686</v>
      </c>
      <c r="U15" s="11">
        <v>2.8847162233999999</v>
      </c>
      <c r="V15" s="11">
        <v>1.6828968271</v>
      </c>
      <c r="W15" s="11">
        <v>4.7602697939</v>
      </c>
      <c r="X15" s="11">
        <v>1.4730759280000001</v>
      </c>
      <c r="Y15" s="11">
        <v>3.5583231683999998</v>
      </c>
      <c r="Z15" s="11">
        <v>1.0373187013</v>
      </c>
      <c r="AA15" s="11">
        <v>1.0559076399</v>
      </c>
      <c r="AB15" s="11">
        <v>0.34696420300000003</v>
      </c>
      <c r="AD15" s="2" t="str">
        <f t="shared" si="1"/>
        <v>HV</v>
      </c>
      <c r="AE15" s="2">
        <f t="shared" si="2"/>
        <v>2026</v>
      </c>
      <c r="AF15" s="21">
        <f t="shared" si="3"/>
        <v>189.2249753248</v>
      </c>
      <c r="AG15" s="21">
        <f t="shared" ca="1" si="4"/>
        <v>1.4730759280000001</v>
      </c>
    </row>
    <row r="16" spans="1:47">
      <c r="A16"/>
      <c r="B16" s="2" t="s">
        <v>209</v>
      </c>
      <c r="C16" s="2">
        <v>2027</v>
      </c>
      <c r="D16" s="11">
        <v>17.379003044000001</v>
      </c>
      <c r="E16" s="11">
        <v>3.4700882481000002</v>
      </c>
      <c r="F16" s="11">
        <v>3.9511541224000002</v>
      </c>
      <c r="G16" s="11">
        <v>35.185004503999998</v>
      </c>
      <c r="H16" s="11">
        <v>61.618315015999997</v>
      </c>
      <c r="I16" s="11">
        <v>2.1325790446999999</v>
      </c>
      <c r="J16" s="11">
        <v>2.8997117799000001</v>
      </c>
      <c r="K16" s="11">
        <v>10.621585073</v>
      </c>
      <c r="L16" s="11">
        <v>7.8638073177000001</v>
      </c>
      <c r="M16" s="11">
        <v>0.88975636930000002</v>
      </c>
      <c r="N16" s="11">
        <v>14.423835294</v>
      </c>
      <c r="O16" s="11">
        <v>4.8199030046000004</v>
      </c>
      <c r="P16" s="11">
        <v>0.70742077140000004</v>
      </c>
      <c r="Q16" s="11">
        <v>2.6862012247</v>
      </c>
      <c r="R16" s="11">
        <v>2.7974941480000002</v>
      </c>
      <c r="S16" s="11">
        <v>0.14523999730000001</v>
      </c>
      <c r="T16" s="11">
        <v>0.7151438081</v>
      </c>
      <c r="U16" s="11">
        <v>2.8766566111</v>
      </c>
      <c r="V16" s="11">
        <v>1.6742651158999999</v>
      </c>
      <c r="W16" s="11">
        <v>4.7569136082999997</v>
      </c>
      <c r="X16" s="11">
        <v>1.4794214827000001</v>
      </c>
      <c r="Y16" s="11">
        <v>3.5616033989</v>
      </c>
      <c r="Z16" s="11">
        <v>1.0355661775</v>
      </c>
      <c r="AA16" s="11">
        <v>1.0536962702999999</v>
      </c>
      <c r="AB16" s="11">
        <v>0.3466489606</v>
      </c>
      <c r="AD16" s="2" t="str">
        <f t="shared" si="1"/>
        <v>HV</v>
      </c>
      <c r="AE16" s="2">
        <f t="shared" si="2"/>
        <v>2027</v>
      </c>
      <c r="AF16" s="21">
        <f t="shared" si="3"/>
        <v>189.09101439249997</v>
      </c>
      <c r="AG16" s="21">
        <f t="shared" ca="1" si="4"/>
        <v>1.4794214827000001</v>
      </c>
      <c r="AI16" s="14" t="s">
        <v>119</v>
      </c>
      <c r="AJ16" s="14" t="s">
        <v>208</v>
      </c>
      <c r="AK16" s="14">
        <f>AK10</f>
        <v>2024</v>
      </c>
      <c r="AL16" s="14">
        <f t="shared" ref="AL16:AU16" si="6">AL10</f>
        <v>2025</v>
      </c>
      <c r="AM16" s="14">
        <f t="shared" si="6"/>
        <v>2026</v>
      </c>
      <c r="AN16" s="14">
        <f t="shared" si="6"/>
        <v>2027</v>
      </c>
      <c r="AO16" s="14">
        <f t="shared" si="6"/>
        <v>2028</v>
      </c>
      <c r="AP16" s="14">
        <f t="shared" si="6"/>
        <v>2029</v>
      </c>
      <c r="AQ16" s="14">
        <f t="shared" si="6"/>
        <v>2030</v>
      </c>
      <c r="AR16" s="14">
        <f t="shared" si="6"/>
        <v>2031</v>
      </c>
      <c r="AS16" s="14">
        <f t="shared" si="6"/>
        <v>2032</v>
      </c>
      <c r="AT16" s="14">
        <f t="shared" si="6"/>
        <v>2033</v>
      </c>
      <c r="AU16" s="14">
        <f t="shared" si="6"/>
        <v>2034</v>
      </c>
    </row>
    <row r="17" spans="1:47">
      <c r="A17"/>
      <c r="B17" s="2" t="s">
        <v>209</v>
      </c>
      <c r="C17" s="2">
        <v>2028</v>
      </c>
      <c r="D17" s="11">
        <v>17.400039401000001</v>
      </c>
      <c r="E17" s="11">
        <v>3.4577910489999999</v>
      </c>
      <c r="F17" s="11">
        <v>3.9513832549000001</v>
      </c>
      <c r="G17" s="11">
        <v>35.136807687999998</v>
      </c>
      <c r="H17" s="11">
        <v>61.348427237000003</v>
      </c>
      <c r="I17" s="11">
        <v>2.1390005344</v>
      </c>
      <c r="J17" s="11">
        <v>2.8956159655000002</v>
      </c>
      <c r="K17" s="11">
        <v>10.603602180999999</v>
      </c>
      <c r="L17" s="11">
        <v>7.8545818914999996</v>
      </c>
      <c r="M17" s="11">
        <v>0.88988480459999997</v>
      </c>
      <c r="N17" s="11">
        <v>14.394067069</v>
      </c>
      <c r="O17" s="11">
        <v>4.814286708</v>
      </c>
      <c r="P17" s="11">
        <v>0.70535259939999995</v>
      </c>
      <c r="Q17" s="11">
        <v>2.6750688079999998</v>
      </c>
      <c r="R17" s="11">
        <v>2.7954383588999998</v>
      </c>
      <c r="S17" s="11">
        <v>0.1440707349</v>
      </c>
      <c r="T17" s="11">
        <v>0.71406448970000003</v>
      </c>
      <c r="U17" s="11">
        <v>2.8642373610999998</v>
      </c>
      <c r="V17" s="11">
        <v>1.6632287193999999</v>
      </c>
      <c r="W17" s="11">
        <v>4.7508971434999996</v>
      </c>
      <c r="X17" s="11">
        <v>1.4816184169</v>
      </c>
      <c r="Y17" s="11">
        <v>3.5633871855999999</v>
      </c>
      <c r="Z17" s="11">
        <v>1.0323187194000001</v>
      </c>
      <c r="AA17" s="11">
        <v>1.050564778</v>
      </c>
      <c r="AB17" s="11">
        <v>0.34581135899999998</v>
      </c>
      <c r="AD17" s="2" t="str">
        <f t="shared" si="1"/>
        <v>HV</v>
      </c>
      <c r="AE17" s="2">
        <f t="shared" si="2"/>
        <v>2028</v>
      </c>
      <c r="AF17" s="21">
        <f t="shared" si="3"/>
        <v>188.67154645769998</v>
      </c>
      <c r="AG17" s="21">
        <f t="shared" ca="1" si="4"/>
        <v>1.4816184169</v>
      </c>
      <c r="AI17" s="4" t="s">
        <v>178</v>
      </c>
      <c r="AJ17" s="4" t="s">
        <v>73</v>
      </c>
      <c r="AK17" s="40">
        <f t="shared" ref="AK17:AU17" ca="1" si="7">SUMIFS(AK$11:AK$14,$AJ$11:$AJ$14,$AJ17)</f>
        <v>5514.6652206792969</v>
      </c>
      <c r="AL17" s="40">
        <f t="shared" ca="1" si="7"/>
        <v>5510.3802303517477</v>
      </c>
      <c r="AM17" s="40">
        <f t="shared" ca="1" si="7"/>
        <v>5527.3204533838643</v>
      </c>
      <c r="AN17" s="40">
        <f t="shared" ca="1" si="7"/>
        <v>5576.7143919550635</v>
      </c>
      <c r="AO17" s="40">
        <f t="shared" ca="1" si="7"/>
        <v>5615.086292773758</v>
      </c>
      <c r="AP17" s="40">
        <f t="shared" ca="1" si="7"/>
        <v>5657.6521838372582</v>
      </c>
      <c r="AQ17" s="40">
        <f t="shared" ca="1" si="7"/>
        <v>5678.2931209907583</v>
      </c>
      <c r="AR17" s="40">
        <f t="shared" ca="1" si="7"/>
        <v>5726.232178592657</v>
      </c>
      <c r="AS17" s="40">
        <f t="shared" ca="1" si="7"/>
        <v>5754.8899075560566</v>
      </c>
      <c r="AT17" s="40">
        <f t="shared" ca="1" si="7"/>
        <v>5779.9973460725578</v>
      </c>
      <c r="AU17" s="40">
        <f t="shared" ca="1" si="7"/>
        <v>5811.6363142040573</v>
      </c>
    </row>
    <row r="18" spans="1:47">
      <c r="A18"/>
      <c r="B18" s="2" t="s">
        <v>209</v>
      </c>
      <c r="C18" s="2">
        <v>2029</v>
      </c>
      <c r="D18" s="11">
        <v>17.440102721999999</v>
      </c>
      <c r="E18" s="11">
        <v>3.4452313447999998</v>
      </c>
      <c r="F18" s="11">
        <v>3.9496863294</v>
      </c>
      <c r="G18" s="11">
        <v>35.105107287000003</v>
      </c>
      <c r="H18" s="11">
        <v>61.081092683999998</v>
      </c>
      <c r="I18" s="11">
        <v>2.1442442216000002</v>
      </c>
      <c r="J18" s="11">
        <v>2.8905057640999998</v>
      </c>
      <c r="K18" s="11">
        <v>10.595981202000001</v>
      </c>
      <c r="L18" s="11">
        <v>7.8458336051000002</v>
      </c>
      <c r="M18" s="11">
        <v>0.89017107049999999</v>
      </c>
      <c r="N18" s="11">
        <v>14.359233998000001</v>
      </c>
      <c r="O18" s="11">
        <v>4.8081501687000001</v>
      </c>
      <c r="P18" s="11">
        <v>0.70273406589999998</v>
      </c>
      <c r="Q18" s="11">
        <v>2.6617280577</v>
      </c>
      <c r="R18" s="11">
        <v>2.7996775014000002</v>
      </c>
      <c r="S18" s="11">
        <v>0.14323722859999999</v>
      </c>
      <c r="T18" s="11">
        <v>0.71289366669999998</v>
      </c>
      <c r="U18" s="11">
        <v>2.8504110530000002</v>
      </c>
      <c r="V18" s="11">
        <v>1.6504770769999999</v>
      </c>
      <c r="W18" s="11">
        <v>4.7438115685</v>
      </c>
      <c r="X18" s="11">
        <v>1.4851083779000001</v>
      </c>
      <c r="Y18" s="11">
        <v>3.5690524533999999</v>
      </c>
      <c r="Z18" s="11">
        <v>1.0281714420000001</v>
      </c>
      <c r="AA18" s="11">
        <v>1.0474847204</v>
      </c>
      <c r="AB18" s="11">
        <v>0.34484892160000002</v>
      </c>
      <c r="AD18" s="2" t="str">
        <f t="shared" si="1"/>
        <v>HV</v>
      </c>
      <c r="AE18" s="2">
        <f t="shared" si="2"/>
        <v>2029</v>
      </c>
      <c r="AF18" s="21">
        <f t="shared" si="3"/>
        <v>188.29497653129999</v>
      </c>
      <c r="AG18" s="21">
        <f t="shared" ca="1" si="4"/>
        <v>1.4851083779000001</v>
      </c>
    </row>
    <row r="19" spans="1:47">
      <c r="A19"/>
      <c r="B19" s="2" t="s">
        <v>209</v>
      </c>
      <c r="C19" s="2">
        <v>2030</v>
      </c>
      <c r="D19" s="11">
        <v>17.539097135999999</v>
      </c>
      <c r="E19" s="11">
        <v>3.4318149089999999</v>
      </c>
      <c r="F19" s="11">
        <v>3.9513800582999998</v>
      </c>
      <c r="G19" s="11">
        <v>35.116488210999997</v>
      </c>
      <c r="H19" s="11">
        <v>60.774009745999997</v>
      </c>
      <c r="I19" s="11">
        <v>2.1500137822999998</v>
      </c>
      <c r="J19" s="11">
        <v>2.8931420404999999</v>
      </c>
      <c r="K19" s="11">
        <v>10.618938</v>
      </c>
      <c r="L19" s="11">
        <v>7.8324304775</v>
      </c>
      <c r="M19" s="11">
        <v>0.89078437430000001</v>
      </c>
      <c r="N19" s="11">
        <v>14.327582035000001</v>
      </c>
      <c r="O19" s="11">
        <v>4.8042752266999997</v>
      </c>
      <c r="P19" s="11">
        <v>0.70023813690000003</v>
      </c>
      <c r="Q19" s="11">
        <v>2.6485880338999999</v>
      </c>
      <c r="R19" s="11">
        <v>2.8124477879000001</v>
      </c>
      <c r="S19" s="11">
        <v>0.1423586845</v>
      </c>
      <c r="T19" s="11">
        <v>0.71214870880000003</v>
      </c>
      <c r="U19" s="11">
        <v>2.8406168630000002</v>
      </c>
      <c r="V19" s="11">
        <v>1.6308520576000001</v>
      </c>
      <c r="W19" s="11">
        <v>4.7348443674</v>
      </c>
      <c r="X19" s="11">
        <v>1.4900523584000001</v>
      </c>
      <c r="Y19" s="11">
        <v>3.5800477914000002</v>
      </c>
      <c r="Z19" s="11">
        <v>1.0230546628999999</v>
      </c>
      <c r="AA19" s="11">
        <v>1.0443483399</v>
      </c>
      <c r="AB19" s="11">
        <v>0.34385922559999998</v>
      </c>
      <c r="AD19" s="2" t="str">
        <f t="shared" si="1"/>
        <v>HV</v>
      </c>
      <c r="AE19" s="2">
        <f t="shared" si="2"/>
        <v>2030</v>
      </c>
      <c r="AF19" s="21">
        <f t="shared" si="3"/>
        <v>188.03341301480003</v>
      </c>
      <c r="AG19" s="21">
        <f t="shared" ca="1" si="4"/>
        <v>1.4900523584000001</v>
      </c>
      <c r="AI19" s="5" t="str">
        <f>AI17&amp; " - " &amp;AJ17</f>
        <v>All areas - Total</v>
      </c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>
      <c r="A20"/>
      <c r="B20" s="2" t="s">
        <v>209</v>
      </c>
      <c r="C20" s="2">
        <v>2031</v>
      </c>
      <c r="D20" s="11">
        <v>17.696960416</v>
      </c>
      <c r="E20" s="11">
        <v>3.4382957578000002</v>
      </c>
      <c r="F20" s="11">
        <v>3.9722395979999998</v>
      </c>
      <c r="G20" s="11">
        <v>35.238299243999997</v>
      </c>
      <c r="H20" s="11">
        <v>60.857814423999997</v>
      </c>
      <c r="I20" s="11">
        <v>2.1628562318000002</v>
      </c>
      <c r="J20" s="11">
        <v>2.9104996512999999</v>
      </c>
      <c r="K20" s="11">
        <v>10.692474896</v>
      </c>
      <c r="L20" s="11">
        <v>7.8578763463000003</v>
      </c>
      <c r="M20" s="11">
        <v>0.89346784930000001</v>
      </c>
      <c r="N20" s="11">
        <v>14.346268085</v>
      </c>
      <c r="O20" s="11">
        <v>4.8217731213999997</v>
      </c>
      <c r="P20" s="11">
        <v>0.70098387549999996</v>
      </c>
      <c r="Q20" s="11">
        <v>2.6485104959000001</v>
      </c>
      <c r="R20" s="11">
        <v>2.8454435984000002</v>
      </c>
      <c r="S20" s="11">
        <v>0.14248449730000001</v>
      </c>
      <c r="T20" s="11">
        <v>0.7141503696</v>
      </c>
      <c r="U20" s="11">
        <v>2.8390490173999998</v>
      </c>
      <c r="V20" s="11">
        <v>1.6239453531000001</v>
      </c>
      <c r="W20" s="11">
        <v>4.7337050911</v>
      </c>
      <c r="X20" s="11">
        <v>1.5020478291999999</v>
      </c>
      <c r="Y20" s="11">
        <v>3.6000319967999999</v>
      </c>
      <c r="Z20" s="11">
        <v>1.0221874847000001</v>
      </c>
      <c r="AA20" s="11">
        <v>1.0492897081000001</v>
      </c>
      <c r="AB20" s="11">
        <v>0.3443706647</v>
      </c>
      <c r="AD20" s="2" t="str">
        <f t="shared" si="1"/>
        <v>HV</v>
      </c>
      <c r="AE20" s="2">
        <f t="shared" si="2"/>
        <v>2031</v>
      </c>
      <c r="AF20" s="21">
        <f t="shared" si="3"/>
        <v>188.65502560269994</v>
      </c>
      <c r="AG20" s="21">
        <f t="shared" ca="1" si="4"/>
        <v>1.5020478291999999</v>
      </c>
    </row>
    <row r="21" spans="1:47">
      <c r="A21"/>
      <c r="B21" s="2" t="s">
        <v>209</v>
      </c>
      <c r="C21" s="2">
        <v>2032</v>
      </c>
      <c r="D21" s="11">
        <v>17.850928286999999</v>
      </c>
      <c r="E21" s="11">
        <v>3.4424296880999998</v>
      </c>
      <c r="F21" s="11">
        <v>3.9925615978</v>
      </c>
      <c r="G21" s="11">
        <v>35.362372714000003</v>
      </c>
      <c r="H21" s="11">
        <v>60.935437837000002</v>
      </c>
      <c r="I21" s="11">
        <v>2.1745827305000001</v>
      </c>
      <c r="J21" s="11">
        <v>2.9289841928000002</v>
      </c>
      <c r="K21" s="11">
        <v>10.777795380000001</v>
      </c>
      <c r="L21" s="11">
        <v>7.8768919534000004</v>
      </c>
      <c r="M21" s="11">
        <v>0.89729399659999998</v>
      </c>
      <c r="N21" s="11">
        <v>14.370439577999999</v>
      </c>
      <c r="O21" s="11">
        <v>4.8410723893999998</v>
      </c>
      <c r="P21" s="11">
        <v>0.70134605800000005</v>
      </c>
      <c r="Q21" s="11">
        <v>2.6467082923</v>
      </c>
      <c r="R21" s="11">
        <v>2.8737358606000001</v>
      </c>
      <c r="S21" s="11">
        <v>0.14281584750000001</v>
      </c>
      <c r="T21" s="11">
        <v>0.71619976529999996</v>
      </c>
      <c r="U21" s="11">
        <v>2.8370293934999999</v>
      </c>
      <c r="V21" s="11">
        <v>1.6151105276</v>
      </c>
      <c r="W21" s="11">
        <v>4.7316193972000002</v>
      </c>
      <c r="X21" s="11">
        <v>1.5138515656</v>
      </c>
      <c r="Y21" s="11">
        <v>3.6172411210000002</v>
      </c>
      <c r="Z21" s="11">
        <v>1.0210973720000001</v>
      </c>
      <c r="AA21" s="11">
        <v>1.0550950494</v>
      </c>
      <c r="AB21" s="11">
        <v>0.34473176649999998</v>
      </c>
      <c r="AD21" s="2" t="str">
        <f t="shared" si="1"/>
        <v>HV</v>
      </c>
      <c r="AE21" s="2">
        <f t="shared" si="2"/>
        <v>2032</v>
      </c>
      <c r="AF21" s="21">
        <f t="shared" si="3"/>
        <v>189.26737236110003</v>
      </c>
      <c r="AG21" s="21">
        <f t="shared" ca="1" si="4"/>
        <v>1.5138515656</v>
      </c>
    </row>
    <row r="22" spans="1:47">
      <c r="A22"/>
      <c r="B22" s="2" t="s">
        <v>209</v>
      </c>
      <c r="C22" s="2">
        <v>2033</v>
      </c>
      <c r="D22" s="11">
        <v>17.980768260000001</v>
      </c>
      <c r="E22" s="11">
        <v>3.4427366355000002</v>
      </c>
      <c r="F22" s="11">
        <v>4.0125343154999999</v>
      </c>
      <c r="G22" s="11">
        <v>35.462052458999999</v>
      </c>
      <c r="H22" s="11">
        <v>60.998327633000002</v>
      </c>
      <c r="I22" s="11">
        <v>2.1861584344999998</v>
      </c>
      <c r="J22" s="11">
        <v>2.9428383169000001</v>
      </c>
      <c r="K22" s="11">
        <v>10.867909149999999</v>
      </c>
      <c r="L22" s="11">
        <v>7.8954103573000003</v>
      </c>
      <c r="M22" s="11">
        <v>0.90017016260000005</v>
      </c>
      <c r="N22" s="11">
        <v>14.383902424</v>
      </c>
      <c r="O22" s="11">
        <v>4.8589638130999999</v>
      </c>
      <c r="P22" s="11">
        <v>0.70141670280000001</v>
      </c>
      <c r="Q22" s="11">
        <v>2.6433476998000001</v>
      </c>
      <c r="R22" s="11">
        <v>2.8954002119000002</v>
      </c>
      <c r="S22" s="11">
        <v>0.14292207479999999</v>
      </c>
      <c r="T22" s="11">
        <v>0.71797801309999998</v>
      </c>
      <c r="U22" s="11">
        <v>2.8328020657000001</v>
      </c>
      <c r="V22" s="11">
        <v>1.6050723310999999</v>
      </c>
      <c r="W22" s="11">
        <v>4.7283536224000002</v>
      </c>
      <c r="X22" s="11">
        <v>1.5252137416</v>
      </c>
      <c r="Y22" s="11">
        <v>3.6298141185000001</v>
      </c>
      <c r="Z22" s="11">
        <v>1.0226865077</v>
      </c>
      <c r="AA22" s="11">
        <v>1.0592744520999999</v>
      </c>
      <c r="AB22" s="11">
        <v>0.34462319270000003</v>
      </c>
      <c r="AD22" s="2" t="str">
        <f t="shared" si="1"/>
        <v>HV</v>
      </c>
      <c r="AE22" s="2">
        <f t="shared" si="2"/>
        <v>2033</v>
      </c>
      <c r="AF22" s="21">
        <f t="shared" si="3"/>
        <v>189.78067669559999</v>
      </c>
      <c r="AG22" s="21">
        <f t="shared" ca="1" si="4"/>
        <v>1.5252137416</v>
      </c>
    </row>
    <row r="23" spans="1:47">
      <c r="A23"/>
      <c r="B23" s="2" t="s">
        <v>209</v>
      </c>
      <c r="C23" s="2">
        <v>2034</v>
      </c>
      <c r="D23" s="11">
        <v>18.135618546</v>
      </c>
      <c r="E23" s="11">
        <v>3.4486060426999998</v>
      </c>
      <c r="F23" s="11">
        <v>4.0361474362000003</v>
      </c>
      <c r="G23" s="11">
        <v>35.613865453999999</v>
      </c>
      <c r="H23" s="11">
        <v>61.154120677999998</v>
      </c>
      <c r="I23" s="11">
        <v>2.1981992645999999</v>
      </c>
      <c r="J23" s="11">
        <v>2.9597894238000002</v>
      </c>
      <c r="K23" s="11">
        <v>10.980239396</v>
      </c>
      <c r="L23" s="11">
        <v>7.9226446265000003</v>
      </c>
      <c r="M23" s="11">
        <v>0.90356244760000004</v>
      </c>
      <c r="N23" s="11">
        <v>14.406102741</v>
      </c>
      <c r="O23" s="11">
        <v>4.8793504323999999</v>
      </c>
      <c r="P23" s="11">
        <v>0.70215477940000004</v>
      </c>
      <c r="Q23" s="11">
        <v>2.6408578426</v>
      </c>
      <c r="R23" s="11">
        <v>2.9202799277000002</v>
      </c>
      <c r="S23" s="11">
        <v>0.1433519174</v>
      </c>
      <c r="T23" s="11">
        <v>0.72047711240000001</v>
      </c>
      <c r="U23" s="11">
        <v>2.8344728708</v>
      </c>
      <c r="V23" s="11">
        <v>1.5981830772000001</v>
      </c>
      <c r="W23" s="11">
        <v>4.7260713679000004</v>
      </c>
      <c r="X23" s="11">
        <v>1.5409131325000001</v>
      </c>
      <c r="Y23" s="11">
        <v>3.6422686017000001</v>
      </c>
      <c r="Z23" s="11">
        <v>1.0235702143000001</v>
      </c>
      <c r="AA23" s="11">
        <v>1.0645501435</v>
      </c>
      <c r="AB23" s="11">
        <v>0.34467696990000002</v>
      </c>
      <c r="AD23" s="2" t="str">
        <f t="shared" si="1"/>
        <v>HV</v>
      </c>
      <c r="AE23" s="2">
        <f t="shared" si="2"/>
        <v>2034</v>
      </c>
      <c r="AF23" s="21">
        <f t="shared" si="3"/>
        <v>190.54007444610002</v>
      </c>
      <c r="AG23" s="21">
        <f t="shared" ca="1" si="4"/>
        <v>1.5409131325000001</v>
      </c>
    </row>
    <row r="24" spans="1:47">
      <c r="A24"/>
      <c r="B24" s="2" t="s">
        <v>209</v>
      </c>
      <c r="C24" s="2">
        <v>2035</v>
      </c>
      <c r="D24" s="11">
        <v>18.282787376000002</v>
      </c>
      <c r="E24" s="11">
        <v>3.4455481510000001</v>
      </c>
      <c r="F24" s="11">
        <v>4.0812611663</v>
      </c>
      <c r="G24" s="11">
        <v>35.726816962999997</v>
      </c>
      <c r="H24" s="11">
        <v>61.468467642</v>
      </c>
      <c r="I24" s="11">
        <v>2.2063617592</v>
      </c>
      <c r="J24" s="11">
        <v>2.9748338563000001</v>
      </c>
      <c r="K24" s="11">
        <v>11.109415492</v>
      </c>
      <c r="L24" s="11">
        <v>7.9426389435999996</v>
      </c>
      <c r="M24" s="11">
        <v>0.90758548920000004</v>
      </c>
      <c r="N24" s="11">
        <v>14.447281981</v>
      </c>
      <c r="O24" s="11">
        <v>4.9107675902999999</v>
      </c>
      <c r="P24" s="11">
        <v>0.70400882129999998</v>
      </c>
      <c r="Q24" s="11">
        <v>2.6442848424999998</v>
      </c>
      <c r="R24" s="11">
        <v>2.9455421029000002</v>
      </c>
      <c r="S24" s="11">
        <v>0.14371890170000001</v>
      </c>
      <c r="T24" s="11">
        <v>0.72389573299999999</v>
      </c>
      <c r="U24" s="11">
        <v>2.8341089316999999</v>
      </c>
      <c r="V24" s="11">
        <v>1.6011320653000001</v>
      </c>
      <c r="W24" s="11">
        <v>4.7296133666999998</v>
      </c>
      <c r="X24" s="11">
        <v>1.5541783771</v>
      </c>
      <c r="Y24" s="11">
        <v>3.6515000604000001</v>
      </c>
      <c r="Z24" s="11">
        <v>1.0240960952</v>
      </c>
      <c r="AA24" s="11">
        <v>1.0714126820000001</v>
      </c>
      <c r="AB24" s="11">
        <v>0.34531412379999998</v>
      </c>
      <c r="AD24" s="2" t="str">
        <f t="shared" si="1"/>
        <v>HV</v>
      </c>
      <c r="AE24" s="2">
        <f t="shared" si="2"/>
        <v>2035</v>
      </c>
      <c r="AF24" s="21">
        <f t="shared" si="3"/>
        <v>191.47657251349997</v>
      </c>
      <c r="AG24" s="21">
        <f t="shared" ca="1" si="4"/>
        <v>1.5541783771</v>
      </c>
    </row>
    <row r="25" spans="1:47">
      <c r="A25"/>
      <c r="B25" s="2" t="s">
        <v>209</v>
      </c>
      <c r="C25" s="2">
        <v>2036</v>
      </c>
      <c r="D25" s="11">
        <v>18.426886373999999</v>
      </c>
      <c r="E25" s="11">
        <v>3.4416693085999999</v>
      </c>
      <c r="F25" s="11">
        <v>4.1244788551999996</v>
      </c>
      <c r="G25" s="11">
        <v>35.831996173999997</v>
      </c>
      <c r="H25" s="11">
        <v>61.757464182</v>
      </c>
      <c r="I25" s="11">
        <v>2.2137048357000002</v>
      </c>
      <c r="J25" s="11">
        <v>2.9900605401</v>
      </c>
      <c r="K25" s="11">
        <v>11.234467561000001</v>
      </c>
      <c r="L25" s="11">
        <v>7.9601482991000001</v>
      </c>
      <c r="M25" s="11">
        <v>0.91178385770000003</v>
      </c>
      <c r="N25" s="11">
        <v>14.486124413000001</v>
      </c>
      <c r="O25" s="11">
        <v>4.9460707361000003</v>
      </c>
      <c r="P25" s="11">
        <v>0.7055225007</v>
      </c>
      <c r="Q25" s="11">
        <v>2.6452464446000001</v>
      </c>
      <c r="R25" s="11">
        <v>2.9696956624999999</v>
      </c>
      <c r="S25" s="11">
        <v>0.14449547169999999</v>
      </c>
      <c r="T25" s="11">
        <v>0.72699548970000005</v>
      </c>
      <c r="U25" s="11">
        <v>2.8362806054999998</v>
      </c>
      <c r="V25" s="11">
        <v>1.6038952717999999</v>
      </c>
      <c r="W25" s="11">
        <v>4.732861904</v>
      </c>
      <c r="X25" s="11">
        <v>1.5670882888</v>
      </c>
      <c r="Y25" s="11">
        <v>3.6606630186000002</v>
      </c>
      <c r="Z25" s="11">
        <v>1.0243345675</v>
      </c>
      <c r="AA25" s="11">
        <v>1.0804751647999999</v>
      </c>
      <c r="AB25" s="11">
        <v>0.34582523479999999</v>
      </c>
      <c r="AD25" s="2" t="str">
        <f t="shared" si="1"/>
        <v>HV</v>
      </c>
      <c r="AE25" s="2">
        <f t="shared" si="2"/>
        <v>2036</v>
      </c>
      <c r="AF25" s="21">
        <f t="shared" si="3"/>
        <v>192.36823476149999</v>
      </c>
      <c r="AG25" s="21">
        <f t="shared" ca="1" si="4"/>
        <v>1.5670882888</v>
      </c>
    </row>
    <row r="26" spans="1:47">
      <c r="A26"/>
      <c r="B26" s="2" t="s">
        <v>209</v>
      </c>
      <c r="C26" s="2">
        <v>2037</v>
      </c>
      <c r="D26" s="11">
        <v>18.541282744</v>
      </c>
      <c r="E26" s="11">
        <v>3.4274348005999999</v>
      </c>
      <c r="F26" s="11">
        <v>4.1626350777000001</v>
      </c>
      <c r="G26" s="11">
        <v>35.877406069000003</v>
      </c>
      <c r="H26" s="11">
        <v>61.944933802000001</v>
      </c>
      <c r="I26" s="11">
        <v>2.2195876345999999</v>
      </c>
      <c r="J26" s="11">
        <v>2.9998842944000002</v>
      </c>
      <c r="K26" s="11">
        <v>11.349750944</v>
      </c>
      <c r="L26" s="11">
        <v>7.9705733653999999</v>
      </c>
      <c r="M26" s="11">
        <v>0.91701369570000002</v>
      </c>
      <c r="N26" s="11">
        <v>14.512231066</v>
      </c>
      <c r="O26" s="11">
        <v>4.9676795617999998</v>
      </c>
      <c r="P26" s="11">
        <v>0.70619462310000003</v>
      </c>
      <c r="Q26" s="11">
        <v>2.6446822709000002</v>
      </c>
      <c r="R26" s="11">
        <v>2.9898702648</v>
      </c>
      <c r="S26" s="11">
        <v>0.1451265541</v>
      </c>
      <c r="T26" s="11">
        <v>0.72949668339999996</v>
      </c>
      <c r="U26" s="11">
        <v>2.8310410861999999</v>
      </c>
      <c r="V26" s="11">
        <v>1.6027404463999999</v>
      </c>
      <c r="W26" s="11">
        <v>4.7347989053999999</v>
      </c>
      <c r="X26" s="11">
        <v>1.5757365774000001</v>
      </c>
      <c r="Y26" s="11">
        <v>3.6682367427</v>
      </c>
      <c r="Z26" s="11">
        <v>1.0228120369</v>
      </c>
      <c r="AA26" s="11">
        <v>1.0876667953000001</v>
      </c>
      <c r="AB26" s="11">
        <v>0.34685005060000001</v>
      </c>
      <c r="AD26" s="2" t="str">
        <f t="shared" si="1"/>
        <v>HV</v>
      </c>
      <c r="AE26" s="2">
        <f t="shared" si="2"/>
        <v>2037</v>
      </c>
      <c r="AF26" s="21">
        <f t="shared" si="3"/>
        <v>192.97566609239999</v>
      </c>
      <c r="AG26" s="21">
        <f t="shared" ca="1" si="4"/>
        <v>1.5757365774000001</v>
      </c>
    </row>
    <row r="27" spans="1:47">
      <c r="A27"/>
      <c r="B27" s="2" t="s">
        <v>209</v>
      </c>
      <c r="C27" s="2">
        <v>2038</v>
      </c>
      <c r="D27" s="11">
        <v>18.643500871000001</v>
      </c>
      <c r="E27" s="11">
        <v>3.4073710358999998</v>
      </c>
      <c r="F27" s="11">
        <v>4.1918097258999998</v>
      </c>
      <c r="G27" s="11">
        <v>35.880522245000002</v>
      </c>
      <c r="H27" s="11">
        <v>61.995003060000002</v>
      </c>
      <c r="I27" s="11">
        <v>2.2240374437999999</v>
      </c>
      <c r="J27" s="11">
        <v>3.0068318316</v>
      </c>
      <c r="K27" s="11">
        <v>11.445406886000001</v>
      </c>
      <c r="L27" s="11">
        <v>7.9713556566000001</v>
      </c>
      <c r="M27" s="11">
        <v>0.92080028150000004</v>
      </c>
      <c r="N27" s="11">
        <v>14.518815183999999</v>
      </c>
      <c r="O27" s="11">
        <v>4.9870853792999998</v>
      </c>
      <c r="P27" s="11">
        <v>0.70744107229999997</v>
      </c>
      <c r="Q27" s="11">
        <v>2.6422338283000002</v>
      </c>
      <c r="R27" s="11">
        <v>3.0034936268000001</v>
      </c>
      <c r="S27" s="11">
        <v>0.1451501251</v>
      </c>
      <c r="T27" s="11">
        <v>0.73082243680000003</v>
      </c>
      <c r="U27" s="11">
        <v>2.8232746159</v>
      </c>
      <c r="V27" s="11">
        <v>1.5990566686000001</v>
      </c>
      <c r="W27" s="11">
        <v>4.7348873894999999</v>
      </c>
      <c r="X27" s="11">
        <v>1.5822444514</v>
      </c>
      <c r="Y27" s="11">
        <v>3.6730337661000001</v>
      </c>
      <c r="Z27" s="11">
        <v>1.0200959972999999</v>
      </c>
      <c r="AA27" s="11">
        <v>1.091826347</v>
      </c>
      <c r="AB27" s="11">
        <v>0.34691599210000001</v>
      </c>
      <c r="AD27" s="2" t="str">
        <f t="shared" si="1"/>
        <v>HV</v>
      </c>
      <c r="AE27" s="2">
        <f t="shared" si="2"/>
        <v>2038</v>
      </c>
      <c r="AF27" s="21">
        <f t="shared" si="3"/>
        <v>193.29301591780001</v>
      </c>
      <c r="AG27" s="21">
        <f t="shared" ca="1" si="4"/>
        <v>1.5822444514</v>
      </c>
    </row>
    <row r="28" spans="1:47">
      <c r="A28"/>
      <c r="B28" s="2" t="s">
        <v>209</v>
      </c>
      <c r="C28" s="2">
        <v>2039</v>
      </c>
      <c r="D28" s="11">
        <v>18.715914875999999</v>
      </c>
      <c r="E28" s="11">
        <v>3.3777998167000001</v>
      </c>
      <c r="F28" s="11">
        <v>4.2160584876999998</v>
      </c>
      <c r="G28" s="11">
        <v>35.829358022999998</v>
      </c>
      <c r="H28" s="11">
        <v>61.936743669999998</v>
      </c>
      <c r="I28" s="11">
        <v>2.2260728063999999</v>
      </c>
      <c r="J28" s="11">
        <v>3.0082842681000002</v>
      </c>
      <c r="K28" s="11">
        <v>11.530541096</v>
      </c>
      <c r="L28" s="11">
        <v>7.9633928719</v>
      </c>
      <c r="M28" s="11">
        <v>0.92467005280000003</v>
      </c>
      <c r="N28" s="11">
        <v>14.514705283</v>
      </c>
      <c r="O28" s="11">
        <v>5.0007603189000003</v>
      </c>
      <c r="P28" s="11">
        <v>0.70700349829999998</v>
      </c>
      <c r="Q28" s="11">
        <v>2.6356369935999999</v>
      </c>
      <c r="R28" s="11">
        <v>3.0139432611000001</v>
      </c>
      <c r="S28" s="11">
        <v>0.14506597069999999</v>
      </c>
      <c r="T28" s="11">
        <v>0.73138868379999999</v>
      </c>
      <c r="U28" s="11">
        <v>2.8118331833000001</v>
      </c>
      <c r="V28" s="11">
        <v>1.591575666</v>
      </c>
      <c r="W28" s="11">
        <v>4.7326634784000001</v>
      </c>
      <c r="X28" s="11">
        <v>1.5849482427999999</v>
      </c>
      <c r="Y28" s="11">
        <v>3.6759929286999999</v>
      </c>
      <c r="Z28" s="11">
        <v>1.0162254207999999</v>
      </c>
      <c r="AA28" s="11">
        <v>1.0954849231999999</v>
      </c>
      <c r="AB28" s="11">
        <v>0.34683255730000001</v>
      </c>
      <c r="AD28" s="2" t="str">
        <f t="shared" si="1"/>
        <v>HV</v>
      </c>
      <c r="AE28" s="2">
        <f t="shared" si="2"/>
        <v>2039</v>
      </c>
      <c r="AF28" s="21">
        <f t="shared" si="3"/>
        <v>193.33289637850001</v>
      </c>
      <c r="AG28" s="21">
        <f t="shared" ca="1" si="4"/>
        <v>1.5849482427999999</v>
      </c>
    </row>
    <row r="29" spans="1:47">
      <c r="A29"/>
      <c r="B29" s="2" t="s">
        <v>209</v>
      </c>
      <c r="C29" s="2">
        <v>2040</v>
      </c>
      <c r="D29" s="11">
        <v>18.775213637</v>
      </c>
      <c r="E29" s="11">
        <v>3.3433846262000002</v>
      </c>
      <c r="F29" s="11">
        <v>4.2357661995999996</v>
      </c>
      <c r="G29" s="11">
        <v>35.752111735</v>
      </c>
      <c r="H29" s="11">
        <v>61.801375825999997</v>
      </c>
      <c r="I29" s="11">
        <v>2.2268128839000001</v>
      </c>
      <c r="J29" s="11">
        <v>3.0070059376999998</v>
      </c>
      <c r="K29" s="11">
        <v>11.607964437</v>
      </c>
      <c r="L29" s="11">
        <v>7.9468345624000003</v>
      </c>
      <c r="M29" s="11">
        <v>0.92811855789999997</v>
      </c>
      <c r="N29" s="11">
        <v>14.499646364</v>
      </c>
      <c r="O29" s="11">
        <v>5.0115453435999999</v>
      </c>
      <c r="P29" s="11">
        <v>0.70614825560000005</v>
      </c>
      <c r="Q29" s="11">
        <v>2.6265620381999999</v>
      </c>
      <c r="R29" s="11">
        <v>3.0200983002999999</v>
      </c>
      <c r="S29" s="11">
        <v>0.14469390430000001</v>
      </c>
      <c r="T29" s="11">
        <v>0.73131904339999998</v>
      </c>
      <c r="U29" s="11">
        <v>2.7979135975</v>
      </c>
      <c r="V29" s="11">
        <v>1.5814237683000001</v>
      </c>
      <c r="W29" s="11">
        <v>4.7288787891000004</v>
      </c>
      <c r="X29" s="11">
        <v>1.5864971809999999</v>
      </c>
      <c r="Y29" s="11">
        <v>3.6770850545</v>
      </c>
      <c r="Z29" s="11">
        <v>1.0113340012000001</v>
      </c>
      <c r="AA29" s="11">
        <v>1.0976150783</v>
      </c>
      <c r="AB29" s="11">
        <v>0.34632809419999999</v>
      </c>
      <c r="AD29" s="2" t="str">
        <f t="shared" si="1"/>
        <v>HV</v>
      </c>
      <c r="AE29" s="2">
        <f t="shared" si="2"/>
        <v>2040</v>
      </c>
      <c r="AF29" s="21">
        <f t="shared" si="3"/>
        <v>193.19167721619999</v>
      </c>
      <c r="AG29" s="21">
        <f t="shared" ca="1" si="4"/>
        <v>1.5864971809999999</v>
      </c>
    </row>
    <row r="30" spans="1:47">
      <c r="A30"/>
      <c r="B30" s="2" t="s">
        <v>209</v>
      </c>
      <c r="C30" s="2">
        <v>2041</v>
      </c>
      <c r="D30" s="11">
        <v>18.911815046000001</v>
      </c>
      <c r="E30" s="11">
        <v>3.3318000738000002</v>
      </c>
      <c r="F30" s="11">
        <v>4.2730682701999996</v>
      </c>
      <c r="G30" s="11">
        <v>35.806594040999997</v>
      </c>
      <c r="H30" s="11">
        <v>62.048898512999997</v>
      </c>
      <c r="I30" s="11">
        <v>2.230793475</v>
      </c>
      <c r="J30" s="11">
        <v>3.0169457341000001</v>
      </c>
      <c r="K30" s="11">
        <v>11.727547548</v>
      </c>
      <c r="L30" s="11">
        <v>7.9503818397000003</v>
      </c>
      <c r="M30" s="11">
        <v>0.93317081089999998</v>
      </c>
      <c r="N30" s="11">
        <v>14.520501641999999</v>
      </c>
      <c r="O30" s="11">
        <v>5.0357398924999996</v>
      </c>
      <c r="P30" s="11">
        <v>0.70827608060000002</v>
      </c>
      <c r="Q30" s="11">
        <v>2.6366084823999998</v>
      </c>
      <c r="R30" s="11">
        <v>3.0404566428000002</v>
      </c>
      <c r="S30" s="11">
        <v>0.1453018985</v>
      </c>
      <c r="T30" s="11">
        <v>0.73187521789999999</v>
      </c>
      <c r="U30" s="11">
        <v>2.7889363959</v>
      </c>
      <c r="V30" s="11">
        <v>1.5848589729</v>
      </c>
      <c r="W30" s="11">
        <v>4.7325487494000003</v>
      </c>
      <c r="X30" s="11">
        <v>1.5892234272000001</v>
      </c>
      <c r="Y30" s="11">
        <v>3.6857128674999999</v>
      </c>
      <c r="Z30" s="11">
        <v>1.0075680048</v>
      </c>
      <c r="AA30" s="11">
        <v>1.1101544176</v>
      </c>
      <c r="AB30" s="11">
        <v>0.34736172659999998</v>
      </c>
      <c r="AD30" s="2" t="str">
        <f t="shared" si="1"/>
        <v>HV</v>
      </c>
      <c r="AE30" s="2">
        <f t="shared" si="2"/>
        <v>2041</v>
      </c>
      <c r="AF30" s="21">
        <f t="shared" si="3"/>
        <v>193.89613977030004</v>
      </c>
      <c r="AG30" s="21">
        <f t="shared" ca="1" si="4"/>
        <v>1.5892234272000001</v>
      </c>
    </row>
    <row r="31" spans="1:47">
      <c r="A31"/>
      <c r="B31" s="2" t="s">
        <v>209</v>
      </c>
      <c r="C31" s="2">
        <v>2042</v>
      </c>
      <c r="D31" s="11">
        <v>19.053509445</v>
      </c>
      <c r="E31" s="11">
        <v>3.3212327227</v>
      </c>
      <c r="F31" s="11">
        <v>4.3116686483000004</v>
      </c>
      <c r="G31" s="11">
        <v>35.866685222999998</v>
      </c>
      <c r="H31" s="11">
        <v>62.318195007</v>
      </c>
      <c r="I31" s="11">
        <v>2.2353614389000001</v>
      </c>
      <c r="J31" s="11">
        <v>3.0278181195</v>
      </c>
      <c r="K31" s="11">
        <v>11.850288701</v>
      </c>
      <c r="L31" s="11">
        <v>7.9557232942000002</v>
      </c>
      <c r="M31" s="11">
        <v>0.93843495259999998</v>
      </c>
      <c r="N31" s="11">
        <v>14.543663130000001</v>
      </c>
      <c r="O31" s="11">
        <v>5.0602528823000004</v>
      </c>
      <c r="P31" s="11">
        <v>0.71079174229999997</v>
      </c>
      <c r="Q31" s="11">
        <v>2.6478090683</v>
      </c>
      <c r="R31" s="11">
        <v>3.0613892711999999</v>
      </c>
      <c r="S31" s="11">
        <v>0.14594409380000001</v>
      </c>
      <c r="T31" s="11">
        <v>0.73259964609999995</v>
      </c>
      <c r="U31" s="11">
        <v>2.7800994515999999</v>
      </c>
      <c r="V31" s="11">
        <v>1.5890164453</v>
      </c>
      <c r="W31" s="11">
        <v>4.7368404126000003</v>
      </c>
      <c r="X31" s="11">
        <v>1.5923154979</v>
      </c>
      <c r="Y31" s="11">
        <v>3.6946332050000001</v>
      </c>
      <c r="Z31" s="11">
        <v>1.0039012796</v>
      </c>
      <c r="AA31" s="11">
        <v>1.1228551517000001</v>
      </c>
      <c r="AB31" s="11">
        <v>0.34855846080000003</v>
      </c>
      <c r="AD31" s="2" t="str">
        <f t="shared" si="1"/>
        <v>HV</v>
      </c>
      <c r="AE31" s="2">
        <f t="shared" si="2"/>
        <v>2042</v>
      </c>
      <c r="AF31" s="21">
        <f t="shared" si="3"/>
        <v>194.64958729070003</v>
      </c>
      <c r="AG31" s="21">
        <f t="shared" ca="1" si="4"/>
        <v>1.5923154979</v>
      </c>
    </row>
    <row r="32" spans="1:47">
      <c r="A32"/>
      <c r="B32" s="2" t="s">
        <v>209</v>
      </c>
      <c r="C32" s="2">
        <v>2043</v>
      </c>
      <c r="D32" s="11">
        <v>19.204123609</v>
      </c>
      <c r="E32" s="11">
        <v>3.3127063655</v>
      </c>
      <c r="F32" s="11">
        <v>4.3527201433</v>
      </c>
      <c r="G32" s="11">
        <v>35.935712957</v>
      </c>
      <c r="H32" s="11">
        <v>62.623108346999999</v>
      </c>
      <c r="I32" s="11">
        <v>2.2409433824999998</v>
      </c>
      <c r="J32" s="11">
        <v>3.0406265327000002</v>
      </c>
      <c r="K32" s="11">
        <v>11.977027012000001</v>
      </c>
      <c r="L32" s="11">
        <v>7.9646024095000003</v>
      </c>
      <c r="M32" s="11">
        <v>0.9438540044</v>
      </c>
      <c r="N32" s="11">
        <v>14.572149559</v>
      </c>
      <c r="O32" s="11">
        <v>5.0879471927999997</v>
      </c>
      <c r="P32" s="11">
        <v>0.71386643559999996</v>
      </c>
      <c r="Q32" s="11">
        <v>2.6607411433000001</v>
      </c>
      <c r="R32" s="11">
        <v>3.0840661102000002</v>
      </c>
      <c r="S32" s="11">
        <v>0.14667501990000001</v>
      </c>
      <c r="T32" s="11">
        <v>0.73360744749999995</v>
      </c>
      <c r="U32" s="11">
        <v>2.7726174746000001</v>
      </c>
      <c r="V32" s="11">
        <v>1.5946415379000001</v>
      </c>
      <c r="W32" s="11">
        <v>4.7421788745000004</v>
      </c>
      <c r="X32" s="11">
        <v>1.5958484812</v>
      </c>
      <c r="Y32" s="11">
        <v>3.7043721519999999</v>
      </c>
      <c r="Z32" s="11">
        <v>1.0007952464000001</v>
      </c>
      <c r="AA32" s="11">
        <v>1.1364153444</v>
      </c>
      <c r="AB32" s="11">
        <v>0.34992501929999997</v>
      </c>
      <c r="AD32" s="2" t="str">
        <f t="shared" si="1"/>
        <v>HV</v>
      </c>
      <c r="AE32" s="2">
        <f t="shared" si="2"/>
        <v>2043</v>
      </c>
      <c r="AF32" s="21">
        <f t="shared" si="3"/>
        <v>195.49127180150001</v>
      </c>
      <c r="AG32" s="21">
        <f t="shared" ca="1" si="4"/>
        <v>1.5958484812</v>
      </c>
    </row>
    <row r="33" spans="1:33">
      <c r="A33"/>
      <c r="B33" s="2" t="s">
        <v>209</v>
      </c>
      <c r="C33" s="2">
        <v>2044</v>
      </c>
      <c r="D33" s="11">
        <v>19.358025133999998</v>
      </c>
      <c r="E33" s="11">
        <v>3.3050130431999998</v>
      </c>
      <c r="F33" s="11">
        <v>4.3950651315</v>
      </c>
      <c r="G33" s="11">
        <v>36.010970677000003</v>
      </c>
      <c r="H33" s="11">
        <v>62.947786000000001</v>
      </c>
      <c r="I33" s="11">
        <v>2.2467665275000002</v>
      </c>
      <c r="J33" s="11">
        <v>3.0539584698</v>
      </c>
      <c r="K33" s="11">
        <v>12.107160639</v>
      </c>
      <c r="L33" s="11">
        <v>7.9744346244999997</v>
      </c>
      <c r="M33" s="11">
        <v>0.94941598699999996</v>
      </c>
      <c r="N33" s="11">
        <v>14.603004933999999</v>
      </c>
      <c r="O33" s="11">
        <v>5.1164250589</v>
      </c>
      <c r="P33" s="11">
        <v>0.71699157680000003</v>
      </c>
      <c r="Q33" s="11">
        <v>2.6740228941000002</v>
      </c>
      <c r="R33" s="11">
        <v>3.1072729940000001</v>
      </c>
      <c r="S33" s="11">
        <v>0.1474658539</v>
      </c>
      <c r="T33" s="11">
        <v>0.73474802920000004</v>
      </c>
      <c r="U33" s="11">
        <v>2.7655406589</v>
      </c>
      <c r="V33" s="11">
        <v>1.600720395</v>
      </c>
      <c r="W33" s="11">
        <v>4.7478137209</v>
      </c>
      <c r="X33" s="11">
        <v>1.5998033863000001</v>
      </c>
      <c r="Y33" s="11">
        <v>3.7142780395999999</v>
      </c>
      <c r="Z33" s="11">
        <v>0.99776533040000004</v>
      </c>
      <c r="AA33" s="11">
        <v>1.1503345303000001</v>
      </c>
      <c r="AB33" s="11">
        <v>0.35137471110000001</v>
      </c>
      <c r="AD33" s="2" t="str">
        <f t="shared" si="1"/>
        <v>HV</v>
      </c>
      <c r="AE33" s="2">
        <f t="shared" si="2"/>
        <v>2044</v>
      </c>
      <c r="AF33" s="21">
        <f t="shared" si="3"/>
        <v>196.37615834690004</v>
      </c>
      <c r="AG33" s="21">
        <f t="shared" ca="1" si="4"/>
        <v>1.5998033863000001</v>
      </c>
    </row>
    <row r="34" spans="1:33">
      <c r="A34"/>
      <c r="B34" s="2" t="s">
        <v>209</v>
      </c>
      <c r="C34" s="2">
        <v>2045</v>
      </c>
      <c r="D34" s="11">
        <v>19.515327501000002</v>
      </c>
      <c r="E34" s="11">
        <v>3.2980323364999999</v>
      </c>
      <c r="F34" s="11">
        <v>4.4383794707000002</v>
      </c>
      <c r="G34" s="11">
        <v>36.089961955</v>
      </c>
      <c r="H34" s="11">
        <v>63.286562201999999</v>
      </c>
      <c r="I34" s="11">
        <v>2.2529118409</v>
      </c>
      <c r="J34" s="11">
        <v>3.0679272228999999</v>
      </c>
      <c r="K34" s="11">
        <v>12.239156507000001</v>
      </c>
      <c r="L34" s="11">
        <v>7.9851811930999999</v>
      </c>
      <c r="M34" s="11">
        <v>0.95506797229999996</v>
      </c>
      <c r="N34" s="11">
        <v>14.635707354999999</v>
      </c>
      <c r="O34" s="11">
        <v>5.1458422408000004</v>
      </c>
      <c r="P34" s="11">
        <v>0.72029388510000003</v>
      </c>
      <c r="Q34" s="11">
        <v>2.6878614083999999</v>
      </c>
      <c r="R34" s="11">
        <v>3.1309309245999999</v>
      </c>
      <c r="S34" s="11">
        <v>0.1482929328</v>
      </c>
      <c r="T34" s="11">
        <v>0.73598260739999999</v>
      </c>
      <c r="U34" s="11">
        <v>2.7587849019999999</v>
      </c>
      <c r="V34" s="11">
        <v>1.6072803888</v>
      </c>
      <c r="W34" s="11">
        <v>4.7538087260999999</v>
      </c>
      <c r="X34" s="11">
        <v>1.6039742797000001</v>
      </c>
      <c r="Y34" s="11">
        <v>3.7244142290000002</v>
      </c>
      <c r="Z34" s="11">
        <v>0.99483624950000005</v>
      </c>
      <c r="AA34" s="11">
        <v>1.1645435337000001</v>
      </c>
      <c r="AB34" s="11">
        <v>0.35289191809999998</v>
      </c>
      <c r="AD34" s="2" t="str">
        <f t="shared" si="1"/>
        <v>HV</v>
      </c>
      <c r="AE34" s="2">
        <f t="shared" si="2"/>
        <v>2045</v>
      </c>
      <c r="AF34" s="21">
        <f t="shared" si="3"/>
        <v>197.29395378239997</v>
      </c>
      <c r="AG34" s="21">
        <f t="shared" ca="1" si="4"/>
        <v>1.6039742797000001</v>
      </c>
    </row>
    <row r="35" spans="1:33">
      <c r="A35" s="13"/>
      <c r="B35" s="2" t="s">
        <v>209</v>
      </c>
      <c r="C35" s="2">
        <v>2046</v>
      </c>
      <c r="D35" s="11">
        <v>19.674945027</v>
      </c>
      <c r="E35" s="11">
        <v>3.2915373450000001</v>
      </c>
      <c r="F35" s="11">
        <v>4.4823944806</v>
      </c>
      <c r="G35" s="11">
        <v>36.172002444999997</v>
      </c>
      <c r="H35" s="11">
        <v>63.635045187000003</v>
      </c>
      <c r="I35" s="11">
        <v>2.2592593032999999</v>
      </c>
      <c r="J35" s="11">
        <v>3.0822862705</v>
      </c>
      <c r="K35" s="11">
        <v>12.372526016</v>
      </c>
      <c r="L35" s="11">
        <v>7.9966894858000002</v>
      </c>
      <c r="M35" s="11">
        <v>0.96080341469999997</v>
      </c>
      <c r="N35" s="11">
        <v>14.669618495</v>
      </c>
      <c r="O35" s="11">
        <v>5.1756705186999996</v>
      </c>
      <c r="P35" s="11">
        <v>0.72369548159999997</v>
      </c>
      <c r="Q35" s="11">
        <v>2.7020277558000001</v>
      </c>
      <c r="R35" s="11">
        <v>3.1549018855000002</v>
      </c>
      <c r="S35" s="11">
        <v>0.14915368439999999</v>
      </c>
      <c r="T35" s="11">
        <v>0.73728919550000005</v>
      </c>
      <c r="U35" s="11">
        <v>2.7522215873000002</v>
      </c>
      <c r="V35" s="11">
        <v>1.614161288</v>
      </c>
      <c r="W35" s="11">
        <v>4.7600303973999996</v>
      </c>
      <c r="X35" s="11">
        <v>1.6083432169</v>
      </c>
      <c r="Y35" s="11">
        <v>3.7346996497</v>
      </c>
      <c r="Z35" s="11">
        <v>0.99195064519999998</v>
      </c>
      <c r="AA35" s="11">
        <v>1.1789316257</v>
      </c>
      <c r="AB35" s="11">
        <v>0.35446514499999998</v>
      </c>
      <c r="AD35" s="2" t="str">
        <f t="shared" si="1"/>
        <v>HV</v>
      </c>
      <c r="AE35" s="2">
        <f t="shared" si="2"/>
        <v>2046</v>
      </c>
      <c r="AF35" s="21">
        <f t="shared" si="3"/>
        <v>198.23464954660002</v>
      </c>
      <c r="AG35" s="21">
        <f t="shared" ca="1" si="4"/>
        <v>1.6083432169</v>
      </c>
    </row>
    <row r="36" spans="1:33">
      <c r="A36"/>
      <c r="B36" s="2" t="s">
        <v>210</v>
      </c>
      <c r="C36" s="2">
        <v>2022</v>
      </c>
      <c r="D36" s="11">
        <v>373.94515436</v>
      </c>
      <c r="E36" s="11">
        <v>77.916140976999998</v>
      </c>
      <c r="F36" s="11">
        <v>460.31774689999997</v>
      </c>
      <c r="G36" s="11">
        <v>286.09018377000001</v>
      </c>
      <c r="H36" s="11">
        <v>619.12617943999999</v>
      </c>
      <c r="I36" s="11">
        <v>95.958920860000006</v>
      </c>
      <c r="J36" s="11">
        <v>301.93399367000001</v>
      </c>
      <c r="K36" s="11">
        <v>283.20490066999997</v>
      </c>
      <c r="L36" s="11">
        <v>166.89284972999999</v>
      </c>
      <c r="M36" s="11">
        <v>172.25174555999999</v>
      </c>
      <c r="N36" s="11">
        <v>139.28070511000001</v>
      </c>
      <c r="O36" s="11">
        <v>60.112796277999998</v>
      </c>
      <c r="P36" s="11">
        <v>100.23191035000001</v>
      </c>
      <c r="Q36" s="11">
        <v>119.49825336000001</v>
      </c>
      <c r="R36" s="11">
        <v>171.08353692</v>
      </c>
      <c r="S36" s="11">
        <v>70.395208058999998</v>
      </c>
      <c r="T36" s="11">
        <v>101.12208624</v>
      </c>
      <c r="U36" s="11">
        <v>52.797178535</v>
      </c>
      <c r="V36" s="11">
        <v>229.17292492999999</v>
      </c>
      <c r="W36" s="11">
        <v>263.31419964000003</v>
      </c>
      <c r="X36" s="11">
        <v>299.21804443000002</v>
      </c>
      <c r="Y36" s="11">
        <v>122.08784429000001</v>
      </c>
      <c r="Z36" s="11">
        <v>52.928146603000002</v>
      </c>
      <c r="AA36" s="11">
        <v>141.61918256000001</v>
      </c>
      <c r="AB36" s="11">
        <v>70.759720483999999</v>
      </c>
      <c r="AD36" s="2" t="str">
        <f t="shared" si="1"/>
        <v>LV</v>
      </c>
      <c r="AE36" s="2">
        <f t="shared" si="2"/>
        <v>2022</v>
      </c>
      <c r="AF36" s="21">
        <f t="shared" si="3"/>
        <v>4831.2595537260004</v>
      </c>
      <c r="AG36" s="21">
        <f t="shared" ca="1" si="4"/>
        <v>299.21804443000002</v>
      </c>
    </row>
    <row r="37" spans="1:33">
      <c r="A37"/>
      <c r="B37" s="2" t="s">
        <v>210</v>
      </c>
      <c r="C37" s="2">
        <v>2023</v>
      </c>
      <c r="D37" s="11">
        <v>365.72920728000003</v>
      </c>
      <c r="E37" s="11">
        <v>75.095859232999999</v>
      </c>
      <c r="F37" s="11">
        <v>456.08671301999999</v>
      </c>
      <c r="G37" s="11">
        <v>282.90848038000001</v>
      </c>
      <c r="H37" s="11">
        <v>606.62967804000004</v>
      </c>
      <c r="I37" s="11">
        <v>96.091866953999997</v>
      </c>
      <c r="J37" s="11">
        <v>299.68908979999998</v>
      </c>
      <c r="K37" s="11">
        <v>273.35775489999997</v>
      </c>
      <c r="L37" s="11">
        <v>164.95584500999999</v>
      </c>
      <c r="M37" s="11">
        <v>168.81163705</v>
      </c>
      <c r="N37" s="11">
        <v>136.99536868999999</v>
      </c>
      <c r="O37" s="11">
        <v>61.338230117000002</v>
      </c>
      <c r="P37" s="11">
        <v>99.444378158999996</v>
      </c>
      <c r="Q37" s="11">
        <v>115.95811054000001</v>
      </c>
      <c r="R37" s="11">
        <v>168.43605599</v>
      </c>
      <c r="S37" s="11">
        <v>68.977003398999997</v>
      </c>
      <c r="T37" s="11">
        <v>98.910929702999994</v>
      </c>
      <c r="U37" s="11">
        <v>52.348186703000003</v>
      </c>
      <c r="V37" s="11">
        <v>227.93745306</v>
      </c>
      <c r="W37" s="11">
        <v>261.54528771000003</v>
      </c>
      <c r="X37" s="11">
        <v>288.93546192999997</v>
      </c>
      <c r="Y37" s="11">
        <v>120.23896185</v>
      </c>
      <c r="Z37" s="11">
        <v>52.440800027999998</v>
      </c>
      <c r="AA37" s="11">
        <v>138.68405835999999</v>
      </c>
      <c r="AB37" s="11">
        <v>70.989178783</v>
      </c>
      <c r="AD37" s="2" t="str">
        <f t="shared" si="1"/>
        <v>LV</v>
      </c>
      <c r="AE37" s="2">
        <f t="shared" si="2"/>
        <v>2023</v>
      </c>
      <c r="AF37" s="21">
        <f t="shared" si="3"/>
        <v>4752.5355966889992</v>
      </c>
      <c r="AG37" s="21">
        <f t="shared" ca="1" si="4"/>
        <v>288.93546192999997</v>
      </c>
    </row>
    <row r="38" spans="1:33">
      <c r="A38"/>
      <c r="B38" s="2" t="s">
        <v>210</v>
      </c>
      <c r="C38" s="2">
        <v>2024</v>
      </c>
      <c r="D38" s="11">
        <v>366.89473506000002</v>
      </c>
      <c r="E38" s="11">
        <v>72.918325259</v>
      </c>
      <c r="F38" s="11">
        <v>450.7639987</v>
      </c>
      <c r="G38" s="11">
        <v>269.72473109999999</v>
      </c>
      <c r="H38" s="11">
        <v>593.98709697000004</v>
      </c>
      <c r="I38" s="11">
        <v>95.700633637999999</v>
      </c>
      <c r="J38" s="11">
        <v>295.45435142999997</v>
      </c>
      <c r="K38" s="11">
        <v>274.59379573000001</v>
      </c>
      <c r="L38" s="11">
        <v>163.28588443000001</v>
      </c>
      <c r="M38" s="11">
        <v>166.48157075</v>
      </c>
      <c r="N38" s="11">
        <v>135.18191607</v>
      </c>
      <c r="O38" s="11">
        <v>61.078079752000001</v>
      </c>
      <c r="P38" s="11">
        <v>98.888580454000007</v>
      </c>
      <c r="Q38" s="11">
        <v>116.08731127</v>
      </c>
      <c r="R38" s="11">
        <v>166.90259154</v>
      </c>
      <c r="S38" s="11">
        <v>68.101802169999999</v>
      </c>
      <c r="T38" s="11">
        <v>97.514491394000004</v>
      </c>
      <c r="U38" s="11">
        <v>51.909346048000003</v>
      </c>
      <c r="V38" s="11">
        <v>226.69816098000001</v>
      </c>
      <c r="W38" s="11">
        <v>259.89808483000002</v>
      </c>
      <c r="X38" s="11">
        <v>282.63145304</v>
      </c>
      <c r="Y38" s="11">
        <v>119.06061808</v>
      </c>
      <c r="Z38" s="11">
        <v>51.978168222999997</v>
      </c>
      <c r="AA38" s="11">
        <v>137.69141658999999</v>
      </c>
      <c r="AB38" s="11">
        <v>71.141029185999997</v>
      </c>
      <c r="AD38" s="2" t="str">
        <f t="shared" si="1"/>
        <v>LV</v>
      </c>
      <c r="AE38" s="2">
        <f t="shared" si="2"/>
        <v>2024</v>
      </c>
      <c r="AF38" s="21">
        <f t="shared" si="3"/>
        <v>4694.5681726939993</v>
      </c>
      <c r="AG38" s="21">
        <f t="shared" ca="1" si="4"/>
        <v>282.63145304</v>
      </c>
    </row>
    <row r="39" spans="1:33">
      <c r="A39"/>
      <c r="B39" s="2" t="s">
        <v>210</v>
      </c>
      <c r="C39" s="2">
        <v>2025</v>
      </c>
      <c r="D39" s="11">
        <v>363.22997834</v>
      </c>
      <c r="E39" s="11">
        <v>71.284855316000005</v>
      </c>
      <c r="F39" s="11">
        <v>447.07706640999999</v>
      </c>
      <c r="G39" s="11">
        <v>267.49257254000003</v>
      </c>
      <c r="H39" s="11">
        <v>584.0566695</v>
      </c>
      <c r="I39" s="11">
        <v>95.739182037000006</v>
      </c>
      <c r="J39" s="11">
        <v>292.23361679999999</v>
      </c>
      <c r="K39" s="11">
        <v>274.18974809000002</v>
      </c>
      <c r="L39" s="11">
        <v>162.2945407</v>
      </c>
      <c r="M39" s="11">
        <v>164.40109532</v>
      </c>
      <c r="N39" s="11">
        <v>133.72375226</v>
      </c>
      <c r="O39" s="11">
        <v>61.315477977999997</v>
      </c>
      <c r="P39" s="11">
        <v>98.323771956000002</v>
      </c>
      <c r="Q39" s="11">
        <v>114.62874196999999</v>
      </c>
      <c r="R39" s="11">
        <v>165.50409604999999</v>
      </c>
      <c r="S39" s="11">
        <v>67.281416797000006</v>
      </c>
      <c r="T39" s="11">
        <v>96.518214721000007</v>
      </c>
      <c r="U39" s="11">
        <v>51.526346808</v>
      </c>
      <c r="V39" s="11">
        <v>224.89090279000001</v>
      </c>
      <c r="W39" s="11">
        <v>258.11510728000002</v>
      </c>
      <c r="X39" s="11">
        <v>277.98846742000001</v>
      </c>
      <c r="Y39" s="11">
        <v>118.19030538</v>
      </c>
      <c r="Z39" s="11">
        <v>51.566320150999999</v>
      </c>
      <c r="AA39" s="11">
        <v>136.69083795</v>
      </c>
      <c r="AB39" s="11">
        <v>71.051465167000003</v>
      </c>
      <c r="AD39" s="2" t="str">
        <f t="shared" si="1"/>
        <v>LV</v>
      </c>
      <c r="AE39" s="2">
        <f t="shared" si="2"/>
        <v>2025</v>
      </c>
      <c r="AF39" s="21">
        <f t="shared" si="3"/>
        <v>4649.3145497310006</v>
      </c>
      <c r="AG39" s="21">
        <f t="shared" ca="1" si="4"/>
        <v>277.98846742000001</v>
      </c>
    </row>
    <row r="40" spans="1:33">
      <c r="A40"/>
      <c r="B40" s="2" t="s">
        <v>210</v>
      </c>
      <c r="C40" s="2">
        <v>2026</v>
      </c>
      <c r="D40" s="11">
        <v>361.91369226</v>
      </c>
      <c r="E40" s="11">
        <v>70.749300633000004</v>
      </c>
      <c r="F40" s="11">
        <v>446.05461331999999</v>
      </c>
      <c r="G40" s="11">
        <v>266.68798650999997</v>
      </c>
      <c r="H40" s="11">
        <v>578.85282831999996</v>
      </c>
      <c r="I40" s="11">
        <v>95.935816508000002</v>
      </c>
      <c r="J40" s="11">
        <v>290.83402058000001</v>
      </c>
      <c r="K40" s="11">
        <v>260.11403643</v>
      </c>
      <c r="L40" s="11">
        <v>162.18003981999999</v>
      </c>
      <c r="M40" s="11">
        <v>162.95942306000001</v>
      </c>
      <c r="N40" s="11">
        <v>132.91814628</v>
      </c>
      <c r="O40" s="11">
        <v>61.128755372000001</v>
      </c>
      <c r="P40" s="11">
        <v>97.920300019999999</v>
      </c>
      <c r="Q40" s="11">
        <v>114.12505498</v>
      </c>
      <c r="R40" s="11">
        <v>164.69369134999999</v>
      </c>
      <c r="S40" s="11">
        <v>66.634511043000003</v>
      </c>
      <c r="T40" s="11">
        <v>96.100735012000001</v>
      </c>
      <c r="U40" s="11">
        <v>51.354787168999998</v>
      </c>
      <c r="V40" s="11">
        <v>223.341228</v>
      </c>
      <c r="W40" s="11">
        <v>256.57885415999999</v>
      </c>
      <c r="X40" s="11">
        <v>277.04690201</v>
      </c>
      <c r="Y40" s="11">
        <v>117.94539414</v>
      </c>
      <c r="Z40" s="11">
        <v>51.331506525999998</v>
      </c>
      <c r="AA40" s="11">
        <v>135.90270860000001</v>
      </c>
      <c r="AB40" s="11">
        <v>70.800500696</v>
      </c>
      <c r="AD40" s="2" t="str">
        <f t="shared" si="1"/>
        <v>LV</v>
      </c>
      <c r="AE40" s="2">
        <f t="shared" si="2"/>
        <v>2026</v>
      </c>
      <c r="AF40" s="21">
        <f t="shared" si="3"/>
        <v>4614.1048327990002</v>
      </c>
      <c r="AG40" s="21">
        <f t="shared" ca="1" si="4"/>
        <v>277.04690201</v>
      </c>
    </row>
    <row r="41" spans="1:33">
      <c r="A41"/>
      <c r="B41" s="2" t="s">
        <v>210</v>
      </c>
      <c r="C41" s="2">
        <v>2027</v>
      </c>
      <c r="D41" s="11">
        <v>362.73156411000002</v>
      </c>
      <c r="E41" s="11">
        <v>70.925547335000005</v>
      </c>
      <c r="F41" s="11">
        <v>447.24424734000002</v>
      </c>
      <c r="G41" s="11">
        <v>267.17766108000001</v>
      </c>
      <c r="H41" s="11">
        <v>577.80773238999996</v>
      </c>
      <c r="I41" s="11">
        <v>96.365569754000006</v>
      </c>
      <c r="J41" s="11">
        <v>290.70890635000001</v>
      </c>
      <c r="K41" s="11">
        <v>260.20763219999998</v>
      </c>
      <c r="L41" s="11">
        <v>162.54378</v>
      </c>
      <c r="M41" s="11">
        <v>162.41966345</v>
      </c>
      <c r="N41" s="11">
        <v>132.73393589</v>
      </c>
      <c r="O41" s="11">
        <v>61.179918534000002</v>
      </c>
      <c r="P41" s="11">
        <v>97.788774298000007</v>
      </c>
      <c r="Q41" s="11">
        <v>113.9199162</v>
      </c>
      <c r="R41" s="11">
        <v>164.52995378</v>
      </c>
      <c r="S41" s="11">
        <v>66.306300054999994</v>
      </c>
      <c r="T41" s="11">
        <v>96.013591251999998</v>
      </c>
      <c r="U41" s="11">
        <v>51.323846017999998</v>
      </c>
      <c r="V41" s="11">
        <v>222.85942398</v>
      </c>
      <c r="W41" s="11">
        <v>255.96397712000001</v>
      </c>
      <c r="X41" s="11">
        <v>278.86170078999999</v>
      </c>
      <c r="Y41" s="11">
        <v>118.14626081</v>
      </c>
      <c r="Z41" s="11">
        <v>51.278424686000001</v>
      </c>
      <c r="AA41" s="11">
        <v>135.54887274999999</v>
      </c>
      <c r="AB41" s="11">
        <v>70.724942123000005</v>
      </c>
      <c r="AD41" s="2" t="str">
        <f t="shared" si="1"/>
        <v>LV</v>
      </c>
      <c r="AE41" s="2">
        <f t="shared" si="2"/>
        <v>2027</v>
      </c>
      <c r="AF41" s="21">
        <f t="shared" si="3"/>
        <v>4615.3121422949998</v>
      </c>
      <c r="AG41" s="21">
        <f t="shared" ca="1" si="4"/>
        <v>278.86170078999999</v>
      </c>
    </row>
    <row r="42" spans="1:33">
      <c r="A42"/>
      <c r="B42" s="2" t="s">
        <v>210</v>
      </c>
      <c r="C42" s="2">
        <v>2028</v>
      </c>
      <c r="D42" s="11">
        <v>363.16648759999998</v>
      </c>
      <c r="E42" s="11">
        <v>70.878255710000005</v>
      </c>
      <c r="F42" s="11">
        <v>447.75912464999999</v>
      </c>
      <c r="G42" s="11">
        <v>267.32671864000002</v>
      </c>
      <c r="H42" s="11">
        <v>575.76096167000003</v>
      </c>
      <c r="I42" s="11">
        <v>96.674808545000005</v>
      </c>
      <c r="J42" s="11">
        <v>290.12237891000001</v>
      </c>
      <c r="K42" s="11">
        <v>259.83554631999999</v>
      </c>
      <c r="L42" s="11">
        <v>162.69338614</v>
      </c>
      <c r="M42" s="11">
        <v>161.53681069000001</v>
      </c>
      <c r="N42" s="11">
        <v>132.36461037999999</v>
      </c>
      <c r="O42" s="11">
        <v>61.109671155999997</v>
      </c>
      <c r="P42" s="11">
        <v>97.517551115000003</v>
      </c>
      <c r="Q42" s="11">
        <v>113.55792713</v>
      </c>
      <c r="R42" s="11">
        <v>164.22221612000001</v>
      </c>
      <c r="S42" s="11">
        <v>65.894950897000001</v>
      </c>
      <c r="T42" s="11">
        <v>95.775030849000004</v>
      </c>
      <c r="U42" s="11">
        <v>51.223766152000003</v>
      </c>
      <c r="V42" s="11">
        <v>222.06497390000001</v>
      </c>
      <c r="W42" s="11">
        <v>254.88641226999999</v>
      </c>
      <c r="X42" s="11">
        <v>279.96262917000001</v>
      </c>
      <c r="Y42" s="11">
        <v>118.20093417</v>
      </c>
      <c r="Z42" s="11">
        <v>51.139919046999999</v>
      </c>
      <c r="AA42" s="11">
        <v>135.05083397000001</v>
      </c>
      <c r="AB42" s="11">
        <v>70.544240302000006</v>
      </c>
      <c r="AD42" s="2" t="str">
        <f t="shared" si="1"/>
        <v>LV</v>
      </c>
      <c r="AE42" s="2">
        <f t="shared" si="2"/>
        <v>2028</v>
      </c>
      <c r="AF42" s="21">
        <f t="shared" si="3"/>
        <v>4609.2701455030001</v>
      </c>
      <c r="AG42" s="21">
        <f t="shared" ca="1" si="4"/>
        <v>279.96262917000001</v>
      </c>
    </row>
    <row r="43" spans="1:33">
      <c r="A43"/>
      <c r="B43" s="2" t="s">
        <v>210</v>
      </c>
      <c r="C43" s="2">
        <v>2029</v>
      </c>
      <c r="D43" s="11">
        <v>363.95926782999999</v>
      </c>
      <c r="E43" s="11">
        <v>70.852168341999999</v>
      </c>
      <c r="F43" s="11">
        <v>448.11061168999998</v>
      </c>
      <c r="G43" s="11">
        <v>267.59871888999999</v>
      </c>
      <c r="H43" s="11">
        <v>573.64512693999995</v>
      </c>
      <c r="I43" s="11">
        <v>96.914281351</v>
      </c>
      <c r="J43" s="11">
        <v>289.35697020999999</v>
      </c>
      <c r="K43" s="11">
        <v>259.62831030000001</v>
      </c>
      <c r="L43" s="11">
        <v>162.78522462999999</v>
      </c>
      <c r="M43" s="11">
        <v>160.62889455000001</v>
      </c>
      <c r="N43" s="11">
        <v>131.93568257000001</v>
      </c>
      <c r="O43" s="11">
        <v>61.033488327000001</v>
      </c>
      <c r="P43" s="11">
        <v>97.157998844000005</v>
      </c>
      <c r="Q43" s="11">
        <v>113.06788288</v>
      </c>
      <c r="R43" s="11">
        <v>164.03868265</v>
      </c>
      <c r="S43" s="11">
        <v>65.520494988999999</v>
      </c>
      <c r="T43" s="11">
        <v>95.451594256000007</v>
      </c>
      <c r="U43" s="11">
        <v>51.080241184000002</v>
      </c>
      <c r="V43" s="11">
        <v>221.17041318</v>
      </c>
      <c r="W43" s="11">
        <v>253.62586504000001</v>
      </c>
      <c r="X43" s="11">
        <v>281.31343686000002</v>
      </c>
      <c r="Y43" s="11">
        <v>118.4438744</v>
      </c>
      <c r="Z43" s="11">
        <v>50.962472722999998</v>
      </c>
      <c r="AA43" s="11">
        <v>134.61161061000001</v>
      </c>
      <c r="AB43" s="11">
        <v>70.30914894</v>
      </c>
      <c r="AD43" s="2" t="str">
        <f t="shared" si="1"/>
        <v>LV</v>
      </c>
      <c r="AE43" s="2">
        <f t="shared" si="2"/>
        <v>2029</v>
      </c>
      <c r="AF43" s="21">
        <f t="shared" si="3"/>
        <v>4603.202462186001</v>
      </c>
      <c r="AG43" s="21">
        <f t="shared" ca="1" si="4"/>
        <v>281.31343686000002</v>
      </c>
    </row>
    <row r="44" spans="1:33">
      <c r="A44"/>
      <c r="B44" s="2" t="s">
        <v>210</v>
      </c>
      <c r="C44" s="2">
        <v>2030</v>
      </c>
      <c r="D44" s="11">
        <v>366.22715061000002</v>
      </c>
      <c r="E44" s="11">
        <v>70.842398677999995</v>
      </c>
      <c r="F44" s="11">
        <v>448.76939242999998</v>
      </c>
      <c r="G44" s="11">
        <v>268.30853495999997</v>
      </c>
      <c r="H44" s="11">
        <v>571.82407020999995</v>
      </c>
      <c r="I44" s="11">
        <v>97.164117449000003</v>
      </c>
      <c r="J44" s="11">
        <v>289.40461177999998</v>
      </c>
      <c r="K44" s="11">
        <v>260.08178536999998</v>
      </c>
      <c r="L44" s="11">
        <v>162.88532362000001</v>
      </c>
      <c r="M44" s="11">
        <v>159.99759698</v>
      </c>
      <c r="N44" s="11">
        <v>131.61761443</v>
      </c>
      <c r="O44" s="11">
        <v>60.986524715999998</v>
      </c>
      <c r="P44" s="11">
        <v>96.788944017000006</v>
      </c>
      <c r="Q44" s="11">
        <v>112.59355287</v>
      </c>
      <c r="R44" s="11">
        <v>164.21932097000001</v>
      </c>
      <c r="S44" s="11">
        <v>65.203145512999996</v>
      </c>
      <c r="T44" s="11">
        <v>95.151477560999993</v>
      </c>
      <c r="U44" s="11">
        <v>50.983280827000002</v>
      </c>
      <c r="V44" s="11">
        <v>219.55775204</v>
      </c>
      <c r="W44" s="11">
        <v>252.01431987999999</v>
      </c>
      <c r="X44" s="11">
        <v>282.7271599</v>
      </c>
      <c r="Y44" s="11">
        <v>119.13324937</v>
      </c>
      <c r="Z44" s="11">
        <v>50.757613124999999</v>
      </c>
      <c r="AA44" s="11">
        <v>133.99834268000001</v>
      </c>
      <c r="AB44" s="11">
        <v>70.053989819999998</v>
      </c>
      <c r="AD44" s="2" t="str">
        <f t="shared" si="1"/>
        <v>LV</v>
      </c>
      <c r="AE44" s="2">
        <f t="shared" si="2"/>
        <v>2030</v>
      </c>
      <c r="AF44" s="21">
        <f t="shared" si="3"/>
        <v>4601.2912698059999</v>
      </c>
      <c r="AG44" s="21">
        <f t="shared" ca="1" si="4"/>
        <v>282.7271599</v>
      </c>
    </row>
    <row r="45" spans="1:33">
      <c r="A45"/>
      <c r="B45" s="2" t="s">
        <v>210</v>
      </c>
      <c r="C45" s="2">
        <v>2031</v>
      </c>
      <c r="D45" s="11">
        <v>370.13098551000002</v>
      </c>
      <c r="E45" s="11">
        <v>71.280441175999997</v>
      </c>
      <c r="F45" s="11">
        <v>451.83896571000002</v>
      </c>
      <c r="G45" s="11">
        <v>270.26228879000001</v>
      </c>
      <c r="H45" s="11">
        <v>574.05651082999998</v>
      </c>
      <c r="I45" s="11">
        <v>97.742798325999999</v>
      </c>
      <c r="J45" s="11">
        <v>291.05391099000002</v>
      </c>
      <c r="K45" s="11">
        <v>262.23345122000001</v>
      </c>
      <c r="L45" s="11">
        <v>163.60704214</v>
      </c>
      <c r="M45" s="11">
        <v>160.67215063</v>
      </c>
      <c r="N45" s="11">
        <v>131.90163731999999</v>
      </c>
      <c r="O45" s="11">
        <v>61.214988695000002</v>
      </c>
      <c r="P45" s="11">
        <v>96.859754155999994</v>
      </c>
      <c r="Q45" s="11">
        <v>112.68141276999999</v>
      </c>
      <c r="R45" s="11">
        <v>165.49611367</v>
      </c>
      <c r="S45" s="11">
        <v>65.392070899000004</v>
      </c>
      <c r="T45" s="11">
        <v>95.336723930000005</v>
      </c>
      <c r="U45" s="11">
        <v>51.042009110000002</v>
      </c>
      <c r="V45" s="11">
        <v>219.53620029999999</v>
      </c>
      <c r="W45" s="11">
        <v>251.80260319999999</v>
      </c>
      <c r="X45" s="11">
        <v>285.47033248000002</v>
      </c>
      <c r="Y45" s="11">
        <v>120.52517244000001</v>
      </c>
      <c r="Z45" s="11">
        <v>50.784083905999999</v>
      </c>
      <c r="AA45" s="11">
        <v>134.31944190999999</v>
      </c>
      <c r="AB45" s="11">
        <v>70.103931661999994</v>
      </c>
      <c r="AD45" s="2" t="str">
        <f t="shared" si="1"/>
        <v>LV</v>
      </c>
      <c r="AE45" s="2">
        <f t="shared" si="2"/>
        <v>2031</v>
      </c>
      <c r="AF45" s="21">
        <f t="shared" si="3"/>
        <v>4625.3450217699992</v>
      </c>
      <c r="AG45" s="21">
        <f t="shared" ca="1" si="4"/>
        <v>285.47033248000002</v>
      </c>
    </row>
    <row r="46" spans="1:33">
      <c r="A46"/>
      <c r="B46" s="2" t="s">
        <v>210</v>
      </c>
      <c r="C46" s="2">
        <v>2032</v>
      </c>
      <c r="D46" s="11">
        <v>373.85293626999999</v>
      </c>
      <c r="E46" s="11">
        <v>71.681501519999998</v>
      </c>
      <c r="F46" s="11">
        <v>454.74367544</v>
      </c>
      <c r="G46" s="11">
        <v>272.30251688999999</v>
      </c>
      <c r="H46" s="11">
        <v>576.35161352</v>
      </c>
      <c r="I46" s="11">
        <v>98.264485312000005</v>
      </c>
      <c r="J46" s="11">
        <v>292.82674508999997</v>
      </c>
      <c r="K46" s="11">
        <v>264.71099664000002</v>
      </c>
      <c r="L46" s="11">
        <v>164.29606616999999</v>
      </c>
      <c r="M46" s="11">
        <v>161.31047257</v>
      </c>
      <c r="N46" s="11">
        <v>132.24527664999999</v>
      </c>
      <c r="O46" s="11">
        <v>61.461540024999998</v>
      </c>
      <c r="P46" s="11">
        <v>96.871169206000005</v>
      </c>
      <c r="Q46" s="11">
        <v>112.71531828000001</v>
      </c>
      <c r="R46" s="11">
        <v>166.64774292000001</v>
      </c>
      <c r="S46" s="11">
        <v>65.597433697</v>
      </c>
      <c r="T46" s="11">
        <v>95.545406702999998</v>
      </c>
      <c r="U46" s="11">
        <v>51.091194565000002</v>
      </c>
      <c r="V46" s="11">
        <v>219.43315458999999</v>
      </c>
      <c r="W46" s="11">
        <v>251.53644634</v>
      </c>
      <c r="X46" s="11">
        <v>288.11779357</v>
      </c>
      <c r="Y46" s="11">
        <v>121.74310409</v>
      </c>
      <c r="Z46" s="11">
        <v>50.803351098999997</v>
      </c>
      <c r="AA46" s="11">
        <v>134.79699142999999</v>
      </c>
      <c r="AB46" s="11">
        <v>70.122351033000001</v>
      </c>
      <c r="AD46" s="2" t="str">
        <f t="shared" si="1"/>
        <v>LV</v>
      </c>
      <c r="AE46" s="2">
        <f t="shared" si="2"/>
        <v>2032</v>
      </c>
      <c r="AF46" s="21">
        <f t="shared" si="3"/>
        <v>4649.0692836199996</v>
      </c>
      <c r="AG46" s="21">
        <f t="shared" ca="1" si="4"/>
        <v>288.11779357</v>
      </c>
    </row>
    <row r="47" spans="1:33">
      <c r="A47"/>
      <c r="B47" s="2" t="s">
        <v>210</v>
      </c>
      <c r="C47" s="2">
        <v>2033</v>
      </c>
      <c r="D47" s="11">
        <v>377.02268686999997</v>
      </c>
      <c r="E47" s="11">
        <v>72.025976220999993</v>
      </c>
      <c r="F47" s="11">
        <v>457.54566719000002</v>
      </c>
      <c r="G47" s="11">
        <v>274.07479813999998</v>
      </c>
      <c r="H47" s="11">
        <v>578.50228101000005</v>
      </c>
      <c r="I47" s="11">
        <v>98.780284950999999</v>
      </c>
      <c r="J47" s="11">
        <v>294.03985599999999</v>
      </c>
      <c r="K47" s="11">
        <v>267.04009049000001</v>
      </c>
      <c r="L47" s="11">
        <v>164.95089515999999</v>
      </c>
      <c r="M47" s="11">
        <v>161.75438750999999</v>
      </c>
      <c r="N47" s="11">
        <v>132.49505823000001</v>
      </c>
      <c r="O47" s="11">
        <v>61.688311417999998</v>
      </c>
      <c r="P47" s="11">
        <v>96.871916635999995</v>
      </c>
      <c r="Q47" s="11">
        <v>112.64176741999999</v>
      </c>
      <c r="R47" s="11">
        <v>167.58619981999999</v>
      </c>
      <c r="S47" s="11">
        <v>65.798674227999996</v>
      </c>
      <c r="T47" s="11">
        <v>95.648692026999996</v>
      </c>
      <c r="U47" s="11">
        <v>51.098655121</v>
      </c>
      <c r="V47" s="11">
        <v>219.45186054999999</v>
      </c>
      <c r="W47" s="11">
        <v>251.03434138</v>
      </c>
      <c r="X47" s="11">
        <v>290.64653579999998</v>
      </c>
      <c r="Y47" s="11">
        <v>122.67006659</v>
      </c>
      <c r="Z47" s="11">
        <v>50.855120434</v>
      </c>
      <c r="AA47" s="11">
        <v>135.06354981999999</v>
      </c>
      <c r="AB47" s="11">
        <v>70.054624430999993</v>
      </c>
      <c r="AD47" s="2" t="str">
        <f t="shared" si="1"/>
        <v>LV</v>
      </c>
      <c r="AE47" s="2">
        <f t="shared" si="2"/>
        <v>2033</v>
      </c>
      <c r="AF47" s="21">
        <f t="shared" si="3"/>
        <v>4669.3422974469995</v>
      </c>
      <c r="AG47" s="21">
        <f t="shared" ca="1" si="4"/>
        <v>290.64653579999998</v>
      </c>
    </row>
    <row r="48" spans="1:33">
      <c r="A48"/>
      <c r="B48" s="2" t="s">
        <v>210</v>
      </c>
      <c r="C48" s="2">
        <v>2034</v>
      </c>
      <c r="D48" s="11">
        <v>380.72840995000001</v>
      </c>
      <c r="E48" s="11">
        <v>72.550766803000002</v>
      </c>
      <c r="F48" s="11">
        <v>460.63730282</v>
      </c>
      <c r="G48" s="11">
        <v>276.38772677999998</v>
      </c>
      <c r="H48" s="11">
        <v>581.64301069999999</v>
      </c>
      <c r="I48" s="11">
        <v>99.293296521000002</v>
      </c>
      <c r="J48" s="11">
        <v>295.55082157999999</v>
      </c>
      <c r="K48" s="11">
        <v>270.35554980000001</v>
      </c>
      <c r="L48" s="11">
        <v>165.65617677</v>
      </c>
      <c r="M48" s="11">
        <v>162.43834552000001</v>
      </c>
      <c r="N48" s="11">
        <v>132.94715173</v>
      </c>
      <c r="O48" s="11">
        <v>61.949001825000003</v>
      </c>
      <c r="P48" s="11">
        <v>96.875835448999993</v>
      </c>
      <c r="Q48" s="11">
        <v>112.64676158</v>
      </c>
      <c r="R48" s="11">
        <v>168.71416436000001</v>
      </c>
      <c r="S48" s="11">
        <v>66.118595878999997</v>
      </c>
      <c r="T48" s="11">
        <v>95.810121425000006</v>
      </c>
      <c r="U48" s="11">
        <v>51.195145496999999</v>
      </c>
      <c r="V48" s="11">
        <v>219.65459024</v>
      </c>
      <c r="W48" s="11">
        <v>250.74671283000001</v>
      </c>
      <c r="X48" s="11">
        <v>293.92681012000003</v>
      </c>
      <c r="Y48" s="11">
        <v>123.59496835</v>
      </c>
      <c r="Z48" s="11">
        <v>50.911755882000001</v>
      </c>
      <c r="AA48" s="11">
        <v>135.55440852999999</v>
      </c>
      <c r="AB48" s="11">
        <v>70.013316532000005</v>
      </c>
      <c r="AD48" s="2" t="str">
        <f t="shared" si="1"/>
        <v>LV</v>
      </c>
      <c r="AE48" s="2">
        <f t="shared" si="2"/>
        <v>2034</v>
      </c>
      <c r="AF48" s="21">
        <f t="shared" si="3"/>
        <v>4695.9007474729997</v>
      </c>
      <c r="AG48" s="21">
        <f t="shared" ca="1" si="4"/>
        <v>293.92681012000003</v>
      </c>
    </row>
    <row r="49" spans="1:33">
      <c r="A49"/>
      <c r="B49" s="2" t="s">
        <v>210</v>
      </c>
      <c r="C49" s="2">
        <v>2035</v>
      </c>
      <c r="D49" s="11">
        <v>383.60151552999997</v>
      </c>
      <c r="E49" s="11">
        <v>72.929929379000001</v>
      </c>
      <c r="F49" s="11">
        <v>465.56169641999998</v>
      </c>
      <c r="G49" s="11">
        <v>278.12051050000002</v>
      </c>
      <c r="H49" s="11">
        <v>585.97358845999997</v>
      </c>
      <c r="I49" s="11">
        <v>99.631876165999998</v>
      </c>
      <c r="J49" s="11">
        <v>296.79741216000002</v>
      </c>
      <c r="K49" s="11">
        <v>273.86951585999998</v>
      </c>
      <c r="L49" s="11">
        <v>166.31538488000001</v>
      </c>
      <c r="M49" s="11">
        <v>163.64179723000001</v>
      </c>
      <c r="N49" s="11">
        <v>133.52801977999999</v>
      </c>
      <c r="O49" s="11">
        <v>62.351147941000001</v>
      </c>
      <c r="P49" s="11">
        <v>97.073873653999996</v>
      </c>
      <c r="Q49" s="11">
        <v>112.92118206000001</v>
      </c>
      <c r="R49" s="11">
        <v>170.04892093999999</v>
      </c>
      <c r="S49" s="11">
        <v>66.500527704999996</v>
      </c>
      <c r="T49" s="11">
        <v>96.150183777999999</v>
      </c>
      <c r="U49" s="11">
        <v>51.237504510999997</v>
      </c>
      <c r="V49" s="11">
        <v>221.1135003</v>
      </c>
      <c r="W49" s="11">
        <v>251.73030954000001</v>
      </c>
      <c r="X49" s="11">
        <v>296.30853200000001</v>
      </c>
      <c r="Y49" s="11">
        <v>124.36743165999999</v>
      </c>
      <c r="Z49" s="11">
        <v>50.963546147000002</v>
      </c>
      <c r="AA49" s="11">
        <v>136.39107440999999</v>
      </c>
      <c r="AB49" s="11">
        <v>70.110802898000003</v>
      </c>
      <c r="AD49" s="2" t="str">
        <f t="shared" si="1"/>
        <v>LV</v>
      </c>
      <c r="AE49" s="2">
        <f t="shared" si="2"/>
        <v>2035</v>
      </c>
      <c r="AF49" s="21">
        <f t="shared" si="3"/>
        <v>4727.239783908999</v>
      </c>
      <c r="AG49" s="21">
        <f t="shared" ca="1" si="4"/>
        <v>296.30853200000001</v>
      </c>
    </row>
    <row r="50" spans="1:33">
      <c r="A50"/>
      <c r="B50" s="2" t="s">
        <v>210</v>
      </c>
      <c r="C50" s="2">
        <v>2036</v>
      </c>
      <c r="D50" s="11">
        <v>386.44612172000001</v>
      </c>
      <c r="E50" s="11">
        <v>73.280238405000006</v>
      </c>
      <c r="F50" s="11">
        <v>470.26555568999999</v>
      </c>
      <c r="G50" s="11">
        <v>279.95440751000001</v>
      </c>
      <c r="H50" s="11">
        <v>590.32436740000003</v>
      </c>
      <c r="I50" s="11">
        <v>99.929030475999994</v>
      </c>
      <c r="J50" s="11">
        <v>298.10340857</v>
      </c>
      <c r="K50" s="11">
        <v>277.33854781999997</v>
      </c>
      <c r="L50" s="11">
        <v>166.97452355999999</v>
      </c>
      <c r="M50" s="11">
        <v>164.82528542</v>
      </c>
      <c r="N50" s="11">
        <v>134.18746376000001</v>
      </c>
      <c r="O50" s="11">
        <v>62.795499186000001</v>
      </c>
      <c r="P50" s="11">
        <v>97.208981262999998</v>
      </c>
      <c r="Q50" s="11">
        <v>113.14688721</v>
      </c>
      <c r="R50" s="11">
        <v>171.3793824</v>
      </c>
      <c r="S50" s="11">
        <v>66.975674128999998</v>
      </c>
      <c r="T50" s="11">
        <v>96.485570929000005</v>
      </c>
      <c r="U50" s="11">
        <v>51.325006661000003</v>
      </c>
      <c r="V50" s="11">
        <v>222.58219224000001</v>
      </c>
      <c r="W50" s="11">
        <v>252.71170716</v>
      </c>
      <c r="X50" s="11">
        <v>298.59353822999998</v>
      </c>
      <c r="Y50" s="11">
        <v>125.11004169</v>
      </c>
      <c r="Z50" s="11">
        <v>51.027285118999998</v>
      </c>
      <c r="AA50" s="11">
        <v>137.40613580999999</v>
      </c>
      <c r="AB50" s="11">
        <v>70.181618721999996</v>
      </c>
      <c r="AD50" s="2" t="str">
        <f t="shared" si="1"/>
        <v>LV</v>
      </c>
      <c r="AE50" s="2">
        <f t="shared" si="2"/>
        <v>2036</v>
      </c>
      <c r="AF50" s="21">
        <f t="shared" si="3"/>
        <v>4758.5584710799994</v>
      </c>
      <c r="AG50" s="21">
        <f t="shared" ca="1" si="4"/>
        <v>298.59353822999998</v>
      </c>
    </row>
    <row r="51" spans="1:33">
      <c r="A51"/>
      <c r="B51" s="2" t="s">
        <v>210</v>
      </c>
      <c r="C51" s="2">
        <v>2037</v>
      </c>
      <c r="D51" s="11">
        <v>388.51999961000001</v>
      </c>
      <c r="E51" s="11">
        <v>73.432609154000005</v>
      </c>
      <c r="F51" s="11">
        <v>474.39063748000001</v>
      </c>
      <c r="G51" s="11">
        <v>281.39952577999998</v>
      </c>
      <c r="H51" s="11">
        <v>593.55732507000005</v>
      </c>
      <c r="I51" s="11">
        <v>100.15992285</v>
      </c>
      <c r="J51" s="11">
        <v>298.89336922000001</v>
      </c>
      <c r="K51" s="11">
        <v>280.35143793999998</v>
      </c>
      <c r="L51" s="11">
        <v>167.49516216000001</v>
      </c>
      <c r="M51" s="11">
        <v>165.66281559999999</v>
      </c>
      <c r="N51" s="11">
        <v>134.54055861000001</v>
      </c>
      <c r="O51" s="11">
        <v>63.070036053000003</v>
      </c>
      <c r="P51" s="11">
        <v>97.263453795000004</v>
      </c>
      <c r="Q51" s="11">
        <v>113.33806656</v>
      </c>
      <c r="R51" s="11">
        <v>172.62248628</v>
      </c>
      <c r="S51" s="11">
        <v>67.361887295000002</v>
      </c>
      <c r="T51" s="11">
        <v>96.778456779999999</v>
      </c>
      <c r="U51" s="11">
        <v>51.310279522999998</v>
      </c>
      <c r="V51" s="11">
        <v>223.53148073</v>
      </c>
      <c r="W51" s="11">
        <v>253.49573305000001</v>
      </c>
      <c r="X51" s="11">
        <v>300.09798264</v>
      </c>
      <c r="Y51" s="11">
        <v>125.73456371</v>
      </c>
      <c r="Z51" s="11">
        <v>51.028252678999998</v>
      </c>
      <c r="AA51" s="11">
        <v>138.14798152</v>
      </c>
      <c r="AB51" s="11">
        <v>70.311323787000006</v>
      </c>
      <c r="AD51" s="2" t="str">
        <f t="shared" si="1"/>
        <v>LV</v>
      </c>
      <c r="AE51" s="2">
        <f t="shared" si="2"/>
        <v>2037</v>
      </c>
      <c r="AF51" s="21">
        <f t="shared" si="3"/>
        <v>4782.495347875999</v>
      </c>
      <c r="AG51" s="21">
        <f t="shared" ca="1" si="4"/>
        <v>300.09798264</v>
      </c>
    </row>
    <row r="52" spans="1:33">
      <c r="A52"/>
      <c r="B52" s="2" t="s">
        <v>210</v>
      </c>
      <c r="C52" s="2">
        <v>2038</v>
      </c>
      <c r="D52" s="11">
        <v>390.12539809999998</v>
      </c>
      <c r="E52" s="11">
        <v>73.441833505000005</v>
      </c>
      <c r="F52" s="11">
        <v>477.72500037999998</v>
      </c>
      <c r="G52" s="11">
        <v>282.55590304999998</v>
      </c>
      <c r="H52" s="11">
        <v>595.44596138999998</v>
      </c>
      <c r="I52" s="11">
        <v>100.35873888</v>
      </c>
      <c r="J52" s="11">
        <v>299.33005270000001</v>
      </c>
      <c r="K52" s="11">
        <v>282.73762957000002</v>
      </c>
      <c r="L52" s="11">
        <v>167.87601212999999</v>
      </c>
      <c r="M52" s="11">
        <v>166.06748744000001</v>
      </c>
      <c r="N52" s="11">
        <v>134.74811632000001</v>
      </c>
      <c r="O52" s="11">
        <v>63.321281728000002</v>
      </c>
      <c r="P52" s="11">
        <v>97.279527565999999</v>
      </c>
      <c r="Q52" s="11">
        <v>113.37477946999999</v>
      </c>
      <c r="R52" s="11">
        <v>173.46323018999999</v>
      </c>
      <c r="S52" s="11">
        <v>67.601317679000005</v>
      </c>
      <c r="T52" s="11">
        <v>96.952398399000003</v>
      </c>
      <c r="U52" s="11">
        <v>51.277822819999997</v>
      </c>
      <c r="V52" s="11">
        <v>224.09095069</v>
      </c>
      <c r="W52" s="11">
        <v>253.90343371</v>
      </c>
      <c r="X52" s="11">
        <v>301.18585259000002</v>
      </c>
      <c r="Y52" s="11">
        <v>126.10321601</v>
      </c>
      <c r="Z52" s="11">
        <v>50.947468055999998</v>
      </c>
      <c r="AA52" s="11">
        <v>138.69748392</v>
      </c>
      <c r="AB52" s="11">
        <v>70.270956709999993</v>
      </c>
      <c r="AD52" s="2" t="str">
        <f t="shared" si="1"/>
        <v>LV</v>
      </c>
      <c r="AE52" s="2">
        <f t="shared" si="2"/>
        <v>2038</v>
      </c>
      <c r="AF52" s="21">
        <f t="shared" si="3"/>
        <v>4798.8818530030003</v>
      </c>
      <c r="AG52" s="21">
        <f t="shared" ca="1" si="4"/>
        <v>301.18585259000002</v>
      </c>
    </row>
    <row r="53" spans="1:33">
      <c r="A53"/>
      <c r="B53" s="2" t="s">
        <v>210</v>
      </c>
      <c r="C53" s="2">
        <v>2039</v>
      </c>
      <c r="D53" s="11">
        <v>391.02501802</v>
      </c>
      <c r="E53" s="11">
        <v>73.251667401000006</v>
      </c>
      <c r="F53" s="11">
        <v>480.40678385000001</v>
      </c>
      <c r="G53" s="11">
        <v>283.2970047</v>
      </c>
      <c r="H53" s="11">
        <v>596.28224604000002</v>
      </c>
      <c r="I53" s="11">
        <v>100.44403717</v>
      </c>
      <c r="J53" s="11">
        <v>299.22996576000003</v>
      </c>
      <c r="K53" s="11">
        <v>284.83852395999997</v>
      </c>
      <c r="L53" s="11">
        <v>168.07842262</v>
      </c>
      <c r="M53" s="11">
        <v>166.26235943</v>
      </c>
      <c r="N53" s="11">
        <v>134.74985809</v>
      </c>
      <c r="O53" s="11">
        <v>63.496422768000002</v>
      </c>
      <c r="P53" s="11">
        <v>97.141335604000005</v>
      </c>
      <c r="Q53" s="11">
        <v>113.28507448000001</v>
      </c>
      <c r="R53" s="11">
        <v>174.17411749999999</v>
      </c>
      <c r="S53" s="11">
        <v>67.742255295000007</v>
      </c>
      <c r="T53" s="11">
        <v>96.985736290999995</v>
      </c>
      <c r="U53" s="11">
        <v>51.184308618000003</v>
      </c>
      <c r="V53" s="11">
        <v>224.28777459</v>
      </c>
      <c r="W53" s="11">
        <v>253.99065442</v>
      </c>
      <c r="X53" s="11">
        <v>301.55848766999998</v>
      </c>
      <c r="Y53" s="11">
        <v>126.32905845000001</v>
      </c>
      <c r="Z53" s="11">
        <v>50.810278758000003</v>
      </c>
      <c r="AA53" s="11">
        <v>139.10137795</v>
      </c>
      <c r="AB53" s="11">
        <v>70.190045053000006</v>
      </c>
      <c r="AD53" s="2" t="str">
        <f t="shared" si="1"/>
        <v>LV</v>
      </c>
      <c r="AE53" s="2">
        <f t="shared" si="2"/>
        <v>2039</v>
      </c>
      <c r="AF53" s="21">
        <f t="shared" si="3"/>
        <v>4808.142814488001</v>
      </c>
      <c r="AG53" s="21">
        <f t="shared" ca="1" si="4"/>
        <v>301.55848766999998</v>
      </c>
    </row>
    <row r="54" spans="1:33">
      <c r="A54"/>
      <c r="B54" s="2" t="s">
        <v>210</v>
      </c>
      <c r="C54" s="2">
        <v>2040</v>
      </c>
      <c r="D54" s="11">
        <v>391.52936066000001</v>
      </c>
      <c r="E54" s="11">
        <v>72.972570133999994</v>
      </c>
      <c r="F54" s="11">
        <v>482.54929916999998</v>
      </c>
      <c r="G54" s="11">
        <v>283.77186496000002</v>
      </c>
      <c r="H54" s="11">
        <v>596.33660350000002</v>
      </c>
      <c r="I54" s="11">
        <v>100.47543211</v>
      </c>
      <c r="J54" s="11">
        <v>298.80139512</v>
      </c>
      <c r="K54" s="11">
        <v>286.57934698000003</v>
      </c>
      <c r="L54" s="11">
        <v>168.14944123999999</v>
      </c>
      <c r="M54" s="11">
        <v>166.20724951</v>
      </c>
      <c r="N54" s="11">
        <v>134.62267313000001</v>
      </c>
      <c r="O54" s="11">
        <v>63.636535311999999</v>
      </c>
      <c r="P54" s="11">
        <v>96.924523046000004</v>
      </c>
      <c r="Q54" s="11">
        <v>113.07468083000001</v>
      </c>
      <c r="R54" s="11">
        <v>174.67110535</v>
      </c>
      <c r="S54" s="11">
        <v>67.777114788999995</v>
      </c>
      <c r="T54" s="11">
        <v>96.917666849</v>
      </c>
      <c r="U54" s="11">
        <v>51.053423160000001</v>
      </c>
      <c r="V54" s="11">
        <v>224.14493952999999</v>
      </c>
      <c r="W54" s="11">
        <v>253.80582756000001</v>
      </c>
      <c r="X54" s="11">
        <v>301.68795119999999</v>
      </c>
      <c r="Y54" s="11">
        <v>126.40296055</v>
      </c>
      <c r="Z54" s="11">
        <v>50.623045320000003</v>
      </c>
      <c r="AA54" s="11">
        <v>139.34821013999999</v>
      </c>
      <c r="AB54" s="11">
        <v>70.027634796000001</v>
      </c>
      <c r="AD54" s="2" t="str">
        <f t="shared" si="1"/>
        <v>LV</v>
      </c>
      <c r="AE54" s="2">
        <f t="shared" si="2"/>
        <v>2040</v>
      </c>
      <c r="AF54" s="21">
        <f t="shared" si="3"/>
        <v>4812.0908549459991</v>
      </c>
      <c r="AG54" s="21">
        <f t="shared" ca="1" si="4"/>
        <v>301.68795119999999</v>
      </c>
    </row>
    <row r="55" spans="1:33">
      <c r="A55"/>
      <c r="B55" s="2" t="s">
        <v>210</v>
      </c>
      <c r="C55" s="2">
        <v>2041</v>
      </c>
      <c r="D55" s="11">
        <v>394.62414424000002</v>
      </c>
      <c r="E55" s="11">
        <v>72.850488166000005</v>
      </c>
      <c r="F55" s="11">
        <v>486.7004561</v>
      </c>
      <c r="G55" s="11">
        <v>286.06965628</v>
      </c>
      <c r="H55" s="11">
        <v>599.52143809999995</v>
      </c>
      <c r="I55" s="11">
        <v>100.6483142</v>
      </c>
      <c r="J55" s="11">
        <v>299.61259181999998</v>
      </c>
      <c r="K55" s="11">
        <v>289.12586607999998</v>
      </c>
      <c r="L55" s="11">
        <v>168.52641367999999</v>
      </c>
      <c r="M55" s="11">
        <v>167.27435600999999</v>
      </c>
      <c r="N55" s="11">
        <v>134.98938489</v>
      </c>
      <c r="O55" s="11">
        <v>63.928422871000002</v>
      </c>
      <c r="P55" s="11">
        <v>97.184314383</v>
      </c>
      <c r="Q55" s="11">
        <v>113.56221026999999</v>
      </c>
      <c r="R55" s="11">
        <v>175.97194474</v>
      </c>
      <c r="S55" s="11">
        <v>68.383433933000006</v>
      </c>
      <c r="T55" s="11">
        <v>97.238459149999997</v>
      </c>
      <c r="U55" s="11">
        <v>50.987900334999999</v>
      </c>
      <c r="V55" s="11">
        <v>225.52648339000001</v>
      </c>
      <c r="W55" s="11">
        <v>255.16907140000001</v>
      </c>
      <c r="X55" s="11">
        <v>302.75970966</v>
      </c>
      <c r="Y55" s="11">
        <v>126.98198589</v>
      </c>
      <c r="Z55" s="11">
        <v>50.503163798000003</v>
      </c>
      <c r="AA55" s="11">
        <v>140.67073975</v>
      </c>
      <c r="AB55" s="11">
        <v>70.174380854999995</v>
      </c>
      <c r="AD55" s="2" t="str">
        <f t="shared" si="1"/>
        <v>LV</v>
      </c>
      <c r="AE55" s="2">
        <f t="shared" si="2"/>
        <v>2041</v>
      </c>
      <c r="AF55" s="21">
        <f t="shared" si="3"/>
        <v>4838.9853299910001</v>
      </c>
      <c r="AG55" s="21">
        <f t="shared" ca="1" si="4"/>
        <v>302.75970966</v>
      </c>
    </row>
    <row r="56" spans="1:33">
      <c r="A56"/>
      <c r="B56" s="2" t="s">
        <v>210</v>
      </c>
      <c r="C56" s="2">
        <v>2042</v>
      </c>
      <c r="D56" s="11">
        <v>397.82908426</v>
      </c>
      <c r="E56" s="11">
        <v>72.754323803000005</v>
      </c>
      <c r="F56" s="11">
        <v>491.01658221000002</v>
      </c>
      <c r="G56" s="11">
        <v>288.45892491000001</v>
      </c>
      <c r="H56" s="11">
        <v>602.91420645000005</v>
      </c>
      <c r="I56" s="11">
        <v>100.85046417</v>
      </c>
      <c r="J56" s="11">
        <v>300.53229248999997</v>
      </c>
      <c r="K56" s="11">
        <v>291.75377594999998</v>
      </c>
      <c r="L56" s="11">
        <v>168.94398106</v>
      </c>
      <c r="M56" s="11">
        <v>168.38883383999999</v>
      </c>
      <c r="N56" s="11">
        <v>135.38053464999999</v>
      </c>
      <c r="O56" s="11">
        <v>64.225579714999995</v>
      </c>
      <c r="P56" s="11">
        <v>97.483514962000001</v>
      </c>
      <c r="Q56" s="11">
        <v>114.09765738</v>
      </c>
      <c r="R56" s="11">
        <v>177.32455526999999</v>
      </c>
      <c r="S56" s="11">
        <v>69.017955408999995</v>
      </c>
      <c r="T56" s="11">
        <v>97.603705727999994</v>
      </c>
      <c r="U56" s="11">
        <v>50.930800638999997</v>
      </c>
      <c r="V56" s="11">
        <v>226.96979234</v>
      </c>
      <c r="W56" s="11">
        <v>256.64396377000003</v>
      </c>
      <c r="X56" s="11">
        <v>303.90063379999998</v>
      </c>
      <c r="Y56" s="11">
        <v>127.59119187</v>
      </c>
      <c r="Z56" s="11">
        <v>50.393421345</v>
      </c>
      <c r="AA56" s="11">
        <v>142.02818404999999</v>
      </c>
      <c r="AB56" s="11">
        <v>70.350760399999999</v>
      </c>
      <c r="AD56" s="2" t="str">
        <f t="shared" si="1"/>
        <v>LV</v>
      </c>
      <c r="AE56" s="2">
        <f t="shared" si="2"/>
        <v>2042</v>
      </c>
      <c r="AF56" s="21">
        <f t="shared" si="3"/>
        <v>4867.3847204710009</v>
      </c>
      <c r="AG56" s="21">
        <f t="shared" ca="1" si="4"/>
        <v>303.90063379999998</v>
      </c>
    </row>
    <row r="57" spans="1:33">
      <c r="A57"/>
      <c r="B57" s="2" t="s">
        <v>210</v>
      </c>
      <c r="C57" s="2">
        <v>2043</v>
      </c>
      <c r="D57" s="11">
        <v>401.25458015999999</v>
      </c>
      <c r="E57" s="11">
        <v>72.696984330999996</v>
      </c>
      <c r="F57" s="11">
        <v>495.64336709999998</v>
      </c>
      <c r="G57" s="11">
        <v>291.00743483999997</v>
      </c>
      <c r="H57" s="11">
        <v>606.69929861000003</v>
      </c>
      <c r="I57" s="11">
        <v>101.10602114</v>
      </c>
      <c r="J57" s="11">
        <v>301.68523635999998</v>
      </c>
      <c r="K57" s="11">
        <v>294.55404600999998</v>
      </c>
      <c r="L57" s="11">
        <v>169.44632587999999</v>
      </c>
      <c r="M57" s="11">
        <v>169.64242200999999</v>
      </c>
      <c r="N57" s="11">
        <v>135.84765517</v>
      </c>
      <c r="O57" s="11">
        <v>64.562891179000005</v>
      </c>
      <c r="P57" s="11">
        <v>97.850009460999999</v>
      </c>
      <c r="Q57" s="11">
        <v>114.71335190000001</v>
      </c>
      <c r="R57" s="11">
        <v>178.77928765999999</v>
      </c>
      <c r="S57" s="11">
        <v>69.710520009000007</v>
      </c>
      <c r="T57" s="11">
        <v>98.039769180999997</v>
      </c>
      <c r="U57" s="11">
        <v>50.905977043</v>
      </c>
      <c r="V57" s="11">
        <v>228.60078433000001</v>
      </c>
      <c r="W57" s="11">
        <v>258.32301987</v>
      </c>
      <c r="X57" s="11">
        <v>305.12401554000002</v>
      </c>
      <c r="Y57" s="11">
        <v>128.27365037000001</v>
      </c>
      <c r="Z57" s="11">
        <v>50.312350402</v>
      </c>
      <c r="AA57" s="11">
        <v>143.50413752</v>
      </c>
      <c r="AB57" s="11">
        <v>70.565415702999999</v>
      </c>
      <c r="AD57" s="2" t="str">
        <f t="shared" si="1"/>
        <v>LV</v>
      </c>
      <c r="AE57" s="2">
        <f t="shared" si="2"/>
        <v>2043</v>
      </c>
      <c r="AF57" s="21">
        <f t="shared" si="3"/>
        <v>4898.8485517790004</v>
      </c>
      <c r="AG57" s="21">
        <f t="shared" ca="1" si="4"/>
        <v>305.12401554000002</v>
      </c>
    </row>
    <row r="58" spans="1:33">
      <c r="A58"/>
      <c r="B58" s="2" t="s">
        <v>210</v>
      </c>
      <c r="C58" s="2">
        <v>2044</v>
      </c>
      <c r="D58" s="11">
        <v>404.76616206</v>
      </c>
      <c r="E58" s="11">
        <v>72.661753333999997</v>
      </c>
      <c r="F58" s="11">
        <v>500.39344582000001</v>
      </c>
      <c r="G58" s="11">
        <v>293.61762112999997</v>
      </c>
      <c r="H58" s="11">
        <v>610.68143001999999</v>
      </c>
      <c r="I58" s="11">
        <v>101.37017082</v>
      </c>
      <c r="J58" s="11">
        <v>302.89844635999998</v>
      </c>
      <c r="K58" s="11">
        <v>297.44995189999997</v>
      </c>
      <c r="L58" s="11">
        <v>169.96709036999999</v>
      </c>
      <c r="M58" s="11">
        <v>170.95219921</v>
      </c>
      <c r="N58" s="11">
        <v>136.34151188999999</v>
      </c>
      <c r="O58" s="11">
        <v>64.909953763000004</v>
      </c>
      <c r="P58" s="11">
        <v>98.227011273000002</v>
      </c>
      <c r="Q58" s="11">
        <v>115.34989689</v>
      </c>
      <c r="R58" s="11">
        <v>180.27709648000001</v>
      </c>
      <c r="S58" s="11">
        <v>70.424005342000001</v>
      </c>
      <c r="T58" s="11">
        <v>98.493211966999993</v>
      </c>
      <c r="U58" s="11">
        <v>50.886660892000002</v>
      </c>
      <c r="V58" s="11">
        <v>230.28651206000001</v>
      </c>
      <c r="W58" s="11">
        <v>260.06483136000003</v>
      </c>
      <c r="X58" s="11">
        <v>306.42670500999998</v>
      </c>
      <c r="Y58" s="11">
        <v>128.97689814</v>
      </c>
      <c r="Z58" s="11">
        <v>50.239063809000001</v>
      </c>
      <c r="AA58" s="11">
        <v>145.01439095999999</v>
      </c>
      <c r="AB58" s="11">
        <v>70.795656151000003</v>
      </c>
      <c r="AD58" s="2" t="str">
        <f t="shared" si="1"/>
        <v>LV</v>
      </c>
      <c r="AE58" s="2">
        <f t="shared" si="2"/>
        <v>2044</v>
      </c>
      <c r="AF58" s="21">
        <f t="shared" si="3"/>
        <v>4931.4716770109999</v>
      </c>
      <c r="AG58" s="21">
        <f t="shared" ca="1" si="4"/>
        <v>306.42670500999998</v>
      </c>
    </row>
    <row r="59" spans="1:33">
      <c r="A59"/>
      <c r="B59" s="2" t="s">
        <v>210</v>
      </c>
      <c r="C59" s="2">
        <v>2045</v>
      </c>
      <c r="D59" s="11">
        <v>408.35938757999998</v>
      </c>
      <c r="E59" s="11">
        <v>72.641488988999996</v>
      </c>
      <c r="F59" s="11">
        <v>505.25922594999997</v>
      </c>
      <c r="G59" s="11">
        <v>296.28634103000002</v>
      </c>
      <c r="H59" s="11">
        <v>614.81129046000001</v>
      </c>
      <c r="I59" s="11">
        <v>101.65048942</v>
      </c>
      <c r="J59" s="11">
        <v>304.18784347000002</v>
      </c>
      <c r="K59" s="11">
        <v>300.40055811000002</v>
      </c>
      <c r="L59" s="11">
        <v>170.51315206999999</v>
      </c>
      <c r="M59" s="11">
        <v>172.3062807</v>
      </c>
      <c r="N59" s="11">
        <v>136.86009369999999</v>
      </c>
      <c r="O59" s="11">
        <v>65.268983195000004</v>
      </c>
      <c r="P59" s="11">
        <v>98.624659125999997</v>
      </c>
      <c r="Q59" s="11">
        <v>116.01197096999999</v>
      </c>
      <c r="R59" s="11">
        <v>181.80883765999999</v>
      </c>
      <c r="S59" s="11">
        <v>71.157345043999996</v>
      </c>
      <c r="T59" s="11">
        <v>98.970401386000006</v>
      </c>
      <c r="U59" s="11">
        <v>50.875223525000003</v>
      </c>
      <c r="V59" s="11">
        <v>232.0278902</v>
      </c>
      <c r="W59" s="11">
        <v>261.87699907000001</v>
      </c>
      <c r="X59" s="11">
        <v>307.77163621</v>
      </c>
      <c r="Y59" s="11">
        <v>129.70263197</v>
      </c>
      <c r="Z59" s="11">
        <v>50.173480493</v>
      </c>
      <c r="AA59" s="11">
        <v>146.56135377999999</v>
      </c>
      <c r="AB59" s="11">
        <v>71.039751132000006</v>
      </c>
      <c r="AD59" s="2" t="str">
        <f t="shared" si="1"/>
        <v>LV</v>
      </c>
      <c r="AE59" s="2">
        <f t="shared" si="2"/>
        <v>2045</v>
      </c>
      <c r="AF59" s="21">
        <f t="shared" si="3"/>
        <v>4965.1473152400004</v>
      </c>
      <c r="AG59" s="21">
        <f t="shared" ca="1" si="4"/>
        <v>307.77163621</v>
      </c>
    </row>
    <row r="60" spans="1:33">
      <c r="A60" s="13"/>
      <c r="B60" s="2" t="s">
        <v>210</v>
      </c>
      <c r="C60" s="2">
        <v>2046</v>
      </c>
      <c r="D60" s="11">
        <v>412.00833452000001</v>
      </c>
      <c r="E60" s="11">
        <v>72.632867314999999</v>
      </c>
      <c r="F60" s="11">
        <v>510.20756969000001</v>
      </c>
      <c r="G60" s="11">
        <v>298.99767935</v>
      </c>
      <c r="H60" s="11">
        <v>619.04433404999997</v>
      </c>
      <c r="I60" s="11">
        <v>101.9398478</v>
      </c>
      <c r="J60" s="11">
        <v>305.52325224999998</v>
      </c>
      <c r="K60" s="11">
        <v>303.39383246</v>
      </c>
      <c r="L60" s="11">
        <v>171.07595201999999</v>
      </c>
      <c r="M60" s="11">
        <v>173.68686331000001</v>
      </c>
      <c r="N60" s="11">
        <v>137.39484200999999</v>
      </c>
      <c r="O60" s="11">
        <v>65.633264643000004</v>
      </c>
      <c r="P60" s="11">
        <v>99.033733302000002</v>
      </c>
      <c r="Q60" s="11">
        <v>116.69005368000001</v>
      </c>
      <c r="R60" s="11">
        <v>183.36470578000001</v>
      </c>
      <c r="S60" s="11">
        <v>71.905117232999999</v>
      </c>
      <c r="T60" s="11">
        <v>99.463096918999995</v>
      </c>
      <c r="U60" s="11">
        <v>50.867983289000001</v>
      </c>
      <c r="V60" s="11">
        <v>233.80520547</v>
      </c>
      <c r="W60" s="11">
        <v>263.73172684000002</v>
      </c>
      <c r="X60" s="11">
        <v>309.15515145000001</v>
      </c>
      <c r="Y60" s="11">
        <v>130.44258988999999</v>
      </c>
      <c r="Z60" s="11">
        <v>50.112462981</v>
      </c>
      <c r="AA60" s="11">
        <v>148.12891157999999</v>
      </c>
      <c r="AB60" s="11">
        <v>71.294245162999999</v>
      </c>
      <c r="AD60" s="2" t="str">
        <f t="shared" si="1"/>
        <v>LV</v>
      </c>
      <c r="AE60" s="2">
        <f t="shared" si="2"/>
        <v>2046</v>
      </c>
      <c r="AF60" s="21">
        <f t="shared" si="3"/>
        <v>4999.533622994999</v>
      </c>
      <c r="AG60" s="21">
        <f t="shared" ca="1" si="4"/>
        <v>309.15515145000001</v>
      </c>
    </row>
    <row r="61" spans="1:33">
      <c r="A61"/>
      <c r="B61" s="2" t="s">
        <v>211</v>
      </c>
      <c r="C61" s="2">
        <v>2022</v>
      </c>
      <c r="D61" s="11">
        <v>34.58323864027286</v>
      </c>
      <c r="E61" s="11">
        <v>63.126215231030471</v>
      </c>
      <c r="F61" s="11">
        <v>20.749773334220585</v>
      </c>
      <c r="G61" s="11">
        <v>13.1691287</v>
      </c>
      <c r="H61" s="11">
        <v>102.19911280711869</v>
      </c>
      <c r="I61" s="11">
        <v>4.2997912339560624</v>
      </c>
      <c r="J61" s="11">
        <v>8.5614101123526396</v>
      </c>
      <c r="K61" s="11">
        <v>38.305005537918007</v>
      </c>
      <c r="L61" s="11">
        <v>0.92992450310659103</v>
      </c>
      <c r="M61" s="11">
        <v>0</v>
      </c>
      <c r="N61" s="11">
        <v>0</v>
      </c>
      <c r="O61" s="11">
        <v>76.734074436276515</v>
      </c>
      <c r="P61" s="11">
        <v>2.815824132418274E-2</v>
      </c>
      <c r="Q61" s="11">
        <v>0</v>
      </c>
      <c r="R61" s="11">
        <v>7.5093505921261512</v>
      </c>
      <c r="S61" s="11">
        <v>0</v>
      </c>
      <c r="T61" s="11">
        <v>6.3347970733928793</v>
      </c>
      <c r="U61" s="11">
        <v>83.297948204800008</v>
      </c>
      <c r="V61" s="11">
        <v>0</v>
      </c>
      <c r="W61" s="11">
        <v>0.51120622046533271</v>
      </c>
      <c r="X61" s="11">
        <v>0</v>
      </c>
      <c r="Y61" s="11">
        <v>0</v>
      </c>
      <c r="Z61" s="11">
        <v>38.134615375570135</v>
      </c>
      <c r="AA61" s="11">
        <v>0</v>
      </c>
      <c r="AB61" s="11">
        <v>29.545162575785483</v>
      </c>
      <c r="AD61" s="2" t="str">
        <f t="shared" si="1"/>
        <v>ST</v>
      </c>
      <c r="AE61" s="2">
        <f t="shared" si="2"/>
        <v>2022</v>
      </c>
      <c r="AF61" s="21">
        <f t="shared" si="3"/>
        <v>528.01891281971666</v>
      </c>
      <c r="AG61" s="21">
        <f t="shared" ca="1" si="4"/>
        <v>0</v>
      </c>
    </row>
    <row r="62" spans="1:33">
      <c r="A62"/>
      <c r="B62" s="2" t="s">
        <v>211</v>
      </c>
      <c r="C62" s="2">
        <v>2023</v>
      </c>
      <c r="D62" s="11">
        <v>50.238390399272859</v>
      </c>
      <c r="E62" s="11">
        <v>67.456639421097776</v>
      </c>
      <c r="F62" s="11">
        <v>20.749773334220585</v>
      </c>
      <c r="G62" s="11">
        <v>32.790249055000004</v>
      </c>
      <c r="H62" s="11">
        <v>124.36290864835152</v>
      </c>
      <c r="I62" s="11">
        <v>4.2997912339560624</v>
      </c>
      <c r="J62" s="11">
        <v>8.5614101123526396</v>
      </c>
      <c r="K62" s="11">
        <v>61.801950163843358</v>
      </c>
      <c r="L62" s="11">
        <v>0.92992450310659103</v>
      </c>
      <c r="M62" s="11">
        <v>0</v>
      </c>
      <c r="N62" s="11">
        <v>0</v>
      </c>
      <c r="O62" s="11">
        <v>76.734074436276515</v>
      </c>
      <c r="P62" s="11">
        <v>2.815824132418274E-2</v>
      </c>
      <c r="Q62" s="11">
        <v>0</v>
      </c>
      <c r="R62" s="11">
        <v>7.5093505921261512</v>
      </c>
      <c r="S62" s="11">
        <v>0</v>
      </c>
      <c r="T62" s="11">
        <v>6.3347970733928793</v>
      </c>
      <c r="U62" s="11">
        <v>83.297948204800008</v>
      </c>
      <c r="V62" s="11">
        <v>0</v>
      </c>
      <c r="W62" s="11">
        <v>0.51120622046533271</v>
      </c>
      <c r="X62" s="11">
        <v>0</v>
      </c>
      <c r="Y62" s="11">
        <v>0</v>
      </c>
      <c r="Z62" s="11">
        <v>38.134615375570135</v>
      </c>
      <c r="AA62" s="11">
        <v>0</v>
      </c>
      <c r="AB62" s="11">
        <v>28.025024433785482</v>
      </c>
      <c r="AD62" s="2" t="str">
        <f t="shared" si="1"/>
        <v>ST</v>
      </c>
      <c r="AE62" s="2">
        <f t="shared" si="2"/>
        <v>2023</v>
      </c>
      <c r="AF62" s="21">
        <f t="shared" si="3"/>
        <v>611.76621144894204</v>
      </c>
      <c r="AG62" s="21">
        <f t="shared" ca="1" si="4"/>
        <v>0</v>
      </c>
    </row>
    <row r="63" spans="1:33">
      <c r="A63"/>
      <c r="B63" s="2" t="s">
        <v>211</v>
      </c>
      <c r="C63" s="2">
        <v>2024</v>
      </c>
      <c r="D63" s="11">
        <v>57.112787308472861</v>
      </c>
      <c r="E63" s="11">
        <v>69.058004777336762</v>
      </c>
      <c r="F63" s="11">
        <v>20.749773334220585</v>
      </c>
      <c r="G63" s="11">
        <v>66.480498109999999</v>
      </c>
      <c r="H63" s="11">
        <v>141.88911140335154</v>
      </c>
      <c r="I63" s="11">
        <v>4.2997912339560624</v>
      </c>
      <c r="J63" s="11">
        <v>8.5614101123526396</v>
      </c>
      <c r="K63" s="11">
        <v>68.202052379760119</v>
      </c>
      <c r="L63" s="11">
        <v>-13.231695466893409</v>
      </c>
      <c r="M63" s="11">
        <v>0</v>
      </c>
      <c r="N63" s="11">
        <v>0</v>
      </c>
      <c r="O63" s="11">
        <v>76.734074436276515</v>
      </c>
      <c r="P63" s="11">
        <v>2.815824132418274E-2</v>
      </c>
      <c r="Q63" s="11">
        <v>0</v>
      </c>
      <c r="R63" s="11">
        <v>7.5093505921261512</v>
      </c>
      <c r="S63" s="11">
        <v>0</v>
      </c>
      <c r="T63" s="11">
        <v>6.3347970733928793</v>
      </c>
      <c r="U63" s="11">
        <v>76.709664387800004</v>
      </c>
      <c r="V63" s="11">
        <v>0</v>
      </c>
      <c r="W63" s="11">
        <v>0.51120622046533271</v>
      </c>
      <c r="X63" s="11">
        <v>0</v>
      </c>
      <c r="Y63" s="11">
        <v>-7.9257738020000001</v>
      </c>
      <c r="Z63" s="11">
        <v>15.450783175570134</v>
      </c>
      <c r="AA63" s="11">
        <v>0</v>
      </c>
      <c r="AB63" s="11">
        <v>28.025024433785482</v>
      </c>
      <c r="AD63" s="2" t="str">
        <f t="shared" si="1"/>
        <v>ST</v>
      </c>
      <c r="AE63" s="2">
        <f t="shared" si="2"/>
        <v>2024</v>
      </c>
      <c r="AF63" s="21">
        <f t="shared" si="3"/>
        <v>626.49901795129779</v>
      </c>
      <c r="AG63" s="21">
        <f t="shared" ca="1" si="4"/>
        <v>0</v>
      </c>
    </row>
    <row r="64" spans="1:33">
      <c r="A64"/>
      <c r="B64" s="2" t="s">
        <v>211</v>
      </c>
      <c r="C64" s="2">
        <v>2025</v>
      </c>
      <c r="D64" s="11">
        <v>65.870055616272865</v>
      </c>
      <c r="E64" s="11">
        <v>71.044174610761104</v>
      </c>
      <c r="F64" s="11">
        <v>20.749773334220585</v>
      </c>
      <c r="G64" s="11">
        <v>84.148506455000003</v>
      </c>
      <c r="H64" s="11">
        <v>144.08284245255152</v>
      </c>
      <c r="I64" s="11">
        <v>4.2997912339560624</v>
      </c>
      <c r="J64" s="11">
        <v>8.5614101123526396</v>
      </c>
      <c r="K64" s="11">
        <v>79.515040345685478</v>
      </c>
      <c r="L64" s="11">
        <v>-13.231695466893409</v>
      </c>
      <c r="M64" s="11">
        <v>0</v>
      </c>
      <c r="N64" s="11">
        <v>0</v>
      </c>
      <c r="O64" s="11">
        <v>76.734074436276515</v>
      </c>
      <c r="P64" s="11">
        <v>2.815824132418274E-2</v>
      </c>
      <c r="Q64" s="11">
        <v>0</v>
      </c>
      <c r="R64" s="11">
        <v>7.5093505921261512</v>
      </c>
      <c r="S64" s="11">
        <v>0</v>
      </c>
      <c r="T64" s="11">
        <v>6.3347970733928793</v>
      </c>
      <c r="U64" s="11">
        <v>76.709664387800004</v>
      </c>
      <c r="V64" s="11">
        <v>0</v>
      </c>
      <c r="W64" s="11">
        <v>0.51120622046533271</v>
      </c>
      <c r="X64" s="11">
        <v>0</v>
      </c>
      <c r="Y64" s="11">
        <v>-7.9257738020000001</v>
      </c>
      <c r="Z64" s="11">
        <v>15.450783175570134</v>
      </c>
      <c r="AA64" s="11">
        <v>0</v>
      </c>
      <c r="AB64" s="11">
        <v>28.025024433785482</v>
      </c>
      <c r="AD64" s="2" t="str">
        <f t="shared" si="1"/>
        <v>ST</v>
      </c>
      <c r="AE64" s="2">
        <f t="shared" si="2"/>
        <v>2025</v>
      </c>
      <c r="AF64" s="21">
        <f t="shared" si="3"/>
        <v>668.41718345264735</v>
      </c>
      <c r="AG64" s="21">
        <f t="shared" ca="1" si="4"/>
        <v>0</v>
      </c>
    </row>
    <row r="65" spans="1:33">
      <c r="A65"/>
      <c r="B65" s="2" t="s">
        <v>211</v>
      </c>
      <c r="C65" s="2">
        <v>2026</v>
      </c>
      <c r="D65" s="11">
        <v>65.870055616272865</v>
      </c>
      <c r="E65" s="11">
        <v>71.918687063761098</v>
      </c>
      <c r="F65" s="11">
        <v>20.749773334220585</v>
      </c>
      <c r="G65" s="11">
        <v>123.17788421039999</v>
      </c>
      <c r="H65" s="11">
        <v>148.43942608555153</v>
      </c>
      <c r="I65" s="11">
        <v>4.2997912339560624</v>
      </c>
      <c r="J65" s="11">
        <v>8.5614101123526396</v>
      </c>
      <c r="K65" s="11">
        <v>90.828028311702241</v>
      </c>
      <c r="L65" s="11">
        <v>-13.231695466893409</v>
      </c>
      <c r="M65" s="11">
        <v>0</v>
      </c>
      <c r="N65" s="11">
        <v>0</v>
      </c>
      <c r="O65" s="11">
        <v>76.734074436276515</v>
      </c>
      <c r="P65" s="11">
        <v>2.815824132418274E-2</v>
      </c>
      <c r="Q65" s="11">
        <v>0</v>
      </c>
      <c r="R65" s="11">
        <v>7.5093505921261512</v>
      </c>
      <c r="S65" s="11">
        <v>0</v>
      </c>
      <c r="T65" s="11">
        <v>6.3347970733928793</v>
      </c>
      <c r="U65" s="11">
        <v>76.709664387800004</v>
      </c>
      <c r="V65" s="11">
        <v>0</v>
      </c>
      <c r="W65" s="11">
        <v>0.51120622046533271</v>
      </c>
      <c r="X65" s="11">
        <v>0</v>
      </c>
      <c r="Y65" s="11">
        <v>-7.9257738020000001</v>
      </c>
      <c r="Z65" s="11">
        <v>15.450783175570134</v>
      </c>
      <c r="AA65" s="11">
        <v>0</v>
      </c>
      <c r="AB65" s="11">
        <v>28.025024433785482</v>
      </c>
      <c r="AD65" s="2" t="str">
        <f t="shared" si="1"/>
        <v>ST</v>
      </c>
      <c r="AE65" s="2">
        <f t="shared" si="2"/>
        <v>2026</v>
      </c>
      <c r="AF65" s="21">
        <f t="shared" si="3"/>
        <v>723.99064526006418</v>
      </c>
      <c r="AG65" s="21">
        <f t="shared" ca="1" si="4"/>
        <v>0</v>
      </c>
    </row>
    <row r="66" spans="1:33">
      <c r="A66"/>
      <c r="B66" s="2" t="s">
        <v>211</v>
      </c>
      <c r="C66" s="2">
        <v>2027</v>
      </c>
      <c r="D66" s="11">
        <v>65.870055616272865</v>
      </c>
      <c r="E66" s="11">
        <v>72.793199516761092</v>
      </c>
      <c r="F66" s="11">
        <v>20.749773334220585</v>
      </c>
      <c r="G66" s="11">
        <v>147.238133264</v>
      </c>
      <c r="H66" s="11">
        <v>153.69679637695151</v>
      </c>
      <c r="I66" s="11">
        <v>4.2997912339560624</v>
      </c>
      <c r="J66" s="11">
        <v>8.5614101123526396</v>
      </c>
      <c r="K66" s="11">
        <v>99.782831117701832</v>
      </c>
      <c r="L66" s="11">
        <v>-13.231695466893409</v>
      </c>
      <c r="M66" s="11">
        <v>9.1736554034999997</v>
      </c>
      <c r="N66" s="11">
        <v>0</v>
      </c>
      <c r="O66" s="11">
        <v>76.734074436276515</v>
      </c>
      <c r="P66" s="11">
        <v>2.815824132418274E-2</v>
      </c>
      <c r="Q66" s="11">
        <v>0</v>
      </c>
      <c r="R66" s="11">
        <v>7.5093505921261512</v>
      </c>
      <c r="S66" s="11">
        <v>0</v>
      </c>
      <c r="T66" s="11">
        <v>6.3347970733928793</v>
      </c>
      <c r="U66" s="11">
        <v>76.709664387800004</v>
      </c>
      <c r="V66" s="11">
        <v>0</v>
      </c>
      <c r="W66" s="11">
        <v>0.51120622046533271</v>
      </c>
      <c r="X66" s="11">
        <v>0</v>
      </c>
      <c r="Y66" s="11">
        <v>-7.9257738020000001</v>
      </c>
      <c r="Z66" s="11">
        <v>15.450783175570134</v>
      </c>
      <c r="AA66" s="11">
        <v>0</v>
      </c>
      <c r="AB66" s="11">
        <v>28.025024433785482</v>
      </c>
      <c r="AD66" s="2" t="str">
        <f t="shared" si="1"/>
        <v>ST</v>
      </c>
      <c r="AE66" s="2">
        <f t="shared" si="2"/>
        <v>2027</v>
      </c>
      <c r="AF66" s="21">
        <f t="shared" si="3"/>
        <v>772.31123526756369</v>
      </c>
      <c r="AG66" s="21">
        <f t="shared" ca="1" si="4"/>
        <v>0</v>
      </c>
    </row>
    <row r="67" spans="1:33">
      <c r="A67"/>
      <c r="B67" s="2" t="s">
        <v>211</v>
      </c>
      <c r="C67" s="2">
        <v>2028</v>
      </c>
      <c r="D67" s="11">
        <v>65.870055616272865</v>
      </c>
      <c r="E67" s="11">
        <v>73.667711969761115</v>
      </c>
      <c r="F67" s="11">
        <v>20.749773334220585</v>
      </c>
      <c r="G67" s="11">
        <v>175.82527031000001</v>
      </c>
      <c r="H67" s="11">
        <v>160.72502502895151</v>
      </c>
      <c r="I67" s="11">
        <v>4.2997912339560624</v>
      </c>
      <c r="J67" s="11">
        <v>8.5614101123526396</v>
      </c>
      <c r="K67" s="11">
        <v>108.12631851219585</v>
      </c>
      <c r="L67" s="11">
        <v>-13.231695466893409</v>
      </c>
      <c r="M67" s="11">
        <v>9.1736554034999997</v>
      </c>
      <c r="N67" s="11">
        <v>0</v>
      </c>
      <c r="O67" s="11">
        <v>76.734074436276515</v>
      </c>
      <c r="P67" s="11">
        <v>2.815824132418274E-2</v>
      </c>
      <c r="Q67" s="11">
        <v>0</v>
      </c>
      <c r="R67" s="11">
        <v>7.5093505921261512</v>
      </c>
      <c r="S67" s="11">
        <v>0</v>
      </c>
      <c r="T67" s="11">
        <v>6.3347970733928793</v>
      </c>
      <c r="U67" s="11">
        <v>76.709664387800004</v>
      </c>
      <c r="V67" s="11">
        <v>0</v>
      </c>
      <c r="W67" s="11">
        <v>0.51120622046533271</v>
      </c>
      <c r="X67" s="11">
        <v>0</v>
      </c>
      <c r="Y67" s="11">
        <v>-7.9257738020000001</v>
      </c>
      <c r="Z67" s="11">
        <v>15.450783175570134</v>
      </c>
      <c r="AA67" s="11">
        <v>0</v>
      </c>
      <c r="AB67" s="11">
        <v>28.025024433785482</v>
      </c>
      <c r="AD67" s="2" t="str">
        <f t="shared" si="1"/>
        <v>ST</v>
      </c>
      <c r="AE67" s="2">
        <f t="shared" si="2"/>
        <v>2028</v>
      </c>
      <c r="AF67" s="21">
        <f t="shared" si="3"/>
        <v>817.14460081305776</v>
      </c>
      <c r="AG67" s="21">
        <f t="shared" ca="1" si="4"/>
        <v>0</v>
      </c>
    </row>
    <row r="68" spans="1:33">
      <c r="A68"/>
      <c r="B68" s="2" t="s">
        <v>211</v>
      </c>
      <c r="C68" s="2">
        <v>2029</v>
      </c>
      <c r="D68" s="11">
        <v>86.871011992272855</v>
      </c>
      <c r="E68" s="11">
        <v>73.667711969761115</v>
      </c>
      <c r="F68" s="11">
        <v>20.749773334220585</v>
      </c>
      <c r="G68" s="11">
        <v>200.00240735599999</v>
      </c>
      <c r="H68" s="11">
        <v>160.72502502895151</v>
      </c>
      <c r="I68" s="11">
        <v>4.2997912339560624</v>
      </c>
      <c r="J68" s="11">
        <v>8.5614101123526396</v>
      </c>
      <c r="K68" s="11">
        <v>111.95836939709585</v>
      </c>
      <c r="L68" s="11">
        <v>-13.231695466893409</v>
      </c>
      <c r="M68" s="11">
        <v>9.1736554034999997</v>
      </c>
      <c r="N68" s="11">
        <v>0</v>
      </c>
      <c r="O68" s="11">
        <v>76.734074436276515</v>
      </c>
      <c r="P68" s="11">
        <v>2.815824132418274E-2</v>
      </c>
      <c r="Q68" s="11">
        <v>0</v>
      </c>
      <c r="R68" s="11">
        <v>7.5093505921261512</v>
      </c>
      <c r="S68" s="11">
        <v>0</v>
      </c>
      <c r="T68" s="11">
        <v>6.3347970733928793</v>
      </c>
      <c r="U68" s="11">
        <v>76.709664387800004</v>
      </c>
      <c r="V68" s="11">
        <v>0</v>
      </c>
      <c r="W68" s="11">
        <v>0.51120622046533271</v>
      </c>
      <c r="X68" s="11">
        <v>0</v>
      </c>
      <c r="Y68" s="11">
        <v>-7.9257738020000001</v>
      </c>
      <c r="Z68" s="11">
        <v>15.450783175570134</v>
      </c>
      <c r="AA68" s="11">
        <v>0</v>
      </c>
      <c r="AB68" s="11">
        <v>28.025024433785482</v>
      </c>
      <c r="AD68" s="2" t="str">
        <f t="shared" si="1"/>
        <v>ST</v>
      </c>
      <c r="AE68" s="2">
        <f t="shared" si="2"/>
        <v>2029</v>
      </c>
      <c r="AF68" s="21">
        <f t="shared" si="3"/>
        <v>866.15474511995762</v>
      </c>
      <c r="AG68" s="21">
        <f t="shared" ca="1" si="4"/>
        <v>0</v>
      </c>
    </row>
    <row r="69" spans="1:33">
      <c r="A69"/>
      <c r="B69" s="2" t="s">
        <v>211</v>
      </c>
      <c r="C69" s="2">
        <v>2030</v>
      </c>
      <c r="D69" s="11">
        <v>86.871011992272855</v>
      </c>
      <c r="E69" s="11">
        <v>73.667711969761115</v>
      </c>
      <c r="F69" s="11">
        <v>20.749773334220585</v>
      </c>
      <c r="G69" s="11">
        <v>222.81610040599998</v>
      </c>
      <c r="H69" s="11">
        <v>160.72502502895151</v>
      </c>
      <c r="I69" s="11">
        <v>4.2997912339560624</v>
      </c>
      <c r="J69" s="11">
        <v>8.5614101123526396</v>
      </c>
      <c r="K69" s="11">
        <v>111.95836939709585</v>
      </c>
      <c r="L69" s="11">
        <v>-13.231695466893409</v>
      </c>
      <c r="M69" s="11">
        <v>9.1736554034999997</v>
      </c>
      <c r="N69" s="11">
        <v>0</v>
      </c>
      <c r="O69" s="11">
        <v>76.734074436276515</v>
      </c>
      <c r="P69" s="11">
        <v>2.815824132418274E-2</v>
      </c>
      <c r="Q69" s="11">
        <v>0</v>
      </c>
      <c r="R69" s="11">
        <v>7.5093505921261512</v>
      </c>
      <c r="S69" s="11">
        <v>0</v>
      </c>
      <c r="T69" s="11">
        <v>6.3347970733928793</v>
      </c>
      <c r="U69" s="11">
        <v>76.709664387800004</v>
      </c>
      <c r="V69" s="11">
        <v>0</v>
      </c>
      <c r="W69" s="11">
        <v>0.51120622046533271</v>
      </c>
      <c r="X69" s="11">
        <v>0</v>
      </c>
      <c r="Y69" s="11">
        <v>-7.9257738020000001</v>
      </c>
      <c r="Z69" s="11">
        <v>15.450783175570134</v>
      </c>
      <c r="AA69" s="11">
        <v>0</v>
      </c>
      <c r="AB69" s="11">
        <v>28.025024433785482</v>
      </c>
      <c r="AD69" s="2" t="str">
        <f t="shared" si="1"/>
        <v>ST</v>
      </c>
      <c r="AE69" s="2">
        <f t="shared" si="2"/>
        <v>2030</v>
      </c>
      <c r="AF69" s="21">
        <f t="shared" si="3"/>
        <v>888.96843816995761</v>
      </c>
      <c r="AG69" s="21">
        <f t="shared" ca="1" si="4"/>
        <v>0</v>
      </c>
    </row>
    <row r="70" spans="1:33">
      <c r="A70"/>
      <c r="B70" s="2" t="s">
        <v>211</v>
      </c>
      <c r="C70" s="2">
        <v>2031</v>
      </c>
      <c r="D70" s="11">
        <v>86.871011992272855</v>
      </c>
      <c r="E70" s="11">
        <v>73.667711969761115</v>
      </c>
      <c r="F70" s="11">
        <v>20.749773334220585</v>
      </c>
      <c r="G70" s="11">
        <v>246.079793456</v>
      </c>
      <c r="H70" s="11">
        <v>160.72502502895151</v>
      </c>
      <c r="I70" s="11">
        <v>4.2997912339560624</v>
      </c>
      <c r="J70" s="11">
        <v>8.5614101123526396</v>
      </c>
      <c r="K70" s="11">
        <v>111.95836939709585</v>
      </c>
      <c r="L70" s="11">
        <v>-13.231695466893409</v>
      </c>
      <c r="M70" s="11">
        <v>9.1736554034999997</v>
      </c>
      <c r="N70" s="11">
        <v>0</v>
      </c>
      <c r="O70" s="11">
        <v>76.734074436276515</v>
      </c>
      <c r="P70" s="11">
        <v>2.815824132418274E-2</v>
      </c>
      <c r="Q70" s="11">
        <v>0</v>
      </c>
      <c r="R70" s="11">
        <v>7.5093505921261512</v>
      </c>
      <c r="S70" s="11">
        <v>0</v>
      </c>
      <c r="T70" s="11">
        <v>6.3347970733928793</v>
      </c>
      <c r="U70" s="11">
        <v>76.709664387800004</v>
      </c>
      <c r="V70" s="11">
        <v>0</v>
      </c>
      <c r="W70" s="11">
        <v>0.51120622046533271</v>
      </c>
      <c r="X70" s="11">
        <v>0</v>
      </c>
      <c r="Y70" s="11">
        <v>-7.9257738020000001</v>
      </c>
      <c r="Z70" s="11">
        <v>15.450783175570134</v>
      </c>
      <c r="AA70" s="11">
        <v>0</v>
      </c>
      <c r="AB70" s="11">
        <v>28.025024433785482</v>
      </c>
      <c r="AD70" s="2" t="str">
        <f t="shared" si="1"/>
        <v>ST</v>
      </c>
      <c r="AE70" s="2">
        <f t="shared" si="2"/>
        <v>2031</v>
      </c>
      <c r="AF70" s="21">
        <f t="shared" si="3"/>
        <v>912.23213121995764</v>
      </c>
      <c r="AG70" s="21">
        <f t="shared" ca="1" si="4"/>
        <v>0</v>
      </c>
    </row>
    <row r="71" spans="1:33">
      <c r="A71"/>
      <c r="B71" s="2" t="s">
        <v>211</v>
      </c>
      <c r="C71" s="2">
        <v>2032</v>
      </c>
      <c r="D71" s="11">
        <v>86.871011992272855</v>
      </c>
      <c r="E71" s="11">
        <v>73.667711969761115</v>
      </c>
      <c r="F71" s="11">
        <v>20.749773334220585</v>
      </c>
      <c r="G71" s="11">
        <v>250.40091381100001</v>
      </c>
      <c r="H71" s="11">
        <v>160.72502502895151</v>
      </c>
      <c r="I71" s="11">
        <v>4.2997912339560624</v>
      </c>
      <c r="J71" s="11">
        <v>8.5614101123526396</v>
      </c>
      <c r="K71" s="11">
        <v>111.95836939709585</v>
      </c>
      <c r="L71" s="11">
        <v>-13.231695466893409</v>
      </c>
      <c r="M71" s="11">
        <v>9.1736554034999997</v>
      </c>
      <c r="N71" s="11">
        <v>0</v>
      </c>
      <c r="O71" s="11">
        <v>76.734074436276515</v>
      </c>
      <c r="P71" s="11">
        <v>2.815824132418274E-2</v>
      </c>
      <c r="Q71" s="11">
        <v>0</v>
      </c>
      <c r="R71" s="11">
        <v>7.5093505921261512</v>
      </c>
      <c r="S71" s="11">
        <v>0</v>
      </c>
      <c r="T71" s="11">
        <v>6.3347970733928793</v>
      </c>
      <c r="U71" s="11">
        <v>76.709664387800004</v>
      </c>
      <c r="V71" s="11">
        <v>0</v>
      </c>
      <c r="W71" s="11">
        <v>0.51120622046533271</v>
      </c>
      <c r="X71" s="11">
        <v>0</v>
      </c>
      <c r="Y71" s="11">
        <v>-7.9257738020000001</v>
      </c>
      <c r="Z71" s="11">
        <v>15.450783175570134</v>
      </c>
      <c r="AA71" s="11">
        <v>0</v>
      </c>
      <c r="AB71" s="11">
        <v>28.025024433785482</v>
      </c>
      <c r="AD71" s="2" t="str">
        <f t="shared" si="1"/>
        <v>ST</v>
      </c>
      <c r="AE71" s="2">
        <f t="shared" si="2"/>
        <v>2032</v>
      </c>
      <c r="AF71" s="21">
        <f t="shared" si="3"/>
        <v>916.55325157495781</v>
      </c>
      <c r="AG71" s="21">
        <f t="shared" ca="1" si="4"/>
        <v>0</v>
      </c>
    </row>
    <row r="72" spans="1:33">
      <c r="A72"/>
      <c r="B72" s="2" t="s">
        <v>211</v>
      </c>
      <c r="C72" s="2">
        <v>2033</v>
      </c>
      <c r="D72" s="11">
        <v>86.871011992272855</v>
      </c>
      <c r="E72" s="11">
        <v>73.667711969761115</v>
      </c>
      <c r="F72" s="11">
        <v>20.749773334220585</v>
      </c>
      <c r="G72" s="11">
        <v>254.72203416600001</v>
      </c>
      <c r="H72" s="11">
        <v>160.72502502895151</v>
      </c>
      <c r="I72" s="11">
        <v>4.2997912339560624</v>
      </c>
      <c r="J72" s="11">
        <v>8.5614101123526396</v>
      </c>
      <c r="K72" s="11">
        <v>111.95836939709585</v>
      </c>
      <c r="L72" s="11">
        <v>-13.231695466893409</v>
      </c>
      <c r="M72" s="11">
        <v>9.1736554034999997</v>
      </c>
      <c r="N72" s="11">
        <v>0</v>
      </c>
      <c r="O72" s="11">
        <v>76.734074436276515</v>
      </c>
      <c r="P72" s="11">
        <v>2.815824132418274E-2</v>
      </c>
      <c r="Q72" s="11">
        <v>0</v>
      </c>
      <c r="R72" s="11">
        <v>7.5093505921261512</v>
      </c>
      <c r="S72" s="11">
        <v>0</v>
      </c>
      <c r="T72" s="11">
        <v>6.3347970733928793</v>
      </c>
      <c r="U72" s="11">
        <v>76.709664387800004</v>
      </c>
      <c r="V72" s="11">
        <v>0</v>
      </c>
      <c r="W72" s="11">
        <v>0.51120622046533271</v>
      </c>
      <c r="X72" s="11">
        <v>0</v>
      </c>
      <c r="Y72" s="11">
        <v>-7.9257738020000001</v>
      </c>
      <c r="Z72" s="11">
        <v>15.450783175570134</v>
      </c>
      <c r="AA72" s="11">
        <v>0</v>
      </c>
      <c r="AB72" s="11">
        <v>28.025024433785482</v>
      </c>
      <c r="AD72" s="2" t="str">
        <f t="shared" si="1"/>
        <v>ST</v>
      </c>
      <c r="AE72" s="2">
        <f t="shared" si="2"/>
        <v>2033</v>
      </c>
      <c r="AF72" s="21">
        <f t="shared" si="3"/>
        <v>920.87437192995776</v>
      </c>
      <c r="AG72" s="21">
        <f t="shared" ca="1" si="4"/>
        <v>0</v>
      </c>
    </row>
    <row r="73" spans="1:33">
      <c r="A73"/>
      <c r="B73" s="2" t="s">
        <v>211</v>
      </c>
      <c r="C73" s="2">
        <v>2034</v>
      </c>
      <c r="D73" s="11">
        <v>86.871011992272855</v>
      </c>
      <c r="E73" s="11">
        <v>73.667711969761115</v>
      </c>
      <c r="F73" s="11">
        <v>20.749773334220585</v>
      </c>
      <c r="G73" s="11">
        <v>259.04315452100002</v>
      </c>
      <c r="H73" s="11">
        <v>160.72502502895151</v>
      </c>
      <c r="I73" s="11">
        <v>4.2997912339560624</v>
      </c>
      <c r="J73" s="11">
        <v>8.5614101123526396</v>
      </c>
      <c r="K73" s="11">
        <v>111.95836939709585</v>
      </c>
      <c r="L73" s="11">
        <v>-13.231695466893409</v>
      </c>
      <c r="M73" s="11">
        <v>9.1736554034999997</v>
      </c>
      <c r="N73" s="11">
        <v>0</v>
      </c>
      <c r="O73" s="11">
        <v>76.734074436276515</v>
      </c>
      <c r="P73" s="11">
        <v>2.815824132418274E-2</v>
      </c>
      <c r="Q73" s="11">
        <v>0</v>
      </c>
      <c r="R73" s="11">
        <v>7.5093505921261512</v>
      </c>
      <c r="S73" s="11">
        <v>0</v>
      </c>
      <c r="T73" s="11">
        <v>6.3347970733928793</v>
      </c>
      <c r="U73" s="11">
        <v>76.709664387800004</v>
      </c>
      <c r="V73" s="11">
        <v>0</v>
      </c>
      <c r="W73" s="11">
        <v>0.51120622046533271</v>
      </c>
      <c r="X73" s="11">
        <v>0</v>
      </c>
      <c r="Y73" s="11">
        <v>-7.9257738020000001</v>
      </c>
      <c r="Z73" s="11">
        <v>15.450783175570134</v>
      </c>
      <c r="AA73" s="11">
        <v>0</v>
      </c>
      <c r="AB73" s="11">
        <v>28.025024433785482</v>
      </c>
      <c r="AD73" s="2" t="str">
        <f t="shared" si="1"/>
        <v>ST</v>
      </c>
      <c r="AE73" s="2">
        <f t="shared" si="2"/>
        <v>2034</v>
      </c>
      <c r="AF73" s="21">
        <f t="shared" si="3"/>
        <v>925.19549228495771</v>
      </c>
      <c r="AG73" s="21">
        <f t="shared" ca="1" si="4"/>
        <v>0</v>
      </c>
    </row>
    <row r="74" spans="1:33">
      <c r="A74"/>
      <c r="B74" s="2" t="s">
        <v>211</v>
      </c>
      <c r="C74" s="2">
        <v>2035</v>
      </c>
      <c r="D74" s="11">
        <v>86.871011992272855</v>
      </c>
      <c r="E74" s="11">
        <v>73.667711969761115</v>
      </c>
      <c r="F74" s="11">
        <v>20.749773334220585</v>
      </c>
      <c r="G74" s="11">
        <v>263.36427487499998</v>
      </c>
      <c r="H74" s="11">
        <v>160.72502502895151</v>
      </c>
      <c r="I74" s="11">
        <v>4.2997912339560624</v>
      </c>
      <c r="J74" s="11">
        <v>8.5614101123526396</v>
      </c>
      <c r="K74" s="11">
        <v>111.95836939709585</v>
      </c>
      <c r="L74" s="11">
        <v>-13.231695466893409</v>
      </c>
      <c r="M74" s="11">
        <v>9.1736554034999997</v>
      </c>
      <c r="N74" s="11">
        <v>0</v>
      </c>
      <c r="O74" s="11">
        <v>76.734074436276515</v>
      </c>
      <c r="P74" s="11">
        <v>2.815824132418274E-2</v>
      </c>
      <c r="Q74" s="11">
        <v>0</v>
      </c>
      <c r="R74" s="11">
        <v>7.5093505921261512</v>
      </c>
      <c r="S74" s="11">
        <v>0</v>
      </c>
      <c r="T74" s="11">
        <v>6.3347970733928793</v>
      </c>
      <c r="U74" s="11">
        <v>76.709664387800004</v>
      </c>
      <c r="V74" s="11">
        <v>0</v>
      </c>
      <c r="W74" s="11">
        <v>0.51120622046533271</v>
      </c>
      <c r="X74" s="11">
        <v>0</v>
      </c>
      <c r="Y74" s="11">
        <v>-7.9257738020000001</v>
      </c>
      <c r="Z74" s="11">
        <v>15.450783175570134</v>
      </c>
      <c r="AA74" s="11">
        <v>0</v>
      </c>
      <c r="AB74" s="11">
        <v>28.025024433785482</v>
      </c>
      <c r="AD74" s="2" t="str">
        <f t="shared" si="1"/>
        <v>ST</v>
      </c>
      <c r="AE74" s="2">
        <f t="shared" si="2"/>
        <v>2035</v>
      </c>
      <c r="AF74" s="21">
        <f t="shared" si="3"/>
        <v>929.51661263895767</v>
      </c>
      <c r="AG74" s="21">
        <f t="shared" ca="1" si="4"/>
        <v>0</v>
      </c>
    </row>
    <row r="75" spans="1:33">
      <c r="A75"/>
      <c r="B75" s="2" t="s">
        <v>211</v>
      </c>
      <c r="C75" s="2">
        <v>2036</v>
      </c>
      <c r="D75" s="11">
        <v>86.871011992272855</v>
      </c>
      <c r="E75" s="11">
        <v>73.667711969761115</v>
      </c>
      <c r="F75" s="11">
        <v>20.749773334220585</v>
      </c>
      <c r="G75" s="11">
        <v>267.68539522999998</v>
      </c>
      <c r="H75" s="11">
        <v>160.72502502895151</v>
      </c>
      <c r="I75" s="11">
        <v>4.2997912339560624</v>
      </c>
      <c r="J75" s="11">
        <v>8.5614101123526396</v>
      </c>
      <c r="K75" s="11">
        <v>111.95836939709585</v>
      </c>
      <c r="L75" s="11">
        <v>-13.231695466893409</v>
      </c>
      <c r="M75" s="11">
        <v>9.1736554034999997</v>
      </c>
      <c r="N75" s="11">
        <v>0</v>
      </c>
      <c r="O75" s="11">
        <v>76.734074436276515</v>
      </c>
      <c r="P75" s="11">
        <v>2.815824132418274E-2</v>
      </c>
      <c r="Q75" s="11">
        <v>0</v>
      </c>
      <c r="R75" s="11">
        <v>7.5093505921261512</v>
      </c>
      <c r="S75" s="11">
        <v>0</v>
      </c>
      <c r="T75" s="11">
        <v>6.3347970733928793</v>
      </c>
      <c r="U75" s="11">
        <v>76.709664387800004</v>
      </c>
      <c r="V75" s="11">
        <v>0</v>
      </c>
      <c r="W75" s="11">
        <v>0.51120622046533271</v>
      </c>
      <c r="X75" s="11">
        <v>0</v>
      </c>
      <c r="Y75" s="11">
        <v>-7.9257738020000001</v>
      </c>
      <c r="Z75" s="11">
        <v>15.450783175570134</v>
      </c>
      <c r="AA75" s="11">
        <v>0</v>
      </c>
      <c r="AB75" s="11">
        <v>28.025024433785482</v>
      </c>
      <c r="AD75" s="2" t="str">
        <f t="shared" si="1"/>
        <v>ST</v>
      </c>
      <c r="AE75" s="2">
        <f t="shared" si="2"/>
        <v>2036</v>
      </c>
      <c r="AF75" s="21">
        <f t="shared" si="3"/>
        <v>933.83773299395762</v>
      </c>
      <c r="AG75" s="21">
        <f t="shared" ca="1" si="4"/>
        <v>0</v>
      </c>
    </row>
    <row r="76" spans="1:33">
      <c r="A76"/>
      <c r="B76" s="2" t="s">
        <v>211</v>
      </c>
      <c r="C76" s="2">
        <v>2037</v>
      </c>
      <c r="D76" s="11">
        <v>86.871011992272855</v>
      </c>
      <c r="E76" s="11">
        <v>73.667711969761115</v>
      </c>
      <c r="F76" s="11">
        <v>20.749773334220585</v>
      </c>
      <c r="G76" s="11">
        <v>267.68539522999998</v>
      </c>
      <c r="H76" s="11">
        <v>160.72502502895151</v>
      </c>
      <c r="I76" s="11">
        <v>4.2997912339560624</v>
      </c>
      <c r="J76" s="11">
        <v>8.5614101123526396</v>
      </c>
      <c r="K76" s="11">
        <v>111.95836939709585</v>
      </c>
      <c r="L76" s="11">
        <v>-13.231695466893409</v>
      </c>
      <c r="M76" s="11">
        <v>9.1736554034999997</v>
      </c>
      <c r="N76" s="11">
        <v>0</v>
      </c>
      <c r="O76" s="11">
        <v>76.734074436276515</v>
      </c>
      <c r="P76" s="11">
        <v>2.815824132418274E-2</v>
      </c>
      <c r="Q76" s="11">
        <v>0</v>
      </c>
      <c r="R76" s="11">
        <v>7.5093505921261512</v>
      </c>
      <c r="S76" s="11">
        <v>0</v>
      </c>
      <c r="T76" s="11">
        <v>6.3347970733928793</v>
      </c>
      <c r="U76" s="11">
        <v>76.709664387800004</v>
      </c>
      <c r="V76" s="11">
        <v>0</v>
      </c>
      <c r="W76" s="11">
        <v>0.51120622046533271</v>
      </c>
      <c r="X76" s="11">
        <v>0</v>
      </c>
      <c r="Y76" s="11">
        <v>-7.9257738020000001</v>
      </c>
      <c r="Z76" s="11">
        <v>15.450783175570134</v>
      </c>
      <c r="AA76" s="11">
        <v>0</v>
      </c>
      <c r="AB76" s="11">
        <v>28.025024433785482</v>
      </c>
      <c r="AD76" s="2" t="str">
        <f t="shared" ref="AD76:AD85" si="8">B76</f>
        <v>ST</v>
      </c>
      <c r="AE76" s="2">
        <f t="shared" ref="AE76:AE85" si="9">C76</f>
        <v>2037</v>
      </c>
      <c r="AF76" s="21">
        <f t="shared" ref="AF76:AF85" si="10">SUM(D76:AB76)</f>
        <v>933.83773299395762</v>
      </c>
      <c r="AG76" s="21">
        <f t="shared" ref="AG76:AG85" ca="1" si="11">IFERROR(OFFSET($C76,0,MATCH($AG$10,$D$9:$AB$9,0)),$AF76)</f>
        <v>0</v>
      </c>
    </row>
    <row r="77" spans="1:33">
      <c r="A77"/>
      <c r="B77" s="2" t="s">
        <v>211</v>
      </c>
      <c r="C77" s="2">
        <v>2038</v>
      </c>
      <c r="D77" s="11">
        <v>86.871011992272855</v>
      </c>
      <c r="E77" s="11">
        <v>73.667711969761115</v>
      </c>
      <c r="F77" s="11">
        <v>20.749773334220585</v>
      </c>
      <c r="G77" s="11">
        <v>267.68539522999998</v>
      </c>
      <c r="H77" s="11">
        <v>160.72502502895151</v>
      </c>
      <c r="I77" s="11">
        <v>4.2997912339560624</v>
      </c>
      <c r="J77" s="11">
        <v>8.5614101123526396</v>
      </c>
      <c r="K77" s="11">
        <v>111.95836939709585</v>
      </c>
      <c r="L77" s="11">
        <v>-13.231695466893409</v>
      </c>
      <c r="M77" s="11">
        <v>9.1736554034999997</v>
      </c>
      <c r="N77" s="11">
        <v>0</v>
      </c>
      <c r="O77" s="11">
        <v>76.734074436276515</v>
      </c>
      <c r="P77" s="11">
        <v>2.815824132418274E-2</v>
      </c>
      <c r="Q77" s="11">
        <v>0</v>
      </c>
      <c r="R77" s="11">
        <v>7.5093505921261512</v>
      </c>
      <c r="S77" s="11">
        <v>0</v>
      </c>
      <c r="T77" s="11">
        <v>6.3347970733928793</v>
      </c>
      <c r="U77" s="11">
        <v>76.709664387800004</v>
      </c>
      <c r="V77" s="11">
        <v>0</v>
      </c>
      <c r="W77" s="11">
        <v>0.51120622046533271</v>
      </c>
      <c r="X77" s="11">
        <v>0</v>
      </c>
      <c r="Y77" s="11">
        <v>-7.9257738020000001</v>
      </c>
      <c r="Z77" s="11">
        <v>15.450783175570134</v>
      </c>
      <c r="AA77" s="11">
        <v>0</v>
      </c>
      <c r="AB77" s="11">
        <v>28.025024433785482</v>
      </c>
      <c r="AD77" s="2" t="str">
        <f t="shared" si="8"/>
        <v>ST</v>
      </c>
      <c r="AE77" s="2">
        <f t="shared" si="9"/>
        <v>2038</v>
      </c>
      <c r="AF77" s="21">
        <f t="shared" si="10"/>
        <v>933.83773299395762</v>
      </c>
      <c r="AG77" s="21">
        <f t="shared" ca="1" si="11"/>
        <v>0</v>
      </c>
    </row>
    <row r="78" spans="1:33">
      <c r="A78"/>
      <c r="B78" s="2" t="s">
        <v>211</v>
      </c>
      <c r="C78" s="2">
        <v>2039</v>
      </c>
      <c r="D78" s="11">
        <v>86.871011992272855</v>
      </c>
      <c r="E78" s="11">
        <v>73.667711969761115</v>
      </c>
      <c r="F78" s="11">
        <v>20.749773334220585</v>
      </c>
      <c r="G78" s="11">
        <v>267.68539522999998</v>
      </c>
      <c r="H78" s="11">
        <v>160.72502502895151</v>
      </c>
      <c r="I78" s="11">
        <v>4.2997912339560624</v>
      </c>
      <c r="J78" s="11">
        <v>8.5614101123526396</v>
      </c>
      <c r="K78" s="11">
        <v>111.95836939709585</v>
      </c>
      <c r="L78" s="11">
        <v>-13.231695466893409</v>
      </c>
      <c r="M78" s="11">
        <v>9.1736554034999997</v>
      </c>
      <c r="N78" s="11">
        <v>0</v>
      </c>
      <c r="O78" s="11">
        <v>76.734074436276515</v>
      </c>
      <c r="P78" s="11">
        <v>2.815824132418274E-2</v>
      </c>
      <c r="Q78" s="11">
        <v>0</v>
      </c>
      <c r="R78" s="11">
        <v>7.5093505921261512</v>
      </c>
      <c r="S78" s="11">
        <v>0</v>
      </c>
      <c r="T78" s="11">
        <v>6.3347970733928793</v>
      </c>
      <c r="U78" s="11">
        <v>76.709664387800004</v>
      </c>
      <c r="V78" s="11">
        <v>0</v>
      </c>
      <c r="W78" s="11">
        <v>0.51120622046533271</v>
      </c>
      <c r="X78" s="11">
        <v>0</v>
      </c>
      <c r="Y78" s="11">
        <v>-7.9257738020000001</v>
      </c>
      <c r="Z78" s="11">
        <v>15.450783175570134</v>
      </c>
      <c r="AA78" s="11">
        <v>0</v>
      </c>
      <c r="AB78" s="11">
        <v>28.025024433785482</v>
      </c>
      <c r="AD78" s="2" t="str">
        <f t="shared" si="8"/>
        <v>ST</v>
      </c>
      <c r="AE78" s="2">
        <f t="shared" si="9"/>
        <v>2039</v>
      </c>
      <c r="AF78" s="21">
        <f t="shared" si="10"/>
        <v>933.83773299395762</v>
      </c>
      <c r="AG78" s="21">
        <f t="shared" ca="1" si="11"/>
        <v>0</v>
      </c>
    </row>
    <row r="79" spans="1:33">
      <c r="A79"/>
      <c r="B79" s="2" t="s">
        <v>211</v>
      </c>
      <c r="C79" s="2">
        <v>2040</v>
      </c>
      <c r="D79" s="11">
        <v>86.871011992272855</v>
      </c>
      <c r="E79" s="11">
        <v>73.667711969761115</v>
      </c>
      <c r="F79" s="11">
        <v>20.749773334220585</v>
      </c>
      <c r="G79" s="11">
        <v>267.68539522999998</v>
      </c>
      <c r="H79" s="11">
        <v>160.72502502895151</v>
      </c>
      <c r="I79" s="11">
        <v>4.2997912339560624</v>
      </c>
      <c r="J79" s="11">
        <v>8.5614101123526396</v>
      </c>
      <c r="K79" s="11">
        <v>111.95836939709585</v>
      </c>
      <c r="L79" s="11">
        <v>-13.231695466893409</v>
      </c>
      <c r="M79" s="11">
        <v>9.1736554034999997</v>
      </c>
      <c r="N79" s="11">
        <v>0</v>
      </c>
      <c r="O79" s="11">
        <v>76.734074436276515</v>
      </c>
      <c r="P79" s="11">
        <v>2.815824132418274E-2</v>
      </c>
      <c r="Q79" s="11">
        <v>0</v>
      </c>
      <c r="R79" s="11">
        <v>7.5093505921261512</v>
      </c>
      <c r="S79" s="11">
        <v>0</v>
      </c>
      <c r="T79" s="11">
        <v>6.3347970733928793</v>
      </c>
      <c r="U79" s="11">
        <v>76.709664387800004</v>
      </c>
      <c r="V79" s="11">
        <v>0</v>
      </c>
      <c r="W79" s="11">
        <v>0.51120622046533271</v>
      </c>
      <c r="X79" s="11">
        <v>0</v>
      </c>
      <c r="Y79" s="11">
        <v>-7.9257738020000001</v>
      </c>
      <c r="Z79" s="11">
        <v>15.450783175570134</v>
      </c>
      <c r="AA79" s="11">
        <v>0</v>
      </c>
      <c r="AB79" s="11">
        <v>28.025024433785482</v>
      </c>
      <c r="AD79" s="2" t="str">
        <f t="shared" si="8"/>
        <v>ST</v>
      </c>
      <c r="AE79" s="2">
        <f t="shared" si="9"/>
        <v>2040</v>
      </c>
      <c r="AF79" s="21">
        <f t="shared" si="10"/>
        <v>933.83773299395762</v>
      </c>
      <c r="AG79" s="21">
        <f t="shared" ca="1" si="11"/>
        <v>0</v>
      </c>
    </row>
    <row r="80" spans="1:33">
      <c r="A80"/>
      <c r="B80" s="2" t="s">
        <v>211</v>
      </c>
      <c r="C80" s="2">
        <v>2041</v>
      </c>
      <c r="D80" s="11">
        <v>86.871011992272855</v>
      </c>
      <c r="E80" s="11">
        <v>73.667711969761115</v>
      </c>
      <c r="F80" s="11">
        <v>20.749773334220585</v>
      </c>
      <c r="G80" s="11">
        <v>267.68539522999998</v>
      </c>
      <c r="H80" s="11">
        <v>160.72502502895151</v>
      </c>
      <c r="I80" s="11">
        <v>4.2997912339560624</v>
      </c>
      <c r="J80" s="11">
        <v>8.5614101123526396</v>
      </c>
      <c r="K80" s="11">
        <v>111.95836939709585</v>
      </c>
      <c r="L80" s="11">
        <v>-13.231695466893409</v>
      </c>
      <c r="M80" s="11">
        <v>9.1736554034999997</v>
      </c>
      <c r="N80" s="11">
        <v>0</v>
      </c>
      <c r="O80" s="11">
        <v>76.734074436276515</v>
      </c>
      <c r="P80" s="11">
        <v>2.815824132418274E-2</v>
      </c>
      <c r="Q80" s="11">
        <v>0</v>
      </c>
      <c r="R80" s="11">
        <v>7.5093505921261512</v>
      </c>
      <c r="S80" s="11">
        <v>0</v>
      </c>
      <c r="T80" s="11">
        <v>6.3347970733928793</v>
      </c>
      <c r="U80" s="11">
        <v>76.709664387800004</v>
      </c>
      <c r="V80" s="11">
        <v>0</v>
      </c>
      <c r="W80" s="11">
        <v>0.51120622046533271</v>
      </c>
      <c r="X80" s="11">
        <v>0</v>
      </c>
      <c r="Y80" s="11">
        <v>-7.9257738020000001</v>
      </c>
      <c r="Z80" s="11">
        <v>15.450783175570134</v>
      </c>
      <c r="AA80" s="11">
        <v>0</v>
      </c>
      <c r="AB80" s="11">
        <v>28.025024433785482</v>
      </c>
      <c r="AD80" s="2" t="str">
        <f t="shared" si="8"/>
        <v>ST</v>
      </c>
      <c r="AE80" s="2">
        <f t="shared" si="9"/>
        <v>2041</v>
      </c>
      <c r="AF80" s="21">
        <f t="shared" si="10"/>
        <v>933.83773299395762</v>
      </c>
      <c r="AG80" s="21">
        <f t="shared" ca="1" si="11"/>
        <v>0</v>
      </c>
    </row>
    <row r="81" spans="1:33">
      <c r="A81"/>
      <c r="B81" s="2" t="s">
        <v>211</v>
      </c>
      <c r="C81" s="2">
        <v>2042</v>
      </c>
      <c r="D81" s="11">
        <v>86.871011992272855</v>
      </c>
      <c r="E81" s="11">
        <v>73.667711969761115</v>
      </c>
      <c r="F81" s="11">
        <v>20.749773334220585</v>
      </c>
      <c r="G81" s="11">
        <v>267.68539522999998</v>
      </c>
      <c r="H81" s="11">
        <v>160.72502502895151</v>
      </c>
      <c r="I81" s="11">
        <v>4.2997912339560624</v>
      </c>
      <c r="J81" s="11">
        <v>8.5614101123526396</v>
      </c>
      <c r="K81" s="11">
        <v>111.95836939709585</v>
      </c>
      <c r="L81" s="11">
        <v>-13.231695466893409</v>
      </c>
      <c r="M81" s="11">
        <v>9.1736554034999997</v>
      </c>
      <c r="N81" s="11">
        <v>0</v>
      </c>
      <c r="O81" s="11">
        <v>76.734074436276515</v>
      </c>
      <c r="P81" s="11">
        <v>2.815824132418274E-2</v>
      </c>
      <c r="Q81" s="11">
        <v>0</v>
      </c>
      <c r="R81" s="11">
        <v>7.5093505921261512</v>
      </c>
      <c r="S81" s="11">
        <v>0</v>
      </c>
      <c r="T81" s="11">
        <v>6.3347970733928793</v>
      </c>
      <c r="U81" s="11">
        <v>76.709664387800004</v>
      </c>
      <c r="V81" s="11">
        <v>0</v>
      </c>
      <c r="W81" s="11">
        <v>0.51120622046533271</v>
      </c>
      <c r="X81" s="11">
        <v>0</v>
      </c>
      <c r="Y81" s="11">
        <v>-7.9257738020000001</v>
      </c>
      <c r="Z81" s="11">
        <v>15.450783175570134</v>
      </c>
      <c r="AA81" s="11">
        <v>0</v>
      </c>
      <c r="AB81" s="11">
        <v>28.025024433785482</v>
      </c>
      <c r="AD81" s="2" t="str">
        <f t="shared" si="8"/>
        <v>ST</v>
      </c>
      <c r="AE81" s="2">
        <f t="shared" si="9"/>
        <v>2042</v>
      </c>
      <c r="AF81" s="21">
        <f t="shared" si="10"/>
        <v>933.83773299395762</v>
      </c>
      <c r="AG81" s="21">
        <f t="shared" ca="1" si="11"/>
        <v>0</v>
      </c>
    </row>
    <row r="82" spans="1:33">
      <c r="A82"/>
      <c r="B82" s="2" t="s">
        <v>211</v>
      </c>
      <c r="C82" s="2">
        <v>2043</v>
      </c>
      <c r="D82" s="11">
        <v>86.871011992272855</v>
      </c>
      <c r="E82" s="11">
        <v>73.667711969761115</v>
      </c>
      <c r="F82" s="11">
        <v>20.749773334220585</v>
      </c>
      <c r="G82" s="11">
        <v>267.68539522999998</v>
      </c>
      <c r="H82" s="11">
        <v>160.72502502895151</v>
      </c>
      <c r="I82" s="11">
        <v>4.2997912339560624</v>
      </c>
      <c r="J82" s="11">
        <v>8.5614101123526396</v>
      </c>
      <c r="K82" s="11">
        <v>111.95836939709585</v>
      </c>
      <c r="L82" s="11">
        <v>-13.231695466893409</v>
      </c>
      <c r="M82" s="11">
        <v>9.1736554034999997</v>
      </c>
      <c r="N82" s="11">
        <v>0</v>
      </c>
      <c r="O82" s="11">
        <v>76.734074436276515</v>
      </c>
      <c r="P82" s="11">
        <v>2.815824132418274E-2</v>
      </c>
      <c r="Q82" s="11">
        <v>0</v>
      </c>
      <c r="R82" s="11">
        <v>7.5093505921261512</v>
      </c>
      <c r="S82" s="11">
        <v>0</v>
      </c>
      <c r="T82" s="11">
        <v>6.3347970733928793</v>
      </c>
      <c r="U82" s="11">
        <v>76.709664387800004</v>
      </c>
      <c r="V82" s="11">
        <v>0</v>
      </c>
      <c r="W82" s="11">
        <v>0.51120622046533271</v>
      </c>
      <c r="X82" s="11">
        <v>0</v>
      </c>
      <c r="Y82" s="11">
        <v>-7.9257738020000001</v>
      </c>
      <c r="Z82" s="11">
        <v>15.450783175570134</v>
      </c>
      <c r="AA82" s="11">
        <v>0</v>
      </c>
      <c r="AB82" s="11">
        <v>28.025024433785482</v>
      </c>
      <c r="AD82" s="2" t="str">
        <f t="shared" si="8"/>
        <v>ST</v>
      </c>
      <c r="AE82" s="2">
        <f t="shared" si="9"/>
        <v>2043</v>
      </c>
      <c r="AF82" s="21">
        <f t="shared" si="10"/>
        <v>933.83773299395762</v>
      </c>
      <c r="AG82" s="21">
        <f t="shared" ca="1" si="11"/>
        <v>0</v>
      </c>
    </row>
    <row r="83" spans="1:33">
      <c r="A83"/>
      <c r="B83" s="2" t="s">
        <v>211</v>
      </c>
      <c r="C83" s="2">
        <v>2044</v>
      </c>
      <c r="D83" s="11">
        <v>86.871011992272855</v>
      </c>
      <c r="E83" s="11">
        <v>73.667711969761115</v>
      </c>
      <c r="F83" s="11">
        <v>20.749773334220585</v>
      </c>
      <c r="G83" s="11">
        <v>267.68539522999998</v>
      </c>
      <c r="H83" s="11">
        <v>160.72502502895151</v>
      </c>
      <c r="I83" s="11">
        <v>4.2997912339560624</v>
      </c>
      <c r="J83" s="11">
        <v>8.5614101123526396</v>
      </c>
      <c r="K83" s="11">
        <v>111.95836939709585</v>
      </c>
      <c r="L83" s="11">
        <v>-13.231695466893409</v>
      </c>
      <c r="M83" s="11">
        <v>9.1736554034999997</v>
      </c>
      <c r="N83" s="11">
        <v>0</v>
      </c>
      <c r="O83" s="11">
        <v>76.734074436276515</v>
      </c>
      <c r="P83" s="11">
        <v>2.815824132418274E-2</v>
      </c>
      <c r="Q83" s="11">
        <v>0</v>
      </c>
      <c r="R83" s="11">
        <v>7.5093505921261512</v>
      </c>
      <c r="S83" s="11">
        <v>0</v>
      </c>
      <c r="T83" s="11">
        <v>6.3347970733928793</v>
      </c>
      <c r="U83" s="11">
        <v>76.709664387800004</v>
      </c>
      <c r="V83" s="11">
        <v>0</v>
      </c>
      <c r="W83" s="11">
        <v>0.51120622046533271</v>
      </c>
      <c r="X83" s="11">
        <v>0</v>
      </c>
      <c r="Y83" s="11">
        <v>-7.9257738020000001</v>
      </c>
      <c r="Z83" s="11">
        <v>15.450783175570134</v>
      </c>
      <c r="AA83" s="11">
        <v>0</v>
      </c>
      <c r="AB83" s="11">
        <v>28.025024433785482</v>
      </c>
      <c r="AD83" s="2" t="str">
        <f t="shared" si="8"/>
        <v>ST</v>
      </c>
      <c r="AE83" s="2">
        <f t="shared" si="9"/>
        <v>2044</v>
      </c>
      <c r="AF83" s="21">
        <f t="shared" si="10"/>
        <v>933.83773299395762</v>
      </c>
      <c r="AG83" s="21">
        <f t="shared" ca="1" si="11"/>
        <v>0</v>
      </c>
    </row>
    <row r="84" spans="1:33">
      <c r="A84"/>
      <c r="B84" s="2" t="s">
        <v>211</v>
      </c>
      <c r="C84" s="2">
        <v>2045</v>
      </c>
      <c r="D84" s="11">
        <v>86.871011992272855</v>
      </c>
      <c r="E84" s="11">
        <v>73.667711969761115</v>
      </c>
      <c r="F84" s="11">
        <v>20.749773334220585</v>
      </c>
      <c r="G84" s="11">
        <v>267.68539522999998</v>
      </c>
      <c r="H84" s="11">
        <v>160.72502502895151</v>
      </c>
      <c r="I84" s="11">
        <v>4.2997912339560624</v>
      </c>
      <c r="J84" s="11">
        <v>8.5614101123526396</v>
      </c>
      <c r="K84" s="11">
        <v>111.95836939709585</v>
      </c>
      <c r="L84" s="11">
        <v>-13.231695466893409</v>
      </c>
      <c r="M84" s="11">
        <v>9.1736554034999997</v>
      </c>
      <c r="N84" s="11">
        <v>0</v>
      </c>
      <c r="O84" s="11">
        <v>76.734074436276515</v>
      </c>
      <c r="P84" s="11">
        <v>2.815824132418274E-2</v>
      </c>
      <c r="Q84" s="11">
        <v>0</v>
      </c>
      <c r="R84" s="11">
        <v>7.5093505921261512</v>
      </c>
      <c r="S84" s="11">
        <v>0</v>
      </c>
      <c r="T84" s="11">
        <v>6.3347970733928793</v>
      </c>
      <c r="U84" s="11">
        <v>76.709664387800004</v>
      </c>
      <c r="V84" s="11">
        <v>0</v>
      </c>
      <c r="W84" s="11">
        <v>0.51120622046533271</v>
      </c>
      <c r="X84" s="11">
        <v>0</v>
      </c>
      <c r="Y84" s="11">
        <v>-7.9257738020000001</v>
      </c>
      <c r="Z84" s="11">
        <v>15.450783175570134</v>
      </c>
      <c r="AA84" s="11">
        <v>0</v>
      </c>
      <c r="AB84" s="11">
        <v>28.025024433785482</v>
      </c>
      <c r="AD84" s="2" t="str">
        <f t="shared" si="8"/>
        <v>ST</v>
      </c>
      <c r="AE84" s="2">
        <f t="shared" si="9"/>
        <v>2045</v>
      </c>
      <c r="AF84" s="21">
        <f t="shared" si="10"/>
        <v>933.83773299395762</v>
      </c>
      <c r="AG84" s="21">
        <f t="shared" ca="1" si="11"/>
        <v>0</v>
      </c>
    </row>
    <row r="85" spans="1:33">
      <c r="A85"/>
      <c r="B85" s="2" t="s">
        <v>211</v>
      </c>
      <c r="C85" s="2">
        <v>2046</v>
      </c>
      <c r="D85" s="11">
        <v>86.871011992272855</v>
      </c>
      <c r="E85" s="11">
        <v>73.667711969761115</v>
      </c>
      <c r="F85" s="11">
        <v>20.749773334220585</v>
      </c>
      <c r="G85" s="11">
        <v>267.68539522999998</v>
      </c>
      <c r="H85" s="11">
        <v>160.72502502895151</v>
      </c>
      <c r="I85" s="11">
        <v>4.2997912339560624</v>
      </c>
      <c r="J85" s="11">
        <v>8.5614101123526396</v>
      </c>
      <c r="K85" s="11">
        <v>111.95836939709585</v>
      </c>
      <c r="L85" s="11">
        <v>-13.231695466893409</v>
      </c>
      <c r="M85" s="11">
        <v>9.1736554034999997</v>
      </c>
      <c r="N85" s="11">
        <v>0</v>
      </c>
      <c r="O85" s="11">
        <v>76.734074436276515</v>
      </c>
      <c r="P85" s="11">
        <v>2.815824132418274E-2</v>
      </c>
      <c r="Q85" s="11">
        <v>0</v>
      </c>
      <c r="R85" s="11">
        <v>7.5093505921261512</v>
      </c>
      <c r="S85" s="11">
        <v>0</v>
      </c>
      <c r="T85" s="11">
        <v>6.3347970733928793</v>
      </c>
      <c r="U85" s="11">
        <v>76.709664387800004</v>
      </c>
      <c r="V85" s="11">
        <v>0</v>
      </c>
      <c r="W85" s="11">
        <v>0.51120622046533271</v>
      </c>
      <c r="X85" s="11">
        <v>0</v>
      </c>
      <c r="Y85" s="11">
        <v>-7.9257738020000001</v>
      </c>
      <c r="Z85" s="11">
        <v>15.450783175570134</v>
      </c>
      <c r="AA85" s="11">
        <v>0</v>
      </c>
      <c r="AB85" s="11">
        <v>28.025024433785482</v>
      </c>
      <c r="AD85" s="2" t="str">
        <f t="shared" si="8"/>
        <v>ST</v>
      </c>
      <c r="AE85" s="2">
        <f t="shared" si="9"/>
        <v>2046</v>
      </c>
      <c r="AF85" s="21">
        <f t="shared" si="10"/>
        <v>933.83773299395762</v>
      </c>
      <c r="AG85" s="21">
        <f t="shared" ca="1" si="11"/>
        <v>0</v>
      </c>
    </row>
    <row r="86" spans="1:33">
      <c r="B86"/>
      <c r="C86"/>
      <c r="D86"/>
      <c r="E86"/>
      <c r="F86"/>
      <c r="G86"/>
      <c r="H86"/>
      <c r="I86"/>
      <c r="J86"/>
      <c r="K86"/>
      <c r="L86"/>
      <c r="M86"/>
    </row>
    <row r="87" spans="1:33">
      <c r="B87"/>
      <c r="C87"/>
      <c r="D87"/>
      <c r="E87"/>
      <c r="F87"/>
      <c r="G87"/>
      <c r="H87"/>
      <c r="I87"/>
      <c r="J87"/>
      <c r="K87"/>
      <c r="L87"/>
      <c r="M87"/>
    </row>
    <row r="88" spans="1:33">
      <c r="B88"/>
      <c r="C88"/>
      <c r="D88"/>
      <c r="E88"/>
      <c r="F88"/>
      <c r="G88"/>
      <c r="H88"/>
      <c r="I88"/>
      <c r="J88"/>
      <c r="K88"/>
      <c r="L88"/>
      <c r="M88"/>
    </row>
    <row r="89" spans="1:33">
      <c r="B89"/>
      <c r="C89"/>
      <c r="D89"/>
      <c r="E89"/>
      <c r="F89"/>
      <c r="G89"/>
      <c r="H89"/>
      <c r="I89"/>
      <c r="J89"/>
      <c r="K89"/>
      <c r="L89"/>
      <c r="M89"/>
    </row>
    <row r="90" spans="1:33">
      <c r="B90"/>
      <c r="C90"/>
      <c r="D90"/>
      <c r="E90"/>
      <c r="F90"/>
      <c r="G90"/>
      <c r="H90"/>
      <c r="I90"/>
      <c r="J90"/>
      <c r="K90"/>
      <c r="L90"/>
      <c r="M90"/>
    </row>
    <row r="91" spans="1:33">
      <c r="B91"/>
      <c r="C91"/>
      <c r="D91"/>
      <c r="E91"/>
      <c r="F91"/>
      <c r="G91"/>
      <c r="H91"/>
      <c r="I91"/>
      <c r="J91"/>
      <c r="K91"/>
      <c r="L91"/>
      <c r="M91"/>
    </row>
    <row r="92" spans="1:33">
      <c r="B92"/>
      <c r="C92"/>
      <c r="D92"/>
      <c r="E92"/>
      <c r="F92"/>
      <c r="G92"/>
      <c r="H92"/>
      <c r="I92"/>
      <c r="J92"/>
      <c r="K92"/>
      <c r="L92"/>
      <c r="M92"/>
    </row>
    <row r="93" spans="1:33">
      <c r="B93"/>
      <c r="C93"/>
      <c r="D93"/>
      <c r="E93"/>
      <c r="F93"/>
      <c r="G93"/>
      <c r="H93"/>
      <c r="I93"/>
      <c r="J93"/>
      <c r="K93"/>
      <c r="L93"/>
      <c r="M93"/>
    </row>
    <row r="94" spans="1:33">
      <c r="B94"/>
      <c r="C94"/>
      <c r="D94"/>
      <c r="E94"/>
      <c r="F94"/>
      <c r="G94"/>
      <c r="H94"/>
      <c r="I94"/>
      <c r="J94"/>
      <c r="K94"/>
      <c r="L94"/>
      <c r="M94"/>
    </row>
    <row r="95" spans="1:33">
      <c r="B95"/>
      <c r="C95"/>
      <c r="D95"/>
      <c r="E95"/>
      <c r="F95"/>
      <c r="G95"/>
      <c r="H95"/>
      <c r="I95"/>
      <c r="J95"/>
      <c r="K95"/>
      <c r="L95"/>
      <c r="M95"/>
    </row>
    <row r="96" spans="1:33">
      <c r="B96"/>
      <c r="C96"/>
      <c r="D96"/>
      <c r="E96"/>
      <c r="F96"/>
      <c r="G96"/>
      <c r="H96"/>
      <c r="I96"/>
      <c r="J96"/>
      <c r="K96"/>
      <c r="L96"/>
      <c r="M96"/>
    </row>
    <row r="97" spans="2:13">
      <c r="B97"/>
      <c r="C97"/>
      <c r="D97"/>
      <c r="E97"/>
      <c r="F97"/>
      <c r="G97"/>
      <c r="H97"/>
      <c r="I97"/>
      <c r="J97"/>
      <c r="K97"/>
      <c r="L97"/>
      <c r="M97"/>
    </row>
    <row r="98" spans="2:13">
      <c r="B98"/>
      <c r="C98"/>
      <c r="D98"/>
      <c r="E98"/>
      <c r="F98"/>
      <c r="G98"/>
      <c r="H98"/>
      <c r="I98"/>
      <c r="J98"/>
      <c r="K98"/>
      <c r="L98"/>
      <c r="M98"/>
    </row>
    <row r="99" spans="2:13">
      <c r="B99"/>
      <c r="C99"/>
      <c r="D99"/>
      <c r="E99"/>
      <c r="F99"/>
      <c r="G99"/>
      <c r="H99"/>
      <c r="I99"/>
      <c r="J99"/>
      <c r="K99"/>
      <c r="L99"/>
      <c r="M99"/>
    </row>
    <row r="100" spans="2:13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>
      <c r="B166"/>
      <c r="C166"/>
      <c r="D166"/>
      <c r="E166"/>
      <c r="F166"/>
      <c r="G166"/>
      <c r="H166"/>
      <c r="I166"/>
      <c r="J166"/>
      <c r="K166"/>
      <c r="L166"/>
      <c r="M166"/>
    </row>
  </sheetData>
  <dataValidations disablePrompts="1" count="3">
    <dataValidation type="list" allowBlank="1" showInputMessage="1" showErrorMessage="1" sqref="AJ17" xr:uid="{D9F67E91-D509-4554-BE86-F4732C69C89A}">
      <formula1>$AJ$11:$AJ$14</formula1>
    </dataValidation>
    <dataValidation type="list" allowBlank="1" showInputMessage="1" showErrorMessage="1" sqref="AG10" xr:uid="{DD12875E-938D-4669-9CC0-6BDA429B3C57}">
      <formula1>area_plans</formula1>
    </dataValidation>
    <dataValidation type="list" allowBlank="1" showInputMessage="1" showErrorMessage="1" sqref="AI17" xr:uid="{E2F32C3F-A76E-4E9A-AB54-79507B4F1CF5}">
      <formula1>$AF$10:$AG$10</formula1>
    </dataValidation>
  </dataValidations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B87C1-6955-444B-9260-3674F98C50A3}">
  <sheetPr codeName="Sheet22">
    <tabColor rgb="FFE0D4A4"/>
  </sheetPr>
  <dimension ref="A1:S54"/>
  <sheetViews>
    <sheetView showGridLines="0" zoomScale="70" zoomScaleNormal="70" workbookViewId="0"/>
  </sheetViews>
  <sheetFormatPr defaultColWidth="9.07421875" defaultRowHeight="15.5"/>
  <cols>
    <col min="1" max="1" width="25.84375" style="30" customWidth="1"/>
    <col min="2" max="2" width="28.07421875" style="30" customWidth="1"/>
    <col min="3" max="3" width="29.53515625" style="30" bestFit="1" customWidth="1"/>
    <col min="4" max="16" width="22.84375" style="30" customWidth="1"/>
    <col min="18" max="18" width="12.84375" bestFit="1" customWidth="1"/>
    <col min="20" max="16384" width="9.07421875" style="30"/>
  </cols>
  <sheetData>
    <row r="1" spans="1:16" ht="18">
      <c r="A1" s="49" t="str">
        <f ca="1">MID(CELL("filename",A2),FIND("]",CELL("filename",A2))+1,256)</f>
        <v>LV &amp; HV augex</v>
      </c>
      <c r="B1" s="31"/>
      <c r="E1"/>
    </row>
    <row r="2" spans="1:16">
      <c r="E2"/>
    </row>
    <row r="3" spans="1:16" ht="21">
      <c r="A3" s="32"/>
      <c r="B3" s="6" t="s">
        <v>212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>
      <c r="A4" s="33"/>
      <c r="B4" s="1"/>
      <c r="C4" s="31"/>
      <c r="D4" s="31"/>
      <c r="E4"/>
      <c r="F4" s="31"/>
      <c r="G4" s="31"/>
      <c r="H4" s="31"/>
      <c r="I4" s="31"/>
      <c r="J4" s="31"/>
      <c r="K4" s="31"/>
      <c r="L4" s="31"/>
    </row>
    <row r="5" spans="1:16">
      <c r="A5" s="33"/>
      <c r="B5" s="5" t="s">
        <v>213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>
      <c r="A6" s="3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33"/>
      <c r="B7" s="10" t="s">
        <v>214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6">
      <c r="A8" s="33"/>
      <c r="B8" s="31"/>
      <c r="C8" s="31"/>
      <c r="D8" s="31"/>
      <c r="E8"/>
      <c r="F8" s="31"/>
      <c r="G8" s="31"/>
      <c r="H8" s="31"/>
      <c r="I8" s="31"/>
      <c r="J8" s="31"/>
      <c r="K8" s="31"/>
      <c r="L8" s="31"/>
    </row>
    <row r="9" spans="1:16">
      <c r="B9" s="14" t="s">
        <v>215</v>
      </c>
      <c r="C9" s="14" t="s">
        <v>216</v>
      </c>
      <c r="D9" s="14">
        <v>2023</v>
      </c>
      <c r="E9" s="14">
        <v>2024</v>
      </c>
      <c r="F9" s="14">
        <v>2025</v>
      </c>
      <c r="G9" s="14">
        <v>2026</v>
      </c>
      <c r="H9" s="14">
        <v>2027</v>
      </c>
      <c r="I9" s="14">
        <v>2028</v>
      </c>
      <c r="J9" s="14">
        <v>2029</v>
      </c>
      <c r="K9" s="14">
        <v>2030</v>
      </c>
      <c r="L9" s="14">
        <v>2031</v>
      </c>
      <c r="M9" s="14">
        <v>2032</v>
      </c>
      <c r="N9" s="14">
        <v>2033</v>
      </c>
      <c r="O9" s="14">
        <v>2034</v>
      </c>
      <c r="P9" s="14">
        <v>2035</v>
      </c>
    </row>
    <row r="10" spans="1:16">
      <c r="B10" s="2" t="s">
        <v>217</v>
      </c>
      <c r="C10" s="2" t="s">
        <v>218</v>
      </c>
      <c r="D10" s="16">
        <v>1239089.9426400999</v>
      </c>
      <c r="E10" s="16">
        <v>1239089.9426400999</v>
      </c>
      <c r="F10" s="16">
        <v>1239089.9426400999</v>
      </c>
      <c r="G10" s="16">
        <v>1239089.9426400999</v>
      </c>
      <c r="H10" s="16">
        <v>1239089.9426400999</v>
      </c>
      <c r="I10" s="16">
        <v>1239089.9426400999</v>
      </c>
      <c r="J10" s="16">
        <v>1239089.9426400999</v>
      </c>
      <c r="K10" s="16">
        <v>1239089.9426400999</v>
      </c>
      <c r="L10" s="16">
        <v>1239089.9426400999</v>
      </c>
      <c r="M10" s="16">
        <v>1239089.9426400999</v>
      </c>
      <c r="N10" s="16">
        <v>1239089.9426400999</v>
      </c>
      <c r="O10" s="16">
        <v>1239089.9426400999</v>
      </c>
      <c r="P10" s="16">
        <v>1239089.9426400999</v>
      </c>
    </row>
    <row r="11" spans="1:16">
      <c r="B11" s="2" t="s">
        <v>217</v>
      </c>
      <c r="C11" s="2" t="s">
        <v>219</v>
      </c>
      <c r="D11" s="16">
        <v>73563.685326499995</v>
      </c>
      <c r="E11" s="16">
        <v>73563.685326499995</v>
      </c>
      <c r="F11" s="16">
        <v>73563.685326499995</v>
      </c>
      <c r="G11" s="16">
        <v>73563.685326499995</v>
      </c>
      <c r="H11" s="16">
        <v>73563.685326499995</v>
      </c>
      <c r="I11" s="16">
        <v>73563.685326499995</v>
      </c>
      <c r="J11" s="16">
        <v>73563.685326499995</v>
      </c>
      <c r="K11" s="16">
        <v>73563.685326499995</v>
      </c>
      <c r="L11" s="16">
        <v>73563.685326499995</v>
      </c>
      <c r="M11" s="16">
        <v>73563.685326499995</v>
      </c>
      <c r="N11" s="16">
        <v>73563.685326499995</v>
      </c>
      <c r="O11" s="16">
        <v>73563.685326499995</v>
      </c>
      <c r="P11" s="16">
        <v>73563.685326499995</v>
      </c>
    </row>
    <row r="12" spans="1:16">
      <c r="B12" s="2" t="s">
        <v>220</v>
      </c>
      <c r="C12" s="2" t="s">
        <v>221</v>
      </c>
      <c r="D12" s="16">
        <v>3863296.1825636001</v>
      </c>
      <c r="E12" s="16">
        <v>3863296.1825636001</v>
      </c>
      <c r="F12" s="16">
        <v>3863296.1825636001</v>
      </c>
      <c r="G12" s="16">
        <v>3863296.1825636001</v>
      </c>
      <c r="H12" s="16">
        <v>3863296.1825636001</v>
      </c>
      <c r="I12" s="16">
        <v>3863296.1825636001</v>
      </c>
      <c r="J12" s="16">
        <v>3863296.1825636001</v>
      </c>
      <c r="K12" s="16">
        <v>3863296.1825636001</v>
      </c>
      <c r="L12" s="16">
        <v>3863296.1825636001</v>
      </c>
      <c r="M12" s="16">
        <v>3863296.1825636001</v>
      </c>
      <c r="N12" s="16">
        <v>3863296.1825636001</v>
      </c>
      <c r="O12" s="16">
        <v>3863296.1825636001</v>
      </c>
      <c r="P12" s="16">
        <v>3863296.1825636001</v>
      </c>
    </row>
    <row r="13" spans="1:16">
      <c r="B13" s="2" t="s">
        <v>220</v>
      </c>
      <c r="C13" s="2" t="s">
        <v>222</v>
      </c>
      <c r="D13" s="16">
        <v>523533.197109</v>
      </c>
      <c r="E13" s="16">
        <v>523533.197109</v>
      </c>
      <c r="F13" s="16">
        <v>523533.197109</v>
      </c>
      <c r="G13" s="16">
        <v>523533.197109</v>
      </c>
      <c r="H13" s="16">
        <v>523533.197109</v>
      </c>
      <c r="I13" s="16">
        <v>523533.197109</v>
      </c>
      <c r="J13" s="16">
        <v>523533.197109</v>
      </c>
      <c r="K13" s="16">
        <v>523533.197109</v>
      </c>
      <c r="L13" s="16">
        <v>523533.197109</v>
      </c>
      <c r="M13" s="16">
        <v>523533.197109</v>
      </c>
      <c r="N13" s="16">
        <v>523533.197109</v>
      </c>
      <c r="O13" s="16">
        <v>523533.197109</v>
      </c>
      <c r="P13" s="16">
        <v>523533.197109</v>
      </c>
    </row>
    <row r="14" spans="1:16">
      <c r="B14" s="50"/>
      <c r="C14" s="52" t="s">
        <v>223</v>
      </c>
      <c r="D14" s="59">
        <f>SUM(D10:D13)</f>
        <v>5699483.0076392004</v>
      </c>
      <c r="E14" s="59">
        <f t="shared" ref="E14:P14" si="0">SUM(E10:E13)</f>
        <v>5699483.0076392004</v>
      </c>
      <c r="F14" s="59">
        <f t="shared" si="0"/>
        <v>5699483.0076392004</v>
      </c>
      <c r="G14" s="59">
        <f t="shared" si="0"/>
        <v>5699483.0076392004</v>
      </c>
      <c r="H14" s="59">
        <f t="shared" si="0"/>
        <v>5699483.0076392004</v>
      </c>
      <c r="I14" s="59">
        <f t="shared" si="0"/>
        <v>5699483.0076392004</v>
      </c>
      <c r="J14" s="59">
        <f t="shared" si="0"/>
        <v>5699483.0076392004</v>
      </c>
      <c r="K14" s="59">
        <f t="shared" si="0"/>
        <v>5699483.0076392004</v>
      </c>
      <c r="L14" s="59">
        <f t="shared" si="0"/>
        <v>5699483.0076392004</v>
      </c>
      <c r="M14" s="59">
        <f t="shared" si="0"/>
        <v>5699483.0076392004</v>
      </c>
      <c r="N14" s="59">
        <f t="shared" si="0"/>
        <v>5699483.0076392004</v>
      </c>
      <c r="O14" s="59">
        <f t="shared" si="0"/>
        <v>5699483.0076392004</v>
      </c>
      <c r="P14" s="59">
        <f t="shared" si="0"/>
        <v>5699483.0076392004</v>
      </c>
    </row>
    <row r="15" spans="1:16">
      <c r="B15" s="2" t="s">
        <v>224</v>
      </c>
      <c r="C15" s="2" t="s">
        <v>225</v>
      </c>
      <c r="D15" s="16">
        <v>645648</v>
      </c>
      <c r="E15" s="16">
        <v>889627</v>
      </c>
      <c r="F15" s="16">
        <v>685836</v>
      </c>
      <c r="G15" s="16">
        <v>676038</v>
      </c>
      <c r="H15" s="16">
        <v>683386</v>
      </c>
      <c r="I15" s="16">
        <v>683386</v>
      </c>
      <c r="J15" s="16">
        <v>683386</v>
      </c>
      <c r="K15" s="16">
        <v>683386</v>
      </c>
      <c r="L15" s="16">
        <v>683386</v>
      </c>
      <c r="M15" s="16">
        <v>683386</v>
      </c>
      <c r="N15" s="16">
        <v>683386</v>
      </c>
      <c r="O15" s="16">
        <v>683386</v>
      </c>
      <c r="P15" s="16">
        <v>683386</v>
      </c>
    </row>
    <row r="16" spans="1:16">
      <c r="B16" s="2" t="s">
        <v>224</v>
      </c>
      <c r="C16" s="2" t="s">
        <v>226</v>
      </c>
      <c r="D16" s="16">
        <v>2085035</v>
      </c>
      <c r="E16" s="16">
        <v>2872932</v>
      </c>
      <c r="F16" s="16">
        <v>2214815</v>
      </c>
      <c r="G16" s="16">
        <v>2183175</v>
      </c>
      <c r="H16" s="16">
        <v>2206905</v>
      </c>
      <c r="I16" s="16">
        <v>2206905</v>
      </c>
      <c r="J16" s="16">
        <v>2206905</v>
      </c>
      <c r="K16" s="16">
        <v>2206905</v>
      </c>
      <c r="L16" s="16">
        <v>2206905</v>
      </c>
      <c r="M16" s="16">
        <v>2206905</v>
      </c>
      <c r="N16" s="16">
        <v>2206905</v>
      </c>
      <c r="O16" s="16">
        <v>2206905</v>
      </c>
      <c r="P16" s="16">
        <v>2206905</v>
      </c>
    </row>
    <row r="17" spans="2:16">
      <c r="B17" s="2" t="s">
        <v>224</v>
      </c>
      <c r="C17" s="2" t="s">
        <v>227</v>
      </c>
      <c r="D17" s="16">
        <v>5057027</v>
      </c>
      <c r="E17" s="16">
        <v>6967987</v>
      </c>
      <c r="F17" s="16">
        <v>5371794</v>
      </c>
      <c r="G17" s="16">
        <v>5295056</v>
      </c>
      <c r="H17" s="16">
        <v>5352610</v>
      </c>
      <c r="I17" s="16">
        <v>5352610</v>
      </c>
      <c r="J17" s="16">
        <v>5352610</v>
      </c>
      <c r="K17" s="16">
        <v>5352610</v>
      </c>
      <c r="L17" s="16">
        <v>5352610</v>
      </c>
      <c r="M17" s="16">
        <v>5352610</v>
      </c>
      <c r="N17" s="16">
        <v>5352610</v>
      </c>
      <c r="O17" s="16">
        <v>5352610</v>
      </c>
      <c r="P17" s="16">
        <v>5352610</v>
      </c>
    </row>
    <row r="18" spans="2:16">
      <c r="B18" s="50"/>
      <c r="C18" s="52" t="s">
        <v>228</v>
      </c>
      <c r="D18" s="59">
        <f>SUM(D15:D17)</f>
        <v>7787710</v>
      </c>
      <c r="E18" s="59">
        <f t="shared" ref="E18:P18" si="1">SUM(E15:E17)</f>
        <v>10730546</v>
      </c>
      <c r="F18" s="59">
        <f t="shared" si="1"/>
        <v>8272445</v>
      </c>
      <c r="G18" s="59">
        <f t="shared" si="1"/>
        <v>8154269</v>
      </c>
      <c r="H18" s="59">
        <f t="shared" si="1"/>
        <v>8242901</v>
      </c>
      <c r="I18" s="59">
        <f t="shared" si="1"/>
        <v>8242901</v>
      </c>
      <c r="J18" s="59">
        <f t="shared" si="1"/>
        <v>8242901</v>
      </c>
      <c r="K18" s="59">
        <f t="shared" si="1"/>
        <v>8242901</v>
      </c>
      <c r="L18" s="59">
        <f t="shared" si="1"/>
        <v>8242901</v>
      </c>
      <c r="M18" s="59">
        <f t="shared" si="1"/>
        <v>8242901</v>
      </c>
      <c r="N18" s="59">
        <f t="shared" si="1"/>
        <v>8242901</v>
      </c>
      <c r="O18" s="59">
        <f t="shared" si="1"/>
        <v>8242901</v>
      </c>
      <c r="P18" s="59">
        <f t="shared" si="1"/>
        <v>8242901</v>
      </c>
    </row>
    <row r="21" spans="2:16" ht="21">
      <c r="B21" s="6" t="s">
        <v>229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2:16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2:16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6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2:16">
      <c r="B25" s="10" t="s">
        <v>214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2:16" ht="16" thickBot="1"/>
    <row r="27" spans="2:16" ht="31">
      <c r="B27" s="65" t="s">
        <v>230</v>
      </c>
      <c r="C27" s="65"/>
      <c r="D27" s="65" t="s">
        <v>218</v>
      </c>
      <c r="E27" s="65" t="s">
        <v>219</v>
      </c>
      <c r="F27" s="65" t="s">
        <v>221</v>
      </c>
      <c r="G27" s="65" t="s">
        <v>222</v>
      </c>
      <c r="H27" s="66" t="s">
        <v>225</v>
      </c>
      <c r="I27" s="66" t="s">
        <v>226</v>
      </c>
      <c r="J27" s="66" t="s">
        <v>227</v>
      </c>
      <c r="L27" s="62" t="s">
        <v>180</v>
      </c>
      <c r="M27" s="63"/>
    </row>
    <row r="28" spans="2:16">
      <c r="B28" s="2" t="s">
        <v>183</v>
      </c>
      <c r="C28" s="2"/>
      <c r="D28" s="64">
        <v>3.5535175657529744E-3</v>
      </c>
      <c r="E28" s="64">
        <v>4.7808764940239043E-2</v>
      </c>
      <c r="F28" s="64">
        <v>8.4992610828260665E-3</v>
      </c>
      <c r="G28" s="64">
        <v>5.9797608095676176E-3</v>
      </c>
      <c r="H28" s="64">
        <v>0</v>
      </c>
      <c r="I28" s="8">
        <f>H28</f>
        <v>0</v>
      </c>
      <c r="J28" s="8">
        <f>I28</f>
        <v>0</v>
      </c>
      <c r="L28" s="67" t="str">
        <f>IFERROR(_xlfn.IFNA(INDEX(area_plans,MATCH($B28,area_plans,0)),(INDEX(area_plans,MATCH($B28,Lists!$E$6:$E$31,0)))),Lists!$D$31)</f>
        <v>Camperdown &amp; Blackwattle Bay</v>
      </c>
      <c r="M28" s="68"/>
    </row>
    <row r="29" spans="2:16">
      <c r="B29" s="2" t="s">
        <v>184</v>
      </c>
      <c r="C29" s="2"/>
      <c r="D29" s="64">
        <v>0.10304298048941565</v>
      </c>
      <c r="E29" s="64">
        <v>4.7808764940239043E-2</v>
      </c>
      <c r="F29" s="64">
        <v>8.8179833734320423E-2</v>
      </c>
      <c r="G29" s="64">
        <v>0.12465501379944802</v>
      </c>
      <c r="H29" s="64">
        <v>6.5943529900323997E-2</v>
      </c>
      <c r="I29" s="8">
        <f t="shared" ref="I29:J44" si="2">H29</f>
        <v>6.5943529900323997E-2</v>
      </c>
      <c r="J29" s="8">
        <f t="shared" si="2"/>
        <v>6.5943529900323997E-2</v>
      </c>
      <c r="L29" s="67" t="str">
        <f>IFERROR(_xlfn.IFNA(INDEX(area_plans,MATCH($B29,area_plans,0)),(INDEX(area_plans,MATCH($B29,Lists!$E$6:$E$31,0)))),Lists!$D$31)</f>
        <v>Canterbury Bankstown</v>
      </c>
      <c r="M29" s="68"/>
    </row>
    <row r="30" spans="2:16">
      <c r="B30" s="2" t="s">
        <v>185</v>
      </c>
      <c r="C30" s="2"/>
      <c r="D30" s="64">
        <v>4.0195343861654326E-2</v>
      </c>
      <c r="E30" s="64">
        <v>4.7808764940239043E-2</v>
      </c>
      <c r="F30" s="64">
        <v>6.8304865859776354E-2</v>
      </c>
      <c r="G30" s="64">
        <v>9.5676172953081881E-2</v>
      </c>
      <c r="H30" s="64">
        <v>1.63845313500195E-2</v>
      </c>
      <c r="I30" s="8">
        <f t="shared" si="2"/>
        <v>1.63845313500195E-2</v>
      </c>
      <c r="J30" s="8">
        <f t="shared" si="2"/>
        <v>1.63845313500195E-2</v>
      </c>
      <c r="L30" s="67" t="str">
        <f>IFERROR(_xlfn.IFNA(INDEX(area_plans,MATCH($B30,area_plans,0)),(INDEX(area_plans,MATCH($B30,Lists!$E$6:$E$31,0)))),Lists!$D$31)</f>
        <v>Carlingford</v>
      </c>
      <c r="M30" s="68"/>
    </row>
    <row r="31" spans="2:16">
      <c r="B31" s="2" t="s">
        <v>186</v>
      </c>
      <c r="C31" s="2"/>
      <c r="D31" s="64">
        <v>9.198859572011979E-2</v>
      </c>
      <c r="E31" s="64">
        <v>4.7808764940239043E-2</v>
      </c>
      <c r="F31" s="64">
        <v>0.11483660713045676</v>
      </c>
      <c r="G31" s="64">
        <v>9.0616375344986205E-2</v>
      </c>
      <c r="H31" s="64">
        <v>2.9860777162954683E-2</v>
      </c>
      <c r="I31" s="8">
        <f t="shared" si="2"/>
        <v>2.9860777162954683E-2</v>
      </c>
      <c r="J31" s="8">
        <f t="shared" si="2"/>
        <v>2.9860777162954683E-2</v>
      </c>
      <c r="L31" s="67" t="str">
        <f>IFERROR(_xlfn.IFNA(INDEX(area_plans,MATCH($B31,area_plans,0)),(INDEX(area_plans,MATCH($B31,Lists!$E$6:$E$31,0)))),Lists!$D$31)</f>
        <v>Eastern Suburbs</v>
      </c>
      <c r="M31" s="68"/>
    </row>
    <row r="32" spans="2:16">
      <c r="B32" s="2" t="s">
        <v>187</v>
      </c>
      <c r="C32" s="2"/>
      <c r="D32" s="64">
        <v>3.1679276104325478E-2</v>
      </c>
      <c r="E32" s="64">
        <v>4.7808764940239043E-2</v>
      </c>
      <c r="F32" s="64">
        <v>2.2333002992070257E-2</v>
      </c>
      <c r="G32" s="64">
        <v>3.6338546458141677E-2</v>
      </c>
      <c r="H32" s="64">
        <v>8.9504982988405701E-2</v>
      </c>
      <c r="I32" s="8">
        <f t="shared" si="2"/>
        <v>8.9504982988405701E-2</v>
      </c>
      <c r="J32" s="8">
        <f t="shared" si="2"/>
        <v>8.9504982988405701E-2</v>
      </c>
      <c r="L32" s="67" t="str">
        <f>IFERROR(_xlfn.IFNA(INDEX(area_plans,MATCH($B32,area_plans,0)),(INDEX(area_plans,MATCH($B32,Lists!$E$6:$E$31,0)))),Lists!$D$31)</f>
        <v>Greater Cessnock</v>
      </c>
      <c r="M32" s="68"/>
    </row>
    <row r="33" spans="2:13">
      <c r="B33" s="2" t="s">
        <v>231</v>
      </c>
      <c r="C33" s="2"/>
      <c r="D33" s="64">
        <v>8.6461403335471865E-2</v>
      </c>
      <c r="E33" s="64">
        <v>4.7808764940239043E-2</v>
      </c>
      <c r="F33" s="64">
        <v>4.3945043098702959E-2</v>
      </c>
      <c r="G33" s="64">
        <v>6.6697332106715732E-2</v>
      </c>
      <c r="H33" s="64">
        <v>0.11038986922458385</v>
      </c>
      <c r="I33" s="8">
        <f t="shared" si="2"/>
        <v>0.11038986922458385</v>
      </c>
      <c r="J33" s="8">
        <f t="shared" si="2"/>
        <v>0.11038986922458385</v>
      </c>
      <c r="L33" s="67" t="str">
        <f>IFERROR(_xlfn.IFNA(INDEX(area_plans,MATCH($B33,area_plans,0)),(INDEX(area_plans,MATCH($B33,Lists!$E$6:$E$31,0)))),Lists!$D$31)</f>
        <v>Auburn / Homebush</v>
      </c>
      <c r="M33" s="68"/>
    </row>
    <row r="34" spans="2:13">
      <c r="B34" s="2" t="s">
        <v>188</v>
      </c>
      <c r="C34" s="2"/>
      <c r="D34" s="64">
        <v>0.15476311643543306</v>
      </c>
      <c r="E34" s="64">
        <v>3.9840637450199202E-2</v>
      </c>
      <c r="F34" s="64">
        <v>5.8360096117739971E-2</v>
      </c>
      <c r="G34" s="64">
        <v>3.6338546458141677E-2</v>
      </c>
      <c r="H34" s="64">
        <v>8.3840115004134338E-2</v>
      </c>
      <c r="I34" s="8">
        <f t="shared" si="2"/>
        <v>8.3840115004134338E-2</v>
      </c>
      <c r="J34" s="8">
        <f t="shared" si="2"/>
        <v>8.3840115004134338E-2</v>
      </c>
      <c r="L34" s="67" t="str">
        <f>IFERROR(_xlfn.IFNA(INDEX(area_plans,MATCH($B34,area_plans,0)),(INDEX(area_plans,MATCH($B34,Lists!$E$6:$E$31,0)))),Lists!$D$31)</f>
        <v>Lower Central Coast</v>
      </c>
      <c r="M34" s="68"/>
    </row>
    <row r="35" spans="2:13">
      <c r="B35" s="2" t="s">
        <v>189</v>
      </c>
      <c r="C35" s="2"/>
      <c r="D35" s="64">
        <v>3.4368544320328633E-2</v>
      </c>
      <c r="E35" s="64">
        <v>3.9840637450199202E-2</v>
      </c>
      <c r="F35" s="64">
        <v>6.0715436319801211E-2</v>
      </c>
      <c r="G35" s="64">
        <v>4.7838086476540941E-2</v>
      </c>
      <c r="H35" s="64">
        <v>4.8643430089000952E-3</v>
      </c>
      <c r="I35" s="8">
        <f t="shared" si="2"/>
        <v>4.8643430089000952E-3</v>
      </c>
      <c r="J35" s="8">
        <f t="shared" si="2"/>
        <v>4.8643430089000952E-3</v>
      </c>
      <c r="L35" s="67" t="str">
        <f>IFERROR(_xlfn.IFNA(INDEX(area_plans,MATCH($B35,area_plans,0)),(INDEX(area_plans,MATCH($B35,Lists!$E$6:$E$31,0)))),Lists!$D$31)</f>
        <v>Lower North Shore</v>
      </c>
      <c r="M35" s="68"/>
    </row>
    <row r="36" spans="2:13">
      <c r="B36" s="2" t="s">
        <v>190</v>
      </c>
      <c r="C36" s="2"/>
      <c r="D36" s="64">
        <v>3.6952855830307822E-2</v>
      </c>
      <c r="E36" s="64">
        <v>4.7808764940239043E-2</v>
      </c>
      <c r="F36" s="64">
        <v>2.1888880773477951E-2</v>
      </c>
      <c r="G36" s="64">
        <v>4.9678012879484819E-2</v>
      </c>
      <c r="H36" s="64">
        <v>0.23064471396086147</v>
      </c>
      <c r="I36" s="8">
        <f t="shared" si="2"/>
        <v>0.23064471396086147</v>
      </c>
      <c r="J36" s="8">
        <f t="shared" si="2"/>
        <v>0.23064471396086147</v>
      </c>
      <c r="L36" s="67" t="str">
        <f>IFERROR(_xlfn.IFNA(INDEX(area_plans,MATCH($B36,area_plans,0)),(INDEX(area_plans,MATCH($B36,Lists!$E$6:$E$31,0)))),Lists!$D$31)</f>
        <v>Maitland</v>
      </c>
      <c r="M36" s="68"/>
    </row>
    <row r="37" spans="2:13">
      <c r="B37" s="2" t="s">
        <v>191</v>
      </c>
      <c r="C37" s="2"/>
      <c r="D37" s="64">
        <v>3.4368544320328633E-2</v>
      </c>
      <c r="E37" s="64">
        <v>3.9840637450199202E-2</v>
      </c>
      <c r="F37" s="64">
        <v>6.7650604692537114E-2</v>
      </c>
      <c r="G37" s="64">
        <v>2.1159153633854646E-2</v>
      </c>
      <c r="H37" s="64">
        <v>1.435133192849623E-2</v>
      </c>
      <c r="I37" s="8">
        <f t="shared" si="2"/>
        <v>1.435133192849623E-2</v>
      </c>
      <c r="J37" s="8">
        <f t="shared" si="2"/>
        <v>1.435133192849623E-2</v>
      </c>
      <c r="L37" s="67" t="str">
        <f>IFERROR(_xlfn.IFNA(INDEX(area_plans,MATCH($B37,area_plans,0)),(INDEX(area_plans,MATCH($B37,Lists!$E$6:$E$31,0)))),Lists!$D$31)</f>
        <v>Manly Warringah</v>
      </c>
      <c r="M37" s="68"/>
    </row>
    <row r="38" spans="2:13">
      <c r="B38" s="2" t="s">
        <v>192</v>
      </c>
      <c r="C38" s="2"/>
      <c r="D38" s="64">
        <v>2.7571303359378421E-2</v>
      </c>
      <c r="E38" s="64">
        <v>3.9840637450199202E-2</v>
      </c>
      <c r="F38" s="64">
        <v>4.4666005984140514E-2</v>
      </c>
      <c r="G38" s="64">
        <v>3.8178472861085555E-2</v>
      </c>
      <c r="H38" s="64">
        <v>2.4406174240332073E-2</v>
      </c>
      <c r="I38" s="8">
        <f t="shared" si="2"/>
        <v>2.4406174240332073E-2</v>
      </c>
      <c r="J38" s="8">
        <f t="shared" si="2"/>
        <v>2.4406174240332073E-2</v>
      </c>
      <c r="L38" s="67" t="str">
        <f>IFERROR(_xlfn.IFNA(INDEX(area_plans,MATCH($B38,area_plans,0)),(INDEX(area_plans,MATCH($B38,Lists!$E$6:$E$31,0)))),Lists!$D$31)</f>
        <v>Newcastle Inner City</v>
      </c>
      <c r="M38" s="68"/>
    </row>
    <row r="39" spans="2:13">
      <c r="B39" s="2" t="s">
        <v>232</v>
      </c>
      <c r="C39" s="2"/>
      <c r="D39" s="64">
        <v>8.8837939143824359E-4</v>
      </c>
      <c r="E39" s="64">
        <v>1.1952191235059761E-2</v>
      </c>
      <c r="F39" s="64">
        <v>5.5832507480175642E-3</v>
      </c>
      <c r="G39" s="64">
        <v>1.7939282428702852E-2</v>
      </c>
      <c r="H39" s="64">
        <v>0</v>
      </c>
      <c r="I39" s="8">
        <f t="shared" si="2"/>
        <v>0</v>
      </c>
      <c r="J39" s="8">
        <f t="shared" si="2"/>
        <v>0</v>
      </c>
      <c r="L39" s="67" t="str">
        <f>IFERROR(_xlfn.IFNA(INDEX(area_plans,MATCH($B39,area_plans,0)),(INDEX(area_plans,MATCH($B39,Lists!$E$6:$E$31,0)))),Lists!$D$31)</f>
        <v>Newcastle Port</v>
      </c>
      <c r="M39" s="68"/>
    </row>
    <row r="40" spans="2:13">
      <c r="B40" s="2" t="s">
        <v>194</v>
      </c>
      <c r="C40" s="2"/>
      <c r="D40" s="64">
        <v>2.9329163268039197E-2</v>
      </c>
      <c r="E40" s="64">
        <v>3.9840637450199202E-2</v>
      </c>
      <c r="F40" s="64">
        <v>2.8170037864997721E-2</v>
      </c>
      <c r="G40" s="64">
        <v>2.1619135234590615E-2</v>
      </c>
      <c r="H40" s="64">
        <v>3.9295084989308345E-2</v>
      </c>
      <c r="I40" s="8">
        <f t="shared" si="2"/>
        <v>3.9295084989308345E-2</v>
      </c>
      <c r="J40" s="8">
        <f t="shared" si="2"/>
        <v>3.9295084989308345E-2</v>
      </c>
      <c r="L40" s="67" t="str">
        <f>IFERROR(_xlfn.IFNA(INDEX(area_plans,MATCH($B40,area_plans,0)),(INDEX(area_plans,MATCH($B40,Lists!$E$6:$E$31,0)))),Lists!$D$31)</f>
        <v>Newcastle Western Corridor</v>
      </c>
      <c r="M40" s="68"/>
    </row>
    <row r="41" spans="2:13">
      <c r="B41" s="2" t="s">
        <v>195</v>
      </c>
      <c r="C41" s="2"/>
      <c r="D41" s="64">
        <v>2.5813443450717635E-2</v>
      </c>
      <c r="E41" s="64">
        <v>3.9840637450199202E-2</v>
      </c>
      <c r="F41" s="64">
        <v>4.6823171045874586E-2</v>
      </c>
      <c r="G41" s="64">
        <v>4.2318307267709292E-2</v>
      </c>
      <c r="H41" s="64">
        <v>9.6624894558814001E-3</v>
      </c>
      <c r="I41" s="8">
        <f t="shared" si="2"/>
        <v>9.6624894558814001E-3</v>
      </c>
      <c r="J41" s="8">
        <f t="shared" si="2"/>
        <v>9.6624894558814001E-3</v>
      </c>
      <c r="L41" s="67" t="str">
        <f>IFERROR(_xlfn.IFNA(INDEX(area_plans,MATCH($B41,area_plans,0)),(INDEX(area_plans,MATCH($B41,Lists!$E$6:$E$31,0)))),Lists!$D$31)</f>
        <v>North East Lake Macquarie</v>
      </c>
      <c r="M41" s="68"/>
    </row>
    <row r="42" spans="2:13">
      <c r="B42" s="2" t="s">
        <v>233</v>
      </c>
      <c r="C42" s="2"/>
      <c r="D42" s="64">
        <v>2.9612646381274787E-3</v>
      </c>
      <c r="E42" s="64">
        <v>3.9840637450199202E-2</v>
      </c>
      <c r="F42" s="64">
        <v>4.3442941504685348E-2</v>
      </c>
      <c r="G42" s="64">
        <v>4.5998160073597055E-2</v>
      </c>
      <c r="H42" s="64">
        <v>2.2301016611478843E-2</v>
      </c>
      <c r="I42" s="8">
        <f t="shared" si="2"/>
        <v>2.2301016611478843E-2</v>
      </c>
      <c r="J42" s="8">
        <f t="shared" si="2"/>
        <v>2.2301016611478843E-2</v>
      </c>
      <c r="L42" s="67" t="str">
        <f>IFERROR(_xlfn.IFNA(INDEX(area_plans,MATCH($B42,area_plans,0)),(INDEX(area_plans,MATCH($B42,Lists!$E$6:$E$31,0)))),Lists!$D$31)</f>
        <v>North West</v>
      </c>
      <c r="M42" s="68"/>
    </row>
    <row r="43" spans="2:13">
      <c r="B43" s="2" t="s">
        <v>234</v>
      </c>
      <c r="C43" s="2"/>
      <c r="D43" s="64">
        <v>1.8664904479228056E-2</v>
      </c>
      <c r="E43" s="64">
        <v>3.9840637450199202E-2</v>
      </c>
      <c r="F43" s="64">
        <v>3.5460955264366656E-2</v>
      </c>
      <c r="G43" s="64">
        <v>1.1039558417663294E-2</v>
      </c>
      <c r="H43" s="64">
        <v>7.1103130852069318E-2</v>
      </c>
      <c r="I43" s="8">
        <f t="shared" si="2"/>
        <v>7.1103130852069318E-2</v>
      </c>
      <c r="J43" s="8">
        <f t="shared" si="2"/>
        <v>7.1103130852069318E-2</v>
      </c>
      <c r="L43" s="67" t="str">
        <f>IFERROR(_xlfn.IFNA(INDEX(area_plans,MATCH($B43,area_plans,0)),(INDEX(area_plans,MATCH($B43,Lists!$E$6:$E$31,0)))),Lists!$D$31)</f>
        <v>Pittwater &amp; Terrey Hills</v>
      </c>
      <c r="M43" s="68"/>
    </row>
    <row r="44" spans="2:13">
      <c r="B44" s="2" t="s">
        <v>198</v>
      </c>
      <c r="C44" s="2"/>
      <c r="D44" s="64">
        <v>2.640569637834313E-2</v>
      </c>
      <c r="E44" s="64">
        <v>4.7808764940239043E-2</v>
      </c>
      <c r="F44" s="64">
        <v>2.0175837930336199E-2</v>
      </c>
      <c r="G44" s="64">
        <v>2.2079116835326588E-2</v>
      </c>
      <c r="H44" s="64">
        <v>3.4340403061934206E-2</v>
      </c>
      <c r="I44" s="8">
        <f t="shared" si="2"/>
        <v>3.4340403061934206E-2</v>
      </c>
      <c r="J44" s="8">
        <f t="shared" si="2"/>
        <v>3.4340403061934206E-2</v>
      </c>
      <c r="L44" s="67" t="str">
        <f>IFERROR(_xlfn.IFNA(INDEX(area_plans,MATCH($B44,area_plans,0)),(INDEX(area_plans,MATCH($B44,Lists!$E$6:$E$31,0)))),Lists!$D$31)</f>
        <v>Port Stephens</v>
      </c>
      <c r="M44" s="68"/>
    </row>
    <row r="45" spans="2:13">
      <c r="B45" s="2" t="s">
        <v>199</v>
      </c>
      <c r="C45" s="2"/>
      <c r="D45" s="64">
        <v>3.7803437473314654E-2</v>
      </c>
      <c r="E45" s="64">
        <v>1.1952191235059761E-2</v>
      </c>
      <c r="F45" s="64">
        <v>1.1991299901992269E-2</v>
      </c>
      <c r="G45" s="64">
        <v>2.3459061637534497E-2</v>
      </c>
      <c r="H45" s="64">
        <v>5.9940876155776181E-2</v>
      </c>
      <c r="I45" s="8">
        <f t="shared" ref="I45:J52" si="3">H45</f>
        <v>5.9940876155776181E-2</v>
      </c>
      <c r="J45" s="8">
        <f t="shared" si="3"/>
        <v>5.9940876155776181E-2</v>
      </c>
      <c r="L45" s="67" t="str">
        <f>IFERROR(_xlfn.IFNA(INDEX(area_plans,MATCH($B45,area_plans,0)),(INDEX(area_plans,MATCH($B45,Lists!$E$6:$E$31,0)))),Lists!$D$31)</f>
        <v>Singleton</v>
      </c>
      <c r="M45" s="68"/>
    </row>
    <row r="46" spans="2:13">
      <c r="B46" s="2" t="s">
        <v>200</v>
      </c>
      <c r="C46" s="2"/>
      <c r="D46" s="64">
        <v>2.5662287104344678E-2</v>
      </c>
      <c r="E46" s="64">
        <v>4.7808764940239043E-2</v>
      </c>
      <c r="F46" s="64">
        <v>4.124073275416739E-2</v>
      </c>
      <c r="G46" s="64">
        <v>6.439742410303588E-2</v>
      </c>
      <c r="H46" s="64">
        <v>0</v>
      </c>
      <c r="I46" s="8">
        <f t="shared" si="3"/>
        <v>0</v>
      </c>
      <c r="J46" s="8">
        <f t="shared" si="3"/>
        <v>0</v>
      </c>
      <c r="L46" s="67" t="str">
        <f>IFERROR(_xlfn.IFNA(INDEX(area_plans,MATCH($B46,area_plans,0)),(INDEX(area_plans,MATCH($B46,Lists!$E$6:$E$31,0)))),Lists!$D$31)</f>
        <v>St George</v>
      </c>
      <c r="M46" s="68"/>
    </row>
    <row r="47" spans="2:13">
      <c r="B47" s="2" t="s">
        <v>201</v>
      </c>
      <c r="C47" s="2"/>
      <c r="D47" s="64">
        <v>3.6716671873640541E-2</v>
      </c>
      <c r="E47" s="64">
        <v>4.7808764940239043E-2</v>
      </c>
      <c r="F47" s="64">
        <v>4.8774168713945042E-2</v>
      </c>
      <c r="G47" s="64">
        <v>3.5878564857405704E-2</v>
      </c>
      <c r="H47" s="64">
        <v>3.6589103766707298E-3</v>
      </c>
      <c r="I47" s="8">
        <f t="shared" si="3"/>
        <v>3.6589103766707298E-3</v>
      </c>
      <c r="J47" s="8">
        <f t="shared" si="3"/>
        <v>3.6589103766707298E-3</v>
      </c>
      <c r="L47" s="67" t="str">
        <f>IFERROR(_xlfn.IFNA(INDEX(area_plans,MATCH($B47,area_plans,0)),(INDEX(area_plans,MATCH($B47,Lists!$E$6:$E$31,0)))),Lists!$D$31)</f>
        <v>Sutherland</v>
      </c>
      <c r="M47" s="68"/>
    </row>
    <row r="48" spans="2:13">
      <c r="B48" s="2" t="s">
        <v>202</v>
      </c>
      <c r="C48" s="2"/>
      <c r="D48" s="64">
        <v>2.013509471969676E-2</v>
      </c>
      <c r="E48" s="64">
        <v>4.7808764940239043E-2</v>
      </c>
      <c r="F48" s="64">
        <v>2.9457666252976709E-2</v>
      </c>
      <c r="G48" s="64">
        <v>2.7598896044158234E-2</v>
      </c>
      <c r="H48" s="64">
        <v>4.4925238447799309E-3</v>
      </c>
      <c r="I48" s="8">
        <f t="shared" si="3"/>
        <v>4.4925238447799309E-3</v>
      </c>
      <c r="J48" s="8">
        <f t="shared" si="3"/>
        <v>4.4925238447799309E-3</v>
      </c>
      <c r="L48" s="67" t="str">
        <f>IFERROR(_xlfn.IFNA(INDEX(area_plans,MATCH($B48,area_plans,0)),(INDEX(area_plans,MATCH($B48,Lists!$E$6:$E$31,0)))),Lists!$D$31)</f>
        <v>Sydney CBD</v>
      </c>
      <c r="M48" s="68"/>
    </row>
    <row r="49" spans="2:13">
      <c r="B49" s="2" t="s">
        <v>203</v>
      </c>
      <c r="C49" s="2"/>
      <c r="D49" s="64">
        <v>5.5306730775129403E-2</v>
      </c>
      <c r="E49" s="64">
        <v>3.9840637450199202E-2</v>
      </c>
      <c r="F49" s="64">
        <v>2.2899140853373297E-2</v>
      </c>
      <c r="G49" s="64">
        <v>1.5179392824287029E-2</v>
      </c>
      <c r="H49" s="64">
        <v>3.1411146228287973E-2</v>
      </c>
      <c r="I49" s="8">
        <f t="shared" si="3"/>
        <v>3.1411146228287973E-2</v>
      </c>
      <c r="J49" s="8">
        <f t="shared" si="3"/>
        <v>3.1411146228287973E-2</v>
      </c>
      <c r="L49" s="67" t="str">
        <f>IFERROR(_xlfn.IFNA(INDEX(area_plans,MATCH($B49,area_plans,0)),(INDEX(area_plans,MATCH($B49,Lists!$E$6:$E$31,0)))),Lists!$D$31)</f>
        <v>Upper Central Coast</v>
      </c>
      <c r="M49" s="68"/>
    </row>
    <row r="50" spans="2:13">
      <c r="B50" s="2" t="s">
        <v>204</v>
      </c>
      <c r="C50" s="2"/>
      <c r="D50" s="64">
        <v>3.956129738197544E-2</v>
      </c>
      <c r="E50" s="64">
        <v>1.1952191235059761E-2</v>
      </c>
      <c r="F50" s="64">
        <v>9.3900126216659042E-3</v>
      </c>
      <c r="G50" s="64">
        <v>1.4719411223551058E-2</v>
      </c>
      <c r="H50" s="64">
        <v>0</v>
      </c>
      <c r="I50" s="8">
        <f t="shared" si="3"/>
        <v>0</v>
      </c>
      <c r="J50" s="8">
        <f t="shared" si="3"/>
        <v>0</v>
      </c>
      <c r="L50" s="67" t="str">
        <f>IFERROR(_xlfn.IFNA(INDEX(area_plans,MATCH($B50,area_plans,0)),(INDEX(area_plans,MATCH($B50,Lists!$E$6:$E$31,0)))),Lists!$D$31)</f>
        <v>Upper Hunter</v>
      </c>
      <c r="M50" s="68"/>
    </row>
    <row r="51" spans="2:13">
      <c r="B51" s="2" t="s">
        <v>205</v>
      </c>
      <c r="C51" s="2"/>
      <c r="D51" s="64">
        <v>2.9612646381274787E-3</v>
      </c>
      <c r="E51" s="64">
        <v>3.9840637450199202E-2</v>
      </c>
      <c r="F51" s="64">
        <v>3.297476282885755E-2</v>
      </c>
      <c r="G51" s="64">
        <v>2.7598896044158234E-2</v>
      </c>
      <c r="H51" s="64">
        <v>6.6593851407321918E-3</v>
      </c>
      <c r="I51" s="8">
        <f t="shared" si="3"/>
        <v>6.6593851407321918E-3</v>
      </c>
      <c r="J51" s="8">
        <f t="shared" si="3"/>
        <v>6.6593851407321918E-3</v>
      </c>
      <c r="L51" s="67" t="str">
        <f>IFERROR(_xlfn.IFNA(INDEX(area_plans,MATCH($B51,area_plans,0)),(INDEX(area_plans,MATCH($B51,Lists!$E$6:$E$31,0)))),Lists!$D$31)</f>
        <v>Upper North Shore</v>
      </c>
      <c r="M51" s="68"/>
    </row>
    <row r="52" spans="2:13" ht="16" thickBot="1">
      <c r="B52" s="2" t="s">
        <v>206</v>
      </c>
      <c r="C52" s="2"/>
      <c r="D52" s="64">
        <v>3.2844883085360765E-2</v>
      </c>
      <c r="E52" s="64">
        <v>3.9840637450199202E-2</v>
      </c>
      <c r="F52" s="64">
        <v>2.4236383928894427E-2</v>
      </c>
      <c r="G52" s="64">
        <v>1.7019319227230909E-2</v>
      </c>
      <c r="H52" s="64">
        <v>4.6944664514069055E-2</v>
      </c>
      <c r="I52" s="8">
        <f t="shared" si="3"/>
        <v>4.6944664514069055E-2</v>
      </c>
      <c r="J52" s="8">
        <f t="shared" si="3"/>
        <v>4.6944664514069055E-2</v>
      </c>
      <c r="L52" s="69" t="str">
        <f>IFERROR(_xlfn.IFNA(INDEX(area_plans,MATCH($B52,area_plans,0)),(INDEX(area_plans,MATCH($B52,Lists!$E$6:$E$31,0)))),Lists!$D$31)</f>
        <v>West Lake Macquarie</v>
      </c>
      <c r="M52" s="70"/>
    </row>
    <row r="53" spans="2:13">
      <c r="B53"/>
      <c r="C53"/>
      <c r="D53"/>
      <c r="E53"/>
      <c r="F53"/>
      <c r="G53"/>
      <c r="H53"/>
      <c r="I53"/>
    </row>
    <row r="54" spans="2:13">
      <c r="B54"/>
      <c r="C54"/>
      <c r="D54"/>
      <c r="E54"/>
      <c r="F54"/>
      <c r="G54"/>
      <c r="H54"/>
      <c r="I54"/>
    </row>
  </sheetData>
  <pageMargins left="0.7" right="0.7" top="0.75" bottom="0.75" header="0.3" footer="0.3"/>
  <pageSetup paperSize="9" orientation="portrait" r:id="rId1"/>
  <headerFooter>
    <oddFooter>&amp;L_x000D_&amp;1#&amp;"Calibri"&amp;8&amp;K000000 For Official use only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B5727-A84E-48CE-8870-23AB6325C800}">
  <sheetPr>
    <tabColor theme="1"/>
  </sheetPr>
  <dimension ref="A1:A33"/>
  <sheetViews>
    <sheetView showGridLines="0" zoomScale="70" zoomScaleNormal="70" workbookViewId="0"/>
  </sheetViews>
  <sheetFormatPr defaultColWidth="8.84375" defaultRowHeight="14"/>
  <cols>
    <col min="1" max="1" width="11.69140625" style="1" bestFit="1" customWidth="1"/>
    <col min="2" max="16384" width="8.84375" style="1"/>
  </cols>
  <sheetData>
    <row r="1" spans="1:1" ht="18">
      <c r="A1" s="49" t="str">
        <f ca="1">MID(CELL("filename",A2),FIND("]",CELL("filename",A2))+1,256)</f>
        <v>Outputs -&gt;</v>
      </c>
    </row>
    <row r="2" spans="1:1" ht="15.5">
      <c r="A2"/>
    </row>
    <row r="12" spans="1:1" customFormat="1" ht="15.5"/>
    <row r="13" spans="1:1" customFormat="1" ht="15.5"/>
    <row r="14" spans="1:1" customFormat="1" ht="15.5"/>
    <row r="15" spans="1:1" customFormat="1" ht="15.5"/>
    <row r="16" spans="1:1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BD6B8-E579-4E5D-B907-99D34CC87AB7}">
  <sheetPr codeName="Sheet12">
    <tabColor rgb="FFE0D4A4"/>
  </sheetPr>
  <dimension ref="A1:V31"/>
  <sheetViews>
    <sheetView showGridLines="0" zoomScale="70" zoomScaleNormal="70" workbookViewId="0"/>
  </sheetViews>
  <sheetFormatPr defaultColWidth="8.84375" defaultRowHeight="15.5"/>
  <cols>
    <col min="1" max="1" width="19" bestFit="1" customWidth="1"/>
    <col min="2" max="2" width="33.07421875" customWidth="1"/>
    <col min="3" max="3" width="24.3046875" bestFit="1" customWidth="1"/>
    <col min="4" max="4" width="19.84375" bestFit="1" customWidth="1"/>
    <col min="5" max="5" width="53.69140625" customWidth="1"/>
    <col min="6" max="6" width="27.07421875" customWidth="1"/>
    <col min="7" max="7" width="9.3046875" customWidth="1"/>
    <col min="8" max="20" width="14.4609375" customWidth="1"/>
  </cols>
  <sheetData>
    <row r="1" spans="1:22" ht="18">
      <c r="A1" s="49" t="str">
        <f ca="1">MID(CELL("filename",A2),FIND("]",CELL("filename",A2))+1,256)</f>
        <v>ST augex</v>
      </c>
      <c r="B1" s="1"/>
      <c r="C1" s="1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2">
      <c r="B2" s="1"/>
      <c r="C2" s="1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2" ht="21">
      <c r="A3" s="1"/>
      <c r="B3" s="6" t="s">
        <v>235</v>
      </c>
      <c r="C3" s="6"/>
      <c r="D3" s="6"/>
      <c r="E3" s="38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>
      <c r="A4" s="1"/>
      <c r="B4" s="1"/>
      <c r="C4" s="1"/>
      <c r="D4" s="1"/>
      <c r="E4" s="1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7"/>
      <c r="S4" s="1"/>
      <c r="T4" s="1"/>
      <c r="U4" s="1"/>
      <c r="V4" s="1"/>
    </row>
    <row r="5" spans="1:22">
      <c r="A5" s="1"/>
      <c r="B5" s="5" t="s">
        <v>236</v>
      </c>
      <c r="C5" s="5"/>
      <c r="D5" s="5"/>
      <c r="E5" s="39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</row>
    <row r="6" spans="1:22">
      <c r="A6" s="1"/>
      <c r="B6" s="1"/>
      <c r="C6" s="1"/>
      <c r="D6" s="1"/>
      <c r="E6" s="19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"/>
      <c r="S6" s="1"/>
      <c r="T6" s="1"/>
      <c r="U6" s="1"/>
      <c r="V6" s="1"/>
    </row>
    <row r="7" spans="1:22">
      <c r="A7" s="1"/>
      <c r="B7" s="10" t="s">
        <v>237</v>
      </c>
      <c r="C7" s="10"/>
      <c r="D7" s="10"/>
      <c r="E7" s="3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6" thickBot="1">
      <c r="A8" s="1"/>
      <c r="B8" s="1"/>
      <c r="C8" s="19"/>
      <c r="D8" s="1"/>
      <c r="E8" s="19"/>
      <c r="F8" s="1"/>
      <c r="G8" s="1"/>
      <c r="H8" s="1"/>
      <c r="I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>
      <c r="A9" s="1"/>
      <c r="B9" s="22" t="s">
        <v>180</v>
      </c>
      <c r="C9" s="19"/>
      <c r="D9" s="14" t="s">
        <v>238</v>
      </c>
      <c r="E9" s="14" t="s">
        <v>239</v>
      </c>
      <c r="F9" s="14" t="s">
        <v>230</v>
      </c>
      <c r="G9" s="14" t="s">
        <v>240</v>
      </c>
      <c r="H9" s="14" t="s">
        <v>241</v>
      </c>
      <c r="I9" s="14" t="s">
        <v>242</v>
      </c>
      <c r="J9" s="14">
        <v>2023</v>
      </c>
      <c r="K9" s="14">
        <v>2024</v>
      </c>
      <c r="L9" s="14">
        <v>2025</v>
      </c>
      <c r="M9" s="14">
        <v>2026</v>
      </c>
      <c r="N9" s="14">
        <v>2027</v>
      </c>
      <c r="O9" s="14">
        <v>2028</v>
      </c>
      <c r="P9" s="14">
        <v>2029</v>
      </c>
      <c r="Q9" s="14">
        <v>2030</v>
      </c>
      <c r="R9" s="14">
        <v>2031</v>
      </c>
      <c r="S9" s="14">
        <v>2032</v>
      </c>
      <c r="T9" s="14">
        <v>2033</v>
      </c>
      <c r="U9" s="14">
        <v>2034</v>
      </c>
      <c r="V9" s="14">
        <v>2035</v>
      </c>
    </row>
    <row r="10" spans="1:22">
      <c r="B10" s="95" t="s">
        <v>198</v>
      </c>
      <c r="C10" s="19"/>
      <c r="D10" s="2" t="s">
        <v>243</v>
      </c>
      <c r="E10" s="2" t="s">
        <v>244</v>
      </c>
      <c r="F10" s="2" t="s">
        <v>245</v>
      </c>
      <c r="G10" s="2" t="s">
        <v>91</v>
      </c>
      <c r="H10" s="2" t="s">
        <v>246</v>
      </c>
      <c r="I10" s="2" t="s">
        <v>247</v>
      </c>
      <c r="J10" s="11">
        <v>0</v>
      </c>
      <c r="K10" s="11">
        <v>0</v>
      </c>
      <c r="L10" s="11">
        <v>69.688316473699999</v>
      </c>
      <c r="M10" s="11">
        <v>1046.6850361166</v>
      </c>
      <c r="N10" s="11">
        <v>627.40883220429998</v>
      </c>
      <c r="O10" s="11">
        <v>180.5266952261</v>
      </c>
      <c r="P10" s="11">
        <v>0</v>
      </c>
      <c r="Q10" s="11">
        <v>0</v>
      </c>
      <c r="R10" s="11">
        <v>0</v>
      </c>
      <c r="S10" s="11">
        <v>0</v>
      </c>
      <c r="T10" s="21">
        <f t="shared" ref="T10:V29" si="0">S10</f>
        <v>0</v>
      </c>
      <c r="U10" s="21">
        <f t="shared" si="0"/>
        <v>0</v>
      </c>
      <c r="V10" s="21">
        <f t="shared" si="0"/>
        <v>0</v>
      </c>
    </row>
    <row r="11" spans="1:22">
      <c r="B11" s="95" t="s">
        <v>198</v>
      </c>
      <c r="C11" s="19"/>
      <c r="D11" s="2" t="s">
        <v>243</v>
      </c>
      <c r="E11" s="2" t="s">
        <v>244</v>
      </c>
      <c r="F11" s="2" t="s">
        <v>245</v>
      </c>
      <c r="G11" s="2" t="s">
        <v>91</v>
      </c>
      <c r="H11" s="2" t="s">
        <v>248</v>
      </c>
      <c r="I11" s="2" t="s">
        <v>249</v>
      </c>
      <c r="J11" s="11">
        <v>0</v>
      </c>
      <c r="K11" s="11">
        <v>0</v>
      </c>
      <c r="L11" s="11">
        <v>69.688316473699999</v>
      </c>
      <c r="M11" s="11">
        <v>1046.6850361166</v>
      </c>
      <c r="N11" s="11">
        <v>455.30586513110001</v>
      </c>
      <c r="O11" s="11">
        <v>5.2524384849999999</v>
      </c>
      <c r="P11" s="11">
        <v>0</v>
      </c>
      <c r="Q11" s="11">
        <v>0</v>
      </c>
      <c r="R11" s="11">
        <v>0</v>
      </c>
      <c r="S11" s="11">
        <v>0</v>
      </c>
      <c r="T11" s="21">
        <f t="shared" si="0"/>
        <v>0</v>
      </c>
      <c r="U11" s="21">
        <f t="shared" si="0"/>
        <v>0</v>
      </c>
      <c r="V11" s="21">
        <f t="shared" si="0"/>
        <v>0</v>
      </c>
    </row>
    <row r="12" spans="1:22">
      <c r="B12" s="95" t="s">
        <v>198</v>
      </c>
      <c r="C12" s="19"/>
      <c r="D12" s="2" t="s">
        <v>243</v>
      </c>
      <c r="E12" s="2" t="s">
        <v>244</v>
      </c>
      <c r="F12" s="2" t="s">
        <v>245</v>
      </c>
      <c r="G12" s="2" t="s">
        <v>91</v>
      </c>
      <c r="H12" s="2" t="s">
        <v>250</v>
      </c>
      <c r="I12" s="2" t="s">
        <v>251</v>
      </c>
      <c r="J12" s="11">
        <v>0</v>
      </c>
      <c r="K12" s="11">
        <v>0</v>
      </c>
      <c r="L12" s="11">
        <v>0</v>
      </c>
      <c r="M12" s="11">
        <v>0</v>
      </c>
      <c r="N12" s="11">
        <v>42.476146761999999</v>
      </c>
      <c r="O12" s="11">
        <v>11.464211714999999</v>
      </c>
      <c r="P12" s="11">
        <v>0</v>
      </c>
      <c r="Q12" s="11">
        <v>0</v>
      </c>
      <c r="R12" s="11">
        <v>0</v>
      </c>
      <c r="S12" s="11">
        <v>0</v>
      </c>
      <c r="T12" s="21">
        <f t="shared" si="0"/>
        <v>0</v>
      </c>
      <c r="U12" s="21">
        <f t="shared" si="0"/>
        <v>0</v>
      </c>
      <c r="V12" s="21">
        <f t="shared" si="0"/>
        <v>0</v>
      </c>
    </row>
    <row r="13" spans="1:22">
      <c r="B13" s="95" t="s">
        <v>198</v>
      </c>
      <c r="C13" s="19"/>
      <c r="D13" s="2" t="s">
        <v>243</v>
      </c>
      <c r="E13" s="2" t="s">
        <v>244</v>
      </c>
      <c r="F13" s="2" t="s">
        <v>245</v>
      </c>
      <c r="G13" s="2" t="s">
        <v>91</v>
      </c>
      <c r="H13" s="2" t="s">
        <v>252</v>
      </c>
      <c r="I13" s="2" t="s">
        <v>253</v>
      </c>
      <c r="J13" s="11">
        <v>0</v>
      </c>
      <c r="K13" s="11">
        <v>0</v>
      </c>
      <c r="L13" s="11">
        <v>0</v>
      </c>
      <c r="M13" s="11">
        <v>0</v>
      </c>
      <c r="N13" s="11">
        <v>129.62682031119999</v>
      </c>
      <c r="O13" s="11">
        <v>163.8100450261</v>
      </c>
      <c r="P13" s="11">
        <v>0</v>
      </c>
      <c r="Q13" s="11">
        <v>0</v>
      </c>
      <c r="R13" s="11">
        <v>0</v>
      </c>
      <c r="S13" s="11">
        <v>0</v>
      </c>
      <c r="T13" s="21">
        <f t="shared" si="0"/>
        <v>0</v>
      </c>
      <c r="U13" s="21">
        <f t="shared" si="0"/>
        <v>0</v>
      </c>
      <c r="V13" s="21">
        <f t="shared" si="0"/>
        <v>0</v>
      </c>
    </row>
    <row r="14" spans="1:22">
      <c r="B14" s="23" t="str">
        <f>IFERROR(_xlfn.IFNA(INDEX(area_plans,MATCH($F14,area_plans,0)),(INDEX(area_plans,MATCH($F14,Lists!$E$6:$E$31,0)))),IFERROR(_xlfn.IFNA(INDEX(Lists!$E$6:$E$31,MATCH($F14,Lists!$E$6:$E$31,0)),(INDEX(area_plans,MATCH($F14,Lists!$F$6:$F$31,0)))),Lists!$D$31))</f>
        <v>Eastern Suburbs</v>
      </c>
      <c r="C14" s="19"/>
      <c r="D14" s="2" t="s">
        <v>254</v>
      </c>
      <c r="E14" s="2" t="s">
        <v>255</v>
      </c>
      <c r="F14" s="2" t="s">
        <v>186</v>
      </c>
      <c r="G14" s="2" t="s">
        <v>91</v>
      </c>
      <c r="H14" s="2" t="s">
        <v>246</v>
      </c>
      <c r="I14" s="2" t="s">
        <v>247</v>
      </c>
      <c r="J14" s="11">
        <v>795.04531531750001</v>
      </c>
      <c r="K14" s="11">
        <v>31.4709490055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21">
        <f t="shared" si="0"/>
        <v>0</v>
      </c>
      <c r="U14" s="21">
        <f t="shared" si="0"/>
        <v>0</v>
      </c>
      <c r="V14" s="21">
        <f t="shared" si="0"/>
        <v>0</v>
      </c>
    </row>
    <row r="15" spans="1:22">
      <c r="B15" s="23" t="str">
        <f>IFERROR(_xlfn.IFNA(INDEX(area_plans,MATCH($F15,area_plans,0)),(INDEX(area_plans,MATCH($F15,Lists!$E$6:$E$31,0)))),IFERROR(_xlfn.IFNA(INDEX(Lists!$E$6:$E$31,MATCH($F15,Lists!$E$6:$E$31,0)),(INDEX(area_plans,MATCH($F15,Lists!$F$6:$F$31,0)))),Lists!$D$31))</f>
        <v>Eastern Suburbs</v>
      </c>
      <c r="C15" s="19"/>
      <c r="D15" s="2" t="s">
        <v>254</v>
      </c>
      <c r="E15" s="2" t="s">
        <v>255</v>
      </c>
      <c r="F15" s="2" t="s">
        <v>186</v>
      </c>
      <c r="G15" s="2" t="s">
        <v>91</v>
      </c>
      <c r="H15" s="2" t="s">
        <v>248</v>
      </c>
      <c r="I15" s="2" t="s">
        <v>249</v>
      </c>
      <c r="J15" s="11">
        <v>737.60945936339999</v>
      </c>
      <c r="K15" s="11">
        <v>29.1974171287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21">
        <f t="shared" si="0"/>
        <v>0</v>
      </c>
      <c r="U15" s="21">
        <f t="shared" si="0"/>
        <v>0</v>
      </c>
      <c r="V15" s="21">
        <f t="shared" si="0"/>
        <v>0</v>
      </c>
    </row>
    <row r="16" spans="1:22">
      <c r="B16" s="23" t="str">
        <f>IFERROR(_xlfn.IFNA(INDEX(area_plans,MATCH($F16,area_plans,0)),(INDEX(area_plans,MATCH($F16,Lists!$E$6:$E$31,0)))),IFERROR(_xlfn.IFNA(INDEX(Lists!$E$6:$E$31,MATCH($F16,Lists!$E$6:$E$31,0)),(INDEX(area_plans,MATCH($F16,Lists!$F$6:$F$31,0)))),Lists!$D$31))</f>
        <v>Eastern Suburbs</v>
      </c>
      <c r="C16" s="19"/>
      <c r="D16" s="2" t="s">
        <v>254</v>
      </c>
      <c r="E16" s="2" t="s">
        <v>255</v>
      </c>
      <c r="F16" s="2" t="s">
        <v>186</v>
      </c>
      <c r="G16" s="2" t="s">
        <v>91</v>
      </c>
      <c r="H16" s="2" t="s">
        <v>256</v>
      </c>
      <c r="I16" s="2" t="s">
        <v>257</v>
      </c>
      <c r="J16" s="11">
        <v>57.435855954099999</v>
      </c>
      <c r="K16" s="11">
        <v>2.2735318768000004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21">
        <f t="shared" si="0"/>
        <v>0</v>
      </c>
      <c r="U16" s="21">
        <f t="shared" si="0"/>
        <v>0</v>
      </c>
      <c r="V16" s="21">
        <f t="shared" si="0"/>
        <v>0</v>
      </c>
    </row>
    <row r="17" spans="2:22">
      <c r="B17" s="23" t="str">
        <f>IFERROR(_xlfn.IFNA(INDEX(area_plans,MATCH($F17,area_plans,0)),(INDEX(area_plans,MATCH($F17,Lists!$E$6:$E$31,0)))),IFERROR(_xlfn.IFNA(INDEX(Lists!$E$6:$E$31,MATCH($F17,Lists!$E$6:$E$31,0)),(INDEX(area_plans,MATCH($F17,Lists!$F$6:$F$31,0)))),Lists!$D$31))</f>
        <v>Auburn / Homebush</v>
      </c>
      <c r="C17" s="19"/>
      <c r="D17" s="2" t="s">
        <v>258</v>
      </c>
      <c r="E17" s="2" t="s">
        <v>259</v>
      </c>
      <c r="F17" s="2" t="s">
        <v>260</v>
      </c>
      <c r="G17" s="2" t="s">
        <v>91</v>
      </c>
      <c r="H17" s="2" t="s">
        <v>246</v>
      </c>
      <c r="I17" s="2" t="s">
        <v>247</v>
      </c>
      <c r="J17" s="11">
        <v>607.17655540429996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21">
        <f t="shared" si="0"/>
        <v>0</v>
      </c>
      <c r="U17" s="21">
        <f t="shared" si="0"/>
        <v>0</v>
      </c>
      <c r="V17" s="21">
        <f t="shared" si="0"/>
        <v>0</v>
      </c>
    </row>
    <row r="18" spans="2:22">
      <c r="B18" s="23" t="str">
        <f>IFERROR(_xlfn.IFNA(INDEX(area_plans,MATCH($F18,area_plans,0)),(INDEX(area_plans,MATCH($F18,Lists!$E$6:$E$31,0)))),IFERROR(_xlfn.IFNA(INDEX(Lists!$E$6:$E$31,MATCH($F18,Lists!$E$6:$E$31,0)),(INDEX(area_plans,MATCH($F18,Lists!$F$6:$F$31,0)))),Lists!$D$31))</f>
        <v>Auburn / Homebush</v>
      </c>
      <c r="C18" s="19"/>
      <c r="D18" s="2" t="s">
        <v>258</v>
      </c>
      <c r="E18" s="2" t="s">
        <v>259</v>
      </c>
      <c r="F18" s="2" t="s">
        <v>260</v>
      </c>
      <c r="G18" s="2" t="s">
        <v>91</v>
      </c>
      <c r="H18" s="2" t="s">
        <v>261</v>
      </c>
      <c r="I18" s="2" t="s">
        <v>262</v>
      </c>
      <c r="J18" s="11">
        <v>511.34898894990005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21">
        <f t="shared" si="0"/>
        <v>0</v>
      </c>
      <c r="U18" s="21">
        <f t="shared" si="0"/>
        <v>0</v>
      </c>
      <c r="V18" s="21">
        <f t="shared" si="0"/>
        <v>0</v>
      </c>
    </row>
    <row r="19" spans="2:22">
      <c r="B19" s="23" t="str">
        <f>IFERROR(_xlfn.IFNA(INDEX(area_plans,MATCH($F19,area_plans,0)),(INDEX(area_plans,MATCH($F19,Lists!$E$6:$E$31,0)))),IFERROR(_xlfn.IFNA(INDEX(Lists!$E$6:$E$31,MATCH($F19,Lists!$E$6:$E$31,0)),(INDEX(area_plans,MATCH($F19,Lists!$F$6:$F$31,0)))),Lists!$D$31))</f>
        <v>Auburn / Homebush</v>
      </c>
      <c r="C19" s="19"/>
      <c r="D19" s="2" t="s">
        <v>258</v>
      </c>
      <c r="E19" s="2" t="s">
        <v>259</v>
      </c>
      <c r="F19" s="2" t="s">
        <v>260</v>
      </c>
      <c r="G19" s="2" t="s">
        <v>91</v>
      </c>
      <c r="H19" s="2" t="s">
        <v>248</v>
      </c>
      <c r="I19" s="2" t="s">
        <v>249</v>
      </c>
      <c r="J19" s="11">
        <v>52.449423440400004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21">
        <f t="shared" si="0"/>
        <v>0</v>
      </c>
      <c r="U19" s="21">
        <f t="shared" si="0"/>
        <v>0</v>
      </c>
      <c r="V19" s="21">
        <f t="shared" si="0"/>
        <v>0</v>
      </c>
    </row>
    <row r="20" spans="2:22">
      <c r="B20" s="23" t="str">
        <f>IFERROR(_xlfn.IFNA(INDEX(area_plans,MATCH($F20,area_plans,0)),(INDEX(area_plans,MATCH($F20,Lists!$E$6:$E$31,0)))),IFERROR(_xlfn.IFNA(INDEX(Lists!$E$6:$E$31,MATCH($F20,Lists!$E$6:$E$31,0)),(INDEX(area_plans,MATCH($F20,Lists!$F$6:$F$31,0)))),Lists!$D$31))</f>
        <v>Auburn / Homebush</v>
      </c>
      <c r="C20" s="19"/>
      <c r="D20" s="2" t="s">
        <v>258</v>
      </c>
      <c r="E20" s="2" t="s">
        <v>259</v>
      </c>
      <c r="F20" s="2" t="s">
        <v>260</v>
      </c>
      <c r="G20" s="2" t="s">
        <v>91</v>
      </c>
      <c r="H20" s="2" t="s">
        <v>256</v>
      </c>
      <c r="I20" s="2" t="s">
        <v>257</v>
      </c>
      <c r="J20" s="11">
        <v>43.378143014000003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21">
        <f t="shared" si="0"/>
        <v>0</v>
      </c>
      <c r="U20" s="21">
        <f t="shared" si="0"/>
        <v>0</v>
      </c>
      <c r="V20" s="21">
        <f t="shared" si="0"/>
        <v>0</v>
      </c>
    </row>
    <row r="21" spans="2:22">
      <c r="B21" s="23" t="str">
        <f>IFERROR(_xlfn.IFNA(INDEX(area_plans,MATCH($F21,area_plans,0)),(INDEX(area_plans,MATCH($F21,Lists!$E$6:$E$31,0)))),IFERROR(_xlfn.IFNA(INDEX(Lists!$E$6:$E$31,MATCH($F21,Lists!$E$6:$E$31,0)),(INDEX(area_plans,MATCH($F21,Lists!$F$6:$F$31,0)))),Lists!$D$31))</f>
        <v>Carlingford</v>
      </c>
      <c r="C21" s="19"/>
      <c r="D21" s="2" t="s">
        <v>263</v>
      </c>
      <c r="E21" s="2" t="s">
        <v>264</v>
      </c>
      <c r="F21" s="2" t="s">
        <v>185</v>
      </c>
      <c r="G21" s="2" t="s">
        <v>91</v>
      </c>
      <c r="H21" s="2" t="s">
        <v>246</v>
      </c>
      <c r="I21" s="2" t="s">
        <v>247</v>
      </c>
      <c r="J21" s="11">
        <v>331.1017782216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21">
        <f t="shared" si="0"/>
        <v>0</v>
      </c>
      <c r="U21" s="21">
        <f t="shared" si="0"/>
        <v>0</v>
      </c>
      <c r="V21" s="21">
        <f t="shared" si="0"/>
        <v>0</v>
      </c>
    </row>
    <row r="22" spans="2:22">
      <c r="B22" s="23" t="str">
        <f>IFERROR(_xlfn.IFNA(INDEX(area_plans,MATCH($F22,area_plans,0)),(INDEX(area_plans,MATCH($F22,Lists!$E$6:$E$31,0)))),IFERROR(_xlfn.IFNA(INDEX(Lists!$E$6:$E$31,MATCH($F22,Lists!$E$6:$E$31,0)),(INDEX(area_plans,MATCH($F22,Lists!$F$6:$F$31,0)))),Lists!$D$31))</f>
        <v>Carlingford</v>
      </c>
      <c r="C22" s="19"/>
      <c r="D22" s="2" t="s">
        <v>263</v>
      </c>
      <c r="E22" s="2" t="s">
        <v>264</v>
      </c>
      <c r="F22" s="2" t="s">
        <v>185</v>
      </c>
      <c r="G22" s="2" t="s">
        <v>91</v>
      </c>
      <c r="H22" s="2" t="s">
        <v>261</v>
      </c>
      <c r="I22" s="2" t="s">
        <v>262</v>
      </c>
      <c r="J22" s="11">
        <v>268.75439173299998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21">
        <f t="shared" si="0"/>
        <v>0</v>
      </c>
      <c r="U22" s="21">
        <f t="shared" si="0"/>
        <v>0</v>
      </c>
      <c r="V22" s="21">
        <f t="shared" si="0"/>
        <v>0</v>
      </c>
    </row>
    <row r="23" spans="2:22">
      <c r="B23" s="23" t="str">
        <f>IFERROR(_xlfn.IFNA(INDEX(area_plans,MATCH($F23,area_plans,0)),(INDEX(area_plans,MATCH($F23,Lists!$E$6:$E$31,0)))),IFERROR(_xlfn.IFNA(INDEX(Lists!$E$6:$E$31,MATCH($F23,Lists!$E$6:$E$31,0)),(INDEX(area_plans,MATCH($F23,Lists!$F$6:$F$31,0)))),Lists!$D$31))</f>
        <v>Carlingford</v>
      </c>
      <c r="C23" s="19"/>
      <c r="D23" s="2" t="s">
        <v>263</v>
      </c>
      <c r="E23" s="2" t="s">
        <v>264</v>
      </c>
      <c r="F23" s="2" t="s">
        <v>185</v>
      </c>
      <c r="G23" s="2" t="s">
        <v>91</v>
      </c>
      <c r="H23" s="2" t="s">
        <v>250</v>
      </c>
      <c r="I23" s="2" t="s">
        <v>251</v>
      </c>
      <c r="J23" s="11">
        <v>2.8670296963999999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21">
        <f t="shared" si="0"/>
        <v>0</v>
      </c>
      <c r="U23" s="21">
        <f t="shared" si="0"/>
        <v>0</v>
      </c>
      <c r="V23" s="21">
        <f t="shared" si="0"/>
        <v>0</v>
      </c>
    </row>
    <row r="24" spans="2:22">
      <c r="B24" s="23" t="str">
        <f>IFERROR(_xlfn.IFNA(INDEX(area_plans,MATCH($F24,area_plans,0)),(INDEX(area_plans,MATCH($F24,Lists!$E$6:$E$31,0)))),IFERROR(_xlfn.IFNA(INDEX(Lists!$E$6:$E$31,MATCH($F24,Lists!$E$6:$E$31,0)),(INDEX(area_plans,MATCH($F24,Lists!$F$6:$F$31,0)))),Lists!$D$31))</f>
        <v>Carlingford</v>
      </c>
      <c r="C24" s="19"/>
      <c r="D24" s="2" t="s">
        <v>263</v>
      </c>
      <c r="E24" s="2" t="s">
        <v>264</v>
      </c>
      <c r="F24" s="2" t="s">
        <v>185</v>
      </c>
      <c r="G24" s="2" t="s">
        <v>91</v>
      </c>
      <c r="H24" s="2" t="s">
        <v>256</v>
      </c>
      <c r="I24" s="2" t="s">
        <v>257</v>
      </c>
      <c r="J24" s="11">
        <v>59.480356792199998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21">
        <f t="shared" si="0"/>
        <v>0</v>
      </c>
      <c r="U24" s="21">
        <f t="shared" si="0"/>
        <v>0</v>
      </c>
      <c r="V24" s="21">
        <f t="shared" si="0"/>
        <v>0</v>
      </c>
    </row>
    <row r="25" spans="2:22">
      <c r="B25" s="23" t="str">
        <f>IFERROR(_xlfn.IFNA(INDEX(area_plans,MATCH($F25,area_plans,0)),(INDEX(area_plans,MATCH($F25,Lists!$E$6:$E$31,0)))),IFERROR(_xlfn.IFNA(INDEX(Lists!$E$6:$E$31,MATCH($F25,Lists!$E$6:$E$31,0)),(INDEX(area_plans,MATCH($F25,Lists!$F$6:$F$31,0)))),Lists!$D$31))</f>
        <v>Carlingford</v>
      </c>
      <c r="C25" s="19"/>
      <c r="D25" s="2" t="s">
        <v>265</v>
      </c>
      <c r="E25" s="2" t="s">
        <v>266</v>
      </c>
      <c r="F25" s="2" t="s">
        <v>185</v>
      </c>
      <c r="G25" s="2" t="s">
        <v>91</v>
      </c>
      <c r="H25" s="2" t="s">
        <v>246</v>
      </c>
      <c r="I25" s="2" t="s">
        <v>247</v>
      </c>
      <c r="J25" s="11">
        <v>632.10488072229998</v>
      </c>
      <c r="K25" s="11">
        <v>3612.7517025931998</v>
      </c>
      <c r="L25" s="11">
        <v>8830.2416280529997</v>
      </c>
      <c r="M25" s="11">
        <v>368.69518221970003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21">
        <f t="shared" si="0"/>
        <v>0</v>
      </c>
      <c r="U25" s="21">
        <f t="shared" si="0"/>
        <v>0</v>
      </c>
      <c r="V25" s="21">
        <f t="shared" si="0"/>
        <v>0</v>
      </c>
    </row>
    <row r="26" spans="2:22">
      <c r="B26" s="23" t="str">
        <f>IFERROR(_xlfn.IFNA(INDEX(area_plans,MATCH($F26,area_plans,0)),(INDEX(area_plans,MATCH($F26,Lists!$E$6:$E$31,0)))),IFERROR(_xlfn.IFNA(INDEX(Lists!$E$6:$E$31,MATCH($F26,Lists!$E$6:$E$31,0)),(INDEX(area_plans,MATCH($F26,Lists!$F$6:$F$31,0)))),Lists!$D$31))</f>
        <v>Carlingford</v>
      </c>
      <c r="C26" s="19"/>
      <c r="D26" s="2" t="s">
        <v>265</v>
      </c>
      <c r="E26" s="2" t="s">
        <v>266</v>
      </c>
      <c r="F26" s="2" t="s">
        <v>185</v>
      </c>
      <c r="G26" s="2" t="s">
        <v>91</v>
      </c>
      <c r="H26" s="2" t="s">
        <v>261</v>
      </c>
      <c r="I26" s="2" t="s">
        <v>262</v>
      </c>
      <c r="J26" s="11">
        <v>632.10488072229998</v>
      </c>
      <c r="K26" s="11">
        <v>3607.9301454389997</v>
      </c>
      <c r="L26" s="11">
        <v>8113.0127702438003</v>
      </c>
      <c r="M26" s="11">
        <v>311.89582417809999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21">
        <f t="shared" si="0"/>
        <v>0</v>
      </c>
      <c r="U26" s="21">
        <f t="shared" si="0"/>
        <v>0</v>
      </c>
      <c r="V26" s="21">
        <f t="shared" si="0"/>
        <v>0</v>
      </c>
    </row>
    <row r="27" spans="2:22">
      <c r="B27" s="23" t="str">
        <f>IFERROR(_xlfn.IFNA(INDEX(area_plans,MATCH($F27,area_plans,0)),(INDEX(area_plans,MATCH($F27,Lists!$E$6:$E$31,0)))),IFERROR(_xlfn.IFNA(INDEX(Lists!$E$6:$E$31,MATCH($F27,Lists!$E$6:$E$31,0)),(INDEX(area_plans,MATCH($F27,Lists!$F$6:$F$31,0)))),Lists!$D$31))</f>
        <v>Carlingford</v>
      </c>
      <c r="C27" s="19"/>
      <c r="D27" s="2" t="s">
        <v>265</v>
      </c>
      <c r="E27" s="2" t="s">
        <v>266</v>
      </c>
      <c r="F27" s="2" t="s">
        <v>185</v>
      </c>
      <c r="G27" s="2" t="s">
        <v>91</v>
      </c>
      <c r="H27" s="2" t="s">
        <v>250</v>
      </c>
      <c r="I27" s="2" t="s">
        <v>251</v>
      </c>
      <c r="J27" s="11">
        <v>0</v>
      </c>
      <c r="K27" s="11">
        <v>4.8215571541999998</v>
      </c>
      <c r="L27" s="11">
        <v>717.22885780920001</v>
      </c>
      <c r="M27" s="11">
        <v>56.799358041599994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21">
        <f t="shared" si="0"/>
        <v>0</v>
      </c>
      <c r="U27" s="21">
        <f t="shared" si="0"/>
        <v>0</v>
      </c>
      <c r="V27" s="21">
        <f t="shared" si="0"/>
        <v>0</v>
      </c>
    </row>
    <row r="28" spans="2:22">
      <c r="B28" s="23" t="str">
        <f>IFERROR(_xlfn.IFNA(INDEX(area_plans,MATCH($F28,area_plans,0)),(INDEX(area_plans,MATCH($F28,Lists!$E$6:$E$31,0)))),IFERROR(_xlfn.IFNA(INDEX(Lists!$E$6:$E$31,MATCH($F28,Lists!$E$6:$E$31,0)),(INDEX(area_plans,MATCH($F28,Lists!$F$6:$F$31,0)))),Lists!$D$31))</f>
        <v>Pittwater &amp; Terrey Hills</v>
      </c>
      <c r="C28" s="19"/>
      <c r="D28" s="2" t="s">
        <v>267</v>
      </c>
      <c r="E28" s="2" t="s">
        <v>268</v>
      </c>
      <c r="F28" s="2" t="s">
        <v>269</v>
      </c>
      <c r="G28" s="2" t="s">
        <v>91</v>
      </c>
      <c r="H28" s="2" t="s">
        <v>246</v>
      </c>
      <c r="I28" s="2" t="s">
        <v>247</v>
      </c>
      <c r="J28" s="11">
        <v>496.9018958785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21">
        <f t="shared" si="0"/>
        <v>0</v>
      </c>
      <c r="U28" s="21">
        <f t="shared" si="0"/>
        <v>0</v>
      </c>
      <c r="V28" s="21">
        <f t="shared" si="0"/>
        <v>0</v>
      </c>
    </row>
    <row r="29" spans="2:22" ht="16" thickBot="1">
      <c r="B29" s="24" t="str">
        <f>IFERROR(_xlfn.IFNA(INDEX(area_plans,MATCH($F29,area_plans,0)),(INDEX(area_plans,MATCH($F29,Lists!$E$6:$E$31,0)))),IFERROR(_xlfn.IFNA(INDEX(Lists!$E$6:$E$31,MATCH($F29,Lists!$E$6:$E$31,0)),(INDEX(area_plans,MATCH($F29,Lists!$F$6:$F$31,0)))),Lists!$D$31))</f>
        <v>Pittwater &amp; Terrey Hills</v>
      </c>
      <c r="C29" s="19"/>
      <c r="D29" s="2" t="s">
        <v>267</v>
      </c>
      <c r="E29" s="2" t="s">
        <v>268</v>
      </c>
      <c r="F29" s="2" t="s">
        <v>269</v>
      </c>
      <c r="G29" s="2" t="s">
        <v>91</v>
      </c>
      <c r="H29" s="2" t="s">
        <v>250</v>
      </c>
      <c r="I29" s="2" t="s">
        <v>251</v>
      </c>
      <c r="J29" s="11">
        <v>496.9018958785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21">
        <f t="shared" si="0"/>
        <v>0</v>
      </c>
      <c r="U29" s="21">
        <f t="shared" si="0"/>
        <v>0</v>
      </c>
      <c r="V29" s="21">
        <f t="shared" si="0"/>
        <v>0</v>
      </c>
    </row>
    <row r="31" spans="2:22">
      <c r="I31" s="98" t="s">
        <v>73</v>
      </c>
      <c r="J31" s="99" cm="1">
        <f t="array" ref="J31">SUMPRODUCT(J$10:J$29,1*(ISNUMBER(FIND("TOT",$H$10:$H$29))))</f>
        <v>2862.3304255441999</v>
      </c>
      <c r="K31" s="99" cm="1">
        <f t="array" ref="K31">SUMPRODUCT(K$10:K$29,1*(ISNUMBER(FIND("TOT",$H$10:$H$29))))</f>
        <v>3644.2226515986999</v>
      </c>
      <c r="L31" s="99" cm="1">
        <f t="array" ref="L31">SUMPRODUCT(L$10:L$29,1*(ISNUMBER(FIND("TOT",$H$10:$H$29))))</f>
        <v>8899.9299445266988</v>
      </c>
      <c r="M31" s="99" cm="1">
        <f t="array" ref="M31">SUMPRODUCT(M$10:M$29,1*(ISNUMBER(FIND("TOT",$H$10:$H$29))))</f>
        <v>1415.3802183363</v>
      </c>
      <c r="N31" s="99" cm="1">
        <f t="array" ref="N31">SUMPRODUCT(N$10:N$29,1*(ISNUMBER(FIND("TOT",$H$10:$H$29))))</f>
        <v>627.40883220429998</v>
      </c>
      <c r="O31" s="99" cm="1">
        <f t="array" ref="O31">SUMPRODUCT(O$10:O$29,1*(ISNUMBER(FIND("TOT",$H$10:$H$29))))</f>
        <v>180.5266952261</v>
      </c>
      <c r="P31" s="99" cm="1">
        <f t="array" ref="P31">SUMPRODUCT(P$10:P$29,1*(ISNUMBER(FIND("TOT",$H$10:$H$29))))</f>
        <v>0</v>
      </c>
      <c r="Q31" s="99" cm="1">
        <f t="array" ref="Q31">SUMPRODUCT(Q$10:Q$29,1*(ISNUMBER(FIND("TOT",$H$10:$H$29))))</f>
        <v>0</v>
      </c>
      <c r="R31" s="99" cm="1">
        <f t="array" ref="R31">SUMPRODUCT(R$10:R$29,1*(ISNUMBER(FIND("TOT",$H$10:$H$29))))</f>
        <v>0</v>
      </c>
      <c r="S31" s="99" cm="1">
        <f t="array" ref="S31">SUMPRODUCT(S$10:S$29,1*(ISNUMBER(FIND("TOT",$H$10:$H$29))))</f>
        <v>0</v>
      </c>
      <c r="T31" s="99" cm="1">
        <f t="array" ref="T31">SUMPRODUCT(T$10:T$29,1*(ISNUMBER(FIND("TOT",$H$10:$H$29))))</f>
        <v>0</v>
      </c>
      <c r="U31" s="99" cm="1">
        <f t="array" ref="U31">SUMPRODUCT(U$10:U$29,1*(ISNUMBER(FIND("TOT",$H$10:$H$29))))</f>
        <v>0</v>
      </c>
      <c r="V31" s="99" cm="1">
        <f t="array" ref="V31">SUMPRODUCT(V$10:V$29,1*(ISNUMBER(FIND("TOT",$H$10:$H$29))))</f>
        <v>0</v>
      </c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51612-5D89-4556-BAC9-EAC4AF96D6A3}">
  <sheetPr codeName="Sheet5">
    <tabColor rgb="FF262D33"/>
  </sheetPr>
  <dimension ref="A1:R228"/>
  <sheetViews>
    <sheetView showGridLines="0" zoomScale="70" zoomScaleNormal="70" workbookViewId="0"/>
  </sheetViews>
  <sheetFormatPr defaultColWidth="8.84375" defaultRowHeight="14"/>
  <cols>
    <col min="1" max="1" width="5.84375" style="1" bestFit="1" customWidth="1"/>
    <col min="2" max="2" width="8.84375" style="1"/>
    <col min="3" max="3" width="11.84375" style="1" customWidth="1"/>
    <col min="4" max="4" width="27.53515625" style="1" bestFit="1" customWidth="1"/>
    <col min="5" max="6" width="27.53515625" style="1" customWidth="1"/>
    <col min="7" max="7" width="8.84375" style="1"/>
    <col min="8" max="8" width="15" style="1" bestFit="1" customWidth="1"/>
    <col min="9" max="9" width="8.84375" style="1"/>
    <col min="10" max="10" width="29.53515625" style="1" bestFit="1" customWidth="1"/>
    <col min="11" max="11" width="8.84375" style="1"/>
    <col min="12" max="12" width="16.07421875" style="1" bestFit="1" customWidth="1"/>
    <col min="13" max="13" width="8.84375" style="1"/>
    <col min="14" max="14" width="15.07421875" style="1" bestFit="1" customWidth="1"/>
    <col min="15" max="15" width="8.84375" style="1"/>
    <col min="16" max="16" width="11.07421875" style="1" bestFit="1" customWidth="1"/>
    <col min="17" max="17" width="8.84375" style="1"/>
    <col min="18" max="18" width="19.07421875" style="1" bestFit="1" customWidth="1"/>
    <col min="19" max="16384" width="8.84375" style="1"/>
  </cols>
  <sheetData>
    <row r="1" spans="1:18" ht="18">
      <c r="A1" s="49" t="str">
        <f ca="1">MID(CELL("filename",A2),FIND("]",CELL("filename",A2))+1,256)</f>
        <v>Lists</v>
      </c>
    </row>
    <row r="2" spans="1:18" ht="15.5">
      <c r="A2"/>
    </row>
    <row r="3" spans="1:18" ht="21">
      <c r="B3" s="6" t="s">
        <v>270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5" spans="1:18" ht="15.5">
      <c r="B5" s="14" t="s">
        <v>271</v>
      </c>
      <c r="D5" s="14" t="s">
        <v>272</v>
      </c>
      <c r="E5" s="14" t="s">
        <v>273</v>
      </c>
      <c r="F5" s="14" t="s">
        <v>274</v>
      </c>
      <c r="H5" s="14" t="s">
        <v>275</v>
      </c>
      <c r="J5" s="14" t="s">
        <v>276</v>
      </c>
      <c r="L5" s="14" t="s">
        <v>277</v>
      </c>
      <c r="N5" s="14" t="s">
        <v>278</v>
      </c>
      <c r="O5"/>
      <c r="P5" s="14" t="s">
        <v>279</v>
      </c>
      <c r="Q5"/>
      <c r="R5" s="14" t="s">
        <v>280</v>
      </c>
    </row>
    <row r="6" spans="1:18" ht="15.5">
      <c r="B6" s="2">
        <f>2025</f>
        <v>2025</v>
      </c>
      <c r="D6" s="2" t="s">
        <v>182</v>
      </c>
      <c r="E6" s="2" t="s">
        <v>231</v>
      </c>
      <c r="F6" s="2" t="s">
        <v>260</v>
      </c>
      <c r="H6" s="2" t="s">
        <v>210</v>
      </c>
      <c r="J6" s="2" t="s">
        <v>218</v>
      </c>
      <c r="L6" s="2" t="s">
        <v>281</v>
      </c>
      <c r="N6" s="2" t="s">
        <v>91</v>
      </c>
      <c r="P6" s="2" t="s">
        <v>157</v>
      </c>
      <c r="R6" s="2" t="s">
        <v>282</v>
      </c>
    </row>
    <row r="7" spans="1:18" ht="15.5">
      <c r="B7" s="2">
        <f>B6+1</f>
        <v>2026</v>
      </c>
      <c r="D7" s="2" t="s">
        <v>183</v>
      </c>
      <c r="E7" s="2"/>
      <c r="F7" s="2"/>
      <c r="H7" s="2" t="s">
        <v>209</v>
      </c>
      <c r="J7" s="2" t="s">
        <v>219</v>
      </c>
      <c r="L7" s="2" t="s">
        <v>283</v>
      </c>
      <c r="N7" s="2" t="s">
        <v>92</v>
      </c>
      <c r="P7" s="2" t="s">
        <v>153</v>
      </c>
      <c r="R7" s="2" t="s">
        <v>208</v>
      </c>
    </row>
    <row r="8" spans="1:18" ht="15.5">
      <c r="B8" s="2">
        <f t="shared" ref="B8:B15" si="0">B7+1</f>
        <v>2027</v>
      </c>
      <c r="D8" s="2" t="s">
        <v>184</v>
      </c>
      <c r="E8" s="2"/>
      <c r="F8" s="2"/>
      <c r="H8" s="2" t="s">
        <v>211</v>
      </c>
      <c r="J8" s="2" t="s">
        <v>221</v>
      </c>
      <c r="L8" s="2" t="s">
        <v>284</v>
      </c>
      <c r="N8" s="2" t="s">
        <v>285</v>
      </c>
      <c r="R8" s="2" t="s">
        <v>286</v>
      </c>
    </row>
    <row r="9" spans="1:18" ht="15.5">
      <c r="B9" s="2">
        <f t="shared" si="0"/>
        <v>2028</v>
      </c>
      <c r="D9" s="2" t="s">
        <v>185</v>
      </c>
      <c r="E9" s="2"/>
      <c r="F9" s="2"/>
      <c r="J9" s="2" t="s">
        <v>222</v>
      </c>
      <c r="L9"/>
    </row>
    <row r="10" spans="1:18" ht="15.5">
      <c r="B10" s="2">
        <f t="shared" si="0"/>
        <v>2029</v>
      </c>
      <c r="D10" s="2" t="s">
        <v>186</v>
      </c>
      <c r="E10" s="2"/>
      <c r="F10" s="2"/>
      <c r="J10" s="2" t="s">
        <v>225</v>
      </c>
      <c r="L10"/>
    </row>
    <row r="11" spans="1:18" ht="15.5">
      <c r="B11" s="2">
        <f t="shared" si="0"/>
        <v>2030</v>
      </c>
      <c r="D11" s="2" t="s">
        <v>187</v>
      </c>
      <c r="E11" s="2" t="s">
        <v>287</v>
      </c>
      <c r="F11" s="2"/>
      <c r="J11" s="2" t="s">
        <v>226</v>
      </c>
      <c r="L11"/>
    </row>
    <row r="12" spans="1:18" ht="15.5">
      <c r="B12" s="2">
        <f t="shared" si="0"/>
        <v>2031</v>
      </c>
      <c r="D12" s="2" t="s">
        <v>188</v>
      </c>
      <c r="E12" s="2"/>
      <c r="F12" s="2"/>
      <c r="J12" s="2" t="s">
        <v>227</v>
      </c>
      <c r="L12"/>
    </row>
    <row r="13" spans="1:18" ht="15.5">
      <c r="B13" s="2">
        <f t="shared" si="0"/>
        <v>2032</v>
      </c>
      <c r="D13" s="2" t="s">
        <v>189</v>
      </c>
      <c r="E13" s="2"/>
      <c r="F13" s="2"/>
      <c r="J13"/>
      <c r="L13"/>
    </row>
    <row r="14" spans="1:18" ht="15.5">
      <c r="B14" s="2">
        <f t="shared" si="0"/>
        <v>2033</v>
      </c>
      <c r="D14" s="2" t="s">
        <v>190</v>
      </c>
      <c r="E14" s="2"/>
      <c r="F14" s="2"/>
      <c r="J14"/>
      <c r="L14"/>
    </row>
    <row r="15" spans="1:18" ht="15.5">
      <c r="B15" s="2">
        <f t="shared" si="0"/>
        <v>2034</v>
      </c>
      <c r="D15" s="2" t="s">
        <v>191</v>
      </c>
      <c r="E15" s="2"/>
      <c r="F15" s="2"/>
      <c r="J15"/>
      <c r="L15"/>
    </row>
    <row r="16" spans="1:18" ht="15.5">
      <c r="B16"/>
      <c r="D16" s="2" t="s">
        <v>192</v>
      </c>
      <c r="E16" s="2"/>
      <c r="F16" s="2"/>
      <c r="J16"/>
      <c r="L16"/>
    </row>
    <row r="17" spans="4:12" ht="15.5">
      <c r="D17" s="2" t="s">
        <v>193</v>
      </c>
      <c r="E17" s="2" t="s">
        <v>232</v>
      </c>
      <c r="F17" s="2"/>
      <c r="J17"/>
      <c r="L17"/>
    </row>
    <row r="18" spans="4:12" ht="15.5">
      <c r="D18" s="2" t="s">
        <v>194</v>
      </c>
      <c r="E18" s="2"/>
      <c r="F18" s="2"/>
      <c r="J18"/>
      <c r="L18"/>
    </row>
    <row r="19" spans="4:12" ht="15.5">
      <c r="D19" s="2" t="s">
        <v>195</v>
      </c>
      <c r="E19" s="2"/>
      <c r="F19" s="2"/>
      <c r="J19"/>
      <c r="L19"/>
    </row>
    <row r="20" spans="4:12" ht="15.5">
      <c r="D20" s="2" t="s">
        <v>196</v>
      </c>
      <c r="E20" s="2" t="s">
        <v>233</v>
      </c>
      <c r="F20" s="2"/>
      <c r="J20"/>
      <c r="L20"/>
    </row>
    <row r="21" spans="4:12" ht="15.5">
      <c r="D21" s="2" t="s">
        <v>197</v>
      </c>
      <c r="E21" s="2" t="s">
        <v>234</v>
      </c>
      <c r="F21" s="2" t="s">
        <v>269</v>
      </c>
      <c r="J21"/>
      <c r="L21"/>
    </row>
    <row r="22" spans="4:12" ht="15.5">
      <c r="D22" s="2" t="s">
        <v>198</v>
      </c>
      <c r="E22" s="2"/>
      <c r="F22" s="2"/>
      <c r="J22"/>
      <c r="L22"/>
    </row>
    <row r="23" spans="4:12" ht="15.5">
      <c r="D23" s="2" t="s">
        <v>199</v>
      </c>
      <c r="E23" s="2"/>
      <c r="F23" s="2"/>
      <c r="J23"/>
      <c r="L23"/>
    </row>
    <row r="24" spans="4:12" ht="15.5">
      <c r="D24" s="2" t="s">
        <v>200</v>
      </c>
      <c r="E24" s="2"/>
      <c r="F24" s="2"/>
      <c r="J24"/>
      <c r="L24"/>
    </row>
    <row r="25" spans="4:12" ht="15.5">
      <c r="D25" s="2" t="s">
        <v>201</v>
      </c>
      <c r="E25" s="2"/>
      <c r="F25" s="2"/>
      <c r="J25"/>
      <c r="L25"/>
    </row>
    <row r="26" spans="4:12" ht="15.5">
      <c r="D26" s="2" t="s">
        <v>202</v>
      </c>
      <c r="E26" s="2"/>
      <c r="F26" s="2"/>
      <c r="J26"/>
      <c r="L26"/>
    </row>
    <row r="27" spans="4:12" ht="15.5">
      <c r="D27" s="2" t="s">
        <v>203</v>
      </c>
      <c r="E27" s="2"/>
      <c r="F27" s="2"/>
      <c r="J27"/>
      <c r="L27"/>
    </row>
    <row r="28" spans="4:12" ht="15.5">
      <c r="D28" s="2" t="s">
        <v>204</v>
      </c>
      <c r="E28" s="2"/>
      <c r="F28" s="2"/>
      <c r="J28"/>
      <c r="L28"/>
    </row>
    <row r="29" spans="4:12" ht="15.5">
      <c r="D29" s="2" t="s">
        <v>205</v>
      </c>
      <c r="E29" s="2"/>
      <c r="F29" s="2"/>
      <c r="J29"/>
      <c r="L29"/>
    </row>
    <row r="30" spans="4:12" ht="15.5">
      <c r="D30" s="2" t="s">
        <v>206</v>
      </c>
      <c r="E30" s="2"/>
      <c r="F30" s="2"/>
      <c r="J30"/>
      <c r="L30"/>
    </row>
    <row r="31" spans="4:12" ht="15.5">
      <c r="D31" s="2" t="s">
        <v>288</v>
      </c>
      <c r="E31" s="2" t="s">
        <v>289</v>
      </c>
      <c r="F31" s="2"/>
      <c r="J31"/>
      <c r="L31"/>
    </row>
    <row r="32" spans="4:12" ht="15.5">
      <c r="J32"/>
      <c r="L32"/>
    </row>
    <row r="33" spans="10:12" ht="15.5">
      <c r="J33"/>
      <c r="L33"/>
    </row>
    <row r="34" spans="10:12" ht="15.5">
      <c r="J34"/>
      <c r="L34"/>
    </row>
    <row r="35" spans="10:12" ht="15.5">
      <c r="J35"/>
      <c r="L35"/>
    </row>
    <row r="36" spans="10:12" ht="15.5">
      <c r="J36"/>
      <c r="L36"/>
    </row>
    <row r="37" spans="10:12" ht="15.5">
      <c r="J37"/>
      <c r="L37"/>
    </row>
    <row r="38" spans="10:12" ht="15.5">
      <c r="J38"/>
      <c r="L38"/>
    </row>
    <row r="39" spans="10:12" ht="15.5">
      <c r="J39"/>
      <c r="L39"/>
    </row>
    <row r="40" spans="10:12" ht="15.5">
      <c r="J40"/>
      <c r="L40"/>
    </row>
    <row r="41" spans="10:12" ht="15.5">
      <c r="J41"/>
      <c r="L41"/>
    </row>
    <row r="42" spans="10:12" ht="15.5">
      <c r="J42"/>
      <c r="L42"/>
    </row>
    <row r="43" spans="10:12" ht="15.5">
      <c r="J43"/>
      <c r="L43"/>
    </row>
    <row r="44" spans="10:12" ht="15.5">
      <c r="J44"/>
      <c r="L44"/>
    </row>
    <row r="45" spans="10:12" ht="15.5">
      <c r="J45"/>
      <c r="L45"/>
    </row>
    <row r="46" spans="10:12" ht="15.5">
      <c r="J46"/>
      <c r="L46"/>
    </row>
    <row r="47" spans="10:12" ht="15.5">
      <c r="J47"/>
      <c r="L47"/>
    </row>
    <row r="48" spans="10:12" ht="15.5">
      <c r="J48"/>
      <c r="L48"/>
    </row>
    <row r="49" spans="10:12" ht="15.5">
      <c r="J49"/>
      <c r="L49"/>
    </row>
    <row r="50" spans="10:12" ht="15.5">
      <c r="J50"/>
      <c r="L50"/>
    </row>
    <row r="51" spans="10:12" ht="15.5">
      <c r="J51"/>
      <c r="L51"/>
    </row>
    <row r="52" spans="10:12" ht="15.5">
      <c r="J52"/>
      <c r="L52"/>
    </row>
    <row r="53" spans="10:12" ht="15.5">
      <c r="J53"/>
      <c r="L53"/>
    </row>
    <row r="54" spans="10:12" ht="15.5">
      <c r="J54"/>
      <c r="L54"/>
    </row>
    <row r="55" spans="10:12" ht="15.5">
      <c r="J55"/>
      <c r="L55"/>
    </row>
    <row r="56" spans="10:12" ht="15.5">
      <c r="J56"/>
      <c r="L56"/>
    </row>
    <row r="57" spans="10:12" ht="15.5">
      <c r="J57"/>
      <c r="L57"/>
    </row>
    <row r="58" spans="10:12" ht="15.5">
      <c r="J58"/>
      <c r="L58"/>
    </row>
    <row r="59" spans="10:12" ht="15.5">
      <c r="J59"/>
      <c r="L59"/>
    </row>
    <row r="60" spans="10:12" ht="15.5">
      <c r="J60"/>
      <c r="L60"/>
    </row>
    <row r="61" spans="10:12" ht="15.5">
      <c r="J61"/>
      <c r="L61"/>
    </row>
    <row r="62" spans="10:12" ht="15.5">
      <c r="J62"/>
      <c r="L62"/>
    </row>
    <row r="63" spans="10:12" ht="15.5">
      <c r="J63"/>
      <c r="L63"/>
    </row>
    <row r="64" spans="10:12" ht="15.5">
      <c r="J64"/>
      <c r="L64"/>
    </row>
    <row r="65" spans="10:12" ht="15.5">
      <c r="J65"/>
      <c r="L65"/>
    </row>
    <row r="66" spans="10:12" ht="15.5">
      <c r="J66"/>
      <c r="L66"/>
    </row>
    <row r="67" spans="10:12" ht="15.5">
      <c r="J67"/>
      <c r="L67"/>
    </row>
    <row r="68" spans="10:12" ht="15.5">
      <c r="J68"/>
      <c r="L68"/>
    </row>
    <row r="69" spans="10:12" ht="15.5">
      <c r="J69"/>
      <c r="L69"/>
    </row>
    <row r="70" spans="10:12" ht="15.5">
      <c r="J70"/>
      <c r="L70"/>
    </row>
    <row r="71" spans="10:12" ht="15.5">
      <c r="J71"/>
      <c r="L71"/>
    </row>
    <row r="72" spans="10:12" ht="15.5">
      <c r="J72"/>
      <c r="L72"/>
    </row>
    <row r="73" spans="10:12" ht="15.5">
      <c r="J73"/>
      <c r="L73"/>
    </row>
    <row r="74" spans="10:12" ht="15.5">
      <c r="J74"/>
      <c r="L74"/>
    </row>
    <row r="75" spans="10:12" ht="15.5">
      <c r="J75"/>
      <c r="L75"/>
    </row>
    <row r="76" spans="10:12" ht="15.5">
      <c r="J76"/>
      <c r="L76"/>
    </row>
    <row r="77" spans="10:12" ht="15.5">
      <c r="J77"/>
      <c r="L77"/>
    </row>
    <row r="78" spans="10:12" ht="15.5">
      <c r="J78"/>
      <c r="L78"/>
    </row>
    <row r="79" spans="10:12" ht="15.5">
      <c r="J79"/>
      <c r="L79"/>
    </row>
    <row r="80" spans="10:12" ht="15.5">
      <c r="J80"/>
      <c r="L80"/>
    </row>
    <row r="81" spans="10:12" ht="15.5">
      <c r="J81"/>
      <c r="L81"/>
    </row>
    <row r="82" spans="10:12" ht="15.5">
      <c r="J82"/>
      <c r="L82"/>
    </row>
    <row r="83" spans="10:12" ht="15.5">
      <c r="J83"/>
      <c r="L83"/>
    </row>
    <row r="84" spans="10:12" ht="15.5">
      <c r="J84"/>
      <c r="L84"/>
    </row>
    <row r="85" spans="10:12" ht="15.5">
      <c r="J85"/>
      <c r="L85"/>
    </row>
    <row r="86" spans="10:12" ht="15.5">
      <c r="J86"/>
      <c r="L86"/>
    </row>
    <row r="87" spans="10:12" ht="15.5">
      <c r="J87"/>
      <c r="L87"/>
    </row>
    <row r="88" spans="10:12" ht="15.5">
      <c r="J88"/>
      <c r="L88"/>
    </row>
    <row r="89" spans="10:12" ht="15.5">
      <c r="J89"/>
      <c r="L89"/>
    </row>
    <row r="90" spans="10:12" ht="15.5">
      <c r="J90"/>
      <c r="L90"/>
    </row>
    <row r="91" spans="10:12" ht="15.5">
      <c r="J91"/>
      <c r="L91"/>
    </row>
    <row r="92" spans="10:12" ht="15.5">
      <c r="J92"/>
      <c r="L92"/>
    </row>
    <row r="93" spans="10:12" ht="15.5">
      <c r="J93"/>
      <c r="L93"/>
    </row>
    <row r="94" spans="10:12" ht="15.5">
      <c r="J94"/>
      <c r="L94"/>
    </row>
    <row r="95" spans="10:12" ht="15.5">
      <c r="J95"/>
      <c r="L95"/>
    </row>
    <row r="96" spans="10:12" ht="15.5">
      <c r="J96"/>
      <c r="L96"/>
    </row>
    <row r="97" spans="12:12" ht="15.5">
      <c r="L97"/>
    </row>
    <row r="98" spans="12:12" ht="15.5">
      <c r="L98"/>
    </row>
    <row r="99" spans="12:12" ht="15.5">
      <c r="L99"/>
    </row>
    <row r="100" spans="12:12" ht="15.5">
      <c r="L100"/>
    </row>
    <row r="101" spans="12:12" ht="15.5">
      <c r="L101"/>
    </row>
    <row r="102" spans="12:12" ht="15.5">
      <c r="L102"/>
    </row>
    <row r="103" spans="12:12" ht="15.5">
      <c r="L103"/>
    </row>
    <row r="104" spans="12:12" ht="15.5">
      <c r="L104"/>
    </row>
    <row r="105" spans="12:12" ht="15.5">
      <c r="L105"/>
    </row>
    <row r="106" spans="12:12" ht="15.5">
      <c r="L106"/>
    </row>
    <row r="107" spans="12:12" ht="15.5">
      <c r="L107"/>
    </row>
    <row r="108" spans="12:12" ht="15.5">
      <c r="L108"/>
    </row>
    <row r="109" spans="12:12" ht="15.5">
      <c r="L109"/>
    </row>
    <row r="110" spans="12:12" ht="15.5">
      <c r="L110"/>
    </row>
    <row r="111" spans="12:12" ht="15.5">
      <c r="L111"/>
    </row>
    <row r="112" spans="12:12" ht="15.5">
      <c r="L112"/>
    </row>
    <row r="113" spans="12:12" ht="15.5">
      <c r="L113"/>
    </row>
    <row r="114" spans="12:12" ht="15.5">
      <c r="L114"/>
    </row>
    <row r="115" spans="12:12" ht="15.5">
      <c r="L115"/>
    </row>
    <row r="116" spans="12:12" ht="15.5">
      <c r="L116"/>
    </row>
    <row r="117" spans="12:12" ht="15.5">
      <c r="L117"/>
    </row>
    <row r="118" spans="12:12" ht="15.5">
      <c r="L118"/>
    </row>
    <row r="119" spans="12:12" ht="15.5">
      <c r="L119"/>
    </row>
    <row r="120" spans="12:12" ht="15.5">
      <c r="L120"/>
    </row>
    <row r="121" spans="12:12" ht="15.5">
      <c r="L121"/>
    </row>
    <row r="122" spans="12:12" ht="15.5">
      <c r="L122"/>
    </row>
    <row r="123" spans="12:12" ht="15.5">
      <c r="L123"/>
    </row>
    <row r="124" spans="12:12" ht="15.5">
      <c r="L124"/>
    </row>
    <row r="125" spans="12:12" ht="15.5">
      <c r="L125"/>
    </row>
    <row r="126" spans="12:12" ht="15.5">
      <c r="L126"/>
    </row>
    <row r="127" spans="12:12" ht="15.5">
      <c r="L127"/>
    </row>
    <row r="128" spans="12:12" ht="15.5">
      <c r="L128"/>
    </row>
    <row r="129" spans="12:12" ht="15.5">
      <c r="L129"/>
    </row>
    <row r="130" spans="12:12" ht="15.5">
      <c r="L130"/>
    </row>
    <row r="131" spans="12:12" ht="15.5">
      <c r="L131"/>
    </row>
    <row r="132" spans="12:12" ht="15.5">
      <c r="L132"/>
    </row>
    <row r="133" spans="12:12" ht="15.5">
      <c r="L133"/>
    </row>
    <row r="134" spans="12:12" ht="15.5">
      <c r="L134"/>
    </row>
    <row r="135" spans="12:12" ht="15.5">
      <c r="L135"/>
    </row>
    <row r="136" spans="12:12" ht="15.5">
      <c r="L136"/>
    </row>
    <row r="137" spans="12:12" ht="15.5">
      <c r="L137"/>
    </row>
    <row r="138" spans="12:12" ht="15.5">
      <c r="L138"/>
    </row>
    <row r="139" spans="12:12" ht="15.5">
      <c r="L139"/>
    </row>
    <row r="140" spans="12:12" ht="15.5">
      <c r="L140"/>
    </row>
    <row r="141" spans="12:12" ht="15.5">
      <c r="L141"/>
    </row>
    <row r="142" spans="12:12" ht="15.5">
      <c r="L142"/>
    </row>
    <row r="143" spans="12:12" ht="15.5">
      <c r="L143"/>
    </row>
    <row r="144" spans="12:12" ht="15.5">
      <c r="L144"/>
    </row>
    <row r="145" spans="12:12" ht="15.5">
      <c r="L145"/>
    </row>
    <row r="146" spans="12:12" ht="15.5">
      <c r="L146"/>
    </row>
    <row r="147" spans="12:12" ht="15.5">
      <c r="L147"/>
    </row>
    <row r="148" spans="12:12" ht="15.5">
      <c r="L148"/>
    </row>
    <row r="149" spans="12:12" ht="15.5">
      <c r="L149"/>
    </row>
    <row r="150" spans="12:12" ht="15.5">
      <c r="L150"/>
    </row>
    <row r="151" spans="12:12" ht="15.5">
      <c r="L151"/>
    </row>
    <row r="152" spans="12:12" ht="15.5">
      <c r="L152"/>
    </row>
    <row r="153" spans="12:12" ht="15.5">
      <c r="L153"/>
    </row>
    <row r="154" spans="12:12" ht="15.5">
      <c r="L154"/>
    </row>
    <row r="155" spans="12:12" ht="15.5">
      <c r="L155"/>
    </row>
    <row r="156" spans="12:12" ht="15.5">
      <c r="L156"/>
    </row>
    <row r="157" spans="12:12" ht="15.5">
      <c r="L157"/>
    </row>
    <row r="158" spans="12:12" ht="15.5">
      <c r="L158"/>
    </row>
    <row r="159" spans="12:12" ht="15.5">
      <c r="L159"/>
    </row>
    <row r="160" spans="12:12" ht="15.5">
      <c r="L160"/>
    </row>
    <row r="161" spans="12:12" ht="15.5">
      <c r="L161"/>
    </row>
    <row r="162" spans="12:12" ht="15.5">
      <c r="L162"/>
    </row>
    <row r="163" spans="12:12" ht="15.5">
      <c r="L163"/>
    </row>
    <row r="164" spans="12:12" ht="15.5">
      <c r="L164"/>
    </row>
    <row r="165" spans="12:12" ht="15.5">
      <c r="L165"/>
    </row>
    <row r="166" spans="12:12" ht="15.5">
      <c r="L166"/>
    </row>
    <row r="167" spans="12:12" ht="15.5">
      <c r="L167"/>
    </row>
    <row r="168" spans="12:12" ht="15.5">
      <c r="L168"/>
    </row>
    <row r="169" spans="12:12" ht="15.5">
      <c r="L169"/>
    </row>
    <row r="170" spans="12:12" ht="15.5">
      <c r="L170"/>
    </row>
    <row r="171" spans="12:12" ht="15.5">
      <c r="L171"/>
    </row>
    <row r="172" spans="12:12" ht="15.5">
      <c r="L172"/>
    </row>
    <row r="173" spans="12:12" ht="15.5">
      <c r="L173"/>
    </row>
    <row r="174" spans="12:12" ht="15.5">
      <c r="L174"/>
    </row>
    <row r="175" spans="12:12" ht="15.5">
      <c r="L175"/>
    </row>
    <row r="176" spans="12:12" ht="15.5">
      <c r="L176"/>
    </row>
    <row r="177" spans="12:12" ht="15.5">
      <c r="L177"/>
    </row>
    <row r="178" spans="12:12" ht="15.5">
      <c r="L178"/>
    </row>
    <row r="179" spans="12:12" ht="15.5">
      <c r="L179"/>
    </row>
    <row r="180" spans="12:12" ht="15.5">
      <c r="L180"/>
    </row>
    <row r="181" spans="12:12" ht="15.5">
      <c r="L181"/>
    </row>
    <row r="182" spans="12:12" ht="15.5">
      <c r="L182"/>
    </row>
    <row r="183" spans="12:12" ht="15.5">
      <c r="L183"/>
    </row>
    <row r="184" spans="12:12" ht="15.5">
      <c r="L184"/>
    </row>
    <row r="185" spans="12:12" ht="15.5">
      <c r="L185"/>
    </row>
    <row r="186" spans="12:12" ht="15.5">
      <c r="L186"/>
    </row>
    <row r="187" spans="12:12" ht="15.5">
      <c r="L187"/>
    </row>
    <row r="188" spans="12:12" ht="15.5">
      <c r="L188"/>
    </row>
    <row r="189" spans="12:12" ht="15.5">
      <c r="L189"/>
    </row>
    <row r="190" spans="12:12" ht="15.5">
      <c r="L190"/>
    </row>
    <row r="191" spans="12:12" ht="15.5">
      <c r="L191"/>
    </row>
    <row r="192" spans="12:12" ht="15.5">
      <c r="L192"/>
    </row>
    <row r="193" spans="12:12" ht="15.5">
      <c r="L193"/>
    </row>
    <row r="194" spans="12:12" ht="15.5">
      <c r="L194"/>
    </row>
    <row r="195" spans="12:12" ht="15.5">
      <c r="L195"/>
    </row>
    <row r="196" spans="12:12" ht="15.5">
      <c r="L196"/>
    </row>
    <row r="197" spans="12:12" ht="15.5">
      <c r="L197"/>
    </row>
    <row r="198" spans="12:12" ht="15.5">
      <c r="L198"/>
    </row>
    <row r="199" spans="12:12" ht="15.5">
      <c r="L199"/>
    </row>
    <row r="200" spans="12:12" ht="15.5">
      <c r="L200"/>
    </row>
    <row r="201" spans="12:12" ht="15.5">
      <c r="L201"/>
    </row>
    <row r="202" spans="12:12" ht="15.5">
      <c r="L202"/>
    </row>
    <row r="203" spans="12:12" ht="15.5">
      <c r="L203"/>
    </row>
    <row r="204" spans="12:12" ht="15.5">
      <c r="L204"/>
    </row>
    <row r="205" spans="12:12" ht="15.5">
      <c r="L205"/>
    </row>
    <row r="206" spans="12:12" ht="15.5">
      <c r="L206"/>
    </row>
    <row r="207" spans="12:12" ht="15.5">
      <c r="L207"/>
    </row>
    <row r="208" spans="12:12" ht="15.5">
      <c r="L208"/>
    </row>
    <row r="209" spans="12:12" ht="15.5">
      <c r="L209"/>
    </row>
    <row r="210" spans="12:12" ht="15.5">
      <c r="L210"/>
    </row>
    <row r="211" spans="12:12" ht="15.5">
      <c r="L211"/>
    </row>
    <row r="212" spans="12:12" ht="15.5">
      <c r="L212"/>
    </row>
    <row r="213" spans="12:12" ht="15.5">
      <c r="L213"/>
    </row>
    <row r="214" spans="12:12" ht="15.5">
      <c r="L214"/>
    </row>
    <row r="215" spans="12:12" ht="15.5">
      <c r="L215"/>
    </row>
    <row r="216" spans="12:12" ht="15.5">
      <c r="L216"/>
    </row>
    <row r="217" spans="12:12" ht="15.5">
      <c r="L217"/>
    </row>
    <row r="218" spans="12:12" ht="15.5">
      <c r="L218"/>
    </row>
    <row r="219" spans="12:12" ht="15.5">
      <c r="L219"/>
    </row>
    <row r="220" spans="12:12" ht="15.5">
      <c r="L220"/>
    </row>
    <row r="221" spans="12:12" ht="15.5">
      <c r="L221"/>
    </row>
    <row r="222" spans="12:12" ht="15.5">
      <c r="L222"/>
    </row>
    <row r="223" spans="12:12" ht="15.5">
      <c r="L223"/>
    </row>
    <row r="224" spans="12:12" ht="15.5">
      <c r="L224"/>
    </row>
    <row r="225" spans="12:12" ht="15.5">
      <c r="L225"/>
    </row>
    <row r="226" spans="12:12" ht="15.5">
      <c r="L226"/>
    </row>
    <row r="227" spans="12:12" ht="15.5">
      <c r="L227"/>
    </row>
    <row r="228" spans="12:12" ht="15.5">
      <c r="L228"/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C023B-E17F-46B7-89AC-1CB4CDB14277}">
  <sheetPr>
    <tabColor theme="4"/>
  </sheetPr>
  <dimension ref="A1:W153"/>
  <sheetViews>
    <sheetView showGridLines="0" zoomScale="70" zoomScaleNormal="70" workbookViewId="0"/>
  </sheetViews>
  <sheetFormatPr defaultColWidth="17.53515625" defaultRowHeight="15.5" outlineLevelRow="2"/>
  <cols>
    <col min="1" max="1" width="14.07421875" style="149" customWidth="1"/>
    <col min="2" max="2" width="51.84375" customWidth="1"/>
  </cols>
  <sheetData>
    <row r="1" spans="1:23" ht="30" customHeight="1">
      <c r="A1" s="103"/>
      <c r="B1" s="104" t="s">
        <v>16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</row>
    <row r="2" spans="1:23" ht="30" customHeight="1">
      <c r="A2" s="103"/>
      <c r="B2" s="106" t="s">
        <v>17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</row>
    <row r="3" spans="1:23" ht="30" customHeight="1">
      <c r="A3" s="103"/>
      <c r="B3" s="107" t="s">
        <v>18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</row>
    <row r="4" spans="1:23" ht="30" customHeight="1">
      <c r="A4" s="103"/>
      <c r="B4" s="109" t="s">
        <v>19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</row>
    <row r="5" spans="1:23" ht="21.75" customHeight="1" thickBot="1">
      <c r="A5"/>
    </row>
    <row r="6" spans="1:23" ht="42.75" customHeight="1" thickBot="1">
      <c r="A6"/>
      <c r="D6" s="196" t="s">
        <v>20</v>
      </c>
      <c r="E6" s="197"/>
    </row>
    <row r="7" spans="1:23" ht="42.75" customHeight="1" thickBot="1">
      <c r="A7"/>
      <c r="D7" s="198"/>
      <c r="E7" s="199"/>
      <c r="F7" s="111" t="s">
        <v>21</v>
      </c>
    </row>
    <row r="8" spans="1:23" ht="21.75" customHeight="1" thickBot="1">
      <c r="A8"/>
    </row>
    <row r="9" spans="1:23" ht="30.75" customHeight="1" thickBot="1">
      <c r="A9" s="112"/>
      <c r="B9" s="113" t="s">
        <v>22</v>
      </c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3" ht="21" customHeight="1" outlineLevel="1" thickBot="1">
      <c r="A10"/>
      <c r="B10" s="114" t="s">
        <v>23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</row>
    <row r="11" spans="1:23" ht="30" customHeight="1" outlineLevel="2" thickBot="1">
      <c r="A11" s="103"/>
      <c r="B11" s="191"/>
      <c r="C11" s="193" t="s">
        <v>24</v>
      </c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5"/>
      <c r="W11" s="116"/>
    </row>
    <row r="12" spans="1:23" ht="15" customHeight="1" outlineLevel="2" thickBot="1">
      <c r="A12" s="103"/>
      <c r="B12" s="192"/>
      <c r="C12" s="117" t="s">
        <v>25</v>
      </c>
      <c r="D12" s="117" t="s">
        <v>26</v>
      </c>
      <c r="E12" s="118" t="s">
        <v>27</v>
      </c>
      <c r="F12" s="118" t="s">
        <v>28</v>
      </c>
      <c r="G12" s="118" t="s">
        <v>29</v>
      </c>
      <c r="H12" s="118" t="s">
        <v>30</v>
      </c>
      <c r="I12" s="118" t="s">
        <v>31</v>
      </c>
      <c r="J12" s="117" t="s">
        <v>32</v>
      </c>
      <c r="K12" s="117" t="s">
        <v>33</v>
      </c>
      <c r="L12" s="117" t="s">
        <v>34</v>
      </c>
      <c r="M12" s="117" t="s">
        <v>35</v>
      </c>
      <c r="N12" s="117" t="s">
        <v>36</v>
      </c>
      <c r="O12" s="118" t="s">
        <v>37</v>
      </c>
      <c r="P12" s="118" t="s">
        <v>38</v>
      </c>
      <c r="Q12" s="118" t="s">
        <v>39</v>
      </c>
      <c r="R12" s="118" t="s">
        <v>40</v>
      </c>
      <c r="S12" s="118" t="s">
        <v>41</v>
      </c>
      <c r="T12" s="117" t="s">
        <v>42</v>
      </c>
      <c r="U12" s="117" t="s">
        <v>43</v>
      </c>
      <c r="V12" s="117" t="s">
        <v>44</v>
      </c>
      <c r="W12" s="116"/>
    </row>
    <row r="13" spans="1:23" outlineLevel="2">
      <c r="A13" s="103"/>
      <c r="B13" s="119" t="s">
        <v>45</v>
      </c>
      <c r="C13" s="120"/>
      <c r="D13" s="121"/>
      <c r="E13" s="122"/>
      <c r="F13" s="123"/>
      <c r="G13" s="123"/>
      <c r="H13" s="123"/>
      <c r="I13" s="121"/>
      <c r="J13" s="122"/>
      <c r="K13" s="124"/>
      <c r="L13" s="124"/>
      <c r="M13" s="124"/>
      <c r="N13" s="121"/>
      <c r="O13" s="122"/>
      <c r="P13" s="124"/>
      <c r="Q13" s="124"/>
      <c r="R13" s="124"/>
      <c r="S13" s="121"/>
      <c r="T13" s="122"/>
      <c r="U13" s="124"/>
      <c r="V13" s="121"/>
      <c r="W13" s="116"/>
    </row>
    <row r="14" spans="1:23" outlineLevel="2">
      <c r="A14" s="103"/>
      <c r="B14" s="125" t="s">
        <v>46</v>
      </c>
      <c r="C14" s="126"/>
      <c r="D14" s="127"/>
      <c r="E14" s="128"/>
      <c r="F14" s="129"/>
      <c r="G14" s="129"/>
      <c r="H14" s="129"/>
      <c r="I14" s="127"/>
      <c r="J14" s="128"/>
      <c r="K14" s="129"/>
      <c r="L14" s="129"/>
      <c r="M14" s="129"/>
      <c r="N14" s="127"/>
      <c r="O14" s="128"/>
      <c r="P14" s="129"/>
      <c r="Q14" s="129"/>
      <c r="R14" s="129"/>
      <c r="S14" s="127"/>
      <c r="T14" s="128"/>
      <c r="U14" s="129"/>
      <c r="V14" s="127"/>
      <c r="W14" s="116"/>
    </row>
    <row r="15" spans="1:23" outlineLevel="2">
      <c r="A15" s="103"/>
      <c r="B15" s="125" t="s">
        <v>47</v>
      </c>
      <c r="C15" s="126"/>
      <c r="D15" s="127"/>
      <c r="E15" s="128">
        <f>'LRMC - growth'!E$18</f>
        <v>14905460.690063309</v>
      </c>
      <c r="F15" s="129">
        <f>'LRMC - growth'!F$18</f>
        <v>16327059.276271939</v>
      </c>
      <c r="G15" s="129">
        <f>'LRMC - growth'!G$18</f>
        <v>22594217.092852149</v>
      </c>
      <c r="H15" s="129">
        <f>'LRMC - growth'!H$18</f>
        <v>12496514.582819631</v>
      </c>
      <c r="I15" s="127">
        <f>'LRMC - growth'!I$18</f>
        <v>12056527.130080415</v>
      </c>
      <c r="J15" s="128">
        <f>'LRMC - growth'!J$18</f>
        <v>12056527.130080415</v>
      </c>
      <c r="K15" s="129">
        <f>'LRMC - growth'!K$18</f>
        <v>12056527.130080415</v>
      </c>
      <c r="L15" s="129">
        <f>'LRMC - growth'!L$18</f>
        <v>12056527.130080415</v>
      </c>
      <c r="M15" s="129">
        <f>'LRMC - growth'!M$18</f>
        <v>12056527.130080415</v>
      </c>
      <c r="N15" s="127">
        <f>'LRMC - growth'!N$18</f>
        <v>12056527.130080415</v>
      </c>
      <c r="O15" s="128"/>
      <c r="P15" s="129"/>
      <c r="Q15" s="129"/>
      <c r="R15" s="129"/>
      <c r="S15" s="127"/>
      <c r="T15" s="128"/>
      <c r="U15" s="129"/>
      <c r="V15" s="127"/>
      <c r="W15" s="116"/>
    </row>
    <row r="16" spans="1:23" outlineLevel="2">
      <c r="A16" s="103"/>
      <c r="B16" s="125" t="s">
        <v>48</v>
      </c>
      <c r="C16" s="126"/>
      <c r="D16" s="127"/>
      <c r="E16" s="128"/>
      <c r="F16" s="129"/>
      <c r="G16" s="129"/>
      <c r="H16" s="129"/>
      <c r="I16" s="127"/>
      <c r="J16" s="128"/>
      <c r="K16" s="129"/>
      <c r="L16" s="129"/>
      <c r="M16" s="129"/>
      <c r="N16" s="127"/>
      <c r="O16" s="128"/>
      <c r="P16" s="129"/>
      <c r="Q16" s="129"/>
      <c r="R16" s="129"/>
      <c r="S16" s="127"/>
      <c r="T16" s="128"/>
      <c r="U16" s="129"/>
      <c r="V16" s="127"/>
      <c r="W16" s="116"/>
    </row>
    <row r="17" spans="1:23" outlineLevel="2">
      <c r="A17" s="103"/>
      <c r="B17" s="125" t="s">
        <v>49</v>
      </c>
      <c r="C17" s="126"/>
      <c r="D17" s="127"/>
      <c r="E17" s="128">
        <f>'LRMC - growth'!E$26</f>
        <v>0</v>
      </c>
      <c r="F17" s="129">
        <f>'LRMC - growth'!F$26</f>
        <v>0</v>
      </c>
      <c r="G17" s="129">
        <f>'LRMC - growth'!G$26</f>
        <v>0</v>
      </c>
      <c r="H17" s="129">
        <f>'LRMC - growth'!H$26</f>
        <v>0</v>
      </c>
      <c r="I17" s="127">
        <f>'LRMC - growth'!I$26</f>
        <v>0</v>
      </c>
      <c r="J17" s="128">
        <f>'LRMC - growth'!J$26</f>
        <v>0</v>
      </c>
      <c r="K17" s="129">
        <f>'LRMC - growth'!K$26</f>
        <v>0</v>
      </c>
      <c r="L17" s="129">
        <f>'LRMC - growth'!L$26</f>
        <v>0</v>
      </c>
      <c r="M17" s="129">
        <f>'LRMC - growth'!M$26</f>
        <v>0</v>
      </c>
      <c r="N17" s="127">
        <f>'LRMC - growth'!N$26</f>
        <v>0</v>
      </c>
      <c r="O17" s="128"/>
      <c r="P17" s="129"/>
      <c r="Q17" s="129"/>
      <c r="R17" s="129"/>
      <c r="S17" s="127"/>
      <c r="T17" s="128"/>
      <c r="U17" s="129"/>
      <c r="V17" s="127"/>
      <c r="W17" s="116"/>
    </row>
    <row r="18" spans="1:23" ht="16" outlineLevel="2" thickBot="1">
      <c r="A18" s="103"/>
      <c r="B18" s="130" t="s">
        <v>50</v>
      </c>
      <c r="C18" s="131"/>
      <c r="D18" s="132"/>
      <c r="E18" s="133"/>
      <c r="F18" s="134"/>
      <c r="G18" s="134"/>
      <c r="H18" s="134"/>
      <c r="I18" s="132"/>
      <c r="J18" s="133"/>
      <c r="K18" s="134"/>
      <c r="L18" s="134"/>
      <c r="M18" s="134"/>
      <c r="N18" s="132"/>
      <c r="O18" s="133"/>
      <c r="P18" s="134"/>
      <c r="Q18" s="134"/>
      <c r="R18" s="134"/>
      <c r="S18" s="132"/>
      <c r="T18" s="133"/>
      <c r="U18" s="134"/>
      <c r="V18" s="132"/>
      <c r="W18" s="116"/>
    </row>
    <row r="19" spans="1:23" ht="16" outlineLevel="2" thickBot="1">
      <c r="A19" s="103"/>
      <c r="B19" s="135" t="s">
        <v>51</v>
      </c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7"/>
      <c r="W19" s="116"/>
    </row>
    <row r="20" spans="1:23" ht="16" outlineLevel="1" thickBot="1">
      <c r="A20"/>
    </row>
    <row r="21" spans="1:23" ht="21" customHeight="1" outlineLevel="1" thickBot="1">
      <c r="A21"/>
      <c r="B21" s="114" t="s">
        <v>52</v>
      </c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</row>
    <row r="22" spans="1:23" ht="30" customHeight="1" outlineLevel="2" thickBot="1">
      <c r="A22" s="103"/>
      <c r="B22" s="191"/>
      <c r="C22" s="193" t="s">
        <v>24</v>
      </c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5"/>
      <c r="W22" s="116"/>
    </row>
    <row r="23" spans="1:23" ht="15" customHeight="1" outlineLevel="2" thickBot="1">
      <c r="A23" s="103"/>
      <c r="B23" s="192"/>
      <c r="C23" s="117" t="s">
        <v>25</v>
      </c>
      <c r="D23" s="117" t="s">
        <v>26</v>
      </c>
      <c r="E23" s="118" t="s">
        <v>27</v>
      </c>
      <c r="F23" s="118" t="s">
        <v>28</v>
      </c>
      <c r="G23" s="118" t="s">
        <v>29</v>
      </c>
      <c r="H23" s="118" t="s">
        <v>30</v>
      </c>
      <c r="I23" s="118" t="s">
        <v>31</v>
      </c>
      <c r="J23" s="117" t="s">
        <v>32</v>
      </c>
      <c r="K23" s="117" t="s">
        <v>33</v>
      </c>
      <c r="L23" s="117" t="s">
        <v>34</v>
      </c>
      <c r="M23" s="117" t="s">
        <v>35</v>
      </c>
      <c r="N23" s="117" t="s">
        <v>36</v>
      </c>
      <c r="O23" s="118" t="s">
        <v>37</v>
      </c>
      <c r="P23" s="118" t="s">
        <v>38</v>
      </c>
      <c r="Q23" s="118" t="s">
        <v>39</v>
      </c>
      <c r="R23" s="118" t="s">
        <v>40</v>
      </c>
      <c r="S23" s="118" t="s">
        <v>41</v>
      </c>
      <c r="T23" s="117" t="s">
        <v>42</v>
      </c>
      <c r="U23" s="117" t="s">
        <v>43</v>
      </c>
      <c r="V23" s="117" t="s">
        <v>44</v>
      </c>
      <c r="W23" s="116"/>
    </row>
    <row r="24" spans="1:23" outlineLevel="2">
      <c r="A24" s="103"/>
      <c r="B24" s="119" t="s">
        <v>45</v>
      </c>
      <c r="C24" s="120"/>
      <c r="D24" s="121"/>
      <c r="E24" s="122"/>
      <c r="F24" s="123"/>
      <c r="G24" s="123"/>
      <c r="H24" s="123"/>
      <c r="I24" s="121"/>
      <c r="J24" s="122"/>
      <c r="K24" s="124"/>
      <c r="L24" s="124"/>
      <c r="M24" s="124"/>
      <c r="N24" s="121"/>
      <c r="O24" s="122"/>
      <c r="P24" s="124"/>
      <c r="Q24" s="124"/>
      <c r="R24" s="124"/>
      <c r="S24" s="121"/>
      <c r="T24" s="122"/>
      <c r="U24" s="124"/>
      <c r="V24" s="121"/>
      <c r="W24" s="116"/>
    </row>
    <row r="25" spans="1:23" outlineLevel="2">
      <c r="A25" s="103"/>
      <c r="B25" s="125" t="s">
        <v>46</v>
      </c>
      <c r="C25" s="126"/>
      <c r="D25" s="127"/>
      <c r="E25" s="128"/>
      <c r="F25" s="129"/>
      <c r="G25" s="129"/>
      <c r="H25" s="129"/>
      <c r="I25" s="127"/>
      <c r="J25" s="128"/>
      <c r="K25" s="129"/>
      <c r="L25" s="129"/>
      <c r="M25" s="129"/>
      <c r="N25" s="127"/>
      <c r="O25" s="128"/>
      <c r="P25" s="129"/>
      <c r="Q25" s="129"/>
      <c r="R25" s="129"/>
      <c r="S25" s="127"/>
      <c r="T25" s="128"/>
      <c r="U25" s="129"/>
      <c r="V25" s="127"/>
      <c r="W25" s="116"/>
    </row>
    <row r="26" spans="1:23" outlineLevel="2">
      <c r="A26" s="103"/>
      <c r="B26" s="125" t="s">
        <v>47</v>
      </c>
      <c r="C26" s="126"/>
      <c r="D26" s="127"/>
      <c r="E26" s="128"/>
      <c r="F26" s="129"/>
      <c r="G26" s="129"/>
      <c r="H26" s="129"/>
      <c r="I26" s="127"/>
      <c r="J26" s="128"/>
      <c r="K26" s="129"/>
      <c r="L26" s="129"/>
      <c r="M26" s="129"/>
      <c r="N26" s="127"/>
      <c r="O26" s="128"/>
      <c r="P26" s="129"/>
      <c r="Q26" s="129"/>
      <c r="R26" s="129"/>
      <c r="S26" s="127"/>
      <c r="T26" s="128"/>
      <c r="U26" s="129"/>
      <c r="V26" s="127"/>
      <c r="W26" s="116"/>
    </row>
    <row r="27" spans="1:23" outlineLevel="2">
      <c r="A27" s="103"/>
      <c r="B27" s="125" t="s">
        <v>48</v>
      </c>
      <c r="C27" s="126"/>
      <c r="D27" s="127"/>
      <c r="E27" s="128"/>
      <c r="F27" s="129"/>
      <c r="G27" s="129"/>
      <c r="H27" s="129"/>
      <c r="I27" s="127"/>
      <c r="J27" s="128"/>
      <c r="K27" s="129"/>
      <c r="L27" s="129"/>
      <c r="M27" s="129"/>
      <c r="N27" s="127"/>
      <c r="O27" s="128"/>
      <c r="P27" s="129"/>
      <c r="Q27" s="129"/>
      <c r="R27" s="129"/>
      <c r="S27" s="127"/>
      <c r="T27" s="128"/>
      <c r="U27" s="129"/>
      <c r="V27" s="127"/>
      <c r="W27" s="116"/>
    </row>
    <row r="28" spans="1:23" outlineLevel="2">
      <c r="A28" s="103"/>
      <c r="B28" s="125" t="s">
        <v>49</v>
      </c>
      <c r="C28" s="126"/>
      <c r="D28" s="127"/>
      <c r="E28" s="128"/>
      <c r="F28" s="129"/>
      <c r="G28" s="129"/>
      <c r="H28" s="129"/>
      <c r="I28" s="127"/>
      <c r="J28" s="128"/>
      <c r="K28" s="129"/>
      <c r="L28" s="129"/>
      <c r="M28" s="129"/>
      <c r="N28" s="127"/>
      <c r="O28" s="128"/>
      <c r="P28" s="129"/>
      <c r="Q28" s="129"/>
      <c r="R28" s="129"/>
      <c r="S28" s="127"/>
      <c r="T28" s="128"/>
      <c r="U28" s="129"/>
      <c r="V28" s="127"/>
      <c r="W28" s="116"/>
    </row>
    <row r="29" spans="1:23" ht="16" outlineLevel="2" thickBot="1">
      <c r="A29" s="103"/>
      <c r="B29" s="138" t="s">
        <v>50</v>
      </c>
      <c r="C29" s="139"/>
      <c r="D29" s="140"/>
      <c r="E29" s="141"/>
      <c r="F29" s="142"/>
      <c r="G29" s="142"/>
      <c r="H29" s="142"/>
      <c r="I29" s="140"/>
      <c r="J29" s="141"/>
      <c r="K29" s="142"/>
      <c r="L29" s="142"/>
      <c r="M29" s="142"/>
      <c r="N29" s="140"/>
      <c r="O29" s="141"/>
      <c r="P29" s="142"/>
      <c r="Q29" s="142"/>
      <c r="R29" s="142"/>
      <c r="S29" s="140"/>
      <c r="T29" s="141"/>
      <c r="U29" s="142"/>
      <c r="V29" s="140"/>
      <c r="W29" s="116"/>
    </row>
    <row r="30" spans="1:23" ht="16" outlineLevel="2" thickBot="1">
      <c r="A30" s="103"/>
      <c r="B30" s="135" t="s">
        <v>51</v>
      </c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7"/>
      <c r="W30" s="116"/>
    </row>
    <row r="31" spans="1:23" ht="16" outlineLevel="1" thickBot="1">
      <c r="A31"/>
    </row>
    <row r="32" spans="1:23" ht="21" customHeight="1" outlineLevel="1" thickBot="1">
      <c r="A32"/>
      <c r="B32" s="114" t="s">
        <v>53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</row>
    <row r="33" spans="1:23" ht="30" customHeight="1" outlineLevel="2" thickBot="1">
      <c r="A33" s="103"/>
      <c r="B33" s="191"/>
      <c r="C33" s="193" t="s">
        <v>24</v>
      </c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5"/>
      <c r="W33" s="116"/>
    </row>
    <row r="34" spans="1:23" ht="15" customHeight="1" outlineLevel="2" thickBot="1">
      <c r="A34" s="103"/>
      <c r="B34" s="192"/>
      <c r="C34" s="117" t="s">
        <v>25</v>
      </c>
      <c r="D34" s="117" t="s">
        <v>26</v>
      </c>
      <c r="E34" s="118" t="s">
        <v>27</v>
      </c>
      <c r="F34" s="118" t="s">
        <v>28</v>
      </c>
      <c r="G34" s="118" t="s">
        <v>29</v>
      </c>
      <c r="H34" s="118" t="s">
        <v>30</v>
      </c>
      <c r="I34" s="118" t="s">
        <v>31</v>
      </c>
      <c r="J34" s="117" t="s">
        <v>32</v>
      </c>
      <c r="K34" s="117" t="s">
        <v>33</v>
      </c>
      <c r="L34" s="117" t="s">
        <v>34</v>
      </c>
      <c r="M34" s="117" t="s">
        <v>35</v>
      </c>
      <c r="N34" s="117" t="s">
        <v>36</v>
      </c>
      <c r="O34" s="118" t="s">
        <v>37</v>
      </c>
      <c r="P34" s="118" t="s">
        <v>38</v>
      </c>
      <c r="Q34" s="118" t="s">
        <v>39</v>
      </c>
      <c r="R34" s="118" t="s">
        <v>40</v>
      </c>
      <c r="S34" s="118" t="s">
        <v>41</v>
      </c>
      <c r="T34" s="117" t="s">
        <v>42</v>
      </c>
      <c r="U34" s="117" t="s">
        <v>43</v>
      </c>
      <c r="V34" s="117" t="s">
        <v>44</v>
      </c>
      <c r="W34" s="116"/>
    </row>
    <row r="35" spans="1:23" outlineLevel="2">
      <c r="A35" s="103"/>
      <c r="B35" s="119" t="s">
        <v>45</v>
      </c>
      <c r="C35" s="120"/>
      <c r="D35" s="121"/>
      <c r="E35" s="122"/>
      <c r="F35" s="123"/>
      <c r="G35" s="123"/>
      <c r="H35" s="123"/>
      <c r="I35" s="121"/>
      <c r="J35" s="122"/>
      <c r="K35" s="124"/>
      <c r="L35" s="124"/>
      <c r="M35" s="124"/>
      <c r="N35" s="121"/>
      <c r="O35" s="122"/>
      <c r="P35" s="124"/>
      <c r="Q35" s="124"/>
      <c r="R35" s="124"/>
      <c r="S35" s="121"/>
      <c r="T35" s="122"/>
      <c r="U35" s="124"/>
      <c r="V35" s="121"/>
      <c r="W35" s="116"/>
    </row>
    <row r="36" spans="1:23" outlineLevel="2">
      <c r="A36" s="103"/>
      <c r="B36" s="125" t="s">
        <v>46</v>
      </c>
      <c r="C36" s="126"/>
      <c r="D36" s="127"/>
      <c r="E36" s="128"/>
      <c r="F36" s="129"/>
      <c r="G36" s="129"/>
      <c r="H36" s="129"/>
      <c r="I36" s="127"/>
      <c r="J36" s="128"/>
      <c r="K36" s="129"/>
      <c r="L36" s="129"/>
      <c r="M36" s="129"/>
      <c r="N36" s="127"/>
      <c r="O36" s="128"/>
      <c r="P36" s="129"/>
      <c r="Q36" s="129"/>
      <c r="R36" s="129"/>
      <c r="S36" s="127"/>
      <c r="T36" s="128"/>
      <c r="U36" s="129"/>
      <c r="V36" s="127"/>
      <c r="W36" s="116"/>
    </row>
    <row r="37" spans="1:23" outlineLevel="2">
      <c r="A37" s="103"/>
      <c r="B37" s="125" t="s">
        <v>47</v>
      </c>
      <c r="C37" s="126"/>
      <c r="D37" s="127"/>
      <c r="E37" s="128"/>
      <c r="F37" s="129"/>
      <c r="G37" s="129"/>
      <c r="H37" s="129"/>
      <c r="I37" s="127"/>
      <c r="J37" s="128"/>
      <c r="K37" s="129"/>
      <c r="L37" s="129"/>
      <c r="M37" s="129"/>
      <c r="N37" s="127"/>
      <c r="O37" s="128"/>
      <c r="P37" s="129"/>
      <c r="Q37" s="129"/>
      <c r="R37" s="129"/>
      <c r="S37" s="127"/>
      <c r="T37" s="128"/>
      <c r="U37" s="129"/>
      <c r="V37" s="127"/>
      <c r="W37" s="116"/>
    </row>
    <row r="38" spans="1:23" outlineLevel="2">
      <c r="A38" s="103"/>
      <c r="B38" s="125" t="s">
        <v>48</v>
      </c>
      <c r="C38" s="126"/>
      <c r="D38" s="127"/>
      <c r="E38" s="128"/>
      <c r="F38" s="129"/>
      <c r="G38" s="129"/>
      <c r="H38" s="129"/>
      <c r="I38" s="127"/>
      <c r="J38" s="128"/>
      <c r="K38" s="129"/>
      <c r="L38" s="129"/>
      <c r="M38" s="129"/>
      <c r="N38" s="127"/>
      <c r="O38" s="128"/>
      <c r="P38" s="129"/>
      <c r="Q38" s="129"/>
      <c r="R38" s="129"/>
      <c r="S38" s="127"/>
      <c r="T38" s="128"/>
      <c r="U38" s="129"/>
      <c r="V38" s="127"/>
      <c r="W38" s="116"/>
    </row>
    <row r="39" spans="1:23" outlineLevel="2">
      <c r="A39" s="103"/>
      <c r="B39" s="125" t="s">
        <v>49</v>
      </c>
      <c r="C39" s="126"/>
      <c r="D39" s="127"/>
      <c r="E39" s="128"/>
      <c r="F39" s="129"/>
      <c r="G39" s="129"/>
      <c r="H39" s="129"/>
      <c r="I39" s="127"/>
      <c r="J39" s="128"/>
      <c r="K39" s="129"/>
      <c r="L39" s="129"/>
      <c r="M39" s="129"/>
      <c r="N39" s="127"/>
      <c r="O39" s="128"/>
      <c r="P39" s="129"/>
      <c r="Q39" s="129"/>
      <c r="R39" s="129"/>
      <c r="S39" s="127"/>
      <c r="T39" s="128"/>
      <c r="U39" s="129"/>
      <c r="V39" s="127"/>
      <c r="W39" s="116"/>
    </row>
    <row r="40" spans="1:23" ht="16" outlineLevel="2" thickBot="1">
      <c r="A40" s="103"/>
      <c r="B40" s="138" t="s">
        <v>50</v>
      </c>
      <c r="C40" s="139"/>
      <c r="D40" s="140"/>
      <c r="E40" s="141"/>
      <c r="F40" s="142"/>
      <c r="G40" s="142"/>
      <c r="H40" s="142"/>
      <c r="I40" s="140"/>
      <c r="J40" s="141"/>
      <c r="K40" s="142"/>
      <c r="L40" s="142"/>
      <c r="M40" s="142"/>
      <c r="N40" s="140"/>
      <c r="O40" s="141"/>
      <c r="P40" s="142"/>
      <c r="Q40" s="142"/>
      <c r="R40" s="142"/>
      <c r="S40" s="140"/>
      <c r="T40" s="141"/>
      <c r="U40" s="142"/>
      <c r="V40" s="140"/>
      <c r="W40" s="116"/>
    </row>
    <row r="41" spans="1:23" ht="16" outlineLevel="2" thickBot="1">
      <c r="A41" s="103"/>
      <c r="B41" s="135" t="s">
        <v>51</v>
      </c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7"/>
      <c r="W41" s="116"/>
    </row>
    <row r="42" spans="1:23" outlineLevel="1">
      <c r="A42" s="103"/>
      <c r="B42" s="143"/>
      <c r="C42" s="144"/>
      <c r="D42" s="144"/>
      <c r="E42" s="144"/>
      <c r="F42" s="144"/>
      <c r="G42" s="144"/>
    </row>
    <row r="43" spans="1:23">
      <c r="A43" s="103"/>
      <c r="B43" s="143"/>
      <c r="C43" s="144"/>
      <c r="D43" s="144"/>
      <c r="E43" s="144"/>
      <c r="F43" s="144"/>
      <c r="G43" s="144"/>
    </row>
    <row r="44" spans="1:23" ht="16" thickBot="1">
      <c r="A44" s="103"/>
      <c r="B44" s="143"/>
      <c r="C44" s="144"/>
      <c r="D44" s="144"/>
      <c r="E44" s="144"/>
      <c r="F44" s="144"/>
      <c r="G44" s="144"/>
    </row>
    <row r="45" spans="1:23" ht="24.75" customHeight="1" thickBot="1">
      <c r="A45" s="103"/>
      <c r="B45" s="113" t="s">
        <v>54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6"/>
    </row>
    <row r="46" spans="1:23" ht="21" customHeight="1" outlineLevel="1" thickBot="1">
      <c r="A46"/>
      <c r="B46" s="114" t="s">
        <v>55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</row>
    <row r="47" spans="1:23" ht="30" customHeight="1" outlineLevel="2" thickBot="1">
      <c r="A47" s="103"/>
      <c r="B47" s="191"/>
      <c r="C47" s="193" t="s">
        <v>24</v>
      </c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5"/>
      <c r="W47" s="116"/>
    </row>
    <row r="48" spans="1:23" ht="15" customHeight="1" outlineLevel="2" thickBot="1">
      <c r="A48" s="103"/>
      <c r="B48" s="192"/>
      <c r="C48" s="117" t="s">
        <v>25</v>
      </c>
      <c r="D48" s="117" t="s">
        <v>26</v>
      </c>
      <c r="E48" s="118" t="s">
        <v>27</v>
      </c>
      <c r="F48" s="118" t="s">
        <v>28</v>
      </c>
      <c r="G48" s="118" t="s">
        <v>29</v>
      </c>
      <c r="H48" s="118" t="s">
        <v>30</v>
      </c>
      <c r="I48" s="118" t="s">
        <v>31</v>
      </c>
      <c r="J48" s="117" t="s">
        <v>32</v>
      </c>
      <c r="K48" s="117" t="s">
        <v>33</v>
      </c>
      <c r="L48" s="117" t="s">
        <v>34</v>
      </c>
      <c r="M48" s="117" t="s">
        <v>35</v>
      </c>
      <c r="N48" s="117" t="s">
        <v>36</v>
      </c>
      <c r="O48" s="118" t="s">
        <v>37</v>
      </c>
      <c r="P48" s="118" t="s">
        <v>38</v>
      </c>
      <c r="Q48" s="118" t="s">
        <v>39</v>
      </c>
      <c r="R48" s="118" t="s">
        <v>40</v>
      </c>
      <c r="S48" s="118" t="s">
        <v>41</v>
      </c>
      <c r="T48" s="117" t="s">
        <v>42</v>
      </c>
      <c r="U48" s="117" t="s">
        <v>43</v>
      </c>
      <c r="V48" s="117" t="s">
        <v>44</v>
      </c>
      <c r="W48" s="116"/>
    </row>
    <row r="49" spans="1:23" outlineLevel="2">
      <c r="A49" s="103"/>
      <c r="B49" s="145" t="s">
        <v>56</v>
      </c>
      <c r="C49" s="120"/>
      <c r="D49" s="121"/>
      <c r="E49" s="120">
        <f>'LRMC - growth'!E$42</f>
        <v>280031.64007430692</v>
      </c>
      <c r="F49" s="124">
        <f>'LRMC - growth'!F$42</f>
        <v>306739.47500145592</v>
      </c>
      <c r="G49" s="124">
        <f>'LRMC - growth'!G$42</f>
        <v>424481.72520586831</v>
      </c>
      <c r="H49" s="124">
        <f>'LRMC - growth'!H$42</f>
        <v>234774.32510169604</v>
      </c>
      <c r="I49" s="121">
        <f>'LRMC - growth'!I$42</f>
        <v>226508.19964843738</v>
      </c>
      <c r="J49" s="120">
        <f>'LRMC - growth'!J$42</f>
        <v>226508.19964843738</v>
      </c>
      <c r="K49" s="124">
        <f>'LRMC - growth'!K$42</f>
        <v>226508.19964843738</v>
      </c>
      <c r="L49" s="124">
        <f>'LRMC - growth'!L$42</f>
        <v>226508.19964843738</v>
      </c>
      <c r="M49" s="124">
        <f>'LRMC - growth'!M$42</f>
        <v>226508.19964843738</v>
      </c>
      <c r="N49" s="121">
        <f>'LRMC - growth'!N$42</f>
        <v>226508.19964843738</v>
      </c>
      <c r="O49" s="120"/>
      <c r="P49" s="124"/>
      <c r="Q49" s="124"/>
      <c r="R49" s="124"/>
      <c r="S49" s="121"/>
      <c r="T49" s="120"/>
      <c r="U49" s="124"/>
      <c r="V49" s="124"/>
      <c r="W49" s="116"/>
    </row>
    <row r="50" spans="1:23" outlineLevel="2">
      <c r="A50" s="103"/>
      <c r="B50" s="146"/>
      <c r="C50" s="120"/>
      <c r="D50" s="121"/>
      <c r="E50" s="120"/>
      <c r="F50" s="124"/>
      <c r="G50" s="124"/>
      <c r="H50" s="124"/>
      <c r="I50" s="121"/>
      <c r="J50" s="120"/>
      <c r="K50" s="124"/>
      <c r="L50" s="124"/>
      <c r="M50" s="124"/>
      <c r="N50" s="121"/>
      <c r="O50" s="120"/>
      <c r="P50" s="124"/>
      <c r="Q50" s="124"/>
      <c r="R50" s="124"/>
      <c r="S50" s="121"/>
      <c r="T50" s="120"/>
      <c r="U50" s="124"/>
      <c r="V50" s="124"/>
      <c r="W50" s="116"/>
    </row>
    <row r="51" spans="1:23" outlineLevel="2">
      <c r="A51" s="103"/>
      <c r="B51" s="146"/>
      <c r="C51" s="120"/>
      <c r="D51" s="121"/>
      <c r="E51" s="120"/>
      <c r="F51" s="124"/>
      <c r="G51" s="124"/>
      <c r="H51" s="124"/>
      <c r="I51" s="121"/>
      <c r="J51" s="120"/>
      <c r="K51" s="124"/>
      <c r="L51" s="124"/>
      <c r="M51" s="124"/>
      <c r="N51" s="121"/>
      <c r="O51" s="120"/>
      <c r="P51" s="124"/>
      <c r="Q51" s="124"/>
      <c r="R51" s="124"/>
      <c r="S51" s="121"/>
      <c r="T51" s="120"/>
      <c r="U51" s="124"/>
      <c r="V51" s="124"/>
      <c r="W51" s="116"/>
    </row>
    <row r="52" spans="1:23" outlineLevel="2">
      <c r="A52" s="103"/>
      <c r="B52" s="146"/>
      <c r="C52" s="120"/>
      <c r="D52" s="121"/>
      <c r="E52" s="120"/>
      <c r="F52" s="124"/>
      <c r="G52" s="124"/>
      <c r="H52" s="124"/>
      <c r="I52" s="121"/>
      <c r="J52" s="120"/>
      <c r="K52" s="124"/>
      <c r="L52" s="124"/>
      <c r="M52" s="124"/>
      <c r="N52" s="121"/>
      <c r="O52" s="120"/>
      <c r="P52" s="124"/>
      <c r="Q52" s="124"/>
      <c r="R52" s="124"/>
      <c r="S52" s="121"/>
      <c r="T52" s="120"/>
      <c r="U52" s="124"/>
      <c r="V52" s="124"/>
      <c r="W52" s="116"/>
    </row>
    <row r="53" spans="1:23" outlineLevel="2">
      <c r="A53" s="103"/>
      <c r="B53" s="146"/>
      <c r="C53" s="120"/>
      <c r="D53" s="121"/>
      <c r="E53" s="120"/>
      <c r="F53" s="124"/>
      <c r="G53" s="124"/>
      <c r="H53" s="124"/>
      <c r="I53" s="121"/>
      <c r="J53" s="120"/>
      <c r="K53" s="124"/>
      <c r="L53" s="124"/>
      <c r="M53" s="124"/>
      <c r="N53" s="121"/>
      <c r="O53" s="120"/>
      <c r="P53" s="124"/>
      <c r="Q53" s="124"/>
      <c r="R53" s="124"/>
      <c r="S53" s="121"/>
      <c r="T53" s="120"/>
      <c r="U53" s="124"/>
      <c r="V53" s="124"/>
      <c r="W53" s="116"/>
    </row>
    <row r="54" spans="1:23" outlineLevel="2">
      <c r="A54" s="103"/>
      <c r="B54" s="146"/>
      <c r="C54" s="120"/>
      <c r="D54" s="121"/>
      <c r="E54" s="120"/>
      <c r="F54" s="124"/>
      <c r="G54" s="124"/>
      <c r="H54" s="124"/>
      <c r="I54" s="121"/>
      <c r="J54" s="120"/>
      <c r="K54" s="124"/>
      <c r="L54" s="124"/>
      <c r="M54" s="124"/>
      <c r="N54" s="121"/>
      <c r="O54" s="120"/>
      <c r="P54" s="124"/>
      <c r="Q54" s="124"/>
      <c r="R54" s="124"/>
      <c r="S54" s="121"/>
      <c r="T54" s="120"/>
      <c r="U54" s="124"/>
      <c r="V54" s="124"/>
      <c r="W54" s="116"/>
    </row>
    <row r="55" spans="1:23" outlineLevel="2">
      <c r="A55" s="103"/>
      <c r="B55" s="146"/>
      <c r="C55" s="120"/>
      <c r="D55" s="121"/>
      <c r="E55" s="120"/>
      <c r="F55" s="124"/>
      <c r="G55" s="124"/>
      <c r="H55" s="124"/>
      <c r="I55" s="121"/>
      <c r="J55" s="120"/>
      <c r="K55" s="124"/>
      <c r="L55" s="124"/>
      <c r="M55" s="124"/>
      <c r="N55" s="121"/>
      <c r="O55" s="120"/>
      <c r="P55" s="124"/>
      <c r="Q55" s="124"/>
      <c r="R55" s="124"/>
      <c r="S55" s="121"/>
      <c r="T55" s="120"/>
      <c r="U55" s="124"/>
      <c r="V55" s="124"/>
      <c r="W55" s="116"/>
    </row>
    <row r="56" spans="1:23" outlineLevel="2">
      <c r="A56" s="103"/>
      <c r="B56" s="146"/>
      <c r="C56" s="120"/>
      <c r="D56" s="121"/>
      <c r="E56" s="120"/>
      <c r="F56" s="124"/>
      <c r="G56" s="124"/>
      <c r="H56" s="124"/>
      <c r="I56" s="121"/>
      <c r="J56" s="120"/>
      <c r="K56" s="124"/>
      <c r="L56" s="124"/>
      <c r="M56" s="124"/>
      <c r="N56" s="121"/>
      <c r="O56" s="120"/>
      <c r="P56" s="124"/>
      <c r="Q56" s="124"/>
      <c r="R56" s="124"/>
      <c r="S56" s="121"/>
      <c r="T56" s="120"/>
      <c r="U56" s="124"/>
      <c r="V56" s="124"/>
      <c r="W56" s="116"/>
    </row>
    <row r="57" spans="1:23" outlineLevel="2">
      <c r="A57" s="103"/>
      <c r="B57" s="146"/>
      <c r="C57" s="120"/>
      <c r="D57" s="121"/>
      <c r="E57" s="120"/>
      <c r="F57" s="124"/>
      <c r="G57" s="124"/>
      <c r="H57" s="124"/>
      <c r="I57" s="121"/>
      <c r="J57" s="120"/>
      <c r="K57" s="124"/>
      <c r="L57" s="124"/>
      <c r="M57" s="124"/>
      <c r="N57" s="121"/>
      <c r="O57" s="120"/>
      <c r="P57" s="124"/>
      <c r="Q57" s="124"/>
      <c r="R57" s="124"/>
      <c r="S57" s="121"/>
      <c r="T57" s="120"/>
      <c r="U57" s="124"/>
      <c r="V57" s="124"/>
      <c r="W57" s="116"/>
    </row>
    <row r="58" spans="1:23" outlineLevel="2">
      <c r="A58" s="103"/>
      <c r="B58" s="146"/>
      <c r="C58" s="126"/>
      <c r="D58" s="127"/>
      <c r="E58" s="126"/>
      <c r="F58" s="129"/>
      <c r="G58" s="129"/>
      <c r="H58" s="129"/>
      <c r="I58" s="127"/>
      <c r="J58" s="126"/>
      <c r="K58" s="129"/>
      <c r="L58" s="129"/>
      <c r="M58" s="129"/>
      <c r="N58" s="127"/>
      <c r="O58" s="126"/>
      <c r="P58" s="129"/>
      <c r="Q58" s="129"/>
      <c r="R58" s="129"/>
      <c r="S58" s="127"/>
      <c r="T58" s="126"/>
      <c r="U58" s="129"/>
      <c r="V58" s="129"/>
      <c r="W58" s="116"/>
    </row>
    <row r="59" spans="1:23" outlineLevel="2">
      <c r="A59" s="103"/>
      <c r="B59" s="146"/>
      <c r="C59" s="126"/>
      <c r="D59" s="127"/>
      <c r="E59" s="126"/>
      <c r="F59" s="129"/>
      <c r="G59" s="129"/>
      <c r="H59" s="129"/>
      <c r="I59" s="127"/>
      <c r="J59" s="126"/>
      <c r="K59" s="129"/>
      <c r="L59" s="129"/>
      <c r="M59" s="129"/>
      <c r="N59" s="127"/>
      <c r="O59" s="126"/>
      <c r="P59" s="129"/>
      <c r="Q59" s="129"/>
      <c r="R59" s="129"/>
      <c r="S59" s="127"/>
      <c r="T59" s="126"/>
      <c r="U59" s="129"/>
      <c r="V59" s="129"/>
      <c r="W59" s="116"/>
    </row>
    <row r="60" spans="1:23" outlineLevel="2">
      <c r="A60" s="103"/>
      <c r="B60" s="146"/>
      <c r="C60" s="126"/>
      <c r="D60" s="127"/>
      <c r="E60" s="126"/>
      <c r="F60" s="129"/>
      <c r="G60" s="129"/>
      <c r="H60" s="129"/>
      <c r="I60" s="127"/>
      <c r="J60" s="126"/>
      <c r="K60" s="129"/>
      <c r="L60" s="129"/>
      <c r="M60" s="129"/>
      <c r="N60" s="127"/>
      <c r="O60" s="126"/>
      <c r="P60" s="129"/>
      <c r="Q60" s="129"/>
      <c r="R60" s="129"/>
      <c r="S60" s="127"/>
      <c r="T60" s="126"/>
      <c r="U60" s="129"/>
      <c r="V60" s="129"/>
      <c r="W60" s="116"/>
    </row>
    <row r="61" spans="1:23" outlineLevel="2">
      <c r="A61" s="103"/>
      <c r="B61" s="146"/>
      <c r="C61" s="126"/>
      <c r="D61" s="127"/>
      <c r="E61" s="126"/>
      <c r="F61" s="129"/>
      <c r="G61" s="129"/>
      <c r="H61" s="129"/>
      <c r="I61" s="127"/>
      <c r="J61" s="126"/>
      <c r="K61" s="129"/>
      <c r="L61" s="129"/>
      <c r="M61" s="129"/>
      <c r="N61" s="127"/>
      <c r="O61" s="126"/>
      <c r="P61" s="129"/>
      <c r="Q61" s="129"/>
      <c r="R61" s="129"/>
      <c r="S61" s="127"/>
      <c r="T61" s="126"/>
      <c r="U61" s="129"/>
      <c r="V61" s="129"/>
      <c r="W61" s="116"/>
    </row>
    <row r="62" spans="1:23" outlineLevel="2">
      <c r="A62" s="103"/>
      <c r="B62" s="146"/>
      <c r="C62" s="126"/>
      <c r="D62" s="127"/>
      <c r="E62" s="126"/>
      <c r="F62" s="129"/>
      <c r="G62" s="129"/>
      <c r="H62" s="129"/>
      <c r="I62" s="127"/>
      <c r="J62" s="126"/>
      <c r="K62" s="129"/>
      <c r="L62" s="129"/>
      <c r="M62" s="129"/>
      <c r="N62" s="127"/>
      <c r="O62" s="126"/>
      <c r="P62" s="129"/>
      <c r="Q62" s="129"/>
      <c r="R62" s="129"/>
      <c r="S62" s="127"/>
      <c r="T62" s="126"/>
      <c r="U62" s="129"/>
      <c r="V62" s="129"/>
      <c r="W62" s="116"/>
    </row>
    <row r="63" spans="1:23" ht="16" outlineLevel="2" thickBot="1">
      <c r="A63" s="103"/>
      <c r="B63" s="147"/>
      <c r="C63" s="139"/>
      <c r="D63" s="140"/>
      <c r="E63" s="139"/>
      <c r="F63" s="142"/>
      <c r="G63" s="142"/>
      <c r="H63" s="142"/>
      <c r="I63" s="140"/>
      <c r="J63" s="139"/>
      <c r="K63" s="142"/>
      <c r="L63" s="142"/>
      <c r="M63" s="142"/>
      <c r="N63" s="140"/>
      <c r="O63" s="139"/>
      <c r="P63" s="142"/>
      <c r="Q63" s="142"/>
      <c r="R63" s="142"/>
      <c r="S63" s="140"/>
      <c r="T63" s="139"/>
      <c r="U63" s="142"/>
      <c r="V63" s="142"/>
      <c r="W63" s="116"/>
    </row>
    <row r="64" spans="1:23" ht="16" outlineLevel="2" thickBot="1">
      <c r="A64" s="103"/>
      <c r="B64" s="135" t="s">
        <v>57</v>
      </c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7"/>
      <c r="W64" s="116"/>
    </row>
    <row r="65" spans="1:23" ht="16" outlineLevel="1" thickBot="1">
      <c r="A65" s="103"/>
      <c r="B65" s="143"/>
      <c r="C65" s="144"/>
      <c r="D65" s="144"/>
      <c r="E65" s="144"/>
      <c r="F65" s="144"/>
      <c r="G65" s="144"/>
    </row>
    <row r="66" spans="1:23" ht="21" customHeight="1" outlineLevel="1" thickBot="1">
      <c r="A66"/>
      <c r="B66" s="114" t="s">
        <v>58</v>
      </c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</row>
    <row r="67" spans="1:23" ht="30" customHeight="1" outlineLevel="2" thickBot="1">
      <c r="A67" s="103"/>
      <c r="B67" s="191"/>
      <c r="C67" s="193" t="s">
        <v>24</v>
      </c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5"/>
      <c r="W67" s="116"/>
    </row>
    <row r="68" spans="1:23" ht="15" customHeight="1" outlineLevel="2" thickBot="1">
      <c r="A68" s="103"/>
      <c r="B68" s="192"/>
      <c r="C68" s="117" t="s">
        <v>25</v>
      </c>
      <c r="D68" s="117" t="s">
        <v>26</v>
      </c>
      <c r="E68" s="118" t="s">
        <v>27</v>
      </c>
      <c r="F68" s="118" t="s">
        <v>28</v>
      </c>
      <c r="G68" s="118" t="s">
        <v>29</v>
      </c>
      <c r="H68" s="118" t="s">
        <v>30</v>
      </c>
      <c r="I68" s="118" t="s">
        <v>31</v>
      </c>
      <c r="J68" s="117" t="s">
        <v>32</v>
      </c>
      <c r="K68" s="117" t="s">
        <v>33</v>
      </c>
      <c r="L68" s="117" t="s">
        <v>34</v>
      </c>
      <c r="M68" s="117" t="s">
        <v>35</v>
      </c>
      <c r="N68" s="117" t="s">
        <v>36</v>
      </c>
      <c r="O68" s="118" t="s">
        <v>37</v>
      </c>
      <c r="P68" s="118" t="s">
        <v>38</v>
      </c>
      <c r="Q68" s="118" t="s">
        <v>39</v>
      </c>
      <c r="R68" s="118" t="s">
        <v>40</v>
      </c>
      <c r="S68" s="118" t="s">
        <v>41</v>
      </c>
      <c r="T68" s="117" t="s">
        <v>42</v>
      </c>
      <c r="U68" s="117" t="s">
        <v>43</v>
      </c>
      <c r="V68" s="117" t="s">
        <v>44</v>
      </c>
      <c r="W68" s="116"/>
    </row>
    <row r="69" spans="1:23" outlineLevel="2">
      <c r="A69" s="103"/>
      <c r="B69" s="145"/>
      <c r="C69" s="120"/>
      <c r="D69" s="121"/>
      <c r="E69" s="120"/>
      <c r="F69" s="124"/>
      <c r="G69" s="124"/>
      <c r="H69" s="124"/>
      <c r="I69" s="121"/>
      <c r="J69" s="120"/>
      <c r="K69" s="124"/>
      <c r="L69" s="124"/>
      <c r="M69" s="124"/>
      <c r="N69" s="121"/>
      <c r="O69" s="120"/>
      <c r="P69" s="124"/>
      <c r="Q69" s="124"/>
      <c r="R69" s="124"/>
      <c r="S69" s="121"/>
      <c r="T69" s="120"/>
      <c r="U69" s="124"/>
      <c r="V69" s="124"/>
      <c r="W69" s="116"/>
    </row>
    <row r="70" spans="1:23" outlineLevel="2">
      <c r="A70" s="103"/>
      <c r="B70" s="146"/>
      <c r="C70" s="120"/>
      <c r="D70" s="121"/>
      <c r="E70" s="120"/>
      <c r="F70" s="124"/>
      <c r="G70" s="124"/>
      <c r="H70" s="124"/>
      <c r="I70" s="121"/>
      <c r="J70" s="120"/>
      <c r="K70" s="124"/>
      <c r="L70" s="124"/>
      <c r="M70" s="124"/>
      <c r="N70" s="121"/>
      <c r="O70" s="120"/>
      <c r="P70" s="124"/>
      <c r="Q70" s="124"/>
      <c r="R70" s="124"/>
      <c r="S70" s="121"/>
      <c r="T70" s="120"/>
      <c r="U70" s="124"/>
      <c r="V70" s="124"/>
      <c r="W70" s="116"/>
    </row>
    <row r="71" spans="1:23" outlineLevel="2">
      <c r="A71" s="103"/>
      <c r="B71" s="146"/>
      <c r="C71" s="120"/>
      <c r="D71" s="121"/>
      <c r="E71" s="120"/>
      <c r="F71" s="124"/>
      <c r="G71" s="124"/>
      <c r="H71" s="124"/>
      <c r="I71" s="121"/>
      <c r="J71" s="120"/>
      <c r="K71" s="124"/>
      <c r="L71" s="124"/>
      <c r="M71" s="124"/>
      <c r="N71" s="121"/>
      <c r="O71" s="120"/>
      <c r="P71" s="124"/>
      <c r="Q71" s="124"/>
      <c r="R71" s="124"/>
      <c r="S71" s="121"/>
      <c r="T71" s="120"/>
      <c r="U71" s="124"/>
      <c r="V71" s="124"/>
      <c r="W71" s="116"/>
    </row>
    <row r="72" spans="1:23" outlineLevel="2">
      <c r="A72" s="103"/>
      <c r="B72" s="146"/>
      <c r="C72" s="120"/>
      <c r="D72" s="121"/>
      <c r="E72" s="120"/>
      <c r="F72" s="124"/>
      <c r="G72" s="124"/>
      <c r="H72" s="124"/>
      <c r="I72" s="121"/>
      <c r="J72" s="120"/>
      <c r="K72" s="124"/>
      <c r="L72" s="124"/>
      <c r="M72" s="124"/>
      <c r="N72" s="121"/>
      <c r="O72" s="120"/>
      <c r="P72" s="124"/>
      <c r="Q72" s="124"/>
      <c r="R72" s="124"/>
      <c r="S72" s="121"/>
      <c r="T72" s="120"/>
      <c r="U72" s="124"/>
      <c r="V72" s="124"/>
      <c r="W72" s="116"/>
    </row>
    <row r="73" spans="1:23" outlineLevel="2">
      <c r="A73" s="103"/>
      <c r="B73" s="146"/>
      <c r="C73" s="120"/>
      <c r="D73" s="121"/>
      <c r="E73" s="120"/>
      <c r="F73" s="124"/>
      <c r="G73" s="124"/>
      <c r="H73" s="124"/>
      <c r="I73" s="121"/>
      <c r="J73" s="120"/>
      <c r="K73" s="124"/>
      <c r="L73" s="124"/>
      <c r="M73" s="124"/>
      <c r="N73" s="121"/>
      <c r="O73" s="120"/>
      <c r="P73" s="124"/>
      <c r="Q73" s="124"/>
      <c r="R73" s="124"/>
      <c r="S73" s="121"/>
      <c r="T73" s="120"/>
      <c r="U73" s="124"/>
      <c r="V73" s="124"/>
      <c r="W73" s="116"/>
    </row>
    <row r="74" spans="1:23" outlineLevel="2">
      <c r="A74" s="103"/>
      <c r="B74" s="146"/>
      <c r="C74" s="120"/>
      <c r="D74" s="121"/>
      <c r="E74" s="120"/>
      <c r="F74" s="124"/>
      <c r="G74" s="124"/>
      <c r="H74" s="124"/>
      <c r="I74" s="121"/>
      <c r="J74" s="120"/>
      <c r="K74" s="124"/>
      <c r="L74" s="124"/>
      <c r="M74" s="124"/>
      <c r="N74" s="121"/>
      <c r="O74" s="120"/>
      <c r="P74" s="124"/>
      <c r="Q74" s="124"/>
      <c r="R74" s="124"/>
      <c r="S74" s="121"/>
      <c r="T74" s="120"/>
      <c r="U74" s="124"/>
      <c r="V74" s="124"/>
      <c r="W74" s="116"/>
    </row>
    <row r="75" spans="1:23" outlineLevel="2">
      <c r="A75" s="103"/>
      <c r="B75" s="146"/>
      <c r="C75" s="120"/>
      <c r="D75" s="121"/>
      <c r="E75" s="120"/>
      <c r="F75" s="124"/>
      <c r="G75" s="124"/>
      <c r="H75" s="124"/>
      <c r="I75" s="121"/>
      <c r="J75" s="120"/>
      <c r="K75" s="124"/>
      <c r="L75" s="124"/>
      <c r="M75" s="124"/>
      <c r="N75" s="121"/>
      <c r="O75" s="120"/>
      <c r="P75" s="124"/>
      <c r="Q75" s="124"/>
      <c r="R75" s="124"/>
      <c r="S75" s="121"/>
      <c r="T75" s="120"/>
      <c r="U75" s="124"/>
      <c r="V75" s="124"/>
      <c r="W75" s="116"/>
    </row>
    <row r="76" spans="1:23" outlineLevel="2">
      <c r="A76" s="103"/>
      <c r="B76" s="146"/>
      <c r="C76" s="120"/>
      <c r="D76" s="121"/>
      <c r="E76" s="120"/>
      <c r="F76" s="124"/>
      <c r="G76" s="124"/>
      <c r="H76" s="124"/>
      <c r="I76" s="121"/>
      <c r="J76" s="120"/>
      <c r="K76" s="124"/>
      <c r="L76" s="124"/>
      <c r="M76" s="124"/>
      <c r="N76" s="121"/>
      <c r="O76" s="120"/>
      <c r="P76" s="124"/>
      <c r="Q76" s="124"/>
      <c r="R76" s="124"/>
      <c r="S76" s="121"/>
      <c r="T76" s="120"/>
      <c r="U76" s="124"/>
      <c r="V76" s="124"/>
      <c r="W76" s="116"/>
    </row>
    <row r="77" spans="1:23" outlineLevel="2">
      <c r="A77" s="103"/>
      <c r="B77" s="146"/>
      <c r="C77" s="120"/>
      <c r="D77" s="121"/>
      <c r="E77" s="120"/>
      <c r="F77" s="124"/>
      <c r="G77" s="124"/>
      <c r="H77" s="124"/>
      <c r="I77" s="121"/>
      <c r="J77" s="120"/>
      <c r="K77" s="124"/>
      <c r="L77" s="124"/>
      <c r="M77" s="124"/>
      <c r="N77" s="121"/>
      <c r="O77" s="120"/>
      <c r="P77" s="124"/>
      <c r="Q77" s="124"/>
      <c r="R77" s="124"/>
      <c r="S77" s="121"/>
      <c r="T77" s="120"/>
      <c r="U77" s="124"/>
      <c r="V77" s="124"/>
      <c r="W77" s="116"/>
    </row>
    <row r="78" spans="1:23" outlineLevel="2">
      <c r="A78" s="103"/>
      <c r="B78" s="146"/>
      <c r="C78" s="126"/>
      <c r="D78" s="127"/>
      <c r="E78" s="126"/>
      <c r="F78" s="129"/>
      <c r="G78" s="129"/>
      <c r="H78" s="129"/>
      <c r="I78" s="127"/>
      <c r="J78" s="126"/>
      <c r="K78" s="129"/>
      <c r="L78" s="129"/>
      <c r="M78" s="129"/>
      <c r="N78" s="127"/>
      <c r="O78" s="126"/>
      <c r="P78" s="129"/>
      <c r="Q78" s="129"/>
      <c r="R78" s="129"/>
      <c r="S78" s="127"/>
      <c r="T78" s="126"/>
      <c r="U78" s="129"/>
      <c r="V78" s="129"/>
      <c r="W78" s="116"/>
    </row>
    <row r="79" spans="1:23" outlineLevel="2">
      <c r="A79" s="103"/>
      <c r="B79" s="146"/>
      <c r="C79" s="126"/>
      <c r="D79" s="127"/>
      <c r="E79" s="126"/>
      <c r="F79" s="129"/>
      <c r="G79" s="129"/>
      <c r="H79" s="129"/>
      <c r="I79" s="127"/>
      <c r="J79" s="126"/>
      <c r="K79" s="129"/>
      <c r="L79" s="129"/>
      <c r="M79" s="129"/>
      <c r="N79" s="127"/>
      <c r="O79" s="126"/>
      <c r="P79" s="129"/>
      <c r="Q79" s="129"/>
      <c r="R79" s="129"/>
      <c r="S79" s="127"/>
      <c r="T79" s="126"/>
      <c r="U79" s="129"/>
      <c r="V79" s="129"/>
      <c r="W79" s="116"/>
    </row>
    <row r="80" spans="1:23" outlineLevel="2">
      <c r="A80" s="103"/>
      <c r="B80" s="146"/>
      <c r="C80" s="126"/>
      <c r="D80" s="127"/>
      <c r="E80" s="126"/>
      <c r="F80" s="129"/>
      <c r="G80" s="129"/>
      <c r="H80" s="129"/>
      <c r="I80" s="127"/>
      <c r="J80" s="126"/>
      <c r="K80" s="129"/>
      <c r="L80" s="129"/>
      <c r="M80" s="129"/>
      <c r="N80" s="127"/>
      <c r="O80" s="126"/>
      <c r="P80" s="129"/>
      <c r="Q80" s="129"/>
      <c r="R80" s="129"/>
      <c r="S80" s="127"/>
      <c r="T80" s="126"/>
      <c r="U80" s="129"/>
      <c r="V80" s="129"/>
      <c r="W80" s="116"/>
    </row>
    <row r="81" spans="1:23" outlineLevel="2">
      <c r="A81" s="103"/>
      <c r="B81" s="146"/>
      <c r="C81" s="126"/>
      <c r="D81" s="127"/>
      <c r="E81" s="126"/>
      <c r="F81" s="129"/>
      <c r="G81" s="129"/>
      <c r="H81" s="129"/>
      <c r="I81" s="127"/>
      <c r="J81" s="126"/>
      <c r="K81" s="129"/>
      <c r="L81" s="129"/>
      <c r="M81" s="129"/>
      <c r="N81" s="127"/>
      <c r="O81" s="126"/>
      <c r="P81" s="129"/>
      <c r="Q81" s="129"/>
      <c r="R81" s="129"/>
      <c r="S81" s="127"/>
      <c r="T81" s="126"/>
      <c r="U81" s="129"/>
      <c r="V81" s="129"/>
      <c r="W81" s="116"/>
    </row>
    <row r="82" spans="1:23" outlineLevel="2">
      <c r="A82" s="103"/>
      <c r="B82" s="146"/>
      <c r="C82" s="126"/>
      <c r="D82" s="127"/>
      <c r="E82" s="126"/>
      <c r="F82" s="129"/>
      <c r="G82" s="129"/>
      <c r="H82" s="129"/>
      <c r="I82" s="127"/>
      <c r="J82" s="126"/>
      <c r="K82" s="129"/>
      <c r="L82" s="129"/>
      <c r="M82" s="129"/>
      <c r="N82" s="127"/>
      <c r="O82" s="126"/>
      <c r="P82" s="129"/>
      <c r="Q82" s="129"/>
      <c r="R82" s="129"/>
      <c r="S82" s="127"/>
      <c r="T82" s="126"/>
      <c r="U82" s="129"/>
      <c r="V82" s="129"/>
      <c r="W82" s="116"/>
    </row>
    <row r="83" spans="1:23" ht="16" outlineLevel="2" thickBot="1">
      <c r="A83" s="103"/>
      <c r="B83" s="147"/>
      <c r="C83" s="139"/>
      <c r="D83" s="140"/>
      <c r="E83" s="139"/>
      <c r="F83" s="142"/>
      <c r="G83" s="142"/>
      <c r="H83" s="142"/>
      <c r="I83" s="140"/>
      <c r="J83" s="139"/>
      <c r="K83" s="142"/>
      <c r="L83" s="142"/>
      <c r="M83" s="142"/>
      <c r="N83" s="140"/>
      <c r="O83" s="139"/>
      <c r="P83" s="142"/>
      <c r="Q83" s="142"/>
      <c r="R83" s="142"/>
      <c r="S83" s="140"/>
      <c r="T83" s="139"/>
      <c r="U83" s="142"/>
      <c r="V83" s="142"/>
      <c r="W83" s="116"/>
    </row>
    <row r="84" spans="1:23" ht="16" outlineLevel="2" thickBot="1">
      <c r="A84" s="103"/>
      <c r="B84" s="135" t="s">
        <v>57</v>
      </c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7"/>
      <c r="W84" s="116"/>
    </row>
    <row r="85" spans="1:23" ht="16" outlineLevel="1" thickBot="1">
      <c r="A85" s="103"/>
      <c r="B85" s="143"/>
      <c r="C85" s="144"/>
      <c r="D85" s="144"/>
      <c r="E85" s="144"/>
      <c r="F85" s="144"/>
      <c r="G85" s="144"/>
    </row>
    <row r="86" spans="1:23" ht="21" customHeight="1" outlineLevel="1" thickBot="1">
      <c r="A86"/>
      <c r="B86" s="114" t="s">
        <v>59</v>
      </c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</row>
    <row r="87" spans="1:23" ht="30" customHeight="1" outlineLevel="2" thickBot="1">
      <c r="A87" s="103"/>
      <c r="B87" s="191"/>
      <c r="C87" s="193" t="s">
        <v>24</v>
      </c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5"/>
      <c r="W87" s="116"/>
    </row>
    <row r="88" spans="1:23" ht="15" customHeight="1" outlineLevel="2" thickBot="1">
      <c r="A88" s="103"/>
      <c r="B88" s="192"/>
      <c r="C88" s="117" t="s">
        <v>25</v>
      </c>
      <c r="D88" s="117" t="s">
        <v>26</v>
      </c>
      <c r="E88" s="118" t="s">
        <v>27</v>
      </c>
      <c r="F88" s="118" t="s">
        <v>28</v>
      </c>
      <c r="G88" s="118" t="s">
        <v>29</v>
      </c>
      <c r="H88" s="118" t="s">
        <v>30</v>
      </c>
      <c r="I88" s="118" t="s">
        <v>31</v>
      </c>
      <c r="J88" s="117" t="s">
        <v>32</v>
      </c>
      <c r="K88" s="117" t="s">
        <v>33</v>
      </c>
      <c r="L88" s="117" t="s">
        <v>34</v>
      </c>
      <c r="M88" s="117" t="s">
        <v>35</v>
      </c>
      <c r="N88" s="117" t="s">
        <v>36</v>
      </c>
      <c r="O88" s="118" t="s">
        <v>37</v>
      </c>
      <c r="P88" s="118" t="s">
        <v>38</v>
      </c>
      <c r="Q88" s="118" t="s">
        <v>39</v>
      </c>
      <c r="R88" s="118" t="s">
        <v>40</v>
      </c>
      <c r="S88" s="118" t="s">
        <v>41</v>
      </c>
      <c r="T88" s="117" t="s">
        <v>42</v>
      </c>
      <c r="U88" s="117" t="s">
        <v>43</v>
      </c>
      <c r="V88" s="117" t="s">
        <v>44</v>
      </c>
      <c r="W88" s="116"/>
    </row>
    <row r="89" spans="1:23" outlineLevel="2">
      <c r="A89" s="103"/>
      <c r="B89" s="145"/>
      <c r="C89" s="120"/>
      <c r="D89" s="121"/>
      <c r="E89" s="120"/>
      <c r="F89" s="124"/>
      <c r="G89" s="124"/>
      <c r="H89" s="124"/>
      <c r="I89" s="121"/>
      <c r="J89" s="120"/>
      <c r="K89" s="124"/>
      <c r="L89" s="124"/>
      <c r="M89" s="124"/>
      <c r="N89" s="121"/>
      <c r="O89" s="120"/>
      <c r="P89" s="124"/>
      <c r="Q89" s="124"/>
      <c r="R89" s="124"/>
      <c r="S89" s="121"/>
      <c r="T89" s="120"/>
      <c r="U89" s="124"/>
      <c r="V89" s="124"/>
      <c r="W89" s="116"/>
    </row>
    <row r="90" spans="1:23" outlineLevel="2">
      <c r="A90" s="103"/>
      <c r="B90" s="146"/>
      <c r="C90" s="120"/>
      <c r="D90" s="121"/>
      <c r="E90" s="120"/>
      <c r="F90" s="124"/>
      <c r="G90" s="124"/>
      <c r="H90" s="124"/>
      <c r="I90" s="121"/>
      <c r="J90" s="120"/>
      <c r="K90" s="124"/>
      <c r="L90" s="124"/>
      <c r="M90" s="124"/>
      <c r="N90" s="121"/>
      <c r="O90" s="120"/>
      <c r="P90" s="124"/>
      <c r="Q90" s="124"/>
      <c r="R90" s="124"/>
      <c r="S90" s="121"/>
      <c r="T90" s="120"/>
      <c r="U90" s="124"/>
      <c r="V90" s="124"/>
      <c r="W90" s="116"/>
    </row>
    <row r="91" spans="1:23" outlineLevel="2">
      <c r="A91" s="103"/>
      <c r="B91" s="146"/>
      <c r="C91" s="120"/>
      <c r="D91" s="121"/>
      <c r="E91" s="120"/>
      <c r="F91" s="124"/>
      <c r="G91" s="124"/>
      <c r="H91" s="124"/>
      <c r="I91" s="121"/>
      <c r="J91" s="120"/>
      <c r="K91" s="124"/>
      <c r="L91" s="124"/>
      <c r="M91" s="124"/>
      <c r="N91" s="121"/>
      <c r="O91" s="120"/>
      <c r="P91" s="124"/>
      <c r="Q91" s="124"/>
      <c r="R91" s="124"/>
      <c r="S91" s="121"/>
      <c r="T91" s="120"/>
      <c r="U91" s="124"/>
      <c r="V91" s="124"/>
      <c r="W91" s="116"/>
    </row>
    <row r="92" spans="1:23" outlineLevel="2">
      <c r="A92" s="103"/>
      <c r="B92" s="146"/>
      <c r="C92" s="120"/>
      <c r="D92" s="121"/>
      <c r="E92" s="120"/>
      <c r="F92" s="124"/>
      <c r="G92" s="124"/>
      <c r="H92" s="124"/>
      <c r="I92" s="121"/>
      <c r="J92" s="120"/>
      <c r="K92" s="124"/>
      <c r="L92" s="124"/>
      <c r="M92" s="124"/>
      <c r="N92" s="121"/>
      <c r="O92" s="120"/>
      <c r="P92" s="124"/>
      <c r="Q92" s="124"/>
      <c r="R92" s="124"/>
      <c r="S92" s="121"/>
      <c r="T92" s="120"/>
      <c r="U92" s="124"/>
      <c r="V92" s="124"/>
      <c r="W92" s="116"/>
    </row>
    <row r="93" spans="1:23" outlineLevel="2">
      <c r="A93" s="103"/>
      <c r="B93" s="146"/>
      <c r="C93" s="120"/>
      <c r="D93" s="121"/>
      <c r="E93" s="120"/>
      <c r="F93" s="124"/>
      <c r="G93" s="124"/>
      <c r="H93" s="124"/>
      <c r="I93" s="121"/>
      <c r="J93" s="120"/>
      <c r="K93" s="124"/>
      <c r="L93" s="124"/>
      <c r="M93" s="124"/>
      <c r="N93" s="121"/>
      <c r="O93" s="120"/>
      <c r="P93" s="124"/>
      <c r="Q93" s="124"/>
      <c r="R93" s="124"/>
      <c r="S93" s="121"/>
      <c r="T93" s="120"/>
      <c r="U93" s="124"/>
      <c r="V93" s="124"/>
      <c r="W93" s="116"/>
    </row>
    <row r="94" spans="1:23" outlineLevel="2">
      <c r="A94" s="103"/>
      <c r="B94" s="146"/>
      <c r="C94" s="120"/>
      <c r="D94" s="121"/>
      <c r="E94" s="120"/>
      <c r="F94" s="124"/>
      <c r="G94" s="124"/>
      <c r="H94" s="124"/>
      <c r="I94" s="121"/>
      <c r="J94" s="120"/>
      <c r="K94" s="124"/>
      <c r="L94" s="124"/>
      <c r="M94" s="124"/>
      <c r="N94" s="121"/>
      <c r="O94" s="120"/>
      <c r="P94" s="124"/>
      <c r="Q94" s="124"/>
      <c r="R94" s="124"/>
      <c r="S94" s="121"/>
      <c r="T94" s="120"/>
      <c r="U94" s="124"/>
      <c r="V94" s="124"/>
      <c r="W94" s="116"/>
    </row>
    <row r="95" spans="1:23" outlineLevel="2">
      <c r="A95" s="103"/>
      <c r="B95" s="146"/>
      <c r="C95" s="120"/>
      <c r="D95" s="121"/>
      <c r="E95" s="120"/>
      <c r="F95" s="124"/>
      <c r="G95" s="124"/>
      <c r="H95" s="124"/>
      <c r="I95" s="121"/>
      <c r="J95" s="120"/>
      <c r="K95" s="124"/>
      <c r="L95" s="124"/>
      <c r="M95" s="124"/>
      <c r="N95" s="121"/>
      <c r="O95" s="120"/>
      <c r="P95" s="124"/>
      <c r="Q95" s="124"/>
      <c r="R95" s="124"/>
      <c r="S95" s="121"/>
      <c r="T95" s="120"/>
      <c r="U95" s="124"/>
      <c r="V95" s="124"/>
      <c r="W95" s="116"/>
    </row>
    <row r="96" spans="1:23" outlineLevel="2">
      <c r="A96" s="103"/>
      <c r="B96" s="146"/>
      <c r="C96" s="120"/>
      <c r="D96" s="121"/>
      <c r="E96" s="120"/>
      <c r="F96" s="124"/>
      <c r="G96" s="124"/>
      <c r="H96" s="124"/>
      <c r="I96" s="121"/>
      <c r="J96" s="120"/>
      <c r="K96" s="124"/>
      <c r="L96" s="124"/>
      <c r="M96" s="124"/>
      <c r="N96" s="121"/>
      <c r="O96" s="120"/>
      <c r="P96" s="124"/>
      <c r="Q96" s="124"/>
      <c r="R96" s="124"/>
      <c r="S96" s="121"/>
      <c r="T96" s="120"/>
      <c r="U96" s="124"/>
      <c r="V96" s="124"/>
      <c r="W96" s="116"/>
    </row>
    <row r="97" spans="1:23" outlineLevel="2">
      <c r="A97" s="103"/>
      <c r="B97" s="146"/>
      <c r="C97" s="120"/>
      <c r="D97" s="121"/>
      <c r="E97" s="120"/>
      <c r="F97" s="124"/>
      <c r="G97" s="124"/>
      <c r="H97" s="124"/>
      <c r="I97" s="121"/>
      <c r="J97" s="120"/>
      <c r="K97" s="124"/>
      <c r="L97" s="124"/>
      <c r="M97" s="124"/>
      <c r="N97" s="121"/>
      <c r="O97" s="120"/>
      <c r="P97" s="124"/>
      <c r="Q97" s="124"/>
      <c r="R97" s="124"/>
      <c r="S97" s="121"/>
      <c r="T97" s="120"/>
      <c r="U97" s="124"/>
      <c r="V97" s="124"/>
      <c r="W97" s="116"/>
    </row>
    <row r="98" spans="1:23" outlineLevel="2">
      <c r="A98" s="103"/>
      <c r="B98" s="146"/>
      <c r="C98" s="126"/>
      <c r="D98" s="127"/>
      <c r="E98" s="126"/>
      <c r="F98" s="129"/>
      <c r="G98" s="129"/>
      <c r="H98" s="129"/>
      <c r="I98" s="127"/>
      <c r="J98" s="126"/>
      <c r="K98" s="129"/>
      <c r="L98" s="129"/>
      <c r="M98" s="129"/>
      <c r="N98" s="127"/>
      <c r="O98" s="126"/>
      <c r="P98" s="129"/>
      <c r="Q98" s="129"/>
      <c r="R98" s="129"/>
      <c r="S98" s="127"/>
      <c r="T98" s="126"/>
      <c r="U98" s="129"/>
      <c r="V98" s="129"/>
      <c r="W98" s="116"/>
    </row>
    <row r="99" spans="1:23" outlineLevel="2">
      <c r="A99" s="103"/>
      <c r="B99" s="146"/>
      <c r="C99" s="126"/>
      <c r="D99" s="127"/>
      <c r="E99" s="126"/>
      <c r="F99" s="129"/>
      <c r="G99" s="129"/>
      <c r="H99" s="129"/>
      <c r="I99" s="127"/>
      <c r="J99" s="126"/>
      <c r="K99" s="129"/>
      <c r="L99" s="129"/>
      <c r="M99" s="129"/>
      <c r="N99" s="127"/>
      <c r="O99" s="126"/>
      <c r="P99" s="129"/>
      <c r="Q99" s="129"/>
      <c r="R99" s="129"/>
      <c r="S99" s="127"/>
      <c r="T99" s="126"/>
      <c r="U99" s="129"/>
      <c r="V99" s="129"/>
      <c r="W99" s="116"/>
    </row>
    <row r="100" spans="1:23" outlineLevel="2">
      <c r="A100" s="103"/>
      <c r="B100" s="146"/>
      <c r="C100" s="126"/>
      <c r="D100" s="127"/>
      <c r="E100" s="126"/>
      <c r="F100" s="129"/>
      <c r="G100" s="129"/>
      <c r="H100" s="129"/>
      <c r="I100" s="127"/>
      <c r="J100" s="126"/>
      <c r="K100" s="129"/>
      <c r="L100" s="129"/>
      <c r="M100" s="129"/>
      <c r="N100" s="127"/>
      <c r="O100" s="126"/>
      <c r="P100" s="129"/>
      <c r="Q100" s="129"/>
      <c r="R100" s="129"/>
      <c r="S100" s="127"/>
      <c r="T100" s="126"/>
      <c r="U100" s="129"/>
      <c r="V100" s="129"/>
      <c r="W100" s="116"/>
    </row>
    <row r="101" spans="1:23" outlineLevel="2">
      <c r="A101" s="103"/>
      <c r="B101" s="146"/>
      <c r="C101" s="126"/>
      <c r="D101" s="127"/>
      <c r="E101" s="126"/>
      <c r="F101" s="129"/>
      <c r="G101" s="129"/>
      <c r="H101" s="129"/>
      <c r="I101" s="127"/>
      <c r="J101" s="126"/>
      <c r="K101" s="129"/>
      <c r="L101" s="129"/>
      <c r="M101" s="129"/>
      <c r="N101" s="127"/>
      <c r="O101" s="126"/>
      <c r="P101" s="129"/>
      <c r="Q101" s="129"/>
      <c r="R101" s="129"/>
      <c r="S101" s="127"/>
      <c r="T101" s="126"/>
      <c r="U101" s="129"/>
      <c r="V101" s="129"/>
      <c r="W101" s="116"/>
    </row>
    <row r="102" spans="1:23" outlineLevel="2">
      <c r="A102" s="103"/>
      <c r="B102" s="146"/>
      <c r="C102" s="126"/>
      <c r="D102" s="127"/>
      <c r="E102" s="126"/>
      <c r="F102" s="129"/>
      <c r="G102" s="129"/>
      <c r="H102" s="129"/>
      <c r="I102" s="127"/>
      <c r="J102" s="126"/>
      <c r="K102" s="129"/>
      <c r="L102" s="129"/>
      <c r="M102" s="129"/>
      <c r="N102" s="127"/>
      <c r="O102" s="126"/>
      <c r="P102" s="129"/>
      <c r="Q102" s="129"/>
      <c r="R102" s="129"/>
      <c r="S102" s="127"/>
      <c r="T102" s="126"/>
      <c r="U102" s="129"/>
      <c r="V102" s="129"/>
      <c r="W102" s="116"/>
    </row>
    <row r="103" spans="1:23" ht="16" outlineLevel="2" thickBot="1">
      <c r="A103" s="103"/>
      <c r="B103" s="147"/>
      <c r="C103" s="139"/>
      <c r="D103" s="140"/>
      <c r="E103" s="139"/>
      <c r="F103" s="142"/>
      <c r="G103" s="142"/>
      <c r="H103" s="142"/>
      <c r="I103" s="140"/>
      <c r="J103" s="139"/>
      <c r="K103" s="142"/>
      <c r="L103" s="142"/>
      <c r="M103" s="142"/>
      <c r="N103" s="140"/>
      <c r="O103" s="139"/>
      <c r="P103" s="142"/>
      <c r="Q103" s="142"/>
      <c r="R103" s="142"/>
      <c r="S103" s="140"/>
      <c r="T103" s="139"/>
      <c r="U103" s="142"/>
      <c r="V103" s="142"/>
      <c r="W103" s="116"/>
    </row>
    <row r="104" spans="1:23" ht="16" outlineLevel="2" thickBot="1">
      <c r="A104" s="103"/>
      <c r="B104" s="135" t="s">
        <v>57</v>
      </c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7"/>
      <c r="W104" s="116"/>
    </row>
    <row r="105" spans="1:23" outlineLevel="1">
      <c r="A105" s="103"/>
      <c r="B105" s="143"/>
      <c r="C105" s="144"/>
      <c r="D105" s="144"/>
      <c r="E105" s="144"/>
      <c r="F105" s="144"/>
      <c r="G105" s="144"/>
    </row>
    <row r="106" spans="1:23">
      <c r="A106" s="103"/>
      <c r="B106" s="143"/>
      <c r="C106" s="144"/>
      <c r="D106" s="144"/>
      <c r="E106" s="144"/>
      <c r="F106" s="144"/>
      <c r="G106" s="144"/>
    </row>
    <row r="107" spans="1:23" ht="16" thickBot="1">
      <c r="A107" s="103"/>
      <c r="B107" s="143"/>
      <c r="C107" s="144"/>
      <c r="D107" s="144"/>
      <c r="E107" s="144"/>
      <c r="F107" s="144"/>
      <c r="G107" s="144"/>
    </row>
    <row r="108" spans="1:23" ht="26.25" customHeight="1" thickBot="1">
      <c r="A108" s="103"/>
      <c r="B108" s="113" t="s">
        <v>60</v>
      </c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6"/>
    </row>
    <row r="109" spans="1:23" ht="21" customHeight="1" outlineLevel="1" thickBot="1">
      <c r="A109"/>
      <c r="B109" s="114" t="s">
        <v>61</v>
      </c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</row>
    <row r="110" spans="1:23" ht="30" customHeight="1" outlineLevel="2" thickBot="1">
      <c r="A110" s="103"/>
      <c r="C110" s="193" t="s">
        <v>24</v>
      </c>
      <c r="D110" s="194"/>
      <c r="E110" s="194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5"/>
      <c r="W110" s="116"/>
    </row>
    <row r="111" spans="1:23" ht="15" customHeight="1" outlineLevel="2" thickBot="1">
      <c r="A111" s="103"/>
      <c r="B111" s="148"/>
      <c r="C111" s="117" t="s">
        <v>25</v>
      </c>
      <c r="D111" s="117" t="s">
        <v>26</v>
      </c>
      <c r="E111" s="118" t="s">
        <v>27</v>
      </c>
      <c r="F111" s="118" t="s">
        <v>28</v>
      </c>
      <c r="G111" s="118" t="s">
        <v>29</v>
      </c>
      <c r="H111" s="118" t="s">
        <v>30</v>
      </c>
      <c r="I111" s="118" t="s">
        <v>31</v>
      </c>
      <c r="J111" s="117" t="s">
        <v>32</v>
      </c>
      <c r="K111" s="117" t="s">
        <v>33</v>
      </c>
      <c r="L111" s="117" t="s">
        <v>34</v>
      </c>
      <c r="M111" s="117" t="s">
        <v>35</v>
      </c>
      <c r="N111" s="117" t="s">
        <v>36</v>
      </c>
      <c r="O111" s="118" t="s">
        <v>37</v>
      </c>
      <c r="P111" s="118" t="s">
        <v>38</v>
      </c>
      <c r="Q111" s="118" t="s">
        <v>39</v>
      </c>
      <c r="R111" s="118" t="s">
        <v>40</v>
      </c>
      <c r="S111" s="118" t="s">
        <v>41</v>
      </c>
      <c r="T111" s="117" t="s">
        <v>42</v>
      </c>
      <c r="U111" s="117" t="s">
        <v>43</v>
      </c>
      <c r="V111" s="117" t="s">
        <v>44</v>
      </c>
      <c r="W111" s="116"/>
    </row>
    <row r="112" spans="1:23" outlineLevel="2">
      <c r="A112" s="103"/>
      <c r="B112" s="145" t="s">
        <v>62</v>
      </c>
      <c r="C112" s="120"/>
      <c r="D112" s="121">
        <f>SUM('Aggregated demand'!F$10:F$12)</f>
        <v>4041.720745413159</v>
      </c>
      <c r="E112" s="120">
        <f>SUM('Aggregated demand'!G$10:G$12)</f>
        <v>4070.6982044543329</v>
      </c>
      <c r="F112" s="124">
        <f>SUM('Aggregated demand'!H$10:H$12)</f>
        <v>4100.4811682497138</v>
      </c>
      <c r="G112" s="124">
        <f>SUM('Aggregated demand'!I$10:I$12)</f>
        <v>4131.1017196502526</v>
      </c>
      <c r="H112" s="124">
        <f>SUM('Aggregated demand'!J$10:J$12)</f>
        <v>4162.5933183221632</v>
      </c>
      <c r="I112" s="121">
        <f>SUM('Aggregated demand'!K$10:K$12)</f>
        <v>4194.9908607762409</v>
      </c>
      <c r="J112" s="120">
        <f>SUM('Aggregated demand'!L$10:L$12)</f>
        <v>4228.3307430236537</v>
      </c>
      <c r="K112" s="124">
        <f>SUM('Aggregated demand'!M$10:M$12)</f>
        <v>4262.6509259732165</v>
      </c>
      <c r="L112" s="124">
        <f>SUM('Aggregated demand'!N$10:N$12)</f>
        <v>4297.9910036902029</v>
      </c>
      <c r="M112" s="124">
        <f>SUM('Aggregated demand'!O$10:O$12)</f>
        <v>4334.3922746419885</v>
      </c>
      <c r="N112" s="121">
        <f>SUM('Aggregated demand'!P$10:P$12)</f>
        <v>4371.8978160613178</v>
      </c>
      <c r="O112" s="120"/>
      <c r="P112" s="124"/>
      <c r="Q112" s="124"/>
      <c r="R112" s="124"/>
      <c r="S112" s="121"/>
      <c r="T112" s="120"/>
      <c r="U112" s="124"/>
      <c r="V112" s="124"/>
      <c r="W112" s="116"/>
    </row>
    <row r="113" spans="1:23" outlineLevel="2">
      <c r="A113" s="103"/>
      <c r="B113" s="146"/>
      <c r="C113" s="120"/>
      <c r="D113" s="121"/>
      <c r="E113" s="120"/>
      <c r="F113" s="124"/>
      <c r="G113" s="124"/>
      <c r="H113" s="124"/>
      <c r="I113" s="121"/>
      <c r="J113" s="120"/>
      <c r="K113" s="124"/>
      <c r="L113" s="124"/>
      <c r="M113" s="124"/>
      <c r="N113" s="121"/>
      <c r="O113" s="120"/>
      <c r="P113" s="124"/>
      <c r="Q113" s="124"/>
      <c r="R113" s="124"/>
      <c r="S113" s="121"/>
      <c r="T113" s="120"/>
      <c r="U113" s="124"/>
      <c r="V113" s="124"/>
      <c r="W113" s="116"/>
    </row>
    <row r="114" spans="1:23" outlineLevel="2">
      <c r="A114" s="103"/>
      <c r="B114" s="146"/>
      <c r="C114" s="120"/>
      <c r="D114" s="121"/>
      <c r="E114" s="120"/>
      <c r="F114" s="124"/>
      <c r="G114" s="124"/>
      <c r="H114" s="124"/>
      <c r="I114" s="121"/>
      <c r="J114" s="120"/>
      <c r="K114" s="124"/>
      <c r="L114" s="124"/>
      <c r="M114" s="124"/>
      <c r="N114" s="121"/>
      <c r="O114" s="120"/>
      <c r="P114" s="124"/>
      <c r="Q114" s="124"/>
      <c r="R114" s="124"/>
      <c r="S114" s="121"/>
      <c r="T114" s="120"/>
      <c r="U114" s="124"/>
      <c r="V114" s="124"/>
      <c r="W114" s="116"/>
    </row>
    <row r="115" spans="1:23" outlineLevel="2">
      <c r="A115" s="103"/>
      <c r="B115" s="146"/>
      <c r="C115" s="120"/>
      <c r="D115" s="121"/>
      <c r="E115" s="120"/>
      <c r="F115" s="124"/>
      <c r="G115" s="124"/>
      <c r="H115" s="124"/>
      <c r="I115" s="121"/>
      <c r="J115" s="120"/>
      <c r="K115" s="124"/>
      <c r="L115" s="124"/>
      <c r="M115" s="124"/>
      <c r="N115" s="121"/>
      <c r="O115" s="120"/>
      <c r="P115" s="124"/>
      <c r="Q115" s="124"/>
      <c r="R115" s="124"/>
      <c r="S115" s="121"/>
      <c r="T115" s="120"/>
      <c r="U115" s="124"/>
      <c r="V115" s="124"/>
      <c r="W115" s="116"/>
    </row>
    <row r="116" spans="1:23" outlineLevel="2">
      <c r="A116" s="103"/>
      <c r="B116" s="146"/>
      <c r="C116" s="120"/>
      <c r="D116" s="121"/>
      <c r="E116" s="120"/>
      <c r="F116" s="124"/>
      <c r="G116" s="124"/>
      <c r="H116" s="124"/>
      <c r="I116" s="121"/>
      <c r="J116" s="120"/>
      <c r="K116" s="124"/>
      <c r="L116" s="124"/>
      <c r="M116" s="124"/>
      <c r="N116" s="121"/>
      <c r="O116" s="120"/>
      <c r="P116" s="124"/>
      <c r="Q116" s="124"/>
      <c r="R116" s="124"/>
      <c r="S116" s="121"/>
      <c r="T116" s="120"/>
      <c r="U116" s="124"/>
      <c r="V116" s="124"/>
      <c r="W116" s="116"/>
    </row>
    <row r="117" spans="1:23" outlineLevel="2">
      <c r="A117" s="103"/>
      <c r="B117" s="146"/>
      <c r="C117" s="120"/>
      <c r="D117" s="121"/>
      <c r="E117" s="120"/>
      <c r="F117" s="124"/>
      <c r="G117" s="124"/>
      <c r="H117" s="124"/>
      <c r="I117" s="121"/>
      <c r="J117" s="120"/>
      <c r="K117" s="124"/>
      <c r="L117" s="124"/>
      <c r="M117" s="124"/>
      <c r="N117" s="121"/>
      <c r="O117" s="120"/>
      <c r="P117" s="124"/>
      <c r="Q117" s="124"/>
      <c r="R117" s="124"/>
      <c r="S117" s="121"/>
      <c r="T117" s="120"/>
      <c r="U117" s="124"/>
      <c r="V117" s="124"/>
      <c r="W117" s="116"/>
    </row>
    <row r="118" spans="1:23" outlineLevel="2">
      <c r="A118" s="103"/>
      <c r="B118" s="146"/>
      <c r="C118" s="120"/>
      <c r="D118" s="121"/>
      <c r="E118" s="120"/>
      <c r="F118" s="124"/>
      <c r="G118" s="124"/>
      <c r="H118" s="124"/>
      <c r="I118" s="121"/>
      <c r="J118" s="120"/>
      <c r="K118" s="124"/>
      <c r="L118" s="124"/>
      <c r="M118" s="124"/>
      <c r="N118" s="121"/>
      <c r="O118" s="120"/>
      <c r="P118" s="124"/>
      <c r="Q118" s="124"/>
      <c r="R118" s="124"/>
      <c r="S118" s="121"/>
      <c r="T118" s="120"/>
      <c r="U118" s="124"/>
      <c r="V118" s="124"/>
      <c r="W118" s="116"/>
    </row>
    <row r="119" spans="1:23" outlineLevel="2">
      <c r="A119" s="103"/>
      <c r="B119" s="146"/>
      <c r="C119" s="120"/>
      <c r="D119" s="121"/>
      <c r="E119" s="120"/>
      <c r="F119" s="124"/>
      <c r="G119" s="124"/>
      <c r="H119" s="124"/>
      <c r="I119" s="121"/>
      <c r="J119" s="120"/>
      <c r="K119" s="124"/>
      <c r="L119" s="124"/>
      <c r="M119" s="124"/>
      <c r="N119" s="121"/>
      <c r="O119" s="120"/>
      <c r="P119" s="124"/>
      <c r="Q119" s="124"/>
      <c r="R119" s="124"/>
      <c r="S119" s="121"/>
      <c r="T119" s="120"/>
      <c r="U119" s="124"/>
      <c r="V119" s="124"/>
      <c r="W119" s="116"/>
    </row>
    <row r="120" spans="1:23" outlineLevel="2">
      <c r="A120" s="103"/>
      <c r="B120" s="146"/>
      <c r="C120" s="120"/>
      <c r="D120" s="121"/>
      <c r="E120" s="120"/>
      <c r="F120" s="124"/>
      <c r="G120" s="124"/>
      <c r="H120" s="124"/>
      <c r="I120" s="121"/>
      <c r="J120" s="120"/>
      <c r="K120" s="124"/>
      <c r="L120" s="124"/>
      <c r="M120" s="124"/>
      <c r="N120" s="121"/>
      <c r="O120" s="120"/>
      <c r="P120" s="124"/>
      <c r="Q120" s="124"/>
      <c r="R120" s="124"/>
      <c r="S120" s="121"/>
      <c r="T120" s="120"/>
      <c r="U120" s="124"/>
      <c r="V120" s="124"/>
      <c r="W120" s="116"/>
    </row>
    <row r="121" spans="1:23" ht="16" outlineLevel="2" thickBot="1">
      <c r="A121" s="103"/>
      <c r="B121" s="146"/>
      <c r="C121" s="120"/>
      <c r="D121" s="121"/>
      <c r="E121" s="120"/>
      <c r="F121" s="124"/>
      <c r="G121" s="124"/>
      <c r="H121" s="124"/>
      <c r="I121" s="121"/>
      <c r="J121" s="120"/>
      <c r="K121" s="124"/>
      <c r="L121" s="124"/>
      <c r="M121" s="124"/>
      <c r="N121" s="121"/>
      <c r="O121" s="120"/>
      <c r="P121" s="124"/>
      <c r="Q121" s="124"/>
      <c r="R121" s="124"/>
      <c r="S121" s="121"/>
      <c r="T121" s="120"/>
      <c r="U121" s="124"/>
      <c r="V121" s="124"/>
      <c r="W121" s="116"/>
    </row>
    <row r="122" spans="1:23" ht="16" outlineLevel="2" thickBot="1">
      <c r="A122" s="103"/>
      <c r="B122" s="135" t="s">
        <v>63</v>
      </c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7"/>
      <c r="W122" s="116"/>
    </row>
    <row r="123" spans="1:23" ht="16" outlineLevel="1" thickBot="1"/>
    <row r="124" spans="1:23" ht="21" customHeight="1" outlineLevel="1" thickBot="1">
      <c r="A124"/>
      <c r="B124" s="114" t="s">
        <v>64</v>
      </c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</row>
    <row r="125" spans="1:23" ht="30" customHeight="1" outlineLevel="2" thickBot="1">
      <c r="A125" s="103"/>
      <c r="C125" s="193" t="s">
        <v>24</v>
      </c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5"/>
      <c r="W125" s="116"/>
    </row>
    <row r="126" spans="1:23" ht="15" customHeight="1" outlineLevel="2" thickBot="1">
      <c r="A126" s="103"/>
      <c r="B126" s="148"/>
      <c r="C126" s="117" t="s">
        <v>25</v>
      </c>
      <c r="D126" s="117" t="s">
        <v>26</v>
      </c>
      <c r="E126" s="118" t="s">
        <v>27</v>
      </c>
      <c r="F126" s="118" t="s">
        <v>28</v>
      </c>
      <c r="G126" s="118" t="s">
        <v>29</v>
      </c>
      <c r="H126" s="118" t="s">
        <v>30</v>
      </c>
      <c r="I126" s="118" t="s">
        <v>31</v>
      </c>
      <c r="J126" s="117" t="s">
        <v>32</v>
      </c>
      <c r="K126" s="117" t="s">
        <v>33</v>
      </c>
      <c r="L126" s="117" t="s">
        <v>34</v>
      </c>
      <c r="M126" s="117" t="s">
        <v>35</v>
      </c>
      <c r="N126" s="117" t="s">
        <v>36</v>
      </c>
      <c r="O126" s="118" t="s">
        <v>37</v>
      </c>
      <c r="P126" s="118" t="s">
        <v>38</v>
      </c>
      <c r="Q126" s="118" t="s">
        <v>39</v>
      </c>
      <c r="R126" s="118" t="s">
        <v>40</v>
      </c>
      <c r="S126" s="118" t="s">
        <v>41</v>
      </c>
      <c r="T126" s="117" t="s">
        <v>42</v>
      </c>
      <c r="U126" s="117" t="s">
        <v>43</v>
      </c>
      <c r="V126" s="117" t="s">
        <v>44</v>
      </c>
      <c r="W126" s="116"/>
    </row>
    <row r="127" spans="1:23" outlineLevel="2">
      <c r="A127" s="103"/>
      <c r="B127" s="145"/>
      <c r="C127" s="120"/>
      <c r="D127" s="121"/>
      <c r="E127" s="120"/>
      <c r="F127" s="124"/>
      <c r="G127" s="124"/>
      <c r="H127" s="124"/>
      <c r="I127" s="121"/>
      <c r="J127" s="120"/>
      <c r="K127" s="124"/>
      <c r="L127" s="124"/>
      <c r="M127" s="124"/>
      <c r="N127" s="121"/>
      <c r="O127" s="120"/>
      <c r="P127" s="124"/>
      <c r="Q127" s="124"/>
      <c r="R127" s="124"/>
      <c r="S127" s="121"/>
      <c r="T127" s="120"/>
      <c r="U127" s="124"/>
      <c r="V127" s="124"/>
      <c r="W127" s="116"/>
    </row>
    <row r="128" spans="1:23" outlineLevel="2">
      <c r="A128" s="103"/>
      <c r="B128" s="146"/>
      <c r="C128" s="120"/>
      <c r="D128" s="121"/>
      <c r="E128" s="120"/>
      <c r="F128" s="124"/>
      <c r="G128" s="124"/>
      <c r="H128" s="124"/>
      <c r="I128" s="121"/>
      <c r="J128" s="120"/>
      <c r="K128" s="124"/>
      <c r="L128" s="124"/>
      <c r="M128" s="124"/>
      <c r="N128" s="121"/>
      <c r="O128" s="120"/>
      <c r="P128" s="124"/>
      <c r="Q128" s="124"/>
      <c r="R128" s="124"/>
      <c r="S128" s="121"/>
      <c r="T128" s="120"/>
      <c r="U128" s="124"/>
      <c r="V128" s="124"/>
      <c r="W128" s="116"/>
    </row>
    <row r="129" spans="1:23" outlineLevel="2">
      <c r="A129" s="103"/>
      <c r="B129" s="146"/>
      <c r="C129" s="120"/>
      <c r="D129" s="121"/>
      <c r="E129" s="120"/>
      <c r="F129" s="124"/>
      <c r="G129" s="124"/>
      <c r="H129" s="124"/>
      <c r="I129" s="121"/>
      <c r="J129" s="120"/>
      <c r="K129" s="124"/>
      <c r="L129" s="124"/>
      <c r="M129" s="124"/>
      <c r="N129" s="121"/>
      <c r="O129" s="120"/>
      <c r="P129" s="124"/>
      <c r="Q129" s="124"/>
      <c r="R129" s="124"/>
      <c r="S129" s="121"/>
      <c r="T129" s="120"/>
      <c r="U129" s="124"/>
      <c r="V129" s="124"/>
      <c r="W129" s="116"/>
    </row>
    <row r="130" spans="1:23" outlineLevel="2">
      <c r="A130" s="103"/>
      <c r="B130" s="146"/>
      <c r="C130" s="120"/>
      <c r="D130" s="121"/>
      <c r="E130" s="120"/>
      <c r="F130" s="124"/>
      <c r="G130" s="124"/>
      <c r="H130" s="124"/>
      <c r="I130" s="121"/>
      <c r="J130" s="120"/>
      <c r="K130" s="124"/>
      <c r="L130" s="124"/>
      <c r="M130" s="124"/>
      <c r="N130" s="121"/>
      <c r="O130" s="120"/>
      <c r="P130" s="124"/>
      <c r="Q130" s="124"/>
      <c r="R130" s="124"/>
      <c r="S130" s="121"/>
      <c r="T130" s="120"/>
      <c r="U130" s="124"/>
      <c r="V130" s="124"/>
      <c r="W130" s="116"/>
    </row>
    <row r="131" spans="1:23" outlineLevel="2">
      <c r="A131" s="103"/>
      <c r="B131" s="146"/>
      <c r="C131" s="120"/>
      <c r="D131" s="121"/>
      <c r="E131" s="120"/>
      <c r="F131" s="124"/>
      <c r="G131" s="124"/>
      <c r="H131" s="124"/>
      <c r="I131" s="121"/>
      <c r="J131" s="120"/>
      <c r="K131" s="124"/>
      <c r="L131" s="124"/>
      <c r="M131" s="124"/>
      <c r="N131" s="121"/>
      <c r="O131" s="120"/>
      <c r="P131" s="124"/>
      <c r="Q131" s="124"/>
      <c r="R131" s="124"/>
      <c r="S131" s="121"/>
      <c r="T131" s="120"/>
      <c r="U131" s="124"/>
      <c r="V131" s="124"/>
      <c r="W131" s="116"/>
    </row>
    <row r="132" spans="1:23" outlineLevel="2">
      <c r="A132" s="103"/>
      <c r="B132" s="146"/>
      <c r="C132" s="120"/>
      <c r="D132" s="121"/>
      <c r="E132" s="120"/>
      <c r="F132" s="124"/>
      <c r="G132" s="124"/>
      <c r="H132" s="124"/>
      <c r="I132" s="121"/>
      <c r="J132" s="120"/>
      <c r="K132" s="124"/>
      <c r="L132" s="124"/>
      <c r="M132" s="124"/>
      <c r="N132" s="121"/>
      <c r="O132" s="120"/>
      <c r="P132" s="124"/>
      <c r="Q132" s="124"/>
      <c r="R132" s="124"/>
      <c r="S132" s="121"/>
      <c r="T132" s="120"/>
      <c r="U132" s="124"/>
      <c r="V132" s="124"/>
      <c r="W132" s="116"/>
    </row>
    <row r="133" spans="1:23" outlineLevel="2">
      <c r="A133" s="103"/>
      <c r="B133" s="146"/>
      <c r="C133" s="120"/>
      <c r="D133" s="121"/>
      <c r="E133" s="120"/>
      <c r="F133" s="124"/>
      <c r="G133" s="124"/>
      <c r="H133" s="124"/>
      <c r="I133" s="121"/>
      <c r="J133" s="120"/>
      <c r="K133" s="124"/>
      <c r="L133" s="124"/>
      <c r="M133" s="124"/>
      <c r="N133" s="121"/>
      <c r="O133" s="120"/>
      <c r="P133" s="124"/>
      <c r="Q133" s="124"/>
      <c r="R133" s="124"/>
      <c r="S133" s="121"/>
      <c r="T133" s="120"/>
      <c r="U133" s="124"/>
      <c r="V133" s="124"/>
      <c r="W133" s="116"/>
    </row>
    <row r="134" spans="1:23" outlineLevel="2">
      <c r="A134" s="103"/>
      <c r="B134" s="146"/>
      <c r="C134" s="120"/>
      <c r="D134" s="121"/>
      <c r="E134" s="120"/>
      <c r="F134" s="124"/>
      <c r="G134" s="124"/>
      <c r="H134" s="124"/>
      <c r="I134" s="121"/>
      <c r="J134" s="120"/>
      <c r="K134" s="124"/>
      <c r="L134" s="124"/>
      <c r="M134" s="124"/>
      <c r="N134" s="121"/>
      <c r="O134" s="120"/>
      <c r="P134" s="124"/>
      <c r="Q134" s="124"/>
      <c r="R134" s="124"/>
      <c r="S134" s="121"/>
      <c r="T134" s="120"/>
      <c r="U134" s="124"/>
      <c r="V134" s="124"/>
      <c r="W134" s="116"/>
    </row>
    <row r="135" spans="1:23" outlineLevel="2">
      <c r="A135" s="103"/>
      <c r="B135" s="146"/>
      <c r="C135" s="120"/>
      <c r="D135" s="121"/>
      <c r="E135" s="120"/>
      <c r="F135" s="124"/>
      <c r="G135" s="124"/>
      <c r="H135" s="124"/>
      <c r="I135" s="121"/>
      <c r="J135" s="120"/>
      <c r="K135" s="124"/>
      <c r="L135" s="124"/>
      <c r="M135" s="124"/>
      <c r="N135" s="121"/>
      <c r="O135" s="120"/>
      <c r="P135" s="124"/>
      <c r="Q135" s="124"/>
      <c r="R135" s="124"/>
      <c r="S135" s="121"/>
      <c r="T135" s="120"/>
      <c r="U135" s="124"/>
      <c r="V135" s="124"/>
      <c r="W135" s="116"/>
    </row>
    <row r="136" spans="1:23" ht="16" outlineLevel="2" thickBot="1">
      <c r="A136" s="103"/>
      <c r="B136" s="146"/>
      <c r="C136" s="120"/>
      <c r="D136" s="121"/>
      <c r="E136" s="120"/>
      <c r="F136" s="124"/>
      <c r="G136" s="124"/>
      <c r="H136" s="124"/>
      <c r="I136" s="121"/>
      <c r="J136" s="120"/>
      <c r="K136" s="124"/>
      <c r="L136" s="124"/>
      <c r="M136" s="124"/>
      <c r="N136" s="121"/>
      <c r="O136" s="120"/>
      <c r="P136" s="124"/>
      <c r="Q136" s="124"/>
      <c r="R136" s="124"/>
      <c r="S136" s="121"/>
      <c r="T136" s="120"/>
      <c r="U136" s="124"/>
      <c r="V136" s="124"/>
      <c r="W136" s="116"/>
    </row>
    <row r="137" spans="1:23" ht="16" outlineLevel="2" thickBot="1">
      <c r="A137" s="103"/>
      <c r="B137" s="135" t="s">
        <v>63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7"/>
      <c r="W137" s="116"/>
    </row>
    <row r="138" spans="1:23" ht="16" outlineLevel="1" thickBot="1"/>
    <row r="139" spans="1:23" ht="21" customHeight="1" outlineLevel="1" thickBot="1">
      <c r="A139"/>
      <c r="B139" s="114" t="s">
        <v>65</v>
      </c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</row>
    <row r="140" spans="1:23" ht="30" customHeight="1" outlineLevel="2" thickBot="1">
      <c r="A140" s="103"/>
      <c r="C140" s="193" t="s">
        <v>24</v>
      </c>
      <c r="D140" s="194"/>
      <c r="E140" s="194"/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5"/>
      <c r="W140" s="116"/>
    </row>
    <row r="141" spans="1:23" ht="15" customHeight="1" outlineLevel="2" thickBot="1">
      <c r="A141" s="103"/>
      <c r="B141" s="148"/>
      <c r="C141" s="117" t="s">
        <v>25</v>
      </c>
      <c r="D141" s="117" t="s">
        <v>26</v>
      </c>
      <c r="E141" s="118" t="s">
        <v>27</v>
      </c>
      <c r="F141" s="118" t="s">
        <v>28</v>
      </c>
      <c r="G141" s="118" t="s">
        <v>29</v>
      </c>
      <c r="H141" s="118" t="s">
        <v>30</v>
      </c>
      <c r="I141" s="118" t="s">
        <v>31</v>
      </c>
      <c r="J141" s="117" t="s">
        <v>32</v>
      </c>
      <c r="K141" s="117" t="s">
        <v>33</v>
      </c>
      <c r="L141" s="117" t="s">
        <v>34</v>
      </c>
      <c r="M141" s="117" t="s">
        <v>35</v>
      </c>
      <c r="N141" s="117" t="s">
        <v>36</v>
      </c>
      <c r="O141" s="118" t="s">
        <v>37</v>
      </c>
      <c r="P141" s="118" t="s">
        <v>38</v>
      </c>
      <c r="Q141" s="118" t="s">
        <v>39</v>
      </c>
      <c r="R141" s="118" t="s">
        <v>40</v>
      </c>
      <c r="S141" s="118" t="s">
        <v>41</v>
      </c>
      <c r="T141" s="117" t="s">
        <v>42</v>
      </c>
      <c r="U141" s="117" t="s">
        <v>43</v>
      </c>
      <c r="V141" s="117" t="s">
        <v>44</v>
      </c>
      <c r="W141" s="116"/>
    </row>
    <row r="142" spans="1:23" outlineLevel="2">
      <c r="A142" s="103"/>
      <c r="B142" s="145"/>
      <c r="C142" s="120"/>
      <c r="D142" s="121"/>
      <c r="E142" s="120"/>
      <c r="F142" s="124"/>
      <c r="G142" s="124"/>
      <c r="H142" s="124"/>
      <c r="I142" s="121"/>
      <c r="J142" s="120"/>
      <c r="K142" s="124"/>
      <c r="L142" s="124"/>
      <c r="M142" s="124"/>
      <c r="N142" s="121"/>
      <c r="O142" s="120"/>
      <c r="P142" s="124"/>
      <c r="Q142" s="124"/>
      <c r="R142" s="124"/>
      <c r="S142" s="121"/>
      <c r="T142" s="120"/>
      <c r="U142" s="124"/>
      <c r="V142" s="124"/>
      <c r="W142" s="116"/>
    </row>
    <row r="143" spans="1:23" outlineLevel="2">
      <c r="A143" s="103"/>
      <c r="B143" s="146"/>
      <c r="C143" s="120"/>
      <c r="D143" s="121"/>
      <c r="E143" s="120"/>
      <c r="F143" s="124"/>
      <c r="G143" s="124"/>
      <c r="H143" s="124"/>
      <c r="I143" s="121"/>
      <c r="J143" s="120"/>
      <c r="K143" s="124"/>
      <c r="L143" s="124"/>
      <c r="M143" s="124"/>
      <c r="N143" s="121"/>
      <c r="O143" s="120"/>
      <c r="P143" s="124"/>
      <c r="Q143" s="124"/>
      <c r="R143" s="124"/>
      <c r="S143" s="121"/>
      <c r="T143" s="120"/>
      <c r="U143" s="124"/>
      <c r="V143" s="124"/>
      <c r="W143" s="116"/>
    </row>
    <row r="144" spans="1:23" outlineLevel="2">
      <c r="A144" s="103"/>
      <c r="B144" s="146"/>
      <c r="C144" s="120"/>
      <c r="D144" s="121"/>
      <c r="E144" s="120"/>
      <c r="F144" s="124"/>
      <c r="G144" s="124"/>
      <c r="H144" s="124"/>
      <c r="I144" s="121"/>
      <c r="J144" s="120"/>
      <c r="K144" s="124"/>
      <c r="L144" s="124"/>
      <c r="M144" s="124"/>
      <c r="N144" s="121"/>
      <c r="O144" s="120"/>
      <c r="P144" s="124"/>
      <c r="Q144" s="124"/>
      <c r="R144" s="124"/>
      <c r="S144" s="121"/>
      <c r="T144" s="120"/>
      <c r="U144" s="124"/>
      <c r="V144" s="124"/>
      <c r="W144" s="116"/>
    </row>
    <row r="145" spans="1:23" outlineLevel="2">
      <c r="A145" s="103"/>
      <c r="B145" s="146"/>
      <c r="C145" s="120"/>
      <c r="D145" s="121"/>
      <c r="E145" s="120"/>
      <c r="F145" s="124"/>
      <c r="G145" s="124"/>
      <c r="H145" s="124"/>
      <c r="I145" s="121"/>
      <c r="J145" s="120"/>
      <c r="K145" s="124"/>
      <c r="L145" s="124"/>
      <c r="M145" s="124"/>
      <c r="N145" s="121"/>
      <c r="O145" s="120"/>
      <c r="P145" s="124"/>
      <c r="Q145" s="124"/>
      <c r="R145" s="124"/>
      <c r="S145" s="121"/>
      <c r="T145" s="120"/>
      <c r="U145" s="124"/>
      <c r="V145" s="124"/>
      <c r="W145" s="116"/>
    </row>
    <row r="146" spans="1:23" outlineLevel="2">
      <c r="A146" s="103"/>
      <c r="B146" s="146"/>
      <c r="C146" s="120"/>
      <c r="D146" s="121"/>
      <c r="E146" s="120"/>
      <c r="F146" s="124"/>
      <c r="G146" s="124"/>
      <c r="H146" s="124"/>
      <c r="I146" s="121"/>
      <c r="J146" s="120"/>
      <c r="K146" s="124"/>
      <c r="L146" s="124"/>
      <c r="M146" s="124"/>
      <c r="N146" s="121"/>
      <c r="O146" s="120"/>
      <c r="P146" s="124"/>
      <c r="Q146" s="124"/>
      <c r="R146" s="124"/>
      <c r="S146" s="121"/>
      <c r="T146" s="120"/>
      <c r="U146" s="124"/>
      <c r="V146" s="124"/>
      <c r="W146" s="116"/>
    </row>
    <row r="147" spans="1:23" outlineLevel="2">
      <c r="A147" s="103"/>
      <c r="B147" s="146"/>
      <c r="C147" s="120"/>
      <c r="D147" s="121"/>
      <c r="E147" s="120"/>
      <c r="F147" s="124"/>
      <c r="G147" s="124"/>
      <c r="H147" s="124"/>
      <c r="I147" s="121"/>
      <c r="J147" s="120"/>
      <c r="K147" s="124"/>
      <c r="L147" s="124"/>
      <c r="M147" s="124"/>
      <c r="N147" s="121"/>
      <c r="O147" s="120"/>
      <c r="P147" s="124"/>
      <c r="Q147" s="124"/>
      <c r="R147" s="124"/>
      <c r="S147" s="121"/>
      <c r="T147" s="120"/>
      <c r="U147" s="124"/>
      <c r="V147" s="124"/>
      <c r="W147" s="116"/>
    </row>
    <row r="148" spans="1:23" outlineLevel="2">
      <c r="A148" s="103"/>
      <c r="B148" s="146"/>
      <c r="C148" s="120"/>
      <c r="D148" s="121"/>
      <c r="E148" s="120"/>
      <c r="F148" s="124"/>
      <c r="G148" s="124"/>
      <c r="H148" s="124"/>
      <c r="I148" s="121"/>
      <c r="J148" s="120"/>
      <c r="K148" s="124"/>
      <c r="L148" s="124"/>
      <c r="M148" s="124"/>
      <c r="N148" s="121"/>
      <c r="O148" s="120"/>
      <c r="P148" s="124"/>
      <c r="Q148" s="124"/>
      <c r="R148" s="124"/>
      <c r="S148" s="121"/>
      <c r="T148" s="120"/>
      <c r="U148" s="124"/>
      <c r="V148" s="124"/>
      <c r="W148" s="116"/>
    </row>
    <row r="149" spans="1:23" outlineLevel="2">
      <c r="A149" s="103"/>
      <c r="B149" s="146"/>
      <c r="C149" s="120"/>
      <c r="D149" s="121"/>
      <c r="E149" s="120"/>
      <c r="F149" s="124"/>
      <c r="G149" s="124"/>
      <c r="H149" s="124"/>
      <c r="I149" s="121"/>
      <c r="J149" s="120"/>
      <c r="K149" s="124"/>
      <c r="L149" s="124"/>
      <c r="M149" s="124"/>
      <c r="N149" s="121"/>
      <c r="O149" s="120"/>
      <c r="P149" s="124"/>
      <c r="Q149" s="124"/>
      <c r="R149" s="124"/>
      <c r="S149" s="121"/>
      <c r="T149" s="120"/>
      <c r="U149" s="124"/>
      <c r="V149" s="124"/>
      <c r="W149" s="116"/>
    </row>
    <row r="150" spans="1:23" outlineLevel="2">
      <c r="A150" s="103"/>
      <c r="B150" s="146"/>
      <c r="C150" s="120"/>
      <c r="D150" s="121"/>
      <c r="E150" s="120"/>
      <c r="F150" s="124"/>
      <c r="G150" s="124"/>
      <c r="H150" s="124"/>
      <c r="I150" s="121"/>
      <c r="J150" s="120"/>
      <c r="K150" s="124"/>
      <c r="L150" s="124"/>
      <c r="M150" s="124"/>
      <c r="N150" s="121"/>
      <c r="O150" s="120"/>
      <c r="P150" s="124"/>
      <c r="Q150" s="124"/>
      <c r="R150" s="124"/>
      <c r="S150" s="121"/>
      <c r="T150" s="120"/>
      <c r="U150" s="124"/>
      <c r="V150" s="124"/>
      <c r="W150" s="116"/>
    </row>
    <row r="151" spans="1:23" ht="16" outlineLevel="2" thickBot="1">
      <c r="A151" s="103"/>
      <c r="B151" s="146"/>
      <c r="C151" s="120"/>
      <c r="D151" s="121"/>
      <c r="E151" s="120"/>
      <c r="F151" s="124"/>
      <c r="G151" s="124"/>
      <c r="H151" s="124"/>
      <c r="I151" s="121"/>
      <c r="J151" s="120"/>
      <c r="K151" s="124"/>
      <c r="L151" s="124"/>
      <c r="M151" s="124"/>
      <c r="N151" s="121"/>
      <c r="O151" s="120"/>
      <c r="P151" s="124"/>
      <c r="Q151" s="124"/>
      <c r="R151" s="124"/>
      <c r="S151" s="121"/>
      <c r="T151" s="120"/>
      <c r="U151" s="124"/>
      <c r="V151" s="124"/>
      <c r="W151" s="116"/>
    </row>
    <row r="152" spans="1:23" ht="16" outlineLevel="2" thickBot="1">
      <c r="A152" s="103"/>
      <c r="B152" s="135" t="s">
        <v>63</v>
      </c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7"/>
      <c r="W152" s="116"/>
    </row>
    <row r="153" spans="1:23" outlineLevel="1"/>
  </sheetData>
  <mergeCells count="16">
    <mergeCell ref="C110:V110"/>
    <mergeCell ref="C125:V125"/>
    <mergeCell ref="C140:V140"/>
    <mergeCell ref="B47:B48"/>
    <mergeCell ref="C47:V47"/>
    <mergeCell ref="B67:B68"/>
    <mergeCell ref="C67:V67"/>
    <mergeCell ref="B87:B88"/>
    <mergeCell ref="C87:V87"/>
    <mergeCell ref="B33:B34"/>
    <mergeCell ref="C33:V33"/>
    <mergeCell ref="D6:E7"/>
    <mergeCell ref="B11:B12"/>
    <mergeCell ref="C11:V11"/>
    <mergeCell ref="B22:B23"/>
    <mergeCell ref="C22:V22"/>
  </mergeCells>
  <conditionalFormatting sqref="B49:V63">
    <cfRule type="expression" dxfId="143" priority="223" stopIfTrue="1">
      <formula>dms_0707_flag="NO"</formula>
    </cfRule>
  </conditionalFormatting>
  <conditionalFormatting sqref="B69:V83">
    <cfRule type="expression" dxfId="142" priority="99" stopIfTrue="1">
      <formula>dms_0707_flag="NO"</formula>
    </cfRule>
  </conditionalFormatting>
  <conditionalFormatting sqref="B89:V103">
    <cfRule type="expression" dxfId="141" priority="85" stopIfTrue="1">
      <formula>dms_0707_flag="NO"</formula>
    </cfRule>
  </conditionalFormatting>
  <conditionalFormatting sqref="B112:V121">
    <cfRule type="expression" dxfId="140" priority="57" stopIfTrue="1">
      <formula>dms_0707_flag="NO"</formula>
    </cfRule>
  </conditionalFormatting>
  <conditionalFormatting sqref="B127:V136">
    <cfRule type="expression" dxfId="139" priority="29" stopIfTrue="1">
      <formula>dms_0707_flag="NO"</formula>
    </cfRule>
  </conditionalFormatting>
  <conditionalFormatting sqref="B142:V151">
    <cfRule type="expression" dxfId="138" priority="1" stopIfTrue="1">
      <formula>dms_0707_flag="NO"</formula>
    </cfRule>
  </conditionalFormatting>
  <conditionalFormatting sqref="C24:V29 C35:V40 C13:V18">
    <cfRule type="expression" dxfId="137" priority="224" stopIfTrue="1">
      <formula>dms_0707_flag="no"</formula>
    </cfRule>
  </conditionalFormatting>
  <conditionalFormatting sqref="D13:D19">
    <cfRule type="expression" dxfId="136" priority="263">
      <formula>(dms_FRCPlength_Num)&lt;5</formula>
    </cfRule>
  </conditionalFormatting>
  <conditionalFormatting sqref="D24:D29">
    <cfRule type="expression" dxfId="135" priority="253">
      <formula>(dms_FRCPlength_Num)&lt;5</formula>
    </cfRule>
  </conditionalFormatting>
  <conditionalFormatting sqref="D24:D30">
    <cfRule type="expression" dxfId="134" priority="188">
      <formula>(dms_FRCPlength_Num)&lt;5</formula>
    </cfRule>
  </conditionalFormatting>
  <conditionalFormatting sqref="D35:D40">
    <cfRule type="expression" dxfId="133" priority="243">
      <formula>(dms_FRCPlength_Num)&lt;5</formula>
    </cfRule>
  </conditionalFormatting>
  <conditionalFormatting sqref="D35:D41">
    <cfRule type="expression" dxfId="132" priority="178">
      <formula>(dms_FRCPlength_Num)&lt;5</formula>
    </cfRule>
  </conditionalFormatting>
  <conditionalFormatting sqref="D49:D63">
    <cfRule type="expression" dxfId="131" priority="228">
      <formula>(dms_FRCPlength_Num)&lt;5</formula>
    </cfRule>
  </conditionalFormatting>
  <conditionalFormatting sqref="D64">
    <cfRule type="expression" dxfId="130" priority="168">
      <formula>(dms_FRCPlength_Num)&lt;5</formula>
    </cfRule>
  </conditionalFormatting>
  <conditionalFormatting sqref="D69:D84">
    <cfRule type="expression" dxfId="129" priority="103">
      <formula>(dms_FRCPlength_Num)&lt;5</formula>
    </cfRule>
  </conditionalFormatting>
  <conditionalFormatting sqref="D89:D104">
    <cfRule type="expression" dxfId="128" priority="89">
      <formula>(dms_FRCPlength_Num)&lt;5</formula>
    </cfRule>
  </conditionalFormatting>
  <conditionalFormatting sqref="D112:D122">
    <cfRule type="expression" dxfId="127" priority="61">
      <formula>(dms_FRCPlength_Num)&lt;5</formula>
    </cfRule>
  </conditionalFormatting>
  <conditionalFormatting sqref="D127:D137">
    <cfRule type="expression" dxfId="126" priority="33">
      <formula>(dms_FRCPlength_Num)&lt;5</formula>
    </cfRule>
  </conditionalFormatting>
  <conditionalFormatting sqref="D142:D152">
    <cfRule type="expression" dxfId="125" priority="5">
      <formula>(dms_FRCPlength_Num)&lt;5</formula>
    </cfRule>
  </conditionalFormatting>
  <conditionalFormatting sqref="F13:F19">
    <cfRule type="expression" dxfId="124" priority="267">
      <formula>(dms_FRCPlength_Num)&lt;4</formula>
    </cfRule>
  </conditionalFormatting>
  <conditionalFormatting sqref="F24:F29">
    <cfRule type="expression" dxfId="123" priority="257">
      <formula>(dms_FRCPlength_Num)&lt;4</formula>
    </cfRule>
  </conditionalFormatting>
  <conditionalFormatting sqref="F24:F30">
    <cfRule type="expression" dxfId="122" priority="192">
      <formula>(dms_FRCPlength_Num)&lt;4</formula>
    </cfRule>
  </conditionalFormatting>
  <conditionalFormatting sqref="F35:F40">
    <cfRule type="expression" dxfId="121" priority="247">
      <formula>(dms_FRCPlength_Num)&lt;4</formula>
    </cfRule>
  </conditionalFormatting>
  <conditionalFormatting sqref="F35:F41">
    <cfRule type="expression" dxfId="120" priority="182">
      <formula>(dms_FRCPlength_Num)&lt;4</formula>
    </cfRule>
  </conditionalFormatting>
  <conditionalFormatting sqref="F49:F63">
    <cfRule type="expression" dxfId="119" priority="237">
      <formula>(dms_FRCPlength_Num)&lt;4</formula>
    </cfRule>
  </conditionalFormatting>
  <conditionalFormatting sqref="F64">
    <cfRule type="expression" dxfId="118" priority="172">
      <formula>(dms_FRCPlength_Num)&lt;4</formula>
    </cfRule>
  </conditionalFormatting>
  <conditionalFormatting sqref="F69:F84">
    <cfRule type="expression" dxfId="117" priority="112">
      <formula>(dms_FRCPlength_Num)&lt;4</formula>
    </cfRule>
  </conditionalFormatting>
  <conditionalFormatting sqref="F89:F104">
    <cfRule type="expression" dxfId="116" priority="98">
      <formula>(dms_FRCPlength_Num)&lt;4</formula>
    </cfRule>
  </conditionalFormatting>
  <conditionalFormatting sqref="F112:F122">
    <cfRule type="expression" dxfId="115" priority="70">
      <formula>(dms_FRCPlength_Num)&lt;4</formula>
    </cfRule>
  </conditionalFormatting>
  <conditionalFormatting sqref="F127:F137">
    <cfRule type="expression" dxfId="114" priority="42">
      <formula>(dms_FRCPlength_Num)&lt;4</formula>
    </cfRule>
  </conditionalFormatting>
  <conditionalFormatting sqref="F142:F152">
    <cfRule type="expression" dxfId="113" priority="14">
      <formula>(dms_FRCPlength_Num)&lt;4</formula>
    </cfRule>
  </conditionalFormatting>
  <conditionalFormatting sqref="G49:G63">
    <cfRule type="expression" dxfId="112" priority="236">
      <formula>(dms_FRCPlength_Num)&lt;5</formula>
    </cfRule>
  </conditionalFormatting>
  <conditionalFormatting sqref="G69:G83">
    <cfRule type="expression" dxfId="111" priority="111">
      <formula>(dms_FRCPlength_Num)&lt;5</formula>
    </cfRule>
  </conditionalFormatting>
  <conditionalFormatting sqref="G89:G103">
    <cfRule type="expression" dxfId="110" priority="97">
      <formula>(dms_FRCPlength_Num)&lt;5</formula>
    </cfRule>
  </conditionalFormatting>
  <conditionalFormatting sqref="G112:G121">
    <cfRule type="expression" dxfId="109" priority="69">
      <formula>(dms_FRCPlength_Num)&lt;5</formula>
    </cfRule>
  </conditionalFormatting>
  <conditionalFormatting sqref="G127:G136">
    <cfRule type="expression" dxfId="108" priority="41">
      <formula>(dms_FRCPlength_Num)&lt;5</formula>
    </cfRule>
  </conditionalFormatting>
  <conditionalFormatting sqref="G142:G151">
    <cfRule type="expression" dxfId="107" priority="13">
      <formula>(dms_FRCPlength_Num)&lt;5</formula>
    </cfRule>
  </conditionalFormatting>
  <conditionalFormatting sqref="H13:H19">
    <cfRule type="expression" dxfId="106" priority="262">
      <formula>(dms_FRCPlength_Num)&lt;3</formula>
    </cfRule>
  </conditionalFormatting>
  <conditionalFormatting sqref="H24:H29">
    <cfRule type="expression" dxfId="105" priority="252">
      <formula>(dms_FRCPlength_Num)&lt;3</formula>
    </cfRule>
  </conditionalFormatting>
  <conditionalFormatting sqref="H24:H30">
    <cfRule type="expression" dxfId="104" priority="187">
      <formula>(dms_FRCPlength_Num)&lt;3</formula>
    </cfRule>
  </conditionalFormatting>
  <conditionalFormatting sqref="H35:H40">
    <cfRule type="expression" dxfId="103" priority="242">
      <formula>(dms_FRCPlength_Num)&lt;3</formula>
    </cfRule>
  </conditionalFormatting>
  <conditionalFormatting sqref="H35:H41">
    <cfRule type="expression" dxfId="102" priority="177">
      <formula>(dms_FRCPlength_Num)&lt;3</formula>
    </cfRule>
  </conditionalFormatting>
  <conditionalFormatting sqref="H49:H63 L49:L63 P49:P63 R49:R63 V49:V63">
    <cfRule type="expression" dxfId="101" priority="235">
      <formula>(dms_FRCPlength_Num)&lt;3</formula>
    </cfRule>
  </conditionalFormatting>
  <conditionalFormatting sqref="H64">
    <cfRule type="expression" dxfId="100" priority="167">
      <formula>(dms_FRCPlength_Num)&lt;3</formula>
    </cfRule>
  </conditionalFormatting>
  <conditionalFormatting sqref="I13:I19">
    <cfRule type="expression" dxfId="99" priority="260">
      <formula>(dms_FRCPlength_Num)&lt;5</formula>
    </cfRule>
  </conditionalFormatting>
  <conditionalFormatting sqref="I24:I29">
    <cfRule type="expression" dxfId="98" priority="250">
      <formula>(dms_FRCPlength_Num)&lt;5</formula>
    </cfRule>
  </conditionalFormatting>
  <conditionalFormatting sqref="I24:I30">
    <cfRule type="expression" dxfId="97" priority="185">
      <formula>(dms_FRCPlength_Num)&lt;5</formula>
    </cfRule>
  </conditionalFormatting>
  <conditionalFormatting sqref="I35:I40">
    <cfRule type="expression" dxfId="96" priority="240">
      <formula>(dms_FRCPlength_Num)&lt;5</formula>
    </cfRule>
  </conditionalFormatting>
  <conditionalFormatting sqref="I35:I41">
    <cfRule type="expression" dxfId="95" priority="175">
      <formula>(dms_FRCPlength_Num)&lt;5</formula>
    </cfRule>
  </conditionalFormatting>
  <conditionalFormatting sqref="I49:I63">
    <cfRule type="expression" dxfId="94" priority="227">
      <formula>(dms_FRCPlength_Num)&lt;5</formula>
    </cfRule>
  </conditionalFormatting>
  <conditionalFormatting sqref="I64">
    <cfRule type="expression" dxfId="93" priority="165">
      <formula>(dms_FRCPlength_Num)&lt;5</formula>
    </cfRule>
  </conditionalFormatting>
  <conditionalFormatting sqref="I69:I84">
    <cfRule type="expression" dxfId="92" priority="102">
      <formula>(dms_FRCPlength_Num)&lt;5</formula>
    </cfRule>
  </conditionalFormatting>
  <conditionalFormatting sqref="I89:I104">
    <cfRule type="expression" dxfId="91" priority="88">
      <formula>(dms_FRCPlength_Num)&lt;5</formula>
    </cfRule>
  </conditionalFormatting>
  <conditionalFormatting sqref="I112:I122">
    <cfRule type="expression" dxfId="90" priority="60">
      <formula>(dms_FRCPlength_Num)&lt;5</formula>
    </cfRule>
  </conditionalFormatting>
  <conditionalFormatting sqref="I127:I137">
    <cfRule type="expression" dxfId="89" priority="32">
      <formula>(dms_FRCPlength_Num)&lt;5</formula>
    </cfRule>
  </conditionalFormatting>
  <conditionalFormatting sqref="I142:I152">
    <cfRule type="expression" dxfId="88" priority="4">
      <formula>(dms_FRCPlength_Num)&lt;5</formula>
    </cfRule>
  </conditionalFormatting>
  <conditionalFormatting sqref="K49:K63">
    <cfRule type="expression" dxfId="87" priority="234">
      <formula>(dms_FRCPlength_Num)&lt;4</formula>
    </cfRule>
  </conditionalFormatting>
  <conditionalFormatting sqref="K69:K84">
    <cfRule type="expression" dxfId="86" priority="109">
      <formula>(dms_FRCPlength_Num)&lt;4</formula>
    </cfRule>
  </conditionalFormatting>
  <conditionalFormatting sqref="K89:K103">
    <cfRule type="expression" dxfId="85" priority="95">
      <formula>(dms_FRCPlength_Num)&lt;4</formula>
    </cfRule>
  </conditionalFormatting>
  <conditionalFormatting sqref="K112:K121">
    <cfRule type="expression" dxfId="84" priority="67">
      <formula>(dms_FRCPlength_Num)&lt;4</formula>
    </cfRule>
  </conditionalFormatting>
  <conditionalFormatting sqref="K127:K136">
    <cfRule type="expression" dxfId="83" priority="39">
      <formula>(dms_FRCPlength_Num)&lt;4</formula>
    </cfRule>
  </conditionalFormatting>
  <conditionalFormatting sqref="K142:K151">
    <cfRule type="expression" dxfId="82" priority="11">
      <formula>(dms_FRCPlength_Num)&lt;4</formula>
    </cfRule>
  </conditionalFormatting>
  <conditionalFormatting sqref="K13:M19 P13:R19">
    <cfRule type="expression" dxfId="81" priority="261">
      <formula>(dms_FRCPlength_Num)&lt;4</formula>
    </cfRule>
  </conditionalFormatting>
  <conditionalFormatting sqref="K24:M29 P24:R29">
    <cfRule type="expression" dxfId="80" priority="251">
      <formula>(dms_FRCPlength_Num)&lt;4</formula>
    </cfRule>
  </conditionalFormatting>
  <conditionalFormatting sqref="K24:M30 P24:R30">
    <cfRule type="expression" dxfId="79" priority="186">
      <formula>(dms_FRCPlength_Num)&lt;4</formula>
    </cfRule>
  </conditionalFormatting>
  <conditionalFormatting sqref="K35:M40 P35:R40">
    <cfRule type="expression" dxfId="78" priority="241">
      <formula>(dms_FRCPlength_Num)&lt;4</formula>
    </cfRule>
  </conditionalFormatting>
  <conditionalFormatting sqref="K35:M41 P35:R41">
    <cfRule type="expression" dxfId="77" priority="176">
      <formula>(dms_FRCPlength_Num)&lt;4</formula>
    </cfRule>
  </conditionalFormatting>
  <conditionalFormatting sqref="K64:M64 P64:R64">
    <cfRule type="expression" dxfId="76" priority="166">
      <formula>(dms_FRCPlength_Num)&lt;4</formula>
    </cfRule>
  </conditionalFormatting>
  <conditionalFormatting sqref="K104:M104 P104:R104">
    <cfRule type="expression" dxfId="75" priority="146">
      <formula>(dms_FRCPlength_Num)&lt;4</formula>
    </cfRule>
  </conditionalFormatting>
  <conditionalFormatting sqref="K122:M122 P122:R122">
    <cfRule type="expression" dxfId="74" priority="136">
      <formula>(dms_FRCPlength_Num)&lt;4</formula>
    </cfRule>
  </conditionalFormatting>
  <conditionalFormatting sqref="K137:M137 P137:R137">
    <cfRule type="expression" dxfId="73" priority="126">
      <formula>(dms_FRCPlength_Num)&lt;4</formula>
    </cfRule>
  </conditionalFormatting>
  <conditionalFormatting sqref="K152:M152 P152:R152">
    <cfRule type="expression" dxfId="72" priority="116">
      <formula>(dms_FRCPlength_Num)&lt;4</formula>
    </cfRule>
  </conditionalFormatting>
  <conditionalFormatting sqref="L49:L63">
    <cfRule type="expression" dxfId="71" priority="233">
      <formula>(dms_FRCPlength_Num)&lt;5</formula>
    </cfRule>
  </conditionalFormatting>
  <conditionalFormatting sqref="L69:L83 P69:P83 R69:R83 V69:V83 H69:H84">
    <cfRule type="expression" dxfId="70" priority="110">
      <formula>(dms_FRCPlength_Num)&lt;3</formula>
    </cfRule>
  </conditionalFormatting>
  <conditionalFormatting sqref="L69:L83">
    <cfRule type="expression" dxfId="69" priority="108">
      <formula>(dms_FRCPlength_Num)&lt;5</formula>
    </cfRule>
  </conditionalFormatting>
  <conditionalFormatting sqref="L89:L103 P89:P103 R89:R103 V89:V103 H89:H104">
    <cfRule type="expression" dxfId="68" priority="96">
      <formula>(dms_FRCPlength_Num)&lt;3</formula>
    </cfRule>
  </conditionalFormatting>
  <conditionalFormatting sqref="L89:L103">
    <cfRule type="expression" dxfId="67" priority="94">
      <formula>(dms_FRCPlength_Num)&lt;5</formula>
    </cfRule>
  </conditionalFormatting>
  <conditionalFormatting sqref="L112:L121 P112:P121 R112:R121 V112:V121 H112:H122">
    <cfRule type="expression" dxfId="66" priority="68">
      <formula>(dms_FRCPlength_Num)&lt;3</formula>
    </cfRule>
  </conditionalFormatting>
  <conditionalFormatting sqref="L112:L121">
    <cfRule type="expression" dxfId="65" priority="66">
      <formula>(dms_FRCPlength_Num)&lt;5</formula>
    </cfRule>
  </conditionalFormatting>
  <conditionalFormatting sqref="L127:L136 P127:P136 R127:R136 V127:V136 H127:H137">
    <cfRule type="expression" dxfId="64" priority="40">
      <formula>(dms_FRCPlength_Num)&lt;3</formula>
    </cfRule>
  </conditionalFormatting>
  <conditionalFormatting sqref="L127:L136">
    <cfRule type="expression" dxfId="63" priority="38">
      <formula>(dms_FRCPlength_Num)&lt;5</formula>
    </cfRule>
  </conditionalFormatting>
  <conditionalFormatting sqref="L142:L151 P142:P151 R142:R151 V142:V151 H142:H152">
    <cfRule type="expression" dxfId="62" priority="12">
      <formula>(dms_FRCPlength_Num)&lt;3</formula>
    </cfRule>
  </conditionalFormatting>
  <conditionalFormatting sqref="L142:L151">
    <cfRule type="expression" dxfId="61" priority="10">
      <formula>(dms_FRCPlength_Num)&lt;5</formula>
    </cfRule>
  </conditionalFormatting>
  <conditionalFormatting sqref="L84:M84 P84:R84">
    <cfRule type="expression" dxfId="60" priority="156">
      <formula>(dms_FRCPlength_Num)&lt;4</formula>
    </cfRule>
  </conditionalFormatting>
  <conditionalFormatting sqref="N13:N19">
    <cfRule type="expression" dxfId="59" priority="259">
      <formula>(dms_FRCPlength_Num)&lt;5</formula>
    </cfRule>
  </conditionalFormatting>
  <conditionalFormatting sqref="N24:N29">
    <cfRule type="expression" dxfId="58" priority="249">
      <formula>(dms_FRCPlength_Num)&lt;5</formula>
    </cfRule>
  </conditionalFormatting>
  <conditionalFormatting sqref="N24:N30">
    <cfRule type="expression" dxfId="57" priority="184">
      <formula>(dms_FRCPlength_Num)&lt;5</formula>
    </cfRule>
  </conditionalFormatting>
  <conditionalFormatting sqref="N35:N40">
    <cfRule type="expression" dxfId="56" priority="239">
      <formula>(dms_FRCPlength_Num)&lt;5</formula>
    </cfRule>
  </conditionalFormatting>
  <conditionalFormatting sqref="N35:N41">
    <cfRule type="expression" dxfId="55" priority="174">
      <formula>(dms_FRCPlength_Num)&lt;5</formula>
    </cfRule>
  </conditionalFormatting>
  <conditionalFormatting sqref="N49:N63">
    <cfRule type="expression" dxfId="54" priority="226">
      <formula>(dms_FRCPlength_Num)&lt;5</formula>
    </cfRule>
  </conditionalFormatting>
  <conditionalFormatting sqref="N64">
    <cfRule type="expression" dxfId="53" priority="164">
      <formula>(dms_FRCPlength_Num)&lt;5</formula>
    </cfRule>
  </conditionalFormatting>
  <conditionalFormatting sqref="N69:N84">
    <cfRule type="expression" dxfId="52" priority="101">
      <formula>(dms_FRCPlength_Num)&lt;5</formula>
    </cfRule>
  </conditionalFormatting>
  <conditionalFormatting sqref="N89:N104">
    <cfRule type="expression" dxfId="51" priority="87">
      <formula>(dms_FRCPlength_Num)&lt;5</formula>
    </cfRule>
  </conditionalFormatting>
  <conditionalFormatting sqref="N112:N122">
    <cfRule type="expression" dxfId="50" priority="59">
      <formula>(dms_FRCPlength_Num)&lt;5</formula>
    </cfRule>
  </conditionalFormatting>
  <conditionalFormatting sqref="N127:N137">
    <cfRule type="expression" dxfId="49" priority="31">
      <formula>(dms_FRCPlength_Num)&lt;5</formula>
    </cfRule>
  </conditionalFormatting>
  <conditionalFormatting sqref="N142:N152">
    <cfRule type="expression" dxfId="48" priority="3">
      <formula>(dms_FRCPlength_Num)&lt;5</formula>
    </cfRule>
  </conditionalFormatting>
  <conditionalFormatting sqref="P49:P63">
    <cfRule type="expression" dxfId="47" priority="232">
      <formula>(dms_FRCPlength_Num)&lt;4</formula>
    </cfRule>
  </conditionalFormatting>
  <conditionalFormatting sqref="P69:P83">
    <cfRule type="expression" dxfId="46" priority="107">
      <formula>(dms_FRCPlength_Num)&lt;4</formula>
    </cfRule>
  </conditionalFormatting>
  <conditionalFormatting sqref="P89:P103">
    <cfRule type="expression" dxfId="45" priority="93">
      <formula>(dms_FRCPlength_Num)&lt;4</formula>
    </cfRule>
  </conditionalFormatting>
  <conditionalFormatting sqref="P112:P121">
    <cfRule type="expression" dxfId="44" priority="65">
      <formula>(dms_FRCPlength_Num)&lt;4</formula>
    </cfRule>
  </conditionalFormatting>
  <conditionalFormatting sqref="P127:P136">
    <cfRule type="expression" dxfId="43" priority="37">
      <formula>(dms_FRCPlength_Num)&lt;4</formula>
    </cfRule>
  </conditionalFormatting>
  <conditionalFormatting sqref="P142:P151">
    <cfRule type="expression" dxfId="42" priority="9">
      <formula>(dms_FRCPlength_Num)&lt;4</formula>
    </cfRule>
  </conditionalFormatting>
  <conditionalFormatting sqref="Q49:Q63">
    <cfRule type="expression" dxfId="41" priority="231">
      <formula>(dms_FRCPlength_Num)&lt;5</formula>
    </cfRule>
  </conditionalFormatting>
  <conditionalFormatting sqref="Q69:Q83">
    <cfRule type="expression" dxfId="40" priority="106">
      <formula>(dms_FRCPlength_Num)&lt;5</formula>
    </cfRule>
  </conditionalFormatting>
  <conditionalFormatting sqref="Q89:Q103">
    <cfRule type="expression" dxfId="39" priority="92">
      <formula>(dms_FRCPlength_Num)&lt;5</formula>
    </cfRule>
  </conditionalFormatting>
  <conditionalFormatting sqref="Q112:Q121">
    <cfRule type="expression" dxfId="38" priority="64">
      <formula>(dms_FRCPlength_Num)&lt;5</formula>
    </cfRule>
  </conditionalFormatting>
  <conditionalFormatting sqref="Q127:Q136">
    <cfRule type="expression" dxfId="37" priority="36">
      <formula>(dms_FRCPlength_Num)&lt;5</formula>
    </cfRule>
  </conditionalFormatting>
  <conditionalFormatting sqref="Q142:Q151">
    <cfRule type="expression" dxfId="36" priority="8">
      <formula>(dms_FRCPlength_Num)&lt;5</formula>
    </cfRule>
  </conditionalFormatting>
  <conditionalFormatting sqref="S13:S19">
    <cfRule type="expression" dxfId="35" priority="258">
      <formula>(dms_FRCPlength_Num)&lt;5</formula>
    </cfRule>
  </conditionalFormatting>
  <conditionalFormatting sqref="S24:S29">
    <cfRule type="expression" dxfId="34" priority="248">
      <formula>(dms_FRCPlength_Num)&lt;5</formula>
    </cfRule>
  </conditionalFormatting>
  <conditionalFormatting sqref="S24:S30">
    <cfRule type="expression" dxfId="33" priority="183">
      <formula>(dms_FRCPlength_Num)&lt;5</formula>
    </cfRule>
  </conditionalFormatting>
  <conditionalFormatting sqref="S35:S40">
    <cfRule type="expression" dxfId="32" priority="238">
      <formula>(dms_FRCPlength_Num)&lt;5</formula>
    </cfRule>
  </conditionalFormatting>
  <conditionalFormatting sqref="S35:S41">
    <cfRule type="expression" dxfId="31" priority="173">
      <formula>(dms_FRCPlength_Num)&lt;5</formula>
    </cfRule>
  </conditionalFormatting>
  <conditionalFormatting sqref="S49:S63">
    <cfRule type="expression" dxfId="30" priority="225">
      <formula>(dms_FRCPlength_Num)&lt;5</formula>
    </cfRule>
  </conditionalFormatting>
  <conditionalFormatting sqref="S64">
    <cfRule type="expression" dxfId="29" priority="163">
      <formula>(dms_FRCPlength_Num)&lt;5</formula>
    </cfRule>
  </conditionalFormatting>
  <conditionalFormatting sqref="S69:S84">
    <cfRule type="expression" dxfId="28" priority="100">
      <formula>(dms_FRCPlength_Num)&lt;5</formula>
    </cfRule>
  </conditionalFormatting>
  <conditionalFormatting sqref="S89:S104">
    <cfRule type="expression" dxfId="27" priority="86">
      <formula>(dms_FRCPlength_Num)&lt;5</formula>
    </cfRule>
  </conditionalFormatting>
  <conditionalFormatting sqref="S112:S122">
    <cfRule type="expression" dxfId="26" priority="58">
      <formula>(dms_FRCPlength_Num)&lt;5</formula>
    </cfRule>
  </conditionalFormatting>
  <conditionalFormatting sqref="S127:S137">
    <cfRule type="expression" dxfId="25" priority="30">
      <formula>(dms_FRCPlength_Num)&lt;5</formula>
    </cfRule>
  </conditionalFormatting>
  <conditionalFormatting sqref="S142:S152">
    <cfRule type="expression" dxfId="24" priority="2">
      <formula>(dms_FRCPlength_Num)&lt;5</formula>
    </cfRule>
  </conditionalFormatting>
  <conditionalFormatting sqref="U13:U19">
    <cfRule type="expression" dxfId="23" priority="265">
      <formula>(dms_FRCPlength_Num)&lt;4</formula>
    </cfRule>
  </conditionalFormatting>
  <conditionalFormatting sqref="U24:U29">
    <cfRule type="expression" dxfId="22" priority="255">
      <formula>(dms_FRCPlength_Num)&lt;4</formula>
    </cfRule>
  </conditionalFormatting>
  <conditionalFormatting sqref="U24:U30">
    <cfRule type="expression" dxfId="21" priority="190">
      <formula>(dms_FRCPlength_Num)&lt;4</formula>
    </cfRule>
  </conditionalFormatting>
  <conditionalFormatting sqref="U35:U40">
    <cfRule type="expression" dxfId="20" priority="245">
      <formula>(dms_FRCPlength_Num)&lt;4</formula>
    </cfRule>
  </conditionalFormatting>
  <conditionalFormatting sqref="U35:U41">
    <cfRule type="expression" dxfId="19" priority="180">
      <formula>(dms_FRCPlength_Num)&lt;4</formula>
    </cfRule>
  </conditionalFormatting>
  <conditionalFormatting sqref="U49:U63">
    <cfRule type="expression" dxfId="18" priority="230">
      <formula>(dms_FRCPlength_Num)&lt;4</formula>
    </cfRule>
  </conditionalFormatting>
  <conditionalFormatting sqref="U64">
    <cfRule type="expression" dxfId="17" priority="170">
      <formula>(dms_FRCPlength_Num)&lt;4</formula>
    </cfRule>
  </conditionalFormatting>
  <conditionalFormatting sqref="U69:U84">
    <cfRule type="expression" dxfId="16" priority="105">
      <formula>(dms_FRCPlength_Num)&lt;4</formula>
    </cfRule>
  </conditionalFormatting>
  <conditionalFormatting sqref="U89:U104">
    <cfRule type="expression" dxfId="15" priority="91">
      <formula>(dms_FRCPlength_Num)&lt;4</formula>
    </cfRule>
  </conditionalFormatting>
  <conditionalFormatting sqref="U112:U122">
    <cfRule type="expression" dxfId="14" priority="63">
      <formula>(dms_FRCPlength_Num)&lt;4</formula>
    </cfRule>
  </conditionalFormatting>
  <conditionalFormatting sqref="U127:U137">
    <cfRule type="expression" dxfId="13" priority="35">
      <formula>(dms_FRCPlength_Num)&lt;4</formula>
    </cfRule>
  </conditionalFormatting>
  <conditionalFormatting sqref="U142:U152">
    <cfRule type="expression" dxfId="12" priority="7">
      <formula>(dms_FRCPlength_Num)&lt;4</formula>
    </cfRule>
  </conditionalFormatting>
  <conditionalFormatting sqref="V13:V19">
    <cfRule type="expression" dxfId="11" priority="264">
      <formula>(dms_FRCPlength_Num)&lt;5</formula>
    </cfRule>
  </conditionalFormatting>
  <conditionalFormatting sqref="V24:V29">
    <cfRule type="expression" dxfId="10" priority="254">
      <formula>(dms_FRCPlength_Num)&lt;5</formula>
    </cfRule>
  </conditionalFormatting>
  <conditionalFormatting sqref="V24:V30">
    <cfRule type="expression" dxfId="9" priority="189">
      <formula>(dms_FRCPlength_Num)&lt;5</formula>
    </cfRule>
  </conditionalFormatting>
  <conditionalFormatting sqref="V35:V40">
    <cfRule type="expression" dxfId="8" priority="244">
      <formula>(dms_FRCPlength_Num)&lt;5</formula>
    </cfRule>
  </conditionalFormatting>
  <conditionalFormatting sqref="V35:V41">
    <cfRule type="expression" dxfId="7" priority="179">
      <formula>(dms_FRCPlength_Num)&lt;5</formula>
    </cfRule>
  </conditionalFormatting>
  <conditionalFormatting sqref="V49:V63">
    <cfRule type="expression" dxfId="6" priority="229">
      <formula>(dms_FRCPlength_Num)&lt;5</formula>
    </cfRule>
  </conditionalFormatting>
  <conditionalFormatting sqref="V64">
    <cfRule type="expression" dxfId="5" priority="169">
      <formula>(dms_FRCPlength_Num)&lt;5</formula>
    </cfRule>
  </conditionalFormatting>
  <conditionalFormatting sqref="V69:V84">
    <cfRule type="expression" dxfId="4" priority="104">
      <formula>(dms_FRCPlength_Num)&lt;5</formula>
    </cfRule>
  </conditionalFormatting>
  <conditionalFormatting sqref="V89:V104">
    <cfRule type="expression" dxfId="3" priority="90">
      <formula>(dms_FRCPlength_Num)&lt;5</formula>
    </cfRule>
  </conditionalFormatting>
  <conditionalFormatting sqref="V112:V122">
    <cfRule type="expression" dxfId="2" priority="62">
      <formula>(dms_FRCPlength_Num)&lt;5</formula>
    </cfRule>
  </conditionalFormatting>
  <conditionalFormatting sqref="V127:V137">
    <cfRule type="expression" dxfId="1" priority="34">
      <formula>(dms_FRCPlength_Num)&lt;5</formula>
    </cfRule>
  </conditionalFormatting>
  <conditionalFormatting sqref="V142:V152">
    <cfRule type="expression" dxfId="0" priority="6">
      <formula>(dms_FRCPlength_Num)&lt;5</formula>
    </cfRule>
  </conditionalFormatting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/>
  </sheetPr>
  <dimension ref="A1:A33"/>
  <sheetViews>
    <sheetView showGridLines="0" zoomScale="70" zoomScaleNormal="70" workbookViewId="0"/>
  </sheetViews>
  <sheetFormatPr defaultColWidth="8.84375" defaultRowHeight="14"/>
  <cols>
    <col min="1" max="1" width="20.84375" style="1" bestFit="1" customWidth="1"/>
    <col min="2" max="16384" width="8.84375" style="1"/>
  </cols>
  <sheetData>
    <row r="1" spans="1:1" ht="18">
      <c r="A1" s="49" t="str">
        <f ca="1">MID(CELL("filename",A2),FIND("]",CELL("filename",A2))+1,256)</f>
        <v>LRMC estimates -&gt;</v>
      </c>
    </row>
    <row r="2" spans="1:1" ht="15.5">
      <c r="A2"/>
    </row>
    <row r="12" spans="1:1" customFormat="1" ht="15.5"/>
    <row r="13" spans="1:1" customFormat="1" ht="15.5"/>
    <row r="14" spans="1:1" customFormat="1" ht="15.5"/>
    <row r="15" spans="1:1" customFormat="1" ht="15.5"/>
    <row r="16" spans="1:1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E6E2-0F96-405D-B70E-74EB9024B64F}">
  <sheetPr codeName="Sheet7">
    <tabColor rgb="FF9ECCA6"/>
  </sheetPr>
  <dimension ref="A1:P107"/>
  <sheetViews>
    <sheetView showGridLines="0" zoomScale="70" zoomScaleNormal="70" workbookViewId="0"/>
  </sheetViews>
  <sheetFormatPr defaultColWidth="8.84375" defaultRowHeight="15.5"/>
  <cols>
    <col min="1" max="1" width="16.69140625" style="1" bestFit="1" customWidth="1"/>
    <col min="2" max="16" width="19.3046875" customWidth="1"/>
  </cols>
  <sheetData>
    <row r="1" spans="1:16" ht="18">
      <c r="A1" s="49" t="str">
        <f ca="1">MID(CELL("filename",A2),FIND("]",CELL("filename",A2))+1,256)</f>
        <v>LRMC - growth</v>
      </c>
      <c r="B1" s="1"/>
      <c r="C1" s="1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>
      <c r="A2"/>
      <c r="B2" s="1"/>
      <c r="C2" s="1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21">
      <c r="B3" s="6" t="s">
        <v>66</v>
      </c>
      <c r="C3" s="3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>
      <c r="B4" s="1"/>
      <c r="C4" s="19"/>
      <c r="D4" s="1"/>
      <c r="E4" s="1"/>
      <c r="F4" s="1"/>
      <c r="G4" s="1"/>
      <c r="H4" s="1"/>
      <c r="I4" s="1"/>
      <c r="J4" s="1"/>
      <c r="K4" s="1"/>
      <c r="L4" s="1"/>
      <c r="M4" s="7"/>
      <c r="N4" s="1"/>
      <c r="O4" s="1"/>
      <c r="P4" s="1"/>
    </row>
    <row r="5" spans="1:16">
      <c r="B5" s="5" t="s">
        <v>67</v>
      </c>
      <c r="C5" s="5"/>
      <c r="D5" s="5"/>
      <c r="E5" s="5"/>
      <c r="G5" s="1"/>
      <c r="H5" s="1"/>
      <c r="I5" s="1"/>
      <c r="J5" s="1"/>
      <c r="K5" s="1"/>
      <c r="L5" s="1"/>
      <c r="M5" s="7"/>
      <c r="N5" s="1"/>
      <c r="O5" s="1"/>
      <c r="P5" s="1"/>
    </row>
    <row r="6" spans="1:16">
      <c r="B6" s="1"/>
      <c r="C6" s="19"/>
      <c r="D6" s="1"/>
      <c r="E6" s="1"/>
      <c r="G6" s="1"/>
      <c r="H6" s="1"/>
      <c r="I6" s="1"/>
      <c r="J6" s="1"/>
      <c r="K6" s="1"/>
      <c r="L6" s="1"/>
      <c r="M6" s="7"/>
      <c r="N6" s="1"/>
      <c r="O6" s="1"/>
      <c r="P6" s="1"/>
    </row>
    <row r="7" spans="1:16">
      <c r="B7" s="18" t="s">
        <v>68</v>
      </c>
      <c r="C7" s="18" t="s">
        <v>69</v>
      </c>
      <c r="D7" s="18"/>
      <c r="E7" s="14" t="s">
        <v>70</v>
      </c>
      <c r="F7" s="1"/>
      <c r="G7" s="1"/>
      <c r="H7" s="1"/>
      <c r="I7" s="1"/>
      <c r="J7" s="1"/>
      <c r="K7" s="1"/>
      <c r="L7" s="1"/>
      <c r="M7" s="7"/>
      <c r="N7" s="1"/>
      <c r="O7" s="1"/>
      <c r="P7" s="1"/>
    </row>
    <row r="8" spans="1:16">
      <c r="B8" s="2" t="str" cm="1">
        <f t="array" ref="B8:B10">network_levels</f>
        <v>LV</v>
      </c>
      <c r="C8" s="35" t="s">
        <v>71</v>
      </c>
      <c r="D8" s="35"/>
      <c r="E8" s="153">
        <f>IFERROR((D47*(10^-3))/D55,0)</f>
        <v>42.577576835317998</v>
      </c>
      <c r="F8" s="97"/>
      <c r="G8" s="83"/>
      <c r="H8" s="1"/>
      <c r="I8" s="1"/>
      <c r="J8" s="1"/>
      <c r="K8" s="1"/>
      <c r="L8" s="1"/>
      <c r="M8" s="7"/>
      <c r="N8" s="1"/>
      <c r="O8" s="1"/>
      <c r="P8" s="1"/>
    </row>
    <row r="9" spans="1:16">
      <c r="B9" s="2" t="str">
        <v>HV</v>
      </c>
      <c r="C9" s="35" t="s">
        <v>71</v>
      </c>
      <c r="D9" s="35"/>
      <c r="E9" s="101">
        <f>IFERROR((D48*(10^-3))/D56,0)</f>
        <v>15.978066111039192</v>
      </c>
      <c r="F9" s="81"/>
      <c r="G9" s="83"/>
      <c r="H9" s="1"/>
      <c r="I9" s="1"/>
      <c r="J9" s="1"/>
      <c r="K9" s="1"/>
      <c r="L9" s="1"/>
      <c r="M9" s="7"/>
      <c r="N9" s="1"/>
      <c r="O9" s="1"/>
      <c r="P9" s="1"/>
    </row>
    <row r="10" spans="1:16">
      <c r="B10" s="2" t="str">
        <v>ST</v>
      </c>
      <c r="C10" s="35" t="s">
        <v>71</v>
      </c>
      <c r="D10" s="35"/>
      <c r="E10" s="101">
        <f>IFERROR((D49*(10^-3))/D57,0)</f>
        <v>3.3499356684300414</v>
      </c>
      <c r="F10" s="81"/>
      <c r="G10" s="83"/>
      <c r="H10" s="1"/>
      <c r="I10" s="1"/>
      <c r="J10" s="1"/>
      <c r="K10" s="1"/>
      <c r="L10" s="1"/>
      <c r="M10" s="7"/>
      <c r="N10" s="1"/>
      <c r="O10" s="1"/>
      <c r="P10" s="1"/>
    </row>
    <row r="11" spans="1:16">
      <c r="B11" s="1"/>
      <c r="C11" s="19"/>
      <c r="D11" s="1"/>
      <c r="E11" s="1"/>
      <c r="F11" s="1"/>
      <c r="G11" s="1"/>
      <c r="H11" s="1"/>
      <c r="I11" s="1"/>
      <c r="J11" s="1"/>
      <c r="K11" s="1"/>
      <c r="L11" s="1"/>
      <c r="M11" s="7"/>
      <c r="N11" s="1"/>
      <c r="O11" s="1"/>
      <c r="P11" s="1"/>
    </row>
    <row r="12" spans="1:16">
      <c r="B12" s="5" t="s">
        <v>72</v>
      </c>
      <c r="C12" s="3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</row>
    <row r="13" spans="1:16">
      <c r="B13" s="1"/>
      <c r="C13" s="19"/>
      <c r="D13" s="1"/>
      <c r="E13" s="1"/>
      <c r="F13" s="1"/>
      <c r="G13" s="1"/>
      <c r="H13" s="1"/>
      <c r="I13" s="1"/>
      <c r="J13" s="1"/>
      <c r="K13" s="1"/>
      <c r="L13" s="1"/>
      <c r="M13" s="7"/>
      <c r="N13" s="1"/>
      <c r="O13" s="1"/>
      <c r="P13" s="1"/>
    </row>
    <row r="14" spans="1:16">
      <c r="B14" s="18" t="s">
        <v>68</v>
      </c>
      <c r="C14" s="18" t="s">
        <v>69</v>
      </c>
      <c r="D14" s="14"/>
      <c r="E14" s="14" cm="1">
        <f t="array" ref="E14:N14">TRANSPOSE(years)</f>
        <v>2025</v>
      </c>
      <c r="F14" s="14">
        <v>2026</v>
      </c>
      <c r="G14" s="14">
        <v>2027</v>
      </c>
      <c r="H14" s="14">
        <v>2028</v>
      </c>
      <c r="I14" s="14">
        <v>2029</v>
      </c>
      <c r="J14" s="14">
        <v>2030</v>
      </c>
      <c r="K14" s="14">
        <v>2031</v>
      </c>
      <c r="L14" s="14">
        <v>2032</v>
      </c>
      <c r="M14" s="14">
        <v>2033</v>
      </c>
      <c r="N14" s="14">
        <v>2034</v>
      </c>
      <c r="P14" s="14" t="s">
        <v>73</v>
      </c>
    </row>
    <row r="15" spans="1:16">
      <c r="B15" s="2" t="str" cm="1">
        <f t="array" ref="B15:B17">network_levels</f>
        <v>LV</v>
      </c>
      <c r="C15" s="35" t="str">
        <f>"$" &amp; base_year &amp; " real"</f>
        <v>$2024 real</v>
      </c>
      <c r="D15" s="35"/>
      <c r="E15" s="40">
        <f>'Augex - growth and decline'!F36+'Augex - growth and decline'!F52</f>
        <v>14009797.671153657</v>
      </c>
      <c r="F15" s="40">
        <f>'Augex - growth and decline'!G36+'Augex - growth and decline'!G52</f>
        <v>15130888.564649172</v>
      </c>
      <c r="G15" s="40">
        <f>'Augex - growth and decline'!H36+'Augex - growth and decline'!H52</f>
        <v>20156641.959999733</v>
      </c>
      <c r="H15" s="40">
        <f>'Augex - growth and decline'!I36+'Augex - growth and decline'!I52</f>
        <v>12078636.703870056</v>
      </c>
      <c r="I15" s="40">
        <f>'Augex - growth and decline'!J36+'Augex - growth and decline'!J52</f>
        <v>11726653.571833119</v>
      </c>
      <c r="J15" s="40">
        <f>'Augex - growth and decline'!K36+'Augex - growth and decline'!K52</f>
        <v>11726653.571833119</v>
      </c>
      <c r="K15" s="40">
        <f>'Augex - growth and decline'!L36+'Augex - growth and decline'!L52</f>
        <v>11726653.571833119</v>
      </c>
      <c r="L15" s="40">
        <f>'Augex - growth and decline'!M36+'Augex - growth and decline'!M52</f>
        <v>11726653.571833119</v>
      </c>
      <c r="M15" s="40">
        <f>'Augex - growth and decline'!N36+'Augex - growth and decline'!N52</f>
        <v>11726653.571833119</v>
      </c>
      <c r="N15" s="40">
        <f>'Augex - growth and decline'!O36+'Augex - growth and decline'!O52</f>
        <v>11726653.571833119</v>
      </c>
      <c r="O15" s="45"/>
      <c r="P15" s="40">
        <f>SUM(D15:N15)</f>
        <v>131735886.33067133</v>
      </c>
    </row>
    <row r="16" spans="1:16">
      <c r="B16" s="2" t="str">
        <v>HV</v>
      </c>
      <c r="C16" s="35" t="str">
        <f>C15</f>
        <v>$2024 real</v>
      </c>
      <c r="D16" s="35"/>
      <c r="E16" s="40">
        <f>'Augex - growth and decline'!F37+'Augex - growth and decline'!F53</f>
        <v>438133.22127295652</v>
      </c>
      <c r="F16" s="40">
        <f>'Augex - growth and decline'!G37+'Augex - growth and decline'!G53</f>
        <v>491291.89942519437</v>
      </c>
      <c r="G16" s="40">
        <f>'Augex - growth and decline'!H37+'Augex - growth and decline'!H53</f>
        <v>729597.65033799934</v>
      </c>
      <c r="H16" s="40">
        <f>'Augex - growth and decline'!I37+'Augex - growth and decline'!I53</f>
        <v>346563.51455639442</v>
      </c>
      <c r="I16" s="40">
        <f>'Augex - growth and decline'!J37+'Augex - growth and decline'!J53</f>
        <v>329873.55824729608</v>
      </c>
      <c r="J16" s="40">
        <f>'Augex - growth and decline'!K37+'Augex - growth and decline'!K53</f>
        <v>329873.55824729608</v>
      </c>
      <c r="K16" s="40">
        <f>'Augex - growth and decline'!L37+'Augex - growth and decline'!L53</f>
        <v>329873.55824729608</v>
      </c>
      <c r="L16" s="40">
        <f>'Augex - growth and decline'!M37+'Augex - growth and decline'!M53</f>
        <v>329873.55824729608</v>
      </c>
      <c r="M16" s="40">
        <f>'Augex - growth and decline'!N37+'Augex - growth and decline'!N53</f>
        <v>329873.55824729608</v>
      </c>
      <c r="N16" s="40">
        <f>'Augex - growth and decline'!O37+'Augex - growth and decline'!O53</f>
        <v>329873.55824729608</v>
      </c>
      <c r="O16" s="45"/>
      <c r="P16" s="40">
        <f>SUM(D16:N16)</f>
        <v>3984827.6350763217</v>
      </c>
    </row>
    <row r="17" spans="1:16">
      <c r="B17" s="2" t="str">
        <v>ST</v>
      </c>
      <c r="C17" s="35" t="str">
        <f>C16</f>
        <v>$2024 real</v>
      </c>
      <c r="D17" s="35"/>
      <c r="E17" s="40">
        <f>'Augex - growth and decline'!F38+'Augex - growth and decline'!F54</f>
        <v>457529.79763669427</v>
      </c>
      <c r="F17" s="40">
        <f>'Augex - growth and decline'!G38+'Augex - growth and decline'!G54</f>
        <v>704878.81219757302</v>
      </c>
      <c r="G17" s="40">
        <f>'Augex - growth and decline'!H38+'Augex - growth and decline'!H54</f>
        <v>1707977.4825144175</v>
      </c>
      <c r="H17" s="40">
        <f>'Augex - growth and decline'!I38+'Augex - growth and decline'!I54</f>
        <v>71314.364393179887</v>
      </c>
      <c r="I17" s="40">
        <f>'Augex - growth and decline'!J38+'Augex - growth and decline'!J54</f>
        <v>0</v>
      </c>
      <c r="J17" s="40">
        <f>'Augex - growth and decline'!K38+'Augex - growth and decline'!K54</f>
        <v>0</v>
      </c>
      <c r="K17" s="40">
        <f>'Augex - growth and decline'!L38+'Augex - growth and decline'!L54</f>
        <v>0</v>
      </c>
      <c r="L17" s="40">
        <f>'Augex - growth and decline'!M38+'Augex - growth and decline'!M54</f>
        <v>0</v>
      </c>
      <c r="M17" s="40">
        <f>'Augex - growth and decline'!N38+'Augex - growth and decline'!N54</f>
        <v>0</v>
      </c>
      <c r="N17" s="40">
        <f>'Augex - growth and decline'!O38+'Augex - growth and decline'!O54</f>
        <v>0</v>
      </c>
      <c r="O17" s="45"/>
      <c r="P17" s="40">
        <f>SUM(D17:N17)</f>
        <v>2941700.4567418643</v>
      </c>
    </row>
    <row r="18" spans="1:16">
      <c r="B18" s="52" t="s">
        <v>73</v>
      </c>
      <c r="C18" s="53" t="str">
        <f>C17</f>
        <v>$2024 real</v>
      </c>
      <c r="D18" s="53"/>
      <c r="E18" s="59">
        <f t="shared" ref="E18:N18" si="0">SUM(E15:E17)</f>
        <v>14905460.690063309</v>
      </c>
      <c r="F18" s="59">
        <f t="shared" si="0"/>
        <v>16327059.276271939</v>
      </c>
      <c r="G18" s="59">
        <f t="shared" si="0"/>
        <v>22594217.092852149</v>
      </c>
      <c r="H18" s="59">
        <f t="shared" si="0"/>
        <v>12496514.582819631</v>
      </c>
      <c r="I18" s="59">
        <f t="shared" si="0"/>
        <v>12056527.130080415</v>
      </c>
      <c r="J18" s="59">
        <f t="shared" si="0"/>
        <v>12056527.130080415</v>
      </c>
      <c r="K18" s="59">
        <f t="shared" si="0"/>
        <v>12056527.130080415</v>
      </c>
      <c r="L18" s="59">
        <f t="shared" si="0"/>
        <v>12056527.130080415</v>
      </c>
      <c r="M18" s="59">
        <f t="shared" si="0"/>
        <v>12056527.130080415</v>
      </c>
      <c r="N18" s="59">
        <f t="shared" si="0"/>
        <v>12056527.130080415</v>
      </c>
      <c r="O18" s="45"/>
      <c r="P18" s="59">
        <f>SUM(P15:P17)</f>
        <v>138662414.42248952</v>
      </c>
    </row>
    <row r="20" spans="1:16">
      <c r="B20" s="5" t="s">
        <v>74</v>
      </c>
      <c r="C20" s="39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>
      <c r="B21" s="1"/>
      <c r="C21" s="19"/>
      <c r="D21" s="1"/>
      <c r="E21" s="1"/>
      <c r="F21" s="1"/>
      <c r="G21" s="1"/>
      <c r="H21" s="1"/>
      <c r="I21" s="1"/>
      <c r="J21" s="1"/>
      <c r="K21" s="1"/>
      <c r="L21" s="1"/>
      <c r="M21" s="7"/>
      <c r="N21" s="1"/>
      <c r="O21" s="1"/>
      <c r="P21" s="1"/>
    </row>
    <row r="22" spans="1:16">
      <c r="B22" s="18" t="str">
        <f>B$14</f>
        <v>Network level</v>
      </c>
      <c r="C22" s="18" t="str">
        <f>C$14</f>
        <v>Units</v>
      </c>
      <c r="D22" s="14"/>
      <c r="E22" s="14">
        <f t="shared" ref="E22:N22" si="1">E$14</f>
        <v>2025</v>
      </c>
      <c r="F22" s="14">
        <f t="shared" si="1"/>
        <v>2026</v>
      </c>
      <c r="G22" s="14">
        <f t="shared" si="1"/>
        <v>2027</v>
      </c>
      <c r="H22" s="14">
        <f t="shared" si="1"/>
        <v>2028</v>
      </c>
      <c r="I22" s="14">
        <f t="shared" si="1"/>
        <v>2029</v>
      </c>
      <c r="J22" s="14">
        <f t="shared" si="1"/>
        <v>2030</v>
      </c>
      <c r="K22" s="14">
        <f t="shared" si="1"/>
        <v>2031</v>
      </c>
      <c r="L22" s="14">
        <f t="shared" si="1"/>
        <v>2032</v>
      </c>
      <c r="M22" s="14">
        <f t="shared" si="1"/>
        <v>2033</v>
      </c>
      <c r="N22" s="14">
        <f t="shared" si="1"/>
        <v>2034</v>
      </c>
      <c r="P22" s="14" t="str">
        <f>P$14</f>
        <v>Total</v>
      </c>
    </row>
    <row r="23" spans="1:16">
      <c r="B23" s="2" t="str">
        <f>B$15</f>
        <v>LV</v>
      </c>
      <c r="C23" s="35" t="str">
        <f>C$15</f>
        <v>$2024 real</v>
      </c>
      <c r="D23" s="35"/>
      <c r="E23" s="21"/>
      <c r="F23" s="21"/>
      <c r="G23" s="21"/>
      <c r="H23" s="21"/>
      <c r="I23" s="21"/>
      <c r="J23" s="21"/>
      <c r="K23" s="21"/>
      <c r="L23" s="21"/>
      <c r="M23" s="21"/>
      <c r="N23" s="21"/>
      <c r="P23" s="21">
        <f>SUM(D23:N23)</f>
        <v>0</v>
      </c>
    </row>
    <row r="24" spans="1:16">
      <c r="B24" s="2" t="str">
        <f>B$16</f>
        <v>HV</v>
      </c>
      <c r="C24" s="35" t="str">
        <f>C$16</f>
        <v>$2024 real</v>
      </c>
      <c r="D24" s="35"/>
      <c r="E24" s="21"/>
      <c r="F24" s="21"/>
      <c r="G24" s="21"/>
      <c r="H24" s="21"/>
      <c r="I24" s="21"/>
      <c r="J24" s="21"/>
      <c r="K24" s="21"/>
      <c r="L24" s="21"/>
      <c r="M24" s="21"/>
      <c r="N24" s="21"/>
      <c r="P24" s="21">
        <f>SUM(D24:N24)</f>
        <v>0</v>
      </c>
    </row>
    <row r="25" spans="1:16">
      <c r="B25" s="2" t="str">
        <f>B$17</f>
        <v>ST</v>
      </c>
      <c r="C25" s="35" t="str">
        <f>C$17</f>
        <v>$2024 real</v>
      </c>
      <c r="D25" s="35"/>
      <c r="E25" s="21"/>
      <c r="F25" s="21"/>
      <c r="G25" s="21"/>
      <c r="H25" s="21"/>
      <c r="I25" s="21"/>
      <c r="J25" s="21"/>
      <c r="K25" s="21"/>
      <c r="L25" s="21"/>
      <c r="M25" s="21"/>
      <c r="N25" s="21"/>
      <c r="P25" s="21">
        <f>SUM(D25:N25)</f>
        <v>0</v>
      </c>
    </row>
    <row r="26" spans="1:16">
      <c r="B26" s="52" t="str">
        <f>B$18</f>
        <v>Total</v>
      </c>
      <c r="C26" s="53" t="str">
        <f>C$18</f>
        <v>$2024 real</v>
      </c>
      <c r="D26" s="53"/>
      <c r="E26" s="54">
        <f t="shared" ref="E26:N26" si="2">SUM(E23:E25)</f>
        <v>0</v>
      </c>
      <c r="F26" s="54">
        <f t="shared" si="2"/>
        <v>0</v>
      </c>
      <c r="G26" s="54">
        <f t="shared" si="2"/>
        <v>0</v>
      </c>
      <c r="H26" s="54">
        <f t="shared" si="2"/>
        <v>0</v>
      </c>
      <c r="I26" s="54">
        <f t="shared" si="2"/>
        <v>0</v>
      </c>
      <c r="J26" s="54">
        <f t="shared" si="2"/>
        <v>0</v>
      </c>
      <c r="K26" s="54">
        <f t="shared" si="2"/>
        <v>0</v>
      </c>
      <c r="L26" s="54">
        <f t="shared" si="2"/>
        <v>0</v>
      </c>
      <c r="M26" s="54">
        <f t="shared" si="2"/>
        <v>0</v>
      </c>
      <c r="N26" s="54">
        <f t="shared" si="2"/>
        <v>0</v>
      </c>
      <c r="P26" s="54">
        <f>SUM(P23:P25)</f>
        <v>0</v>
      </c>
    </row>
    <row r="27" spans="1:16">
      <c r="A27"/>
    </row>
    <row r="28" spans="1:16">
      <c r="B28" s="5" t="s">
        <v>75</v>
      </c>
      <c r="C28" s="39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1:16">
      <c r="A29"/>
    </row>
    <row r="30" spans="1:16">
      <c r="B30" s="18" t="str">
        <f>B$14</f>
        <v>Network level</v>
      </c>
      <c r="C30" s="18" t="str">
        <f>C$14</f>
        <v>Units</v>
      </c>
      <c r="D30" s="14"/>
      <c r="E30" s="14">
        <f t="shared" ref="E30:N30" si="3">E$14</f>
        <v>2025</v>
      </c>
      <c r="F30" s="14">
        <f t="shared" si="3"/>
        <v>2026</v>
      </c>
      <c r="G30" s="14">
        <f t="shared" si="3"/>
        <v>2027</v>
      </c>
      <c r="H30" s="14">
        <f t="shared" si="3"/>
        <v>2028</v>
      </c>
      <c r="I30" s="14">
        <f t="shared" si="3"/>
        <v>2029</v>
      </c>
      <c r="J30" s="14">
        <f t="shared" si="3"/>
        <v>2030</v>
      </c>
      <c r="K30" s="14">
        <f t="shared" si="3"/>
        <v>2031</v>
      </c>
      <c r="L30" s="14">
        <f t="shared" si="3"/>
        <v>2032</v>
      </c>
      <c r="M30" s="14">
        <f t="shared" si="3"/>
        <v>2033</v>
      </c>
      <c r="N30" s="14">
        <f t="shared" si="3"/>
        <v>2034</v>
      </c>
      <c r="P30" s="14" t="str">
        <f>P$14</f>
        <v>Total</v>
      </c>
    </row>
    <row r="31" spans="1:16">
      <c r="B31" s="2" t="str">
        <f>B$15</f>
        <v>LV</v>
      </c>
      <c r="C31" s="35" t="str">
        <f>C$15</f>
        <v>$2024 real</v>
      </c>
      <c r="D31" s="35"/>
      <c r="E31" s="40">
        <f t="shared" ref="E31:N31" si="4">-PMT(discount_rate, asset_life,E15+E23)</f>
        <v>625847.01732619735</v>
      </c>
      <c r="F31" s="40">
        <f t="shared" si="4"/>
        <v>675928.49661054125</v>
      </c>
      <c r="G31" s="40">
        <f t="shared" si="4"/>
        <v>900439.43146675813</v>
      </c>
      <c r="H31" s="40">
        <f t="shared" si="4"/>
        <v>539578.01046967728</v>
      </c>
      <c r="I31" s="40">
        <f t="shared" si="4"/>
        <v>523854.18643558532</v>
      </c>
      <c r="J31" s="40">
        <f t="shared" si="4"/>
        <v>523854.18643558532</v>
      </c>
      <c r="K31" s="40">
        <f t="shared" si="4"/>
        <v>523854.18643558532</v>
      </c>
      <c r="L31" s="40">
        <f t="shared" si="4"/>
        <v>523854.18643558532</v>
      </c>
      <c r="M31" s="40">
        <f t="shared" si="4"/>
        <v>523854.18643558532</v>
      </c>
      <c r="N31" s="40">
        <f t="shared" si="4"/>
        <v>523854.18643558532</v>
      </c>
      <c r="O31" s="45"/>
      <c r="P31" s="40">
        <f>SUM(D31:N31)</f>
        <v>5884918.074486685</v>
      </c>
    </row>
    <row r="32" spans="1:16">
      <c r="B32" s="2" t="str">
        <f>B$16</f>
        <v>HV</v>
      </c>
      <c r="C32" s="35" t="str">
        <f>C$16</f>
        <v>$2024 real</v>
      </c>
      <c r="D32" s="35"/>
      <c r="E32" s="40">
        <f t="shared" ref="E32:N32" si="5">-PMT(discount_rate, asset_life,E16+E24)</f>
        <v>19572.329034400605</v>
      </c>
      <c r="F32" s="40">
        <f t="shared" si="5"/>
        <v>21947.038573217364</v>
      </c>
      <c r="G32" s="40">
        <f t="shared" si="5"/>
        <v>32592.655799192431</v>
      </c>
      <c r="H32" s="40">
        <f t="shared" si="5"/>
        <v>15481.718365269087</v>
      </c>
      <c r="I32" s="40">
        <f t="shared" si="5"/>
        <v>14736.143045729616</v>
      </c>
      <c r="J32" s="40">
        <f t="shared" si="5"/>
        <v>14736.143045729616</v>
      </c>
      <c r="K32" s="40">
        <f t="shared" si="5"/>
        <v>14736.143045729616</v>
      </c>
      <c r="L32" s="40">
        <f t="shared" si="5"/>
        <v>14736.143045729616</v>
      </c>
      <c r="M32" s="40">
        <f t="shared" si="5"/>
        <v>14736.143045729616</v>
      </c>
      <c r="N32" s="40">
        <f t="shared" si="5"/>
        <v>14736.143045729616</v>
      </c>
      <c r="O32" s="45"/>
      <c r="P32" s="40">
        <f>SUM(D32:N32)</f>
        <v>178010.60004645714</v>
      </c>
    </row>
    <row r="33" spans="2:16">
      <c r="B33" s="2" t="str">
        <f>B$17</f>
        <v>ST</v>
      </c>
      <c r="C33" s="35" t="str">
        <f>C$17</f>
        <v>$2024 real</v>
      </c>
      <c r="D33" s="35"/>
      <c r="E33" s="40">
        <f t="shared" ref="E33:N33" si="6">-PMT(discount_rate, asset_life,E17+E25)</f>
        <v>20438.814743082898</v>
      </c>
      <c r="F33" s="40">
        <f t="shared" si="6"/>
        <v>31488.413504972275</v>
      </c>
      <c r="G33" s="40">
        <f t="shared" si="6"/>
        <v>76298.932945541455</v>
      </c>
      <c r="H33" s="40">
        <f t="shared" si="6"/>
        <v>3185.7620856211793</v>
      </c>
      <c r="I33" s="40">
        <f t="shared" si="6"/>
        <v>0</v>
      </c>
      <c r="J33" s="40">
        <f t="shared" si="6"/>
        <v>0</v>
      </c>
      <c r="K33" s="40">
        <f t="shared" si="6"/>
        <v>0</v>
      </c>
      <c r="L33" s="40">
        <f t="shared" si="6"/>
        <v>0</v>
      </c>
      <c r="M33" s="40">
        <f t="shared" si="6"/>
        <v>0</v>
      </c>
      <c r="N33" s="40">
        <f t="shared" si="6"/>
        <v>0</v>
      </c>
      <c r="O33" s="45"/>
      <c r="P33" s="40">
        <f>SUM(D33:N33)</f>
        <v>131411.92327921782</v>
      </c>
    </row>
    <row r="34" spans="2:16">
      <c r="B34" s="52" t="str">
        <f>B$18</f>
        <v>Total</v>
      </c>
      <c r="C34" s="53" t="str">
        <f>C$18</f>
        <v>$2024 real</v>
      </c>
      <c r="D34" s="51"/>
      <c r="E34" s="59">
        <f t="shared" ref="E34:N34" si="7">SUM(E31:E33)</f>
        <v>665858.16110368085</v>
      </c>
      <c r="F34" s="59">
        <f t="shared" si="7"/>
        <v>729363.94868873083</v>
      </c>
      <c r="G34" s="59">
        <f t="shared" si="7"/>
        <v>1009331.020211492</v>
      </c>
      <c r="H34" s="59">
        <f t="shared" si="7"/>
        <v>558245.49092056754</v>
      </c>
      <c r="I34" s="59">
        <f t="shared" si="7"/>
        <v>538590.32948131498</v>
      </c>
      <c r="J34" s="59">
        <f t="shared" si="7"/>
        <v>538590.32948131498</v>
      </c>
      <c r="K34" s="59">
        <f t="shared" si="7"/>
        <v>538590.32948131498</v>
      </c>
      <c r="L34" s="59">
        <f t="shared" si="7"/>
        <v>538590.32948131498</v>
      </c>
      <c r="M34" s="59">
        <f t="shared" si="7"/>
        <v>538590.32948131498</v>
      </c>
      <c r="N34" s="59">
        <f t="shared" si="7"/>
        <v>538590.32948131498</v>
      </c>
      <c r="O34" s="45"/>
      <c r="P34" s="59">
        <f>SUM(P31:P33)</f>
        <v>6194340.5978123592</v>
      </c>
    </row>
    <row r="36" spans="2:16">
      <c r="B36" s="5" t="s">
        <v>76</v>
      </c>
      <c r="C36" s="39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8" spans="2:16">
      <c r="B38" s="18" t="str">
        <f>B$14</f>
        <v>Network level</v>
      </c>
      <c r="C38" s="18" t="str">
        <f>C$14</f>
        <v>Units</v>
      </c>
      <c r="D38" s="14"/>
      <c r="E38" s="14">
        <f t="shared" ref="E38:N38" si="8">E$14</f>
        <v>2025</v>
      </c>
      <c r="F38" s="14">
        <f t="shared" si="8"/>
        <v>2026</v>
      </c>
      <c r="G38" s="14">
        <f t="shared" si="8"/>
        <v>2027</v>
      </c>
      <c r="H38" s="14">
        <f t="shared" si="8"/>
        <v>2028</v>
      </c>
      <c r="I38" s="14">
        <f t="shared" si="8"/>
        <v>2029</v>
      </c>
      <c r="J38" s="14">
        <f t="shared" si="8"/>
        <v>2030</v>
      </c>
      <c r="K38" s="14">
        <f t="shared" si="8"/>
        <v>2031</v>
      </c>
      <c r="L38" s="14">
        <f t="shared" si="8"/>
        <v>2032</v>
      </c>
      <c r="M38" s="14">
        <f t="shared" si="8"/>
        <v>2033</v>
      </c>
      <c r="N38" s="14">
        <f t="shared" si="8"/>
        <v>2034</v>
      </c>
      <c r="P38" s="14" t="str">
        <f>P$14</f>
        <v>Total</v>
      </c>
    </row>
    <row r="39" spans="2:16">
      <c r="B39" s="2" t="str">
        <f>B$15</f>
        <v>LV</v>
      </c>
      <c r="C39" s="35" t="str">
        <f>C$15</f>
        <v>$2024 real</v>
      </c>
      <c r="D39" s="35"/>
      <c r="E39" s="40">
        <f t="shared" ref="E39:N39" si="9">opex_proportion*(E15+E23)</f>
        <v>263204.65368626599</v>
      </c>
      <c r="F39" s="40">
        <f t="shared" si="9"/>
        <v>284266.7951460873</v>
      </c>
      <c r="G39" s="40">
        <f t="shared" si="9"/>
        <v>378686.55144702829</v>
      </c>
      <c r="H39" s="40">
        <f t="shared" si="9"/>
        <v>226923.57629048807</v>
      </c>
      <c r="I39" s="40">
        <f t="shared" si="9"/>
        <v>220310.80424725267</v>
      </c>
      <c r="J39" s="40">
        <f t="shared" si="9"/>
        <v>220310.80424725267</v>
      </c>
      <c r="K39" s="40">
        <f t="shared" si="9"/>
        <v>220310.80424725267</v>
      </c>
      <c r="L39" s="40">
        <f t="shared" si="9"/>
        <v>220310.80424725267</v>
      </c>
      <c r="M39" s="40">
        <f t="shared" si="9"/>
        <v>220310.80424725267</v>
      </c>
      <c r="N39" s="40">
        <f t="shared" si="9"/>
        <v>220310.80424725267</v>
      </c>
      <c r="O39" s="45"/>
      <c r="P39" s="40">
        <f>SUM(D39:N39)</f>
        <v>2474946.4020533855</v>
      </c>
    </row>
    <row r="40" spans="2:16">
      <c r="B40" s="2" t="str">
        <f>B$16</f>
        <v>HV</v>
      </c>
      <c r="C40" s="35" t="str">
        <f>C$16</f>
        <v>$2024 real</v>
      </c>
      <c r="D40" s="35"/>
      <c r="E40" s="40">
        <f t="shared" ref="E40:N40" si="10">opex_proportion*(E16+E24)</f>
        <v>8231.2896645923211</v>
      </c>
      <c r="F40" s="40">
        <f t="shared" si="10"/>
        <v>9229.9915589307602</v>
      </c>
      <c r="G40" s="40">
        <f t="shared" si="10"/>
        <v>13707.085669261718</v>
      </c>
      <c r="H40" s="40">
        <f t="shared" si="10"/>
        <v>6510.9526896971656</v>
      </c>
      <c r="I40" s="40">
        <f t="shared" si="10"/>
        <v>6197.3954011847036</v>
      </c>
      <c r="J40" s="40">
        <f t="shared" si="10"/>
        <v>6197.3954011847036</v>
      </c>
      <c r="K40" s="40">
        <f t="shared" si="10"/>
        <v>6197.3954011847036</v>
      </c>
      <c r="L40" s="40">
        <f t="shared" si="10"/>
        <v>6197.3954011847036</v>
      </c>
      <c r="M40" s="40">
        <f t="shared" si="10"/>
        <v>6197.3954011847036</v>
      </c>
      <c r="N40" s="40">
        <f t="shared" si="10"/>
        <v>6197.3954011847036</v>
      </c>
      <c r="O40" s="45"/>
      <c r="P40" s="40">
        <f>SUM(D40:N40)</f>
        <v>74863.691989590181</v>
      </c>
    </row>
    <row r="41" spans="2:16">
      <c r="B41" s="2" t="str">
        <f>B$17</f>
        <v>ST</v>
      </c>
      <c r="C41" s="35" t="str">
        <f>C$17</f>
        <v>$2024 real</v>
      </c>
      <c r="D41" s="35"/>
      <c r="E41" s="40">
        <f t="shared" ref="E41:N41" si="11">opex_proportion*(E17+E25)</f>
        <v>8595.696723448611</v>
      </c>
      <c r="F41" s="40">
        <f t="shared" si="11"/>
        <v>13242.688296437846</v>
      </c>
      <c r="G41" s="40">
        <f t="shared" si="11"/>
        <v>32088.088089578312</v>
      </c>
      <c r="H41" s="40">
        <f t="shared" si="11"/>
        <v>1339.7961215108271</v>
      </c>
      <c r="I41" s="40">
        <f t="shared" si="11"/>
        <v>0</v>
      </c>
      <c r="J41" s="40">
        <f t="shared" si="11"/>
        <v>0</v>
      </c>
      <c r="K41" s="40">
        <f t="shared" si="11"/>
        <v>0</v>
      </c>
      <c r="L41" s="40">
        <f t="shared" si="11"/>
        <v>0</v>
      </c>
      <c r="M41" s="40">
        <f t="shared" si="11"/>
        <v>0</v>
      </c>
      <c r="N41" s="40">
        <f t="shared" si="11"/>
        <v>0</v>
      </c>
      <c r="O41" s="45"/>
      <c r="P41" s="40">
        <f>SUM(D41:N41)</f>
        <v>55266.269230975602</v>
      </c>
    </row>
    <row r="42" spans="2:16">
      <c r="B42" s="52" t="str">
        <f>B$18</f>
        <v>Total</v>
      </c>
      <c r="C42" s="53" t="str">
        <f>C$18</f>
        <v>$2024 real</v>
      </c>
      <c r="D42" s="51"/>
      <c r="E42" s="59">
        <f t="shared" ref="E42:N42" si="12">SUM(E39:E41)</f>
        <v>280031.64007430692</v>
      </c>
      <c r="F42" s="59">
        <f t="shared" si="12"/>
        <v>306739.47500145592</v>
      </c>
      <c r="G42" s="59">
        <f t="shared" si="12"/>
        <v>424481.72520586831</v>
      </c>
      <c r="H42" s="59">
        <f t="shared" si="12"/>
        <v>234774.32510169604</v>
      </c>
      <c r="I42" s="59">
        <f t="shared" si="12"/>
        <v>226508.19964843738</v>
      </c>
      <c r="J42" s="59">
        <f t="shared" si="12"/>
        <v>226508.19964843738</v>
      </c>
      <c r="K42" s="59">
        <f t="shared" si="12"/>
        <v>226508.19964843738</v>
      </c>
      <c r="L42" s="59">
        <f t="shared" si="12"/>
        <v>226508.19964843738</v>
      </c>
      <c r="M42" s="59">
        <f t="shared" si="12"/>
        <v>226508.19964843738</v>
      </c>
      <c r="N42" s="59">
        <f t="shared" si="12"/>
        <v>226508.19964843738</v>
      </c>
      <c r="O42" s="45"/>
      <c r="P42" s="59">
        <f>SUM(P39:P41)</f>
        <v>2605076.3632739512</v>
      </c>
    </row>
    <row r="44" spans="2:16">
      <c r="B44" s="5" t="s">
        <v>77</v>
      </c>
      <c r="C44" s="39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46" spans="2:16">
      <c r="B46" s="18" t="str">
        <f>B$14</f>
        <v>Network level</v>
      </c>
      <c r="C46" s="18" t="str">
        <f>C$14</f>
        <v>Units</v>
      </c>
      <c r="D46" s="14" t="s">
        <v>78</v>
      </c>
      <c r="E46" s="14">
        <f t="shared" ref="E46:N46" si="13">E$14</f>
        <v>2025</v>
      </c>
      <c r="F46" s="14">
        <f t="shared" si="13"/>
        <v>2026</v>
      </c>
      <c r="G46" s="14">
        <f t="shared" si="13"/>
        <v>2027</v>
      </c>
      <c r="H46" s="14">
        <f t="shared" si="13"/>
        <v>2028</v>
      </c>
      <c r="I46" s="14">
        <f t="shared" si="13"/>
        <v>2029</v>
      </c>
      <c r="J46" s="14">
        <f t="shared" si="13"/>
        <v>2030</v>
      </c>
      <c r="K46" s="14">
        <f t="shared" si="13"/>
        <v>2031</v>
      </c>
      <c r="L46" s="14">
        <f t="shared" si="13"/>
        <v>2032</v>
      </c>
      <c r="M46" s="14">
        <f t="shared" si="13"/>
        <v>2033</v>
      </c>
      <c r="N46" s="14">
        <f t="shared" si="13"/>
        <v>2034</v>
      </c>
    </row>
    <row r="47" spans="2:16">
      <c r="B47" s="2" t="str">
        <f>B$15</f>
        <v>LV</v>
      </c>
      <c r="C47" s="35" t="str">
        <f>C$15</f>
        <v>$2024 real</v>
      </c>
      <c r="D47" s="55">
        <f>SUMPRODUCT(E47:N47,'Financial inputs'!$G$23:$P$23)</f>
        <v>40650255.503226951</v>
      </c>
      <c r="E47" s="40">
        <f>SUM($E31:E31,$E39:E39)</f>
        <v>889051.67101246328</v>
      </c>
      <c r="F47" s="40">
        <f>SUM($E31:F31,$E39:F39)</f>
        <v>1849246.9627690916</v>
      </c>
      <c r="G47" s="40">
        <f>SUM($E31:G31,$E39:G39)</f>
        <v>3128372.9456828781</v>
      </c>
      <c r="H47" s="40">
        <f>SUM($E31:H31,$E39:H39)</f>
        <v>3894874.5324430438</v>
      </c>
      <c r="I47" s="40">
        <f>SUM($E31:I31,$E39:I39)</f>
        <v>4639039.5231258813</v>
      </c>
      <c r="J47" s="40">
        <f>SUM($E31:J31,$E39:J39)</f>
        <v>5383204.5138087198</v>
      </c>
      <c r="K47" s="40">
        <f>SUM($E31:K31,$E39:K39)</f>
        <v>6127369.5044915583</v>
      </c>
      <c r="L47" s="40">
        <f>SUM($E31:L31,$E39:L39)</f>
        <v>6871534.4951743959</v>
      </c>
      <c r="M47" s="40">
        <f>SUM($E31:M31,$E39:M39)</f>
        <v>7615699.4858572334</v>
      </c>
      <c r="N47" s="40">
        <f>SUM($E31:N31,$E39:N39)</f>
        <v>8359864.476540071</v>
      </c>
    </row>
    <row r="48" spans="2:16">
      <c r="B48" s="2" t="str">
        <f>B$16</f>
        <v>HV</v>
      </c>
      <c r="C48" s="35" t="str">
        <f>C47</f>
        <v>$2024 real</v>
      </c>
      <c r="D48" s="55">
        <f>SUMPRODUCT(E48:N48,'Financial inputs'!$G$23:$P$23)</f>
        <v>1272085.6728782807</v>
      </c>
      <c r="E48" s="40">
        <f>SUM($E32:E32,$E40:E40)</f>
        <v>27803.618698992927</v>
      </c>
      <c r="F48" s="40">
        <f>SUM($E32:F32,$E40:F40)</f>
        <v>58980.64883114105</v>
      </c>
      <c r="G48" s="40">
        <f>SUM($E32:G32,$E40:G40)</f>
        <v>105280.39029959521</v>
      </c>
      <c r="H48" s="40">
        <f>SUM($E32:H32,$E40:H40)</f>
        <v>127273.06135456146</v>
      </c>
      <c r="I48" s="40">
        <f>SUM($E32:I32,$E40:I40)</f>
        <v>148206.59980147579</v>
      </c>
      <c r="J48" s="40">
        <f>SUM($E32:J32,$E40:J40)</f>
        <v>169140.13824839011</v>
      </c>
      <c r="K48" s="40">
        <f>SUM($E32:K32,$E40:K40)</f>
        <v>190073.67669530443</v>
      </c>
      <c r="L48" s="40">
        <f>SUM($E32:L32,$E40:L40)</f>
        <v>211007.21514221875</v>
      </c>
      <c r="M48" s="40">
        <f>SUM($E32:M32,$E40:M40)</f>
        <v>231940.75358913306</v>
      </c>
      <c r="N48" s="40">
        <f>SUM($E32:N32,$E40:N40)</f>
        <v>252874.29203604738</v>
      </c>
    </row>
    <row r="49" spans="1:14">
      <c r="B49" s="2" t="str">
        <f>B$17</f>
        <v>ST</v>
      </c>
      <c r="C49" s="35" t="str">
        <f>C48</f>
        <v>$2024 real</v>
      </c>
      <c r="D49" s="55">
        <f>SUMPRODUCT(E49:N49,'Financial inputs'!$G$23:$P$23)</f>
        <v>1355408.5024768547</v>
      </c>
      <c r="E49" s="40">
        <f>SUM($E33:E33,$E41:E41)</f>
        <v>29034.511466531509</v>
      </c>
      <c r="F49" s="40">
        <f>SUM($E33:F33,$E41:F41)</f>
        <v>73765.613267941633</v>
      </c>
      <c r="G49" s="40">
        <f>SUM($E33:G33,$E41:G41)</f>
        <v>182152.63430306141</v>
      </c>
      <c r="H49" s="40">
        <f>SUM($E33:H33,$E41:H41)</f>
        <v>186678.19251019342</v>
      </c>
      <c r="I49" s="40">
        <f>SUM($E33:I33,$E41:I41)</f>
        <v>186678.19251019342</v>
      </c>
      <c r="J49" s="40">
        <f>SUM($E33:J33,$E41:J41)</f>
        <v>186678.19251019342</v>
      </c>
      <c r="K49" s="40">
        <f>SUM($E33:K33,$E41:K41)</f>
        <v>186678.19251019342</v>
      </c>
      <c r="L49" s="40">
        <f>SUM($E33:L33,$E41:L41)</f>
        <v>186678.19251019342</v>
      </c>
      <c r="M49" s="40">
        <f>SUM($E33:M33,$E41:M41)</f>
        <v>186678.19251019342</v>
      </c>
      <c r="N49" s="40">
        <f>SUM($E33:N33,$E41:N41)</f>
        <v>186678.19251019342</v>
      </c>
    </row>
    <row r="50" spans="1:14">
      <c r="B50" s="52" t="str">
        <f>B$18</f>
        <v>Total</v>
      </c>
      <c r="C50" s="53" t="str">
        <f>C49</f>
        <v>$2024 real</v>
      </c>
      <c r="D50" s="56">
        <f t="shared" ref="D50:N50" si="14">SUM(D47:D49)</f>
        <v>43277749.678582087</v>
      </c>
      <c r="E50" s="59">
        <f t="shared" si="14"/>
        <v>945889.80117798771</v>
      </c>
      <c r="F50" s="59">
        <f t="shared" si="14"/>
        <v>1981993.2248681742</v>
      </c>
      <c r="G50" s="59">
        <f t="shared" si="14"/>
        <v>3415805.9702855349</v>
      </c>
      <c r="H50" s="59">
        <f t="shared" si="14"/>
        <v>4208825.7863077987</v>
      </c>
      <c r="I50" s="59">
        <f t="shared" si="14"/>
        <v>4973924.3154375507</v>
      </c>
      <c r="J50" s="59">
        <f t="shared" si="14"/>
        <v>5739022.8445673035</v>
      </c>
      <c r="K50" s="59">
        <f t="shared" si="14"/>
        <v>6504121.3736970555</v>
      </c>
      <c r="L50" s="59">
        <f t="shared" si="14"/>
        <v>7269219.9028268075</v>
      </c>
      <c r="M50" s="59">
        <f t="shared" si="14"/>
        <v>8034318.4319565594</v>
      </c>
      <c r="N50" s="59">
        <f t="shared" si="14"/>
        <v>8799416.9610863123</v>
      </c>
    </row>
    <row r="52" spans="1:14">
      <c r="A52"/>
      <c r="B52" s="5" t="s">
        <v>79</v>
      </c>
      <c r="C52" s="39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</row>
    <row r="54" spans="1:14">
      <c r="B54" s="18" t="str">
        <f>B$14</f>
        <v>Network level</v>
      </c>
      <c r="C54" s="18" t="str">
        <f>C$14</f>
        <v>Units</v>
      </c>
      <c r="D54" s="14" t="s">
        <v>78</v>
      </c>
      <c r="E54" s="14">
        <f t="shared" ref="E54:N54" si="15">E$14</f>
        <v>2025</v>
      </c>
      <c r="F54" s="14">
        <f t="shared" si="15"/>
        <v>2026</v>
      </c>
      <c r="G54" s="14">
        <f t="shared" si="15"/>
        <v>2027</v>
      </c>
      <c r="H54" s="14">
        <f t="shared" si="15"/>
        <v>2028</v>
      </c>
      <c r="I54" s="14">
        <f t="shared" si="15"/>
        <v>2029</v>
      </c>
      <c r="J54" s="14">
        <f t="shared" si="15"/>
        <v>2030</v>
      </c>
      <c r="K54" s="14">
        <f t="shared" si="15"/>
        <v>2031</v>
      </c>
      <c r="L54" s="14">
        <f t="shared" si="15"/>
        <v>2032</v>
      </c>
      <c r="M54" s="14">
        <f t="shared" si="15"/>
        <v>2033</v>
      </c>
      <c r="N54" s="14">
        <f t="shared" si="15"/>
        <v>2034</v>
      </c>
    </row>
    <row r="55" spans="1:14">
      <c r="B55" s="2" t="str">
        <f>B$15</f>
        <v>LV</v>
      </c>
      <c r="C55" s="35" t="s">
        <v>80</v>
      </c>
      <c r="D55" s="57">
        <f>SUMPRODUCT(E55:N55,'Financial inputs'!$G$23:$P$23)</f>
        <v>954.73388869579026</v>
      </c>
      <c r="E55" s="40">
        <f>'Aggregated demand'!G10-'Aggregated demand'!$F10</f>
        <v>19.424230025995712</v>
      </c>
      <c r="F55" s="40">
        <f>'Aggregated demand'!H10-'Aggregated demand'!$F10</f>
        <v>39.321156251436605</v>
      </c>
      <c r="G55" s="40">
        <f>'Aggregated demand'!I10-'Aggregated demand'!$F10</f>
        <v>59.70898617382727</v>
      </c>
      <c r="H55" s="40">
        <f>'Aggregated demand'!J10-'Aggregated demand'!$F10</f>
        <v>80.606703170341007</v>
      </c>
      <c r="I55" s="40">
        <f>'Aggregated demand'!K10-'Aggregated demand'!$F10</f>
        <v>102.03410027495283</v>
      </c>
      <c r="J55" s="40">
        <f>'Aggregated demand'!L10-'Aggregated demand'!$F10</f>
        <v>124.01181543293796</v>
      </c>
      <c r="K55" s="40">
        <f>'Aggregated demand'!M10-'Aggregated demand'!$F10</f>
        <v>146.56136829741627</v>
      </c>
      <c r="L55" s="40">
        <f>'Aggregated demand'!N10-'Aggregated demand'!$F10</f>
        <v>169.70519863545996</v>
      </c>
      <c r="M55" s="40">
        <f>'Aggregated demand'!O10-'Aggregated demand'!$F10</f>
        <v>193.46670641425771</v>
      </c>
      <c r="N55" s="40">
        <f>'Aggregated demand'!P10-'Aggregated demand'!$F10</f>
        <v>217.87029364086993</v>
      </c>
    </row>
    <row r="56" spans="1:14">
      <c r="B56" s="2" t="str">
        <f>B$16</f>
        <v>HV</v>
      </c>
      <c r="C56" s="35" t="str">
        <f>C55</f>
        <v>MW</v>
      </c>
      <c r="D56" s="57">
        <f>SUMPRODUCT(E56:N56,'Financial inputs'!$G$23:$P$23)</f>
        <v>79.614495523923324</v>
      </c>
      <c r="E56" s="40">
        <f>'Aggregated demand'!G11-'Aggregated demand'!$F11</f>
        <v>1.5682250709331242</v>
      </c>
      <c r="F56" s="40">
        <f>'Aggregated demand'!H11-'Aggregated demand'!$F11</f>
        <v>3.1919233628564143</v>
      </c>
      <c r="G56" s="40">
        <f>'Aggregated demand'!I11-'Aggregated demand'!$F11</f>
        <v>4.8734261219119901</v>
      </c>
      <c r="H56" s="40">
        <f>'Aggregated demand'!J11-'Aggregated demand'!$F11</f>
        <v>6.6151657778465278</v>
      </c>
      <c r="I56" s="40">
        <f>'Aggregated demand'!K11-'Aggregated demand'!$F11</f>
        <v>8.419680366664295</v>
      </c>
      <c r="J56" s="40">
        <f>'Aggregated demand'!L11-'Aggregated demand'!$F11</f>
        <v>10.289618146893758</v>
      </c>
      <c r="K56" s="40">
        <f>'Aggregated demand'!M11-'Aggregated demand'!$F11</f>
        <v>12.227742417948576</v>
      </c>
      <c r="L56" s="40">
        <f>'Aggregated demand'!N11-'Aggregated demand'!$F11</f>
        <v>14.236936549433892</v>
      </c>
      <c r="M56" s="40">
        <f>'Aggregated demand'!O11-'Aggregated demand'!$F11</f>
        <v>16.320209230633736</v>
      </c>
      <c r="N56" s="40">
        <f>'Aggregated demand'!P11-'Aggregated demand'!$F11</f>
        <v>18.480699949824668</v>
      </c>
    </row>
    <row r="57" spans="1:14">
      <c r="B57" s="2" t="str">
        <f>B$17</f>
        <v>ST</v>
      </c>
      <c r="C57" s="35" t="str">
        <f>C56</f>
        <v>MW</v>
      </c>
      <c r="D57" s="57">
        <f>SUMPRODUCT(E57:N57,'Financial inputs'!$G$23:$P$23)</f>
        <v>404.60732283616403</v>
      </c>
      <c r="E57" s="40">
        <f>'Aggregated demand'!G12-'Aggregated demand'!$F12</f>
        <v>7.9850039442447951</v>
      </c>
      <c r="F57" s="40">
        <f>'Aggregated demand'!H12-'Aggregated demand'!$F12</f>
        <v>16.247343222262316</v>
      </c>
      <c r="G57" s="40">
        <f>'Aggregated demand'!I12-'Aggregated demand'!$F12</f>
        <v>24.798561941354478</v>
      </c>
      <c r="H57" s="40">
        <f>'Aggregated demand'!J12-'Aggregated demand'!$F12</f>
        <v>33.650703960816486</v>
      </c>
      <c r="I57" s="40">
        <f>'Aggregated demand'!K12-'Aggregated demand'!$F12</f>
        <v>42.8163347214645</v>
      </c>
      <c r="J57" s="40">
        <f>'Aggregated demand'!L12-'Aggregated demand'!$F12</f>
        <v>52.30856403066241</v>
      </c>
      <c r="K57" s="40">
        <f>'Aggregated demand'!M12-'Aggregated demand'!$F12</f>
        <v>62.141069844692652</v>
      </c>
      <c r="L57" s="40">
        <f>'Aggregated demand'!N12-'Aggregated demand'!$F12</f>
        <v>72.328123092150122</v>
      </c>
      <c r="M57" s="40">
        <f>'Aggregated demand'!O12-'Aggregated demand'!$F12</f>
        <v>82.88461358393829</v>
      </c>
      <c r="N57" s="40">
        <f>'Aggregated demand'!P12-'Aggregated demand'!$F12</f>
        <v>93.826077057463863</v>
      </c>
    </row>
    <row r="58" spans="1:14">
      <c r="B58" s="52" t="str">
        <f>B$18</f>
        <v>Total</v>
      </c>
      <c r="C58" s="53" t="str">
        <f>C57</f>
        <v>MW</v>
      </c>
      <c r="D58" s="58">
        <f>SUM(D55:D57)</f>
        <v>1438.9557070558776</v>
      </c>
      <c r="E58" s="59">
        <f>SUM(E55:E57)</f>
        <v>28.977459041173631</v>
      </c>
      <c r="F58" s="59">
        <f t="shared" ref="F58:N58" si="16">SUM(F55:F57)</f>
        <v>58.760422836555335</v>
      </c>
      <c r="G58" s="59">
        <f t="shared" si="16"/>
        <v>89.380974237093739</v>
      </c>
      <c r="H58" s="59">
        <f t="shared" si="16"/>
        <v>120.87257290900402</v>
      </c>
      <c r="I58" s="59">
        <f t="shared" si="16"/>
        <v>153.27011536308163</v>
      </c>
      <c r="J58" s="59">
        <f t="shared" si="16"/>
        <v>186.60999761049413</v>
      </c>
      <c r="K58" s="59">
        <f t="shared" si="16"/>
        <v>220.93018056005749</v>
      </c>
      <c r="L58" s="59">
        <f t="shared" si="16"/>
        <v>256.27025827704398</v>
      </c>
      <c r="M58" s="59">
        <f t="shared" si="16"/>
        <v>292.67152922882974</v>
      </c>
      <c r="N58" s="59">
        <f t="shared" si="16"/>
        <v>330.17707064815846</v>
      </c>
    </row>
    <row r="105" spans="1:1">
      <c r="A105"/>
    </row>
    <row r="106" spans="1:1">
      <c r="A106"/>
    </row>
    <row r="107" spans="1:1">
      <c r="A107"/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A58B0-3D86-49F9-88C0-B9B9534F41E6}">
  <sheetPr>
    <tabColor rgb="FF9ECCA6"/>
  </sheetPr>
  <dimension ref="A1:L39"/>
  <sheetViews>
    <sheetView showGridLines="0" zoomScale="70" zoomScaleNormal="70" workbookViewId="0"/>
  </sheetViews>
  <sheetFormatPr defaultColWidth="8.84375" defaultRowHeight="15.5"/>
  <cols>
    <col min="1" max="1" width="34.69140625" style="1" bestFit="1" customWidth="1"/>
    <col min="2" max="2" width="11.84375" style="1" customWidth="1"/>
    <col min="4" max="4" width="10" style="1" bestFit="1" customWidth="1"/>
    <col min="5" max="5" width="7.69140625" style="1" bestFit="1" customWidth="1"/>
    <col min="6" max="6" width="8.84375" style="1"/>
    <col min="7" max="7" width="9.765625" style="1" bestFit="1" customWidth="1"/>
    <col min="8" max="8" width="7.4609375" style="1" bestFit="1" customWidth="1"/>
    <col min="9" max="9" width="8.84375" style="1"/>
    <col min="10" max="10" width="13.07421875" style="1" bestFit="1" customWidth="1"/>
    <col min="11" max="11" width="12.07421875" style="1" bestFit="1" customWidth="1"/>
    <col min="12" max="12" width="14.23046875" style="1" bestFit="1" customWidth="1"/>
    <col min="13" max="16384" width="8.84375" style="1"/>
  </cols>
  <sheetData>
    <row r="1" spans="1:12" ht="18">
      <c r="A1" s="49" t="str">
        <f ca="1">MID(CELL("filename",A2),FIND("]",CELL("filename",A2))+1,256)</f>
        <v>LRMC - declining (case studies)</v>
      </c>
    </row>
    <row r="2" spans="1:12">
      <c r="A2"/>
    </row>
    <row r="3" spans="1:12" ht="21">
      <c r="B3" s="6" t="s">
        <v>331</v>
      </c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ht="14">
      <c r="C4" s="1"/>
    </row>
    <row r="5" spans="1:12">
      <c r="B5" s="5" t="s">
        <v>335</v>
      </c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ht="14">
      <c r="C6" s="1"/>
    </row>
    <row r="7" spans="1:12">
      <c r="B7" s="2" t="s">
        <v>325</v>
      </c>
      <c r="C7" s="2"/>
      <c r="D7" s="2"/>
      <c r="E7" s="2"/>
      <c r="F7" s="2"/>
      <c r="G7" s="2"/>
      <c r="H7" s="2"/>
      <c r="I7" s="2"/>
      <c r="J7" s="179" t="str">
        <f>'Case study calculations'!$D$10</f>
        <v>MW</v>
      </c>
      <c r="K7" s="179" t="str">
        <f>'Case study calculations'!$D$19</f>
        <v>$2024 real</v>
      </c>
      <c r="L7" s="179" t="str">
        <f>$K$7</f>
        <v>$2024 real</v>
      </c>
    </row>
    <row r="8" spans="1:12">
      <c r="J8"/>
    </row>
    <row r="9" spans="1:12" ht="46.5">
      <c r="B9" s="14" t="s">
        <v>308</v>
      </c>
      <c r="D9" s="14" t="s">
        <v>327</v>
      </c>
      <c r="E9" s="14" t="s">
        <v>328</v>
      </c>
      <c r="F9"/>
      <c r="G9" s="14" t="s">
        <v>329</v>
      </c>
      <c r="H9" s="14" t="s">
        <v>330</v>
      </c>
      <c r="J9" s="78" t="s">
        <v>332</v>
      </c>
      <c r="K9" s="78" t="s">
        <v>333</v>
      </c>
      <c r="L9" s="78" t="s">
        <v>334</v>
      </c>
    </row>
    <row r="10" spans="1:12">
      <c r="B10" s="2" t="str" cm="1">
        <f t="array" ref="B10">INDEX(_xlfn._xlws.SORT(_xlfn.UNIQUE('Case study demand'!$B$10:$B$27)),COUNTIFS($D$10:$D10,$D$10,$E$10:$E10,$E$10))</f>
        <v>Botany</v>
      </c>
      <c r="D10" s="2" t="s">
        <v>312</v>
      </c>
      <c r="E10" s="2" t="s">
        <v>311</v>
      </c>
      <c r="G10" s="175">
        <f>SUMIFS('Case study expenditure'!$E$10:$E$27,'Case study expenditure'!$B$10:$B$27,$B10,'Case study expenditure'!$C$10:$C$27,D10)</f>
        <v>2030</v>
      </c>
      <c r="H10" s="175">
        <f>SUMIFS('Case study expenditure'!$E$10:$E$27,'Case study expenditure'!$B$10:$B$27,$B10,'Case study expenditure'!$C$10:$C$27,E10)</f>
        <v>2030</v>
      </c>
      <c r="J10" s="176">
        <f>SUMIFS('Case study calculations'!$E:$E,'Case study calculations'!$B:$B,$B10,'Case study calculations'!$C:$C,$D10,'Case study calculations'!$D:$D,J$7)-SUMIFS('Case study calculations'!$E:$E,'Case study calculations'!$B:$B,$B10,'Case study calculations'!$C:$C,$E10,'Case study calculations'!$D:$D,J$7)</f>
        <v>3.439977960222862</v>
      </c>
      <c r="K10" s="177">
        <f>SUMIFS('Case study calculations'!$E:$E,'Case study calculations'!$B:$B,$B10,'Case study calculations'!$C:$C,$D10,'Case study calculations'!$D:$D,K$7)-SUMIFS('Case study calculations'!$E:$E,'Case study calculations'!$B:$B,$B10,'Case study calculations'!$C:$C,$E10,'Case study calculations'!$D:$D,K$7)</f>
        <v>0</v>
      </c>
      <c r="L10" s="178">
        <f>IFERROR($K10/($J10*(10^3)),0)</f>
        <v>0</v>
      </c>
    </row>
    <row r="11" spans="1:12">
      <c r="B11" s="2" t="str" cm="1">
        <f t="array" ref="B11">INDEX(_xlfn._xlws.SORT(_xlfn.UNIQUE('Case study demand'!$B$10:$B$27)),COUNTIFS($D$10:$D11,$D$10,$E$10:$E11,$E$10))</f>
        <v>Botany</v>
      </c>
      <c r="D11" s="2" t="s">
        <v>313</v>
      </c>
      <c r="E11" s="2" t="s">
        <v>312</v>
      </c>
      <c r="G11" s="175">
        <f>SUMIFS('Case study expenditure'!$E$10:$E$27,'Case study expenditure'!$B$10:$B$27,$B11,'Case study expenditure'!$C$10:$C$27,D11)</f>
        <v>2029</v>
      </c>
      <c r="H11" s="175">
        <f>SUMIFS('Case study expenditure'!$E$10:$E$27,'Case study expenditure'!$B$10:$B$27,$B11,'Case study expenditure'!$C$10:$C$27,E11)</f>
        <v>2030</v>
      </c>
      <c r="J11" s="176">
        <f>SUMIFS('Case study calculations'!$E:$E,'Case study calculations'!$B:$B,$B11,'Case study calculations'!$C:$C,$D11,'Case study calculations'!$D:$D,J$7)-SUMIFS('Case study calculations'!$E:$E,'Case study calculations'!$B:$B,$B11,'Case study calculations'!$C:$C,$E11,'Case study calculations'!$D:$D,J$7)</f>
        <v>6.9848886418691194</v>
      </c>
      <c r="K11" s="177">
        <f>SUMIFS('Case study calculations'!$E:$E,'Case study calculations'!$B:$B,$B11,'Case study calculations'!$C:$C,$D11,'Case study calculations'!$D:$D,K$7)-SUMIFS('Case study calculations'!$E:$E,'Case study calculations'!$B:$B,$B11,'Case study calculations'!$C:$C,$E11,'Case study calculations'!$D:$D,K$7)</f>
        <v>193904.977679573</v>
      </c>
      <c r="L11" s="178">
        <f t="shared" ref="L11:L27" si="0">IFERROR($K11/($J11*(10^3)),0)</f>
        <v>27.760639807091479</v>
      </c>
    </row>
    <row r="12" spans="1:12" customFormat="1">
      <c r="B12" s="2" t="str" cm="1">
        <f t="array" ref="B12">INDEX(_xlfn._xlws.SORT(_xlfn.UNIQUE('Case study demand'!$B$10:$B$27)),COUNTIFS($D$10:$D12,$D$10,$E$10:$E12,$E$10))</f>
        <v>Botany</v>
      </c>
      <c r="D12" s="2" t="s">
        <v>313</v>
      </c>
      <c r="E12" s="2" t="s">
        <v>311</v>
      </c>
      <c r="G12" s="175">
        <f>SUMIFS('Case study expenditure'!$E$10:$E$27,'Case study expenditure'!$B$10:$B$27,$B12,'Case study expenditure'!$C$10:$C$27,D12)</f>
        <v>2029</v>
      </c>
      <c r="H12" s="175">
        <f>SUMIFS('Case study expenditure'!$E$10:$E$27,'Case study expenditure'!$B$10:$B$27,$B12,'Case study expenditure'!$C$10:$C$27,E12)</f>
        <v>2030</v>
      </c>
      <c r="J12" s="176">
        <f>SUMIFS('Case study calculations'!$E:$E,'Case study calculations'!$B:$B,$B12,'Case study calculations'!$C:$C,$D12,'Case study calculations'!$D:$D,J$7)-SUMIFS('Case study calculations'!$E:$E,'Case study calculations'!$B:$B,$B12,'Case study calculations'!$C:$C,$E12,'Case study calculations'!$D:$D,J$7)</f>
        <v>10.424866602091981</v>
      </c>
      <c r="K12" s="177">
        <f>SUMIFS('Case study calculations'!$E:$E,'Case study calculations'!$B:$B,$B12,'Case study calculations'!$C:$C,$D12,'Case study calculations'!$D:$D,K$7)-SUMIFS('Case study calculations'!$E:$E,'Case study calculations'!$B:$B,$B12,'Case study calculations'!$C:$C,$E12,'Case study calculations'!$D:$D,K$7)</f>
        <v>193904.977679573</v>
      </c>
      <c r="L12" s="178">
        <f t="shared" si="0"/>
        <v>18.60023586687063</v>
      </c>
    </row>
    <row r="13" spans="1:12" customFormat="1">
      <c r="B13" s="2" t="str" cm="1">
        <f t="array" ref="B13">INDEX(_xlfn._xlws.SORT(_xlfn.UNIQUE('Case study demand'!$B$10:$B$27)),COUNTIFS($D$10:$D13,$D$10,$E$10:$E13,$E$10))</f>
        <v>Campsie</v>
      </c>
      <c r="D13" s="2" t="str">
        <f>D10</f>
        <v>Base</v>
      </c>
      <c r="E13" s="2" t="str">
        <f>E10</f>
        <v>Low</v>
      </c>
      <c r="G13" s="175">
        <f>SUMIFS('Case study expenditure'!$E$10:$E$27,'Case study expenditure'!$B$10:$B$27,$B13,'Case study expenditure'!$C$10:$C$27,D13)</f>
        <v>2033</v>
      </c>
      <c r="H13" s="175">
        <f>SUMIFS('Case study expenditure'!$E$10:$E$27,'Case study expenditure'!$B$10:$B$27,$B13,'Case study expenditure'!$C$10:$C$27,E13)</f>
        <v>2037</v>
      </c>
      <c r="J13" s="176">
        <f>SUMIFS('Case study calculations'!$E:$E,'Case study calculations'!$B:$B,$B13,'Case study calculations'!$C:$C,$D13,'Case study calculations'!$D:$D,J$7)-SUMIFS('Case study calculations'!$E:$E,'Case study calculations'!$B:$B,$B13,'Case study calculations'!$C:$C,$E13,'Case study calculations'!$D:$D,J$7)</f>
        <v>123.40028436946591</v>
      </c>
      <c r="K13" s="177">
        <f>SUMIFS('Case study calculations'!$E:$E,'Case study calculations'!$B:$B,$B13,'Case study calculations'!$C:$C,$D13,'Case study calculations'!$D:$D,K$7)-SUMIFS('Case study calculations'!$E:$E,'Case study calculations'!$B:$B,$B13,'Case study calculations'!$C:$C,$E13,'Case study calculations'!$D:$D,K$7)</f>
        <v>3619174.2328082174</v>
      </c>
      <c r="L13" s="178">
        <f t="shared" si="0"/>
        <v>29.328734948229535</v>
      </c>
    </row>
    <row r="14" spans="1:12" customFormat="1">
      <c r="B14" s="2" t="str" cm="1">
        <f t="array" ref="B14">INDEX(_xlfn._xlws.SORT(_xlfn.UNIQUE('Case study demand'!$B$10:$B$27)),COUNTIFS($D$10:$D14,$D$10,$E$10:$E14,$E$10))</f>
        <v>Campsie</v>
      </c>
      <c r="D14" s="2" t="str">
        <f t="shared" ref="D14:E14" si="1">D11</f>
        <v>High</v>
      </c>
      <c r="E14" s="2" t="str">
        <f t="shared" si="1"/>
        <v>Base</v>
      </c>
      <c r="G14" s="175">
        <f>SUMIFS('Case study expenditure'!$E$10:$E$27,'Case study expenditure'!$B$10:$B$27,$B14,'Case study expenditure'!$C$10:$C$27,D14)</f>
        <v>2029</v>
      </c>
      <c r="H14" s="175">
        <f>SUMIFS('Case study expenditure'!$E$10:$E$27,'Case study expenditure'!$B$10:$B$27,$B14,'Case study expenditure'!$C$10:$C$27,E14)</f>
        <v>2033</v>
      </c>
      <c r="J14" s="176">
        <f>SUMIFS('Case study calculations'!$E:$E,'Case study calculations'!$B:$B,$B14,'Case study calculations'!$C:$C,$D14,'Case study calculations'!$D:$D,J$7)-SUMIFS('Case study calculations'!$E:$E,'Case study calculations'!$B:$B,$B14,'Case study calculations'!$C:$C,$E14,'Case study calculations'!$D:$D,J$7)</f>
        <v>163.44595840004126</v>
      </c>
      <c r="K14" s="177">
        <f>SUMIFS('Case study calculations'!$E:$E,'Case study calculations'!$B:$B,$B14,'Case study calculations'!$C:$C,$D14,'Case study calculations'!$D:$D,K$7)-SUMIFS('Case study calculations'!$E:$E,'Case study calculations'!$B:$B,$B14,'Case study calculations'!$C:$C,$E14,'Case study calculations'!$D:$D,K$7)</f>
        <v>4105142.9084783271</v>
      </c>
      <c r="L14" s="178">
        <f t="shared" si="0"/>
        <v>25.11620934933617</v>
      </c>
    </row>
    <row r="15" spans="1:12" customFormat="1">
      <c r="B15" s="2" t="str" cm="1">
        <f t="array" ref="B15">INDEX(_xlfn._xlws.SORT(_xlfn.UNIQUE('Case study demand'!$B$10:$B$27)),COUNTIFS($D$10:$D15,$D$10,$E$10:$E15,$E$10))</f>
        <v>Campsie</v>
      </c>
      <c r="D15" s="2" t="str">
        <f t="shared" ref="D15:E15" si="2">D12</f>
        <v>High</v>
      </c>
      <c r="E15" s="2" t="str">
        <f t="shared" si="2"/>
        <v>Low</v>
      </c>
      <c r="G15" s="175">
        <f>SUMIFS('Case study expenditure'!$E$10:$E$27,'Case study expenditure'!$B$10:$B$27,$B15,'Case study expenditure'!$C$10:$C$27,D15)</f>
        <v>2029</v>
      </c>
      <c r="H15" s="175">
        <f>SUMIFS('Case study expenditure'!$E$10:$E$27,'Case study expenditure'!$B$10:$B$27,$B15,'Case study expenditure'!$C$10:$C$27,E15)</f>
        <v>2037</v>
      </c>
      <c r="J15" s="176">
        <f>SUMIFS('Case study calculations'!$E:$E,'Case study calculations'!$B:$B,$B15,'Case study calculations'!$C:$C,$D15,'Case study calculations'!$D:$D,J$7)-SUMIFS('Case study calculations'!$E:$E,'Case study calculations'!$B:$B,$B15,'Case study calculations'!$C:$C,$E15,'Case study calculations'!$D:$D,J$7)</f>
        <v>286.84624276950717</v>
      </c>
      <c r="K15" s="177">
        <f>SUMIFS('Case study calculations'!$E:$E,'Case study calculations'!$B:$B,$B15,'Case study calculations'!$C:$C,$D15,'Case study calculations'!$D:$D,K$7)-SUMIFS('Case study calculations'!$E:$E,'Case study calculations'!$B:$B,$B15,'Case study calculations'!$C:$C,$E15,'Case study calculations'!$D:$D,K$7)</f>
        <v>7724317.1412865445</v>
      </c>
      <c r="L15" s="178">
        <f t="shared" si="0"/>
        <v>26.928423627613462</v>
      </c>
    </row>
    <row r="16" spans="1:12" customFormat="1">
      <c r="B16" s="2" t="str" cm="1">
        <f t="array" ref="B16">INDEX(_xlfn._xlws.SORT(_xlfn.UNIQUE('Case study demand'!$B$10:$B$27)),COUNTIFS($D$10:$D16,$D$10,$E$10:$E16,$E$10))</f>
        <v>Leightonfield</v>
      </c>
      <c r="D16" s="2" t="str">
        <f t="shared" ref="D16:E16" si="3">D13</f>
        <v>Base</v>
      </c>
      <c r="E16" s="2" t="str">
        <f t="shared" si="3"/>
        <v>Low</v>
      </c>
      <c r="G16" s="175">
        <f>SUMIFS('Case study expenditure'!$E$10:$E$27,'Case study expenditure'!$B$10:$B$27,$B16,'Case study expenditure'!$C$10:$C$27,D16)</f>
        <v>2033</v>
      </c>
      <c r="H16" s="175">
        <f>SUMIFS('Case study expenditure'!$E$10:$E$27,'Case study expenditure'!$B$10:$B$27,$B16,'Case study expenditure'!$C$10:$C$27,E16)</f>
        <v>2034</v>
      </c>
      <c r="J16" s="176">
        <f>SUMIFS('Case study calculations'!$E:$E,'Case study calculations'!$B:$B,$B16,'Case study calculations'!$C:$C,$D16,'Case study calculations'!$D:$D,J$7)-SUMIFS('Case study calculations'!$E:$E,'Case study calculations'!$B:$B,$B16,'Case study calculations'!$C:$C,$E16,'Case study calculations'!$D:$D,J$7)</f>
        <v>17.1883302344051</v>
      </c>
      <c r="K16" s="177">
        <f>SUMIFS('Case study calculations'!$E:$E,'Case study calculations'!$B:$B,$B16,'Case study calculations'!$C:$C,$D16,'Case study calculations'!$D:$D,K$7)-SUMIFS('Case study calculations'!$E:$E,'Case study calculations'!$B:$B,$B16,'Case study calculations'!$C:$C,$E16,'Case study calculations'!$D:$D,K$7)</f>
        <v>170950.41865212284</v>
      </c>
      <c r="L16" s="178">
        <f t="shared" si="0"/>
        <v>9.9457257523444103</v>
      </c>
    </row>
    <row r="17" spans="2:12" customFormat="1">
      <c r="B17" s="2" t="str" cm="1">
        <f t="array" ref="B17">INDEX(_xlfn._xlws.SORT(_xlfn.UNIQUE('Case study demand'!$B$10:$B$27)),COUNTIFS($D$10:$D17,$D$10,$E$10:$E17,$E$10))</f>
        <v>Leightonfield</v>
      </c>
      <c r="D17" s="2" t="str">
        <f t="shared" ref="D17:E17" si="4">D14</f>
        <v>High</v>
      </c>
      <c r="E17" s="2" t="str">
        <f t="shared" si="4"/>
        <v>Base</v>
      </c>
      <c r="G17" s="175">
        <f>SUMIFS('Case study expenditure'!$E$10:$E$27,'Case study expenditure'!$B$10:$B$27,$B17,'Case study expenditure'!$C$10:$C$27,D17)</f>
        <v>2031</v>
      </c>
      <c r="H17" s="175">
        <f>SUMIFS('Case study expenditure'!$E$10:$E$27,'Case study expenditure'!$B$10:$B$27,$B17,'Case study expenditure'!$C$10:$C$27,E17)</f>
        <v>2033</v>
      </c>
      <c r="J17" s="176">
        <f>SUMIFS('Case study calculations'!$E:$E,'Case study calculations'!$B:$B,$B17,'Case study calculations'!$C:$C,$D17,'Case study calculations'!$D:$D,J$7)-SUMIFS('Case study calculations'!$E:$E,'Case study calculations'!$B:$B,$B17,'Case study calculations'!$C:$C,$E17,'Case study calculations'!$D:$D,J$7)</f>
        <v>29.9437701866662</v>
      </c>
      <c r="K17" s="177">
        <f>SUMIFS('Case study calculations'!$E:$E,'Case study calculations'!$B:$B,$B17,'Case study calculations'!$C:$C,$D17,'Case study calculations'!$D:$D,K$7)-SUMIFS('Case study calculations'!$E:$E,'Case study calculations'!$B:$B,$B17,'Case study calculations'!$C:$C,$E17,'Case study calculations'!$D:$D,K$7)</f>
        <v>358487.13072354719</v>
      </c>
      <c r="L17" s="178">
        <f t="shared" si="0"/>
        <v>11.972010487950499</v>
      </c>
    </row>
    <row r="18" spans="2:12" customFormat="1">
      <c r="B18" s="2" t="str" cm="1">
        <f t="array" ref="B18">INDEX(_xlfn._xlws.SORT(_xlfn.UNIQUE('Case study demand'!$B$10:$B$27)),COUNTIFS($D$10:$D18,$D$10,$E$10:$E18,$E$10))</f>
        <v>Leightonfield</v>
      </c>
      <c r="D18" s="2" t="str">
        <f t="shared" ref="D18:E18" si="5">D15</f>
        <v>High</v>
      </c>
      <c r="E18" s="2" t="str">
        <f t="shared" si="5"/>
        <v>Low</v>
      </c>
      <c r="G18" s="175">
        <f>SUMIFS('Case study expenditure'!$E$10:$E$27,'Case study expenditure'!$B$10:$B$27,$B18,'Case study expenditure'!$C$10:$C$27,D18)</f>
        <v>2031</v>
      </c>
      <c r="H18" s="175">
        <f>SUMIFS('Case study expenditure'!$E$10:$E$27,'Case study expenditure'!$B$10:$B$27,$B18,'Case study expenditure'!$C$10:$C$27,E18)</f>
        <v>2034</v>
      </c>
      <c r="J18" s="176">
        <f>SUMIFS('Case study calculations'!$E:$E,'Case study calculations'!$B:$B,$B18,'Case study calculations'!$C:$C,$D18,'Case study calculations'!$D:$D,J$7)-SUMIFS('Case study calculations'!$E:$E,'Case study calculations'!$B:$B,$B18,'Case study calculations'!$C:$C,$E18,'Case study calculations'!$D:$D,J$7)</f>
        <v>47.1321004210713</v>
      </c>
      <c r="K18" s="177">
        <f>SUMIFS('Case study calculations'!$E:$E,'Case study calculations'!$B:$B,$B18,'Case study calculations'!$C:$C,$D18,'Case study calculations'!$D:$D,K$7)-SUMIFS('Case study calculations'!$E:$E,'Case study calculations'!$B:$B,$B18,'Case study calculations'!$C:$C,$E18,'Case study calculations'!$D:$D,K$7)</f>
        <v>529437.54937567003</v>
      </c>
      <c r="L18" s="178">
        <f t="shared" si="0"/>
        <v>11.233056550540976</v>
      </c>
    </row>
    <row r="19" spans="2:12" customFormat="1">
      <c r="B19" s="2" t="str" cm="1">
        <f t="array" ref="B19">INDEX(_xlfn._xlws.SORT(_xlfn.UNIQUE('Case study demand'!$B$10:$B$27)),COUNTIFS($D$10:$D19,$D$10,$E$10:$E19,$E$10))</f>
        <v>Lidcombe</v>
      </c>
      <c r="D19" s="2" t="str">
        <f t="shared" ref="D19:E19" si="6">D16</f>
        <v>Base</v>
      </c>
      <c r="E19" s="2" t="str">
        <f t="shared" si="6"/>
        <v>Low</v>
      </c>
      <c r="G19" s="175">
        <f>SUMIFS('Case study expenditure'!$E$10:$E$27,'Case study expenditure'!$B$10:$B$27,$B19,'Case study expenditure'!$C$10:$C$27,D19)</f>
        <v>2031</v>
      </c>
      <c r="H19" s="175">
        <f>SUMIFS('Case study expenditure'!$E$10:$E$27,'Case study expenditure'!$B$10:$B$27,$B19,'Case study expenditure'!$C$10:$C$27,E19)</f>
        <v>2033</v>
      </c>
      <c r="J19" s="176">
        <f>SUMIFS('Case study calculations'!$E:$E,'Case study calculations'!$B:$B,$B19,'Case study calculations'!$C:$C,$D19,'Case study calculations'!$D:$D,J$7)-SUMIFS('Case study calculations'!$E:$E,'Case study calculations'!$B:$B,$B19,'Case study calculations'!$C:$C,$E19,'Case study calculations'!$D:$D,J$7)</f>
        <v>22.493668940312773</v>
      </c>
      <c r="K19" s="177">
        <f>SUMIFS('Case study calculations'!$E:$E,'Case study calculations'!$B:$B,$B19,'Case study calculations'!$C:$C,$D19,'Case study calculations'!$D:$D,K$7)-SUMIFS('Case study calculations'!$E:$E,'Case study calculations'!$B:$B,$B19,'Case study calculations'!$C:$C,$E19,'Case study calculations'!$D:$D,K$7)</f>
        <v>753462.60665261559</v>
      </c>
      <c r="L19" s="178">
        <f t="shared" si="0"/>
        <v>33.496652264774497</v>
      </c>
    </row>
    <row r="20" spans="2:12">
      <c r="B20" s="2" t="str" cm="1">
        <f t="array" ref="B20">INDEX(_xlfn._xlws.SORT(_xlfn.UNIQUE('Case study demand'!$B$10:$B$27)),COUNTIFS($D$10:$D20,$D$10,$E$10:$E20,$E$10))</f>
        <v>Lidcombe</v>
      </c>
      <c r="D20" s="2" t="str">
        <f t="shared" ref="D20:E20" si="7">D17</f>
        <v>High</v>
      </c>
      <c r="E20" s="2" t="str">
        <f t="shared" si="7"/>
        <v>Base</v>
      </c>
      <c r="G20" s="175">
        <f>SUMIFS('Case study expenditure'!$E$10:$E$27,'Case study expenditure'!$B$10:$B$27,$B20,'Case study expenditure'!$C$10:$C$27,D20)</f>
        <v>2029</v>
      </c>
      <c r="H20" s="175">
        <f>SUMIFS('Case study expenditure'!$E$10:$E$27,'Case study expenditure'!$B$10:$B$27,$B20,'Case study expenditure'!$C$10:$C$27,E20)</f>
        <v>2031</v>
      </c>
      <c r="J20" s="176">
        <f>SUMIFS('Case study calculations'!$E:$E,'Case study calculations'!$B:$B,$B20,'Case study calculations'!$C:$C,$D20,'Case study calculations'!$D:$D,J$7)-SUMIFS('Case study calculations'!$E:$E,'Case study calculations'!$B:$B,$B20,'Case study calculations'!$C:$C,$E20,'Case study calculations'!$D:$D,J$7)</f>
        <v>32.666185933349993</v>
      </c>
      <c r="K20" s="177">
        <f>SUMIFS('Case study calculations'!$E:$E,'Case study calculations'!$B:$B,$B20,'Case study calculations'!$C:$C,$D20,'Case study calculations'!$D:$D,K$7)-SUMIFS('Case study calculations'!$E:$E,'Case study calculations'!$B:$B,$B20,'Case study calculations'!$C:$C,$E20,'Case study calculations'!$D:$D,K$7)</f>
        <v>802455.75918759592</v>
      </c>
      <c r="L20" s="178">
        <f t="shared" si="0"/>
        <v>24.565333731488444</v>
      </c>
    </row>
    <row r="21" spans="2:12">
      <c r="B21" s="2" t="str" cm="1">
        <f t="array" ref="B21">INDEX(_xlfn._xlws.SORT(_xlfn.UNIQUE('Case study demand'!$B$10:$B$27)),COUNTIFS($D$10:$D21,$D$10,$E$10:$E21,$E$10))</f>
        <v>Lidcombe</v>
      </c>
      <c r="D21" s="2" t="str">
        <f t="shared" ref="D21:E21" si="8">D18</f>
        <v>High</v>
      </c>
      <c r="E21" s="2" t="str">
        <f t="shared" si="8"/>
        <v>Low</v>
      </c>
      <c r="G21" s="175">
        <f>SUMIFS('Case study expenditure'!$E$10:$E$27,'Case study expenditure'!$B$10:$B$27,$B21,'Case study expenditure'!$C$10:$C$27,D21)</f>
        <v>2029</v>
      </c>
      <c r="H21" s="175">
        <f>SUMIFS('Case study expenditure'!$E$10:$E$27,'Case study expenditure'!$B$10:$B$27,$B21,'Case study expenditure'!$C$10:$C$27,E21)</f>
        <v>2033</v>
      </c>
      <c r="J21" s="176">
        <f>SUMIFS('Case study calculations'!$E:$E,'Case study calculations'!$B:$B,$B21,'Case study calculations'!$C:$C,$D21,'Case study calculations'!$D:$D,J$7)-SUMIFS('Case study calculations'!$E:$E,'Case study calculations'!$B:$B,$B21,'Case study calculations'!$C:$C,$E21,'Case study calculations'!$D:$D,J$7)</f>
        <v>55.159854873662766</v>
      </c>
      <c r="K21" s="177">
        <f>SUMIFS('Case study calculations'!$E:$E,'Case study calculations'!$B:$B,$B21,'Case study calculations'!$C:$C,$D21,'Case study calculations'!$D:$D,K$7)-SUMIFS('Case study calculations'!$E:$E,'Case study calculations'!$B:$B,$B21,'Case study calculations'!$C:$C,$E21,'Case study calculations'!$D:$D,K$7)</f>
        <v>1555918.3658402115</v>
      </c>
      <c r="L21" s="178">
        <f t="shared" si="0"/>
        <v>28.207441252408326</v>
      </c>
    </row>
    <row r="22" spans="2:12" customFormat="1">
      <c r="B22" s="2" t="str" cm="1">
        <f t="array" ref="B22">INDEX(_xlfn._xlws.SORT(_xlfn.UNIQUE('Case study demand'!$B$10:$B$27)),COUNTIFS($D$10:$D22,$D$10,$E$10:$E22,$E$10))</f>
        <v>Miranda</v>
      </c>
      <c r="D22" s="2" t="str">
        <f t="shared" ref="D22:E22" si="9">D19</f>
        <v>Base</v>
      </c>
      <c r="E22" s="2" t="str">
        <f t="shared" si="9"/>
        <v>Low</v>
      </c>
      <c r="G22" s="175">
        <f>SUMIFS('Case study expenditure'!$E$10:$E$27,'Case study expenditure'!$B$10:$B$27,$B22,'Case study expenditure'!$C$10:$C$27,D22)</f>
        <v>2037</v>
      </c>
      <c r="H22" s="175">
        <f>SUMIFS('Case study expenditure'!$E$10:$E$27,'Case study expenditure'!$B$10:$B$27,$B22,'Case study expenditure'!$C$10:$C$27,E22)</f>
        <v>2038</v>
      </c>
      <c r="J22" s="176">
        <f>SUMIFS('Case study calculations'!$E:$E,'Case study calculations'!$B:$B,$B22,'Case study calculations'!$C:$C,$D22,'Case study calculations'!$D:$D,J$7)-SUMIFS('Case study calculations'!$E:$E,'Case study calculations'!$B:$B,$B22,'Case study calculations'!$C:$C,$E22,'Case study calculations'!$D:$D,J$7)</f>
        <v>22.247540253416105</v>
      </c>
      <c r="K22" s="177">
        <f>SUMIFS('Case study calculations'!$E:$E,'Case study calculations'!$B:$B,$B22,'Case study calculations'!$C:$C,$D22,'Case study calculations'!$D:$D,K$7)-SUMIFS('Case study calculations'!$E:$E,'Case study calculations'!$B:$B,$B22,'Case study calculations'!$C:$C,$E22,'Case study calculations'!$D:$D,K$7)</f>
        <v>331569.10756764002</v>
      </c>
      <c r="L22" s="178">
        <f t="shared" si="0"/>
        <v>14.90362996496782</v>
      </c>
    </row>
    <row r="23" spans="2:12" customFormat="1">
      <c r="B23" s="2" t="str" cm="1">
        <f t="array" ref="B23">INDEX(_xlfn._xlws.SORT(_xlfn.UNIQUE('Case study demand'!$B$10:$B$27)),COUNTIFS($D$10:$D23,$D$10,$E$10:$E23,$E$10))</f>
        <v>Miranda</v>
      </c>
      <c r="D23" s="2" t="str">
        <f t="shared" ref="D23:E23" si="10">D20</f>
        <v>High</v>
      </c>
      <c r="E23" s="2" t="str">
        <f t="shared" si="10"/>
        <v>Base</v>
      </c>
      <c r="G23" s="175">
        <f>SUMIFS('Case study expenditure'!$E$10:$E$27,'Case study expenditure'!$B$10:$B$27,$B23,'Case study expenditure'!$C$10:$C$27,D23)</f>
        <v>2035</v>
      </c>
      <c r="H23" s="175">
        <f>SUMIFS('Case study expenditure'!$E$10:$E$27,'Case study expenditure'!$B$10:$B$27,$B23,'Case study expenditure'!$C$10:$C$27,E23)</f>
        <v>2037</v>
      </c>
      <c r="J23" s="176">
        <f>SUMIFS('Case study calculations'!$E:$E,'Case study calculations'!$B:$B,$B23,'Case study calculations'!$C:$C,$D23,'Case study calculations'!$D:$D,J$7)-SUMIFS('Case study calculations'!$E:$E,'Case study calculations'!$B:$B,$B23,'Case study calculations'!$C:$C,$E23,'Case study calculations'!$D:$D,J$7)</f>
        <v>46.282981123434752</v>
      </c>
      <c r="K23" s="177">
        <f>SUMIFS('Case study calculations'!$E:$E,'Case study calculations'!$B:$B,$B23,'Case study calculations'!$C:$C,$D23,'Case study calculations'!$D:$D,K$7)-SUMIFS('Case study calculations'!$E:$E,'Case study calculations'!$B:$B,$B23,'Case study calculations'!$C:$C,$E23,'Case study calculations'!$D:$D,K$7)</f>
        <v>695308.37622792274</v>
      </c>
      <c r="L23" s="178">
        <f t="shared" si="0"/>
        <v>15.02298165223119</v>
      </c>
    </row>
    <row r="24" spans="2:12" customFormat="1">
      <c r="B24" s="2" t="str" cm="1">
        <f t="array" ref="B24">INDEX(_xlfn._xlws.SORT(_xlfn.UNIQUE('Case study demand'!$B$10:$B$27)),COUNTIFS($D$10:$D24,$D$10,$E$10:$E24,$E$10))</f>
        <v>Miranda</v>
      </c>
      <c r="D24" s="2" t="str">
        <f t="shared" ref="D24:E24" si="11">D21</f>
        <v>High</v>
      </c>
      <c r="E24" s="2" t="str">
        <f t="shared" si="11"/>
        <v>Low</v>
      </c>
      <c r="G24" s="175">
        <f>SUMIFS('Case study expenditure'!$E$10:$E$27,'Case study expenditure'!$B$10:$B$27,$B24,'Case study expenditure'!$C$10:$C$27,D24)</f>
        <v>2035</v>
      </c>
      <c r="H24" s="175">
        <f>SUMIFS('Case study expenditure'!$E$10:$E$27,'Case study expenditure'!$B$10:$B$27,$B24,'Case study expenditure'!$C$10:$C$27,E24)</f>
        <v>2038</v>
      </c>
      <c r="J24" s="176">
        <f>SUMIFS('Case study calculations'!$E:$E,'Case study calculations'!$B:$B,$B24,'Case study calculations'!$C:$C,$D24,'Case study calculations'!$D:$D,J$7)-SUMIFS('Case study calculations'!$E:$E,'Case study calculations'!$B:$B,$B24,'Case study calculations'!$C:$C,$E24,'Case study calculations'!$D:$D,J$7)</f>
        <v>68.530521376850857</v>
      </c>
      <c r="K24" s="177">
        <f>SUMIFS('Case study calculations'!$E:$E,'Case study calculations'!$B:$B,$B24,'Case study calculations'!$C:$C,$D24,'Case study calculations'!$D:$D,K$7)-SUMIFS('Case study calculations'!$E:$E,'Case study calculations'!$B:$B,$B24,'Case study calculations'!$C:$C,$E24,'Case study calculations'!$D:$D,K$7)</f>
        <v>1026877.4837955628</v>
      </c>
      <c r="L24" s="178">
        <f t="shared" si="0"/>
        <v>14.984235683086967</v>
      </c>
    </row>
    <row r="25" spans="2:12" customFormat="1">
      <c r="B25" s="2" t="str" cm="1">
        <f t="array" ref="B25">INDEX(_xlfn._xlws.SORT(_xlfn.UNIQUE('Case study demand'!$B$10:$B$27)),COUNTIFS($D$10:$D25,$D$10,$E$10:$E25,$E$10))</f>
        <v>Riverwood</v>
      </c>
      <c r="D25" s="2" t="str">
        <f t="shared" ref="D25:E25" si="12">D22</f>
        <v>Base</v>
      </c>
      <c r="E25" s="2" t="str">
        <f t="shared" si="12"/>
        <v>Low</v>
      </c>
      <c r="G25" s="175">
        <f>SUMIFS('Case study expenditure'!$E$10:$E$27,'Case study expenditure'!$B$10:$B$27,$B25,'Case study expenditure'!$C$10:$C$27,D25)</f>
        <v>2034</v>
      </c>
      <c r="H25" s="175">
        <f>SUMIFS('Case study expenditure'!$E$10:$E$27,'Case study expenditure'!$B$10:$B$27,$B25,'Case study expenditure'!$C$10:$C$27,E25)</f>
        <v>2035</v>
      </c>
      <c r="J25" s="176">
        <f>SUMIFS('Case study calculations'!$E:$E,'Case study calculations'!$B:$B,$B25,'Case study calculations'!$C:$C,$D25,'Case study calculations'!$D:$D,J$7)-SUMIFS('Case study calculations'!$E:$E,'Case study calculations'!$B:$B,$B25,'Case study calculations'!$C:$C,$E25,'Case study calculations'!$D:$D,J$7)</f>
        <v>18.026671836930859</v>
      </c>
      <c r="K25" s="177">
        <f>SUMIFS('Case study calculations'!$E:$E,'Case study calculations'!$B:$B,$B25,'Case study calculations'!$C:$C,$D25,'Case study calculations'!$D:$D,K$7)-SUMIFS('Case study calculations'!$E:$E,'Case study calculations'!$B:$B,$B25,'Case study calculations'!$C:$C,$E25,'Case study calculations'!$D:$D,K$7)</f>
        <v>337439.09842440486</v>
      </c>
      <c r="L25" s="178">
        <f t="shared" si="0"/>
        <v>18.718879529004383</v>
      </c>
    </row>
    <row r="26" spans="2:12" customFormat="1">
      <c r="B26" s="2" t="str" cm="1">
        <f t="array" ref="B26">INDEX(_xlfn._xlws.SORT(_xlfn.UNIQUE('Case study demand'!$B$10:$B$27)),COUNTIFS($D$10:$D26,$D$10,$E$10:$E26,$E$10))</f>
        <v>Riverwood</v>
      </c>
      <c r="D26" s="2" t="str">
        <f t="shared" ref="D26:E26" si="13">D23</f>
        <v>High</v>
      </c>
      <c r="E26" s="2" t="str">
        <f t="shared" si="13"/>
        <v>Base</v>
      </c>
      <c r="G26" s="175">
        <f>SUMIFS('Case study expenditure'!$E$10:$E$27,'Case study expenditure'!$B$10:$B$27,$B26,'Case study expenditure'!$C$10:$C$27,D26)</f>
        <v>2033</v>
      </c>
      <c r="H26" s="175">
        <f>SUMIFS('Case study expenditure'!$E$10:$E$27,'Case study expenditure'!$B$10:$B$27,$B26,'Case study expenditure'!$C$10:$C$27,E26)</f>
        <v>2034</v>
      </c>
      <c r="J26" s="176">
        <f>SUMIFS('Case study calculations'!$E:$E,'Case study calculations'!$B:$B,$B26,'Case study calculations'!$C:$C,$D26,'Case study calculations'!$D:$D,J$7)-SUMIFS('Case study calculations'!$E:$E,'Case study calculations'!$B:$B,$B26,'Case study calculations'!$C:$C,$E26,'Case study calculations'!$D:$D,J$7)</f>
        <v>23.050468919363084</v>
      </c>
      <c r="K26" s="177">
        <f>SUMIFS('Case study calculations'!$E:$E,'Case study calculations'!$B:$B,$B26,'Case study calculations'!$C:$C,$D26,'Case study calculations'!$D:$D,K$7)-SUMIFS('Case study calculations'!$E:$E,'Case study calculations'!$B:$B,$B26,'Case study calculations'!$C:$C,$E26,'Case study calculations'!$D:$D,K$7)</f>
        <v>348237.14957398921</v>
      </c>
      <c r="L26" s="178">
        <f t="shared" si="0"/>
        <v>15.107595025169296</v>
      </c>
    </row>
    <row r="27" spans="2:12" customFormat="1">
      <c r="B27" s="2" t="str" cm="1">
        <f t="array" ref="B27">INDEX(_xlfn._xlws.SORT(_xlfn.UNIQUE('Case study demand'!$B$10:$B$27)),COUNTIFS($D$10:$D27,$D$10,$E$10:$E27,$E$10))</f>
        <v>Riverwood</v>
      </c>
      <c r="D27" s="2" t="str">
        <f t="shared" ref="D27:E27" si="14">D24</f>
        <v>High</v>
      </c>
      <c r="E27" s="2" t="str">
        <f t="shared" si="14"/>
        <v>Low</v>
      </c>
      <c r="G27" s="175">
        <f>SUMIFS('Case study expenditure'!$E$10:$E$27,'Case study expenditure'!$B$10:$B$27,$B27,'Case study expenditure'!$C$10:$C$27,D27)</f>
        <v>2033</v>
      </c>
      <c r="H27" s="175">
        <f>SUMIFS('Case study expenditure'!$E$10:$E$27,'Case study expenditure'!$B$10:$B$27,$B27,'Case study expenditure'!$C$10:$C$27,E27)</f>
        <v>2035</v>
      </c>
      <c r="J27" s="176">
        <f>SUMIFS('Case study calculations'!$E:$E,'Case study calculations'!$B:$B,$B27,'Case study calculations'!$C:$C,$D27,'Case study calculations'!$D:$D,J$7)-SUMIFS('Case study calculations'!$E:$E,'Case study calculations'!$B:$B,$B27,'Case study calculations'!$C:$C,$E27,'Case study calculations'!$D:$D,J$7)</f>
        <v>41.077140756293943</v>
      </c>
      <c r="K27" s="177">
        <f>SUMIFS('Case study calculations'!$E:$E,'Case study calculations'!$B:$B,$B27,'Case study calculations'!$C:$C,$D27,'Case study calculations'!$D:$D,K$7)-SUMIFS('Case study calculations'!$E:$E,'Case study calculations'!$B:$B,$B27,'Case study calculations'!$C:$C,$E27,'Case study calculations'!$D:$D,K$7)</f>
        <v>685676.24799839407</v>
      </c>
      <c r="L27" s="178">
        <f t="shared" si="0"/>
        <v>16.69240447056513</v>
      </c>
    </row>
    <row r="28" spans="2:12" customFormat="1"/>
    <row r="29" spans="2:12" customFormat="1"/>
    <row r="30" spans="2:12" customFormat="1"/>
    <row r="31" spans="2:12" customFormat="1"/>
    <row r="32" spans="2:12" customFormat="1"/>
    <row r="33" spans="2:5" customFormat="1"/>
    <row r="34" spans="2:5">
      <c r="B34"/>
      <c r="D34"/>
      <c r="E34"/>
    </row>
    <row r="35" spans="2:5">
      <c r="B35"/>
      <c r="D35"/>
      <c r="E35"/>
    </row>
    <row r="36" spans="2:5">
      <c r="B36"/>
      <c r="D36"/>
      <c r="E36"/>
    </row>
    <row r="37" spans="2:5">
      <c r="B37"/>
      <c r="D37"/>
      <c r="E37"/>
    </row>
    <row r="38" spans="2:5">
      <c r="B38"/>
      <c r="D38"/>
      <c r="E38"/>
    </row>
    <row r="39" spans="2:5">
      <c r="B39"/>
      <c r="D39"/>
      <c r="E39"/>
    </row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DBB6F-7CE9-4B8E-AF94-41862FA393F6}">
  <sheetPr codeName="Sheet11">
    <tabColor theme="1"/>
  </sheetPr>
  <dimension ref="A1:A33"/>
  <sheetViews>
    <sheetView showGridLines="0" zoomScale="70" zoomScaleNormal="70" workbookViewId="0"/>
  </sheetViews>
  <sheetFormatPr defaultColWidth="8.84375" defaultRowHeight="14"/>
  <cols>
    <col min="1" max="1" width="18.4609375" style="1" bestFit="1" customWidth="1"/>
    <col min="2" max="16384" width="8.84375" style="1"/>
  </cols>
  <sheetData>
    <row r="1" spans="1:1" ht="18">
      <c r="A1" s="49" t="str">
        <f ca="1">MID(CELL("filename",A2),FIND("]",CELL("filename",A2))+1,256)</f>
        <v>Calculations -&gt;</v>
      </c>
    </row>
    <row r="2" spans="1:1" ht="15.5">
      <c r="A2"/>
    </row>
    <row r="12" spans="1:1" customFormat="1" ht="15.5"/>
    <row r="13" spans="1:1" customFormat="1" ht="15.5"/>
    <row r="14" spans="1:1" customFormat="1" ht="15.5"/>
    <row r="15" spans="1:1" customFormat="1" ht="15.5"/>
    <row r="16" spans="1:1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7">
    <tabColor theme="5"/>
  </sheetPr>
  <dimension ref="A1:A33"/>
  <sheetViews>
    <sheetView showGridLines="0" zoomScale="70" zoomScaleNormal="70" workbookViewId="0"/>
  </sheetViews>
  <sheetFormatPr defaultColWidth="8.84375" defaultRowHeight="14"/>
  <cols>
    <col min="1" max="1" width="22" style="1" bestFit="1" customWidth="1"/>
    <col min="2" max="16384" width="8.84375" style="1"/>
  </cols>
  <sheetData>
    <row r="1" spans="1:1" ht="18">
      <c r="A1" s="49" t="str">
        <f ca="1">MID(CELL("filename",A2),FIND("]",CELL("filename",A2))+1,256)</f>
        <v>Capex allocation -&gt;</v>
      </c>
    </row>
    <row r="2" spans="1:1" ht="15.5">
      <c r="A2"/>
    </row>
    <row r="12" spans="1:1" customFormat="1" ht="15.5"/>
    <row r="13" spans="1:1" customFormat="1" ht="15.5"/>
    <row r="14" spans="1:1" customFormat="1" ht="15.5"/>
    <row r="15" spans="1:1" customFormat="1" ht="15.5"/>
    <row r="16" spans="1:1" customFormat="1" ht="15.5"/>
    <row r="17" customFormat="1" ht="15.5"/>
    <row r="18" customFormat="1" ht="15.5"/>
    <row r="19" customFormat="1" ht="15.5"/>
    <row r="22" customFormat="1" ht="15.5"/>
    <row r="23" customFormat="1" ht="15.5"/>
    <row r="24" customFormat="1" ht="15.5"/>
    <row r="25" customFormat="1" ht="15.5"/>
    <row r="26" customFormat="1" ht="15.5"/>
    <row r="27" customFormat="1" ht="15.5"/>
    <row r="28" customFormat="1" ht="15.5"/>
    <row r="29" customFormat="1" ht="15.5"/>
    <row r="30" customFormat="1" ht="15.5"/>
    <row r="31" customFormat="1" ht="15.5"/>
    <row r="32" customFormat="1" ht="15.5"/>
    <row r="33" customFormat="1" ht="15.5"/>
  </sheetData>
  <pageMargins left="0.7" right="0.7" top="0.75" bottom="0.75" header="0.3" footer="0.3"/>
  <pageSetup orientation="portrait" r:id="rId1"/>
  <headerFooter>
    <oddFooter>&amp;L_x000D_&amp;1#&amp;"Calibri"&amp;8&amp;K000000 For Official use only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91839A9FD1E54B934055EE941647FE" ma:contentTypeVersion="20" ma:contentTypeDescription="Create a new document." ma:contentTypeScope="" ma:versionID="4889acc6d0a0fabbdb65eff736ca2b86">
  <xsd:schema xmlns:xsd="http://www.w3.org/2001/XMLSchema" xmlns:xs="http://www.w3.org/2001/XMLSchema" xmlns:p="http://schemas.microsoft.com/office/2006/metadata/properties" xmlns:ns1="http://schemas.microsoft.com/sharepoint/v3" xmlns:ns2="22bb1572-9652-4799-87f4-00cf85b5992b" xmlns:ns3="7979ed89-640b-4b5b-af66-a44d5fa4dbe0" targetNamespace="http://schemas.microsoft.com/office/2006/metadata/properties" ma:root="true" ma:fieldsID="a24e412a3c7e46a7c7a7b963ae228548" ns1:_="" ns2:_="" ns3:_="">
    <xsd:import namespace="http://schemas.microsoft.com/sharepoint/v3"/>
    <xsd:import namespace="22bb1572-9652-4799-87f4-00cf85b5992b"/>
    <xsd:import namespace="7979ed89-640b-4b5b-af66-a44d5fa4db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LengthInSeconds" minOccurs="0"/>
                <xsd:element ref="ns2:Categorisation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bb1572-9652-4799-87f4-00cf85b599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Categorisation" ma:index="21" nillable="true" ma:displayName="Categorisation" ma:format="Dropdown" ma:internalName="Categorisation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Resilience"/>
                        <xsd:enumeration value="Net Zero"/>
                        <xsd:enumeration value="Cust Exp"/>
                        <xsd:enumeration value="Affordability"/>
                        <xsd:enumeration value="CALD"/>
                        <xsd:enumeration value="SME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1a43c2ec-38d9-4aa0-904c-c7efe2e8e1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79ed89-640b-4b5b-af66-a44d5fa4dbe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c57ebc-c584-4f1b-9635-dab64e8d9de8}" ma:internalName="TaxCatchAll" ma:showField="CatchAllData" ma:web="7979ed89-640b-4b5b-af66-a44d5fa4db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22bb1572-9652-4799-87f4-00cf85b5992b">
      <Terms xmlns="http://schemas.microsoft.com/office/infopath/2007/PartnerControls"/>
    </lcf76f155ced4ddcb4097134ff3c332f>
    <TaxCatchAll xmlns="7979ed89-640b-4b5b-af66-a44d5fa4dbe0" xsi:nil="true"/>
    <Categorisation xmlns="22bb1572-9652-4799-87f4-00cf85b5992b" xsi:nil="true"/>
  </documentManagement>
</p:properties>
</file>

<file path=customXml/itemProps1.xml><?xml version="1.0" encoding="utf-8"?>
<ds:datastoreItem xmlns:ds="http://schemas.openxmlformats.org/officeDocument/2006/customXml" ds:itemID="{C49EA6C7-DAF2-4262-8F55-47E61D528C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bb1572-9652-4799-87f4-00cf85b5992b"/>
    <ds:schemaRef ds:uri="7979ed89-640b-4b5b-af66-a44d5fa4db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A96E3E-ECB1-4FF3-998C-01F7D3D049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061CBA-415D-48D3-8C79-21C27D57DF2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22bb1572-9652-4799-87f4-00cf85b5992b"/>
    <ds:schemaRef ds:uri="7979ed89-640b-4b5b-af66-a44d5fa4db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12</vt:i4>
      </vt:variant>
    </vt:vector>
  </HeadingPairs>
  <TitlesOfParts>
    <vt:vector size="43" baseType="lpstr">
      <vt:lpstr>Coverpage</vt:lpstr>
      <vt:lpstr>Control and results</vt:lpstr>
      <vt:lpstr>Outputs -&gt;</vt:lpstr>
      <vt:lpstr>RIN - 7.7 TSS-LRMC</vt:lpstr>
      <vt:lpstr>LRMC estimates -&gt;</vt:lpstr>
      <vt:lpstr>LRMC - growth</vt:lpstr>
      <vt:lpstr>LRMC - declining (case studies)</vt:lpstr>
      <vt:lpstr>Calculations -&gt;</vt:lpstr>
      <vt:lpstr>Capex allocation -&gt;</vt:lpstr>
      <vt:lpstr>Total augex</vt:lpstr>
      <vt:lpstr>Augex - growth and decline</vt:lpstr>
      <vt:lpstr>Demand -&gt;</vt:lpstr>
      <vt:lpstr>Raw demand</vt:lpstr>
      <vt:lpstr>Growing &amp; falling</vt:lpstr>
      <vt:lpstr>Smoothed demand</vt:lpstr>
      <vt:lpstr>Coincident demand</vt:lpstr>
      <vt:lpstr>Aggregated demand</vt:lpstr>
      <vt:lpstr>Case studies -&gt;</vt:lpstr>
      <vt:lpstr>Case study calculations</vt:lpstr>
      <vt:lpstr>Case study demand</vt:lpstr>
      <vt:lpstr>Case study expenditure</vt:lpstr>
      <vt:lpstr>Raw inputs -&gt;</vt:lpstr>
      <vt:lpstr>Financial inputs</vt:lpstr>
      <vt:lpstr>CPI index</vt:lpstr>
      <vt:lpstr>Ausgrid TSS 2019-24</vt:lpstr>
      <vt:lpstr>Capitalised OH</vt:lpstr>
      <vt:lpstr>Opex</vt:lpstr>
      <vt:lpstr>Max demand</vt:lpstr>
      <vt:lpstr>LV &amp; HV augex</vt:lpstr>
      <vt:lpstr>ST augex</vt:lpstr>
      <vt:lpstr>Lists</vt:lpstr>
      <vt:lpstr>area_plans</vt:lpstr>
      <vt:lpstr>asset_life</vt:lpstr>
      <vt:lpstr>augex_categories</vt:lpstr>
      <vt:lpstr>base_year</vt:lpstr>
      <vt:lpstr>cost_types</vt:lpstr>
      <vt:lpstr>demand_growth_options</vt:lpstr>
      <vt:lpstr>demand_smoothing_options</vt:lpstr>
      <vt:lpstr>discount_rate</vt:lpstr>
      <vt:lpstr>network_levels</vt:lpstr>
      <vt:lpstr>opex_proportion</vt:lpstr>
      <vt:lpstr>repex_categories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Sam Pfeiffer</dc:creator>
  <cp:keywords/>
  <dc:description/>
  <cp:lastModifiedBy>Stefanie Strauss</cp:lastModifiedBy>
  <cp:revision/>
  <dcterms:created xsi:type="dcterms:W3CDTF">2014-04-05T12:28:10Z</dcterms:created>
  <dcterms:modified xsi:type="dcterms:W3CDTF">2023-11-30T00:45:01Z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0x010100C491839A9FD1E54B934055EE941647FE</vt:lpwstr>
  </property>
  <property fmtid="{D5CDD505-2E9C-101B-9397-08002B2CF9AE}" pid="3" name="TitusGUID">
    <vt:lpwstr>7adc7334-24e9-48fe-8d5e-b8ff9bbe183f</vt:lpwstr>
  </property>
  <property fmtid="{D5CDD505-2E9C-101B-9397-08002B2CF9AE}" pid="4" name="Classification">
    <vt:lpwstr>Sensitive</vt:lpwstr>
  </property>
  <property fmtid="{D5CDD505-2E9C-101B-9397-08002B2CF9AE}" pid="5" name="MediaServiceImageTags">
    <vt:lpwstr/>
  </property>
  <property fmtid="{D5CDD505-2E9C-101B-9397-08002B2CF9AE}" pid="6" name="MSIP_Label_895930eb-db2c-4917-a4e2-4c584d225a4f_Enabled">
    <vt:lpwstr>true</vt:lpwstr>
  </property>
  <property fmtid="{D5CDD505-2E9C-101B-9397-08002B2CF9AE}" pid="7" name="MSIP_Label_895930eb-db2c-4917-a4e2-4c584d225a4f_SetDate">
    <vt:lpwstr>2022-11-29T22:01:28Z</vt:lpwstr>
  </property>
  <property fmtid="{D5CDD505-2E9C-101B-9397-08002B2CF9AE}" pid="8" name="MSIP_Label_895930eb-db2c-4917-a4e2-4c584d225a4f_Method">
    <vt:lpwstr>Standard</vt:lpwstr>
  </property>
  <property fmtid="{D5CDD505-2E9C-101B-9397-08002B2CF9AE}" pid="9" name="MSIP_Label_895930eb-db2c-4917-a4e2-4c584d225a4f_Name">
    <vt:lpwstr>AG-For Official use only</vt:lpwstr>
  </property>
  <property fmtid="{D5CDD505-2E9C-101B-9397-08002B2CF9AE}" pid="10" name="MSIP_Label_895930eb-db2c-4917-a4e2-4c584d225a4f_SiteId">
    <vt:lpwstr>11302428-4f10-4c14-a17f-b368bb82853d</vt:lpwstr>
  </property>
  <property fmtid="{D5CDD505-2E9C-101B-9397-08002B2CF9AE}" pid="11" name="MSIP_Label_895930eb-db2c-4917-a4e2-4c584d225a4f_ActionId">
    <vt:lpwstr>41312f13-282f-4eda-975a-60a1599bb792</vt:lpwstr>
  </property>
  <property fmtid="{D5CDD505-2E9C-101B-9397-08002B2CF9AE}" pid="12" name="MSIP_Label_895930eb-db2c-4917-a4e2-4c584d225a4f_ContentBits">
    <vt:lpwstr>2</vt:lpwstr>
  </property>
</Properties>
</file>